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สารบัญ" sheetId="1" state="visible" r:id="rId1"/>
    <sheet xmlns:r="http://schemas.openxmlformats.org/officeDocument/2006/relationships" name="Log_Quiz_Results" sheetId="2" state="visible" r:id="rId2"/>
    <sheet xmlns:r="http://schemas.openxmlformats.org/officeDocument/2006/relationships" name="🔍 รวมข้อสอบ &amp; กรองข้อมูล" sheetId="3" state="visible" r:id="rId3"/>
    <sheet xmlns:r="http://schemas.openxmlformats.org/officeDocument/2006/relationships" name="1. Musculoskeleton" sheetId="4" state="visible" r:id="rId4"/>
    <sheet xmlns:r="http://schemas.openxmlformats.org/officeDocument/2006/relationships" name="2. Cardiovascular" sheetId="5" state="visible" r:id="rId5"/>
    <sheet xmlns:r="http://schemas.openxmlformats.org/officeDocument/2006/relationships" name="3. Dermatologic" sheetId="6" state="visible" r:id="rId6"/>
    <sheet xmlns:r="http://schemas.openxmlformats.org/officeDocument/2006/relationships" name="4. Endocrine" sheetId="7" state="visible" r:id="rId7"/>
    <sheet xmlns:r="http://schemas.openxmlformats.org/officeDocument/2006/relationships" name="5. Gastrointestinal" sheetId="8" state="visible" r:id="rId8"/>
    <sheet xmlns:r="http://schemas.openxmlformats.org/officeDocument/2006/relationships" name="6. Hematologic" sheetId="9" state="visible" r:id="rId9"/>
    <sheet xmlns:r="http://schemas.openxmlformats.org/officeDocument/2006/relationships" name="7. Immunologic" sheetId="10" state="visible" r:id="rId10"/>
    <sheet xmlns:r="http://schemas.openxmlformats.org/officeDocument/2006/relationships" name="8. Infectious diseases" sheetId="11" state="visible" r:id="rId11"/>
    <sheet xmlns:r="http://schemas.openxmlformats.org/officeDocument/2006/relationships" name="9. Neurologic" sheetId="12" state="visible" r:id="rId12"/>
    <sheet xmlns:r="http://schemas.openxmlformats.org/officeDocument/2006/relationships" name="10. Psychiatric" sheetId="13" state="visible" r:id="rId13"/>
    <sheet xmlns:r="http://schemas.openxmlformats.org/officeDocument/2006/relationships" name="11. Pulmonary" sheetId="14" state="visible" r:id="rId14"/>
    <sheet xmlns:r="http://schemas.openxmlformats.org/officeDocument/2006/relationships" name="12. GynaecologicGenitourinary" sheetId="15" state="visible" r:id="rId15"/>
    <sheet xmlns:r="http://schemas.openxmlformats.org/officeDocument/2006/relationships" name="13. Eye disorder" sheetId="16" state="visible" r:id="rId16"/>
    <sheet xmlns:r="http://schemas.openxmlformats.org/officeDocument/2006/relationships" name="14. Oncologic" sheetId="17" state="visible" r:id="rId17"/>
    <sheet xmlns:r="http://schemas.openxmlformats.org/officeDocument/2006/relationships" name="15. Renal" sheetId="18" state="visible" r:id="rId18"/>
    <sheet xmlns:r="http://schemas.openxmlformats.org/officeDocument/2006/relationships" name="16. Others &amp; Toxic" sheetId="19" state="visible" r:id="rId19"/>
    <sheet xmlns:r="http://schemas.openxmlformats.org/officeDocument/2006/relationships" name="1. Titrations" sheetId="20" state="visible" r:id="rId20"/>
    <sheet xmlns:r="http://schemas.openxmlformats.org/officeDocument/2006/relationships" name="2. Chromatography" sheetId="21" state="visible" r:id="rId21"/>
    <sheet xmlns:r="http://schemas.openxmlformats.org/officeDocument/2006/relationships" name="3. Spectroscopy &amp; Optics" sheetId="22" state="visible" r:id="rId22"/>
    <sheet xmlns:r="http://schemas.openxmlformats.org/officeDocument/2006/relationships" name="4. Preformulation &amp; GMP" sheetId="23" state="visible" r:id="rId23"/>
    <sheet xmlns:r="http://schemas.openxmlformats.org/officeDocument/2006/relationships" name="5. Pharmaceutical Calc" sheetId="24" state="visible" r:id="rId24"/>
    <sheet xmlns:r="http://schemas.openxmlformats.org/officeDocument/2006/relationships" name="6. Solid Dosage Forms" sheetId="25" state="visible" r:id="rId25"/>
    <sheet xmlns:r="http://schemas.openxmlformats.org/officeDocument/2006/relationships" name="7. Liquid &amp; Semisolids" sheetId="26" state="visible" r:id="rId26"/>
    <sheet xmlns:r="http://schemas.openxmlformats.org/officeDocument/2006/relationships" name="8. Biopharm &amp; Drug Release" sheetId="27" state="visible" r:id="rId27"/>
    <sheet xmlns:r="http://schemas.openxmlformats.org/officeDocument/2006/relationships" name="9. Sterile &amp; Special Forms" sheetId="28" state="visible" r:id="rId28"/>
    <sheet xmlns:r="http://schemas.openxmlformats.org/officeDocument/2006/relationships" name="10. Biotech Products" sheetId="29" state="visible" r:id="rId29"/>
    <sheet xmlns:r="http://schemas.openxmlformats.org/officeDocument/2006/relationships" name="11. Herbal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17. Herbal Medicine" sheetId="40" state="visible" r:id="rId40"/>
  </sheets>
  <definedNames/>
  <calcPr calcId="12451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cheme val="minor"/>
    </font>
    <font>
      <name val="Arial"/>
      <color theme="1"/>
      <scheme val="minor"/>
    </font>
    <font>
      <name val="Bai Jamjuree"/>
      <b val="1"/>
      <color rgb="FF0C47A0"/>
      <sz val="11"/>
    </font>
    <font>
      <name val="Bai Jamjuree"/>
      <b val="1"/>
      <color rgb="FFFFFFFF"/>
      <sz val="10"/>
    </font>
    <font>
      <name val="Arial"/>
      <b val="1"/>
      <color theme="1"/>
      <sz val="10"/>
      <scheme val="minor"/>
    </font>
    <font>
      <name val="Bai Jamjuree"/>
      <b val="1"/>
      <color rgb="FF191919"/>
      <sz val="10"/>
    </font>
    <font>
      <name val="Bai Jamjuree"/>
      <color theme="1"/>
      <sz val="10"/>
    </font>
    <font>
      <color rgb="FF0000FF"/>
      <u val="single"/>
    </font>
    <font>
      <name val="Arial"/>
      <b val="1"/>
      <color rgb="FF147F3D"/>
      <sz val="11"/>
      <scheme val="minor"/>
    </font>
    <font>
      <name val="Bai Jamjuree"/>
      <b val="1"/>
      <color rgb="FF1459A5"/>
      <sz val="10"/>
    </font>
    <font>
      <color rgb="FF0000FF"/>
      <u val="single"/>
    </font>
    <font>
      <name val="Bai Jamjuree"/>
      <b val="1"/>
      <color rgb="FF3530A3"/>
      <sz val="11"/>
    </font>
    <font>
      <name val="Bai Jamjuree"/>
      <b val="1"/>
      <color rgb="FF0C47A0"/>
      <sz val="11"/>
      <u val="single"/>
    </font>
  </fonts>
  <fills count="17">
    <fill>
      <patternFill/>
    </fill>
    <fill>
      <patternFill patternType="lightGray"/>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s>
  <borders count="1">
    <border/>
  </borders>
  <cellStyleXfs count="1">
    <xf numFmtId="0" fontId="0" fillId="0" borderId="0"/>
  </cellStyleXfs>
  <cellXfs count="53">
    <xf numFmtId="0" fontId="0" fillId="0" borderId="0" applyAlignment="1" pivotButton="0" quotePrefix="0" xfId="0">
      <alignment vertical="bottom"/>
    </xf>
    <xf numFmtId="0" fontId="1" fillId="2" borderId="0" pivotButton="0" quotePrefix="0" xfId="0"/>
    <xf numFmtId="0" fontId="2" fillId="0" borderId="0" pivotButton="0" quotePrefix="0" xfId="0"/>
    <xf numFmtId="0" fontId="2" fillId="0" borderId="0" pivotButton="0" quotePrefix="0" xfId="0"/>
    <xf numFmtId="0" fontId="3" fillId="3" borderId="0" applyAlignment="1" pivotButton="0" quotePrefix="0" xfId="0">
      <alignment horizontal="center" vertical="center"/>
    </xf>
    <xf numFmtId="0" fontId="3" fillId="4" borderId="0" applyAlignment="1" pivotButton="0" quotePrefix="0" xfId="0">
      <alignment horizontal="center" vertical="center"/>
    </xf>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0" borderId="0" applyAlignment="1" pivotButton="0" quotePrefix="1" xfId="0">
      <alignment horizontal="center" vertical="center" wrapText="1"/>
    </xf>
    <xf numFmtId="0" fontId="6" fillId="6" borderId="0" applyAlignment="1" pivotButton="0" quotePrefix="0" xfId="0">
      <alignment horizontal="center" vertical="center"/>
    </xf>
    <xf numFmtId="0" fontId="7" fillId="0" borderId="0" applyAlignment="1" pivotButton="0" quotePrefix="0" xfId="0">
      <alignment vertical="center" wrapText="1"/>
    </xf>
    <xf numFmtId="0" fontId="7" fillId="0" borderId="0" applyAlignment="1" pivotButton="0" quotePrefix="0" xfId="0">
      <alignment horizontal="center" vertical="center" wrapText="1"/>
    </xf>
    <xf numFmtId="0" fontId="8" fillId="0" borderId="0" pivotButton="0" quotePrefix="0" xfId="0"/>
    <xf numFmtId="0" fontId="9" fillId="0" borderId="0" applyAlignment="1" pivotButton="0" quotePrefix="1" xfId="0">
      <alignment horizontal="center" vertical="center" wrapText="1"/>
    </xf>
    <xf numFmtId="0" fontId="2" fillId="0" borderId="0" pivotButton="0" quotePrefix="1" xfId="0"/>
    <xf numFmtId="0" fontId="6" fillId="6" borderId="0" applyAlignment="1" pivotButton="0" quotePrefix="0" xfId="0">
      <alignment horizontal="center" vertical="center"/>
    </xf>
    <xf numFmtId="0" fontId="4" fillId="7"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vertical="center" wrapText="1"/>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0" xfId="0">
      <alignment wrapText="1"/>
    </xf>
    <xf numFmtId="0" fontId="2" fillId="0" borderId="0" applyAlignment="1" pivotButton="0" quotePrefix="1" xfId="0">
      <alignment wrapText="1"/>
    </xf>
    <xf numFmtId="0" fontId="5"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10" fillId="0" borderId="0" applyAlignment="1" pivotButton="0" quotePrefix="1" xfId="0">
      <alignment horizontal="center" vertical="center"/>
    </xf>
    <xf numFmtId="0" fontId="4" fillId="8" borderId="0" applyAlignment="1" pivotButton="0" quotePrefix="0" xfId="0">
      <alignment horizontal="center" vertical="center"/>
    </xf>
    <xf numFmtId="0" fontId="10"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0" xfId="0">
      <alignment horizontal="center"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11" fillId="0" borderId="0" pivotButton="0" quotePrefix="0" xfId="0"/>
    <xf numFmtId="0" fontId="3" fillId="4"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12" fillId="12" borderId="0" applyAlignment="1" pivotButton="0" quotePrefix="0" xfId="0">
      <alignment horizontal="center" vertical="center"/>
    </xf>
    <xf numFmtId="0" fontId="4" fillId="13" borderId="0" applyAlignment="1" pivotButton="0" quotePrefix="0" xfId="0">
      <alignment horizontal="center" vertical="center"/>
    </xf>
    <xf numFmtId="0" fontId="13" fillId="4" borderId="0" applyAlignment="1" pivotButton="0" quotePrefix="0" xfId="0">
      <alignment horizontal="center" vertical="center"/>
    </xf>
    <xf numFmtId="0" fontId="4" fillId="14" borderId="0" applyAlignment="1" pivotButton="0" quotePrefix="0" xfId="0">
      <alignment horizontal="center" vertical="center"/>
    </xf>
    <xf numFmtId="0" fontId="7" fillId="0" borderId="0" applyAlignment="1" pivotButton="0" quotePrefix="0" xfId="0">
      <alignment horizontal="center" vertical="center"/>
    </xf>
    <xf numFmtId="0" fontId="7"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0" fillId="0" borderId="0" pivotButton="0" quotePrefix="0" xfId="0"/>
  </cellXfs>
  <cellStyles count="1">
    <cellStyle name="Normal" xfId="0" builtinId="0"/>
  </cellStyles>
  <dxfs count="4">
    <dxf>
      <font>
        <b val="1"/>
        <color rgb="FF465368"/>
      </font>
      <fill>
        <patternFill patternType="solid">
          <fgColor rgb="FFF1F4F8"/>
          <bgColor rgb="FFF1F4F8"/>
        </patternFill>
      </fill>
      <border/>
    </dxf>
    <dxf>
      <font>
        <b val="1"/>
        <color rgb="FF156633"/>
      </font>
      <fill>
        <patternFill patternType="solid">
          <fgColor rgb="FFDBFBE4"/>
          <bgColor rgb="FFDBFBE4"/>
        </patternFill>
      </fill>
      <border/>
    </dxf>
    <dxf>
      <font>
        <b val="1"/>
        <color rgb="FF1E3EAE"/>
      </font>
      <fill>
        <patternFill patternType="solid">
          <fgColor rgb="FFDBEAFB"/>
          <bgColor rgb="FFDBEAFB"/>
        </patternFill>
      </fill>
      <border/>
    </dxf>
    <dxf>
      <font>
        <b val="1"/>
        <color rgb="FF913E0B"/>
      </font>
      <fill>
        <patternFill patternType="solid">
          <fgColor rgb="FFFFF1C5"/>
          <bgColor rgb="FFFFF1C5"/>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0"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9.xml.rels><Relationships xmlns="http://schemas.openxmlformats.org/package/2006/relationships"><Relationship Type="http://schemas.openxmlformats.org/officeDocument/2006/relationships/hyperlink" Target="https://www.college-optometrists.org/clinical-guidance/clinical-management-guidelines/conjunctivitis_bacterial" TargetMode="External" Id="rId1"/><Relationship Type="http://schemas.openxmlformats.org/officeDocument/2006/relationships/hyperlink" Target="https://europepmc.org/article/pmc/5838752" TargetMode="External" Id="rId2"/></Relationships>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3" defaultRowHeight="15.75" customHeight="1"/>
  <cols>
    <col width="44.25" customWidth="1" style="52" min="5" max="5"/>
  </cols>
  <sheetData>
    <row r="1">
      <c r="A1" s="18" t="inlineStr">
        <is>
          <t>🩺 1. CLINICAL PHARMACY (PLE-CC) — 16 กลุ่มโรค</t>
        </is>
      </c>
      <c r="K1" s="18" t="inlineStr">
        <is>
          <t>Heart Failure (HFrEF)</t>
        </is>
      </c>
      <c r="L1" s="18" t="inlineStr">
        <is>
          <t>Clinic</t>
        </is>
      </c>
      <c r="M1" s="18" t="inlineStr">
        <is>
          <t>Heart Failure Guidelines</t>
        </is>
      </c>
    </row>
    <row r="2">
      <c r="A2" s="18" t="inlineStr">
        <is>
          <t>ลำดับ</t>
        </is>
      </c>
      <c r="B2" s="18" t="inlineStr">
        <is>
          <t>ชื่อกลุ่มโรค (Disease Group)</t>
        </is>
      </c>
      <c r="C2" s="18" t="inlineStr">
        <is>
          <t>สายวิชา</t>
        </is>
      </c>
      <c r="D2" s="18" t="inlineStr">
        <is>
          <t>ลิงก์เปิดหน้าชีท</t>
        </is>
      </c>
      <c r="E2" s="18" t="inlineStr">
        <is>
          <t>คำอธิบายหมวดวิชา</t>
        </is>
      </c>
    </row>
    <row r="3">
      <c r="A3" s="18" t="n">
        <v>1</v>
      </c>
      <c r="B3" s="18" t="inlineStr">
        <is>
          <t>1. Musculoskeleton</t>
        </is>
      </c>
      <c r="C3" s="18" t="inlineStr">
        <is>
          <t>Clinic</t>
        </is>
      </c>
      <c r="D3" s="13" t="inlineStr">
        <is>
          <t>➡️ เปิดหน้าข้อสอบ</t>
        </is>
      </c>
      <c r="E3" s="18" t="inlineStr">
        <is>
          <t>ข้อสอบปรนัยคลินิก 5 ตัวเลือก</t>
        </is>
      </c>
    </row>
    <row r="4">
      <c r="A4" s="18" t="n">
        <v>2</v>
      </c>
      <c r="B4" s="18" t="inlineStr">
        <is>
          <t>2. Cardiovascular</t>
        </is>
      </c>
      <c r="C4" s="18" t="inlineStr">
        <is>
          <t>Clinic</t>
        </is>
      </c>
      <c r="D4" s="13" t="inlineStr">
        <is>
          <t>➡️ เปิดหน้าข้อสอบ</t>
        </is>
      </c>
      <c r="E4" s="18" t="inlineStr">
        <is>
          <t>ข้อสอบปรนัยคลินิก 5 ตัวเลือก</t>
        </is>
      </c>
    </row>
    <row r="5">
      <c r="A5" s="18" t="n">
        <v>3</v>
      </c>
      <c r="B5" s="18" t="inlineStr">
        <is>
          <t>3. Dermatologic</t>
        </is>
      </c>
      <c r="C5" s="18" t="inlineStr">
        <is>
          <t>Clinic</t>
        </is>
      </c>
      <c r="D5" s="13" t="inlineStr">
        <is>
          <t>➡️ เปิดหน้าข้อสอบ</t>
        </is>
      </c>
      <c r="E5" s="18" t="inlineStr">
        <is>
          <t>ข้อสอบปรนัยคลินิก 5 ตัวเลือก</t>
        </is>
      </c>
    </row>
    <row r="6">
      <c r="A6" s="18" t="n">
        <v>4</v>
      </c>
      <c r="B6" s="18" t="inlineStr">
        <is>
          <t>4. Endocrine</t>
        </is>
      </c>
      <c r="C6" s="18" t="inlineStr">
        <is>
          <t>Clinic</t>
        </is>
      </c>
      <c r="D6" s="13" t="inlineStr">
        <is>
          <t>➡️ เปิดหน้าข้อสอบ</t>
        </is>
      </c>
      <c r="E6" s="18" t="inlineStr">
        <is>
          <t>ข้อสอบปรนัยคลินิก 5 ตัวเลือก</t>
        </is>
      </c>
    </row>
    <row r="7">
      <c r="A7" s="18" t="n">
        <v>5</v>
      </c>
      <c r="B7" s="18" t="inlineStr">
        <is>
          <t>5. Gastrointestinal</t>
        </is>
      </c>
      <c r="C7" s="18" t="inlineStr">
        <is>
          <t>Clinic</t>
        </is>
      </c>
      <c r="D7" s="13" t="inlineStr">
        <is>
          <t>➡️ เปิดหน้าข้อสอบ</t>
        </is>
      </c>
      <c r="E7" s="18" t="inlineStr">
        <is>
          <t>ข้อสอบปรนัยคลินิก 5 ตัวเลือก</t>
        </is>
      </c>
    </row>
    <row r="8">
      <c r="A8" s="18" t="n">
        <v>6</v>
      </c>
      <c r="B8" s="18" t="inlineStr">
        <is>
          <t>6. Hematologic</t>
        </is>
      </c>
      <c r="C8" s="18" t="inlineStr">
        <is>
          <t>Clinic</t>
        </is>
      </c>
      <c r="D8" s="13" t="inlineStr">
        <is>
          <t>➡️ เปิดหน้าข้อสอบ</t>
        </is>
      </c>
      <c r="E8" s="18" t="inlineStr">
        <is>
          <t>ข้อสอบปรนัยคลินิก 5 ตัวเลือก</t>
        </is>
      </c>
    </row>
    <row r="9">
      <c r="A9" s="18" t="n">
        <v>7</v>
      </c>
      <c r="B9" s="18" t="inlineStr">
        <is>
          <t>7. Immunologic</t>
        </is>
      </c>
      <c r="C9" s="18" t="inlineStr">
        <is>
          <t>Clinic</t>
        </is>
      </c>
      <c r="D9" s="13" t="inlineStr">
        <is>
          <t>➡️ เปิดหน้าข้อสอบ</t>
        </is>
      </c>
      <c r="E9" s="18" t="inlineStr">
        <is>
          <t>ข้อสอบปรนัยคลินิก 5 ตัวเลือก</t>
        </is>
      </c>
    </row>
    <row r="10">
      <c r="A10" s="18" t="n">
        <v>8</v>
      </c>
      <c r="B10" s="18" t="inlineStr">
        <is>
          <t>8. Infectious diseases</t>
        </is>
      </c>
      <c r="C10" s="18" t="inlineStr">
        <is>
          <t>Clinic</t>
        </is>
      </c>
      <c r="D10" s="13" t="inlineStr">
        <is>
          <t>➡️ เปิดหน้าข้อสอบ</t>
        </is>
      </c>
      <c r="E10" s="18" t="inlineStr">
        <is>
          <t>ข้อสอบปรนัยคลินิก 5 ตัวเลือก</t>
        </is>
      </c>
    </row>
    <row r="11">
      <c r="A11" s="18" t="n">
        <v>9</v>
      </c>
      <c r="B11" s="18" t="inlineStr">
        <is>
          <t>9. Neurologic</t>
        </is>
      </c>
      <c r="C11" s="18" t="inlineStr">
        <is>
          <t>Clinic</t>
        </is>
      </c>
      <c r="D11" s="13" t="inlineStr">
        <is>
          <t>➡️ เปิดหน้าข้อสอบ</t>
        </is>
      </c>
      <c r="E11" s="18" t="inlineStr">
        <is>
          <t>ข้อสอบปรนัยคลินิก 5 ตัวเลือก</t>
        </is>
      </c>
    </row>
    <row r="12">
      <c r="A12" s="18" t="n">
        <v>10</v>
      </c>
      <c r="B12" s="18" t="inlineStr">
        <is>
          <t>10. Psychiatric</t>
        </is>
      </c>
      <c r="C12" s="18" t="inlineStr">
        <is>
          <t>Clinic</t>
        </is>
      </c>
      <c r="D12" s="13" t="inlineStr">
        <is>
          <t>➡️ เปิดหน้าข้อสอบ</t>
        </is>
      </c>
      <c r="E12" s="18" t="inlineStr">
        <is>
          <t>ข้อสอบปรนัยคลินิก 5 ตัวเลือก</t>
        </is>
      </c>
    </row>
    <row r="13">
      <c r="A13" s="18" t="n">
        <v>11</v>
      </c>
      <c r="B13" s="18" t="inlineStr">
        <is>
          <t>11. Pulmonary</t>
        </is>
      </c>
      <c r="C13" s="18" t="inlineStr">
        <is>
          <t>Clinic</t>
        </is>
      </c>
      <c r="D13" s="13" t="inlineStr">
        <is>
          <t>➡️ เปิดหน้าข้อสอบ</t>
        </is>
      </c>
      <c r="E13" s="18" t="inlineStr">
        <is>
          <t>ข้อสอบปรนัยคลินิก 5 ตัวเลือก</t>
        </is>
      </c>
    </row>
    <row r="14">
      <c r="A14" s="18" t="n">
        <v>12</v>
      </c>
      <c r="B14" s="18" t="inlineStr">
        <is>
          <t>12. Gynaecologic/Genitourinary</t>
        </is>
      </c>
      <c r="C14" s="18" t="inlineStr">
        <is>
          <t>Clinic</t>
        </is>
      </c>
      <c r="D14" s="13" t="inlineStr">
        <is>
          <t>➡️ เปิดหน้าข้อสอบ</t>
        </is>
      </c>
      <c r="E14" s="18" t="inlineStr">
        <is>
          <t>ข้อสอบปรนัยคลินิก 5 ตัวเลือก</t>
        </is>
      </c>
    </row>
    <row r="15">
      <c r="A15" s="18" t="n">
        <v>13</v>
      </c>
      <c r="B15" s="18" t="inlineStr">
        <is>
          <t>13. Eye disorder</t>
        </is>
      </c>
      <c r="C15" s="18" t="inlineStr">
        <is>
          <t>Clinic</t>
        </is>
      </c>
      <c r="D15" s="13" t="inlineStr">
        <is>
          <t>➡️ เปิดหน้าข้อสอบ</t>
        </is>
      </c>
      <c r="E15" s="18" t="inlineStr">
        <is>
          <t>ข้อสอบปรนัยคลินิก 5 ตัวเลือก</t>
        </is>
      </c>
    </row>
    <row r="16">
      <c r="A16" s="18" t="n">
        <v>14</v>
      </c>
      <c r="B16" s="18" t="inlineStr">
        <is>
          <t>14. Oncologic</t>
        </is>
      </c>
      <c r="C16" s="18" t="inlineStr">
        <is>
          <t>Clinic</t>
        </is>
      </c>
      <c r="D16" s="13" t="inlineStr">
        <is>
          <t>➡️ เปิดหน้าข้อสอบ</t>
        </is>
      </c>
      <c r="E16" s="18" t="inlineStr">
        <is>
          <t>ข้อสอบปรนัยคลินิก 5 ตัวเลือก</t>
        </is>
      </c>
    </row>
    <row r="17">
      <c r="A17" s="18" t="n">
        <v>15</v>
      </c>
      <c r="B17" s="18" t="inlineStr">
        <is>
          <t>15. Renal</t>
        </is>
      </c>
      <c r="C17" s="18" t="inlineStr">
        <is>
          <t>Clinic</t>
        </is>
      </c>
      <c r="D17" s="13" t="inlineStr">
        <is>
          <t>➡️ เปิดหน้าข้อสอบ</t>
        </is>
      </c>
      <c r="E17" s="18" t="inlineStr">
        <is>
          <t>ข้อสอบปรนัยคลินิก 5 ตัวเลือก</t>
        </is>
      </c>
    </row>
    <row r="18">
      <c r="A18" s="18" t="n">
        <v>16</v>
      </c>
      <c r="B18" s="18" t="inlineStr">
        <is>
          <t>16. Others &amp; Toxic</t>
        </is>
      </c>
      <c r="C18" s="18" t="inlineStr">
        <is>
          <t>Clinic</t>
        </is>
      </c>
      <c r="D18" s="13" t="inlineStr">
        <is>
          <t>➡️ เปิดหน้าข้อสอบ</t>
        </is>
      </c>
      <c r="E18" s="18" t="inlineStr">
        <is>
          <t>ข้อสอบปรนัยคลินิก 5 ตัวเลือก</t>
        </is>
      </c>
    </row>
    <row r="20">
      <c r="A20" s="18" t="inlineStr">
        <is>
          <t>🧪 2. PHARMACEUTICAL SCIENCES (PLE-PRODUCT) — 12 กลุ่มวิชา</t>
        </is>
      </c>
    </row>
    <row r="21">
      <c r="A21" s="18" t="inlineStr">
        <is>
          <t>ลำดับ</t>
        </is>
      </c>
      <c r="B21" s="18" t="inlineStr">
        <is>
          <t>ชื่อกลุ่มวิชา (Product Group)</t>
        </is>
      </c>
      <c r="C21" s="18" t="inlineStr">
        <is>
          <t>สายวิชา</t>
        </is>
      </c>
      <c r="D21" s="18" t="inlineStr">
        <is>
          <t>ลิงก์เปิดหน้าชีท</t>
        </is>
      </c>
      <c r="E21" s="18" t="inlineStr">
        <is>
          <t>คำอธิบายหมวดวิชา</t>
        </is>
      </c>
    </row>
    <row r="22">
      <c r="A22" s="18" t="n">
        <v>1</v>
      </c>
      <c r="B22" s="18" t="inlineStr">
        <is>
          <t>1. Titrations</t>
        </is>
      </c>
      <c r="C22" s="18" t="inlineStr">
        <is>
          <t>Product</t>
        </is>
      </c>
      <c r="D22" s="13" t="inlineStr">
        <is>
          <t>➡️ เปิดหน้าข้อสอบ</t>
        </is>
      </c>
      <c r="E22" s="18" t="inlineStr">
        <is>
          <t>ข้อสอบปรนัยวิทยาการเภสัชกรรม</t>
        </is>
      </c>
    </row>
    <row r="23">
      <c r="A23" s="18" t="n">
        <v>2</v>
      </c>
      <c r="B23" s="18" t="inlineStr">
        <is>
          <t>2. Chromatography</t>
        </is>
      </c>
      <c r="C23" s="18" t="inlineStr">
        <is>
          <t>Product</t>
        </is>
      </c>
      <c r="D23" s="13" t="inlineStr">
        <is>
          <t>➡️ เปิดหน้าข้อสอบ</t>
        </is>
      </c>
      <c r="E23" s="18" t="inlineStr">
        <is>
          <t>ข้อสอบปรนัยวิทยาการเภสัชกรรม</t>
        </is>
      </c>
    </row>
    <row r="24">
      <c r="A24" s="18" t="n">
        <v>3</v>
      </c>
      <c r="B24" s="18" t="inlineStr">
        <is>
          <t>3. Spectroscopy &amp; Optics</t>
        </is>
      </c>
      <c r="C24" s="18" t="inlineStr">
        <is>
          <t>Product</t>
        </is>
      </c>
      <c r="D24" s="13" t="inlineStr">
        <is>
          <t>➡️ เปิดหน้าข้อสอบ</t>
        </is>
      </c>
      <c r="E24" s="18" t="inlineStr">
        <is>
          <t>ข้อสอบปรนัยวิทยาการเภสัชกรรม</t>
        </is>
      </c>
    </row>
    <row r="25">
      <c r="A25" s="18" t="n">
        <v>4</v>
      </c>
      <c r="B25" s="18" t="inlineStr">
        <is>
          <t>4. Preformulation &amp; GMP</t>
        </is>
      </c>
      <c r="C25" s="18" t="inlineStr">
        <is>
          <t>Product</t>
        </is>
      </c>
      <c r="D25" s="13" t="inlineStr">
        <is>
          <t>➡️ เปิดหน้าข้อสอบ</t>
        </is>
      </c>
      <c r="E25" s="18" t="inlineStr">
        <is>
          <t>ข้อสอบปรนัยวิทยาการเภสัชกรรม</t>
        </is>
      </c>
    </row>
    <row r="26">
      <c r="A26" s="18" t="n">
        <v>5</v>
      </c>
      <c r="B26" s="18" t="inlineStr">
        <is>
          <t>5. Pharmaceutical Calc</t>
        </is>
      </c>
      <c r="C26" s="18" t="inlineStr">
        <is>
          <t>Product</t>
        </is>
      </c>
      <c r="D26" s="13" t="inlineStr">
        <is>
          <t>➡️ เปิดหน้าข้อสอบ</t>
        </is>
      </c>
      <c r="E26" s="18" t="inlineStr">
        <is>
          <t>ข้อสอบปรนัยวิทยาการเภสัชกรรม</t>
        </is>
      </c>
    </row>
    <row r="27">
      <c r="A27" s="18" t="n">
        <v>6</v>
      </c>
      <c r="B27" s="18" t="inlineStr">
        <is>
          <t>6. Solid Dosage Forms</t>
        </is>
      </c>
      <c r="C27" s="18" t="inlineStr">
        <is>
          <t>Product</t>
        </is>
      </c>
      <c r="D27" s="13" t="inlineStr">
        <is>
          <t>➡️ เปิดหน้าข้อสอบ</t>
        </is>
      </c>
      <c r="E27" s="18" t="inlineStr">
        <is>
          <t>ข้อสอบปรนัยวิทยาการเภสัชกรรม</t>
        </is>
      </c>
    </row>
    <row r="28">
      <c r="A28" s="18" t="n">
        <v>7</v>
      </c>
      <c r="B28" s="18" t="inlineStr">
        <is>
          <t>7. Liquid &amp; Semisolids</t>
        </is>
      </c>
      <c r="C28" s="18" t="inlineStr">
        <is>
          <t>Product</t>
        </is>
      </c>
      <c r="D28" s="13" t="inlineStr">
        <is>
          <t>➡️ เปิดหน้าข้อสอบ</t>
        </is>
      </c>
      <c r="E28" s="18" t="inlineStr">
        <is>
          <t>ข้อสอบปรนัยวิทยาการเภสัชกรรม</t>
        </is>
      </c>
    </row>
    <row r="29">
      <c r="A29" s="18" t="n">
        <v>8</v>
      </c>
      <c r="B29" s="18" t="inlineStr">
        <is>
          <t>8. Biopharm &amp; Drug Release</t>
        </is>
      </c>
      <c r="C29" s="18" t="inlineStr">
        <is>
          <t>Product</t>
        </is>
      </c>
      <c r="D29" s="13" t="inlineStr">
        <is>
          <t>➡️ เปิดหน้าข้อสอบ</t>
        </is>
      </c>
      <c r="E29" s="18" t="inlineStr">
        <is>
          <t>ข้อสอบปรนัยวิทยาการเภสัชกรรม</t>
        </is>
      </c>
    </row>
    <row r="30">
      <c r="A30" s="18" t="n">
        <v>9</v>
      </c>
      <c r="B30" s="18" t="inlineStr">
        <is>
          <t>9. Sterile &amp; Special Forms</t>
        </is>
      </c>
      <c r="C30" s="18" t="inlineStr">
        <is>
          <t>Product</t>
        </is>
      </c>
      <c r="D30" s="13" t="inlineStr">
        <is>
          <t>➡️ เปิดหน้าข้อสอบ</t>
        </is>
      </c>
      <c r="E30" s="18" t="inlineStr">
        <is>
          <t>ข้อสอบปรนัยวิทยาการเภสัชกรรม</t>
        </is>
      </c>
    </row>
    <row r="31">
      <c r="A31" s="18" t="n">
        <v>10</v>
      </c>
      <c r="B31" s="18" t="inlineStr">
        <is>
          <t>10. Biotech Products</t>
        </is>
      </c>
      <c r="C31" s="18" t="inlineStr">
        <is>
          <t>Product</t>
        </is>
      </c>
      <c r="D31" s="13" t="inlineStr">
        <is>
          <t>➡️ เปิดหน้าข้อสอบ</t>
        </is>
      </c>
      <c r="E31" s="18" t="inlineStr">
        <is>
          <t>ข้อสอบปรนัยวิทยาการเภสัชกรรม</t>
        </is>
      </c>
    </row>
    <row r="32">
      <c r="A32" s="18" t="n">
        <v>11</v>
      </c>
      <c r="B32" s="18" t="inlineStr">
        <is>
          <t>11. Herbal Products</t>
        </is>
      </c>
      <c r="C32" s="18" t="inlineStr">
        <is>
          <t>Product</t>
        </is>
      </c>
      <c r="D32" s="13" t="inlineStr">
        <is>
          <t>➡️ เปิดหน้าข้อสอบ</t>
        </is>
      </c>
      <c r="E32" s="18" t="inlineStr">
        <is>
          <t>ข้อสอบปรนัยวิทยาการเภสัชกรรม</t>
        </is>
      </c>
    </row>
    <row r="33">
      <c r="A33" s="18" t="n">
        <v>12</v>
      </c>
      <c r="B33" s="18" t="inlineStr">
        <is>
          <t>12. Food Products &amp; QA</t>
        </is>
      </c>
      <c r="C33" s="18" t="inlineStr">
        <is>
          <t>Product</t>
        </is>
      </c>
      <c r="D33" s="13" t="inlineStr">
        <is>
          <t>➡️ เปิดหน้าข้อสอบ</t>
        </is>
      </c>
      <c r="E33" s="18" t="inlineStr">
        <is>
          <t>ข้อสอบปรนัยวิทยาการเภสัชกรรม</t>
        </is>
      </c>
    </row>
    <row r="35">
      <c r="A35" s="18" t="inlineStr">
        <is>
          <t>💼 3. SOCIAL &amp; ADMINISTRATIVE PHARMACY (SAP) — สังคมเภสัชกรรมและกฎหมาย</t>
        </is>
      </c>
    </row>
    <row r="36">
      <c r="A36" s="18" t="inlineStr">
        <is>
          <t>ลำดับ</t>
        </is>
      </c>
      <c r="B36" s="18" t="inlineStr">
        <is>
          <t>ชื่อกลุ่มวิชา (SAP Group)</t>
        </is>
      </c>
      <c r="C36" s="18" t="inlineStr">
        <is>
          <t>สายวิชา</t>
        </is>
      </c>
      <c r="D36" s="18" t="inlineStr">
        <is>
          <t>ลิงก์เปิดหน้าชีท</t>
        </is>
      </c>
      <c r="E36" s="18" t="inlineStr">
        <is>
          <t>คำอธิบายหมวดวิชา</t>
        </is>
      </c>
    </row>
    <row r="37">
      <c r="A37" s="18" t="n">
        <v>1</v>
      </c>
      <c r="B37" s="18" t="inlineStr">
        <is>
          <t>1. Pharmacy Laws &amp; Ethics</t>
        </is>
      </c>
      <c r="C37" s="18" t="inlineStr">
        <is>
          <t>SAP</t>
        </is>
      </c>
      <c r="D37" s="13" t="inlineStr">
        <is>
          <t>➡️ เปิดหน้าข้อสอบ</t>
        </is>
      </c>
      <c r="E37" s="18" t="inlineStr">
        <is>
          <t>ข้อสอบปรนัยกฎหมายและระบบยา</t>
        </is>
      </c>
    </row>
    <row r="38">
      <c r="A38" s="18" t="n">
        <v>2</v>
      </c>
      <c r="B38" s="18" t="inlineStr">
        <is>
          <t>2. Pharmacy Administration &amp; System</t>
        </is>
      </c>
      <c r="C38" s="18" t="inlineStr">
        <is>
          <t>SAP</t>
        </is>
      </c>
      <c r="D38" s="13" t="inlineStr">
        <is>
          <t>➡️ เปิดหน้าข้อสอบ</t>
        </is>
      </c>
      <c r="E38" s="18"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3"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18" t="inlineStr">
        <is>
          <t>2026-09-24T13:21:44.697Z</t>
        </is>
      </c>
      <c r="B2" s="18" t="inlineStr">
        <is>
          <t>บุคคลทั่วไป</t>
        </is>
      </c>
      <c r="C2" s="18" t="inlineStr">
        <is>
          <t>⏱️ จำลองสอบจริง PLE-CC1 (20 ข้อ)</t>
        </is>
      </c>
      <c r="D2" s="18" t="n">
        <v>4</v>
      </c>
      <c r="E2" s="18" t="n">
        <v>20</v>
      </c>
      <c r="F2" s="7" t="n">
        <v>0.2</v>
      </c>
      <c r="G2" s="18" t="n">
        <v>0</v>
      </c>
    </row>
    <row r="3">
      <c r="A3" s="18" t="inlineStr">
        <is>
          <t>2026-09-24T13:36:42.772Z</t>
        </is>
      </c>
      <c r="B3" s="18" t="inlineStr">
        <is>
          <t>idea</t>
        </is>
      </c>
      <c r="C3" s="18" t="inlineStr">
        <is>
          <t>18. Clinical Nutrition</t>
        </is>
      </c>
      <c r="D3" s="18" t="n">
        <v>15</v>
      </c>
      <c r="E3" s="18" t="n">
        <v>23</v>
      </c>
      <c r="F3" s="7" t="n">
        <v>0.65</v>
      </c>
      <c r="G3" s="18" t="n">
        <v>0</v>
      </c>
    </row>
  </sheetData>
  <pageMargins left="0.75" right="0.75" top="1" bottom="1" header="0.5" footer="0.5"/>
</worksheet>
</file>

<file path=xl/worksheets/sheet3.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3" defaultRowHeight="15.75" customHeight="1"/>
  <cols>
    <col width="23.5" customWidth="1" style="52" min="3" max="3"/>
    <col width="32.25" customWidth="1" style="52" min="4" max="4"/>
    <col width="16.13" customWidth="1" style="52" min="5" max="5"/>
  </cols>
  <sheetData>
    <row r="1" ht="27" customHeight="1" s="52">
      <c r="A1" s="5">
        <f>HYPERLINK("#gid=0", "🏠 กลับสู่หน้าแรก (Go to Home Page)")</f>
        <v/>
      </c>
    </row>
    <row r="2">
      <c r="A2" s="8" t="inlineStr">
        <is>
          <t>⚙️ ตัวกรอง:</t>
        </is>
      </c>
      <c r="B2" s="8" t="inlineStr">
        <is>
          <t>ประเภทข้อสอบ (Col O)</t>
        </is>
      </c>
      <c r="C2" s="8" t="inlineStr">
        <is>
          <t>ปี / เลขชุด (Col P)</t>
        </is>
      </c>
      <c r="D2" s="8" t="inlineStr">
        <is>
          <t>หมวดหลัก (Clinic/Product/SAP)</t>
        </is>
      </c>
      <c r="E2" s="8" t="inlineStr">
        <is>
          <t>ค้นหาคีย์เวิร์ดในโจทย์ / ยา</t>
        </is>
      </c>
      <c r="F2" s="8" t="inlineStr">
        <is>
          <t>จำนวนข้อที่พบ</t>
        </is>
      </c>
    </row>
    <row r="3">
      <c r="A3" s="16" t="inlineStr">
        <is>
          <t>เลือกค่า 👉</t>
        </is>
      </c>
      <c r="B3" s="16" t="inlineStr">
        <is>
          <t>ทั้งหมด</t>
        </is>
      </c>
      <c r="C3" s="16" t="inlineStr">
        <is>
          <t>ชุด 1</t>
        </is>
      </c>
      <c r="D3" s="16" t="inlineStr">
        <is>
          <t>Product</t>
        </is>
      </c>
      <c r="E3" s="16" t="n"/>
      <c r="F3" s="16">
        <f>COUNTA(A6:A11000)</f>
        <v/>
      </c>
    </row>
    <row r="5">
      <c r="A5" s="17" t="inlineStr">
        <is>
          <t>ข้อที่</t>
        </is>
      </c>
      <c r="B5" s="17" t="inlineStr">
        <is>
          <t>คำถาม</t>
        </is>
      </c>
      <c r="C5" s="17" t="inlineStr">
        <is>
          <t>รูปถาม</t>
        </is>
      </c>
      <c r="D5" s="17" t="inlineStr">
        <is>
          <t>ตัวเลือก 1</t>
        </is>
      </c>
      <c r="E5" s="17" t="inlineStr">
        <is>
          <t>ตัวเลือก 2</t>
        </is>
      </c>
      <c r="F5" s="17" t="inlineStr">
        <is>
          <t>ตัวเลือก 3</t>
        </is>
      </c>
      <c r="G5" s="17" t="inlineStr">
        <is>
          <t>ตัวเลือก 4</t>
        </is>
      </c>
      <c r="H5" s="17" t="inlineStr">
        <is>
          <t>ตัวเลือก 5</t>
        </is>
      </c>
      <c r="I5" s="17" t="inlineStr">
        <is>
          <t>เฉลย</t>
        </is>
      </c>
      <c r="J5" s="17" t="inlineStr">
        <is>
          <t>คำอธิบายเฉลย</t>
        </is>
      </c>
      <c r="K5" s="17" t="inlineStr">
        <is>
          <t>รูปเฉลย</t>
        </is>
      </c>
      <c r="L5" s="17" t="inlineStr">
        <is>
          <t>หมวด/Subtopic</t>
        </is>
      </c>
      <c r="M5" s="17" t="inlineStr">
        <is>
          <t>Product/Clinic/SAP</t>
        </is>
      </c>
      <c r="N5" s="17" t="inlineStr">
        <is>
          <t>หมายเหตุ</t>
        </is>
      </c>
      <c r="O5" s="17" t="inlineStr">
        <is>
          <t>ประเภทข้อสอบ</t>
        </is>
      </c>
      <c r="P5" s="17" t="inlineStr">
        <is>
          <t>ปี / เลขชุด</t>
        </is>
      </c>
      <c r="Q5" s="17" t="inlineStr">
        <is>
          <t>ต้นทาง (Tab)</t>
        </is>
      </c>
    </row>
    <row r="6">
      <c r="A6" s="18">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18">
        <f>IFERROR(__xludf.DUMMYFUNCTION("""COMPUTED_VALUE"""),"ในการเตรียม Aspirin Suspension หากต้องการเติมสารบัฟเฟอร์ ปรับ pH ให้มี pH เท่ากับ 6.8 ภก.ควรจะใช้บัฟเฟอร์ใด")</f>
        <v/>
      </c>
      <c r="C6" s="18" t="n"/>
      <c r="D6" s="18">
        <f>IFERROR(__xludf.DUMMYFUNCTION("""COMPUTED_VALUE"""),"NaH2PO4 (pKa 7.21)/ Na2HPO4")</f>
        <v/>
      </c>
      <c r="E6" s="18">
        <f>IFERROR(__xludf.DUMMYFUNCTION("""COMPUTED_VALUE"""),"Na2HPO4 / Na3PO4")</f>
        <v/>
      </c>
      <c r="F6" s="18">
        <f>IFERROR(__xludf.DUMMYFUNCTION("""COMPUTED_VALUE"""),"Acetic acid (pKa 4.76)/ Sodium acetate")</f>
        <v/>
      </c>
      <c r="G6" s="18">
        <f>IFERROR(__xludf.DUMMYFUNCTION("""COMPUTED_VALUE"""),"Boric acid (pKa 8.24)/Sodium borate")</f>
        <v/>
      </c>
      <c r="H6" s="18">
        <f>IFERROR(__xludf.DUMMYFUNCTION("""COMPUTED_VALUE"""),"HCl/NaOH")</f>
        <v/>
      </c>
      <c r="I6" s="18">
        <f>IFERROR(__xludf.DUMMYFUNCTION("""COMPUTED_VALUE"""),"1")</f>
        <v/>
      </c>
      <c r="J6" s="1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8" t="n"/>
      <c r="L6" s="18">
        <f>IFERROR(__xludf.DUMMYFUNCTION("""COMPUTED_VALUE"""),"Tablet Manufacturing")</f>
        <v/>
      </c>
      <c r="M6" s="18">
        <f>IFERROR(__xludf.DUMMYFUNCTION("""COMPUTED_VALUE"""),"Product")</f>
        <v/>
      </c>
      <c r="N6" s="18">
        <f>IFERROR(__xludf.DUMMYFUNCTION("""COMPUTED_VALUE"""),"ข้อ 7 ชุด 1 (เฉลยข้อ ก)")</f>
        <v/>
      </c>
      <c r="O6" s="18">
        <f>IFERROR(__xludf.DUMMYFUNCTION("""COMPUTED_VALUE"""),"Mock")</f>
        <v/>
      </c>
      <c r="P6" s="18">
        <f>IFERROR(__xludf.DUMMYFUNCTION("""COMPUTED_VALUE"""),"ชุด 1")</f>
        <v/>
      </c>
    </row>
    <row r="7">
      <c r="A7" s="18">
        <f>IFERROR(__xludf.DUMMYFUNCTION("""COMPUTED_VALUE"""),"8")</f>
        <v/>
      </c>
      <c r="B7" s="18">
        <f>IFERROR(__xludf.DUMMYFUNCTION("""COMPUTED_VALUE"""),"ในการเตรียม aspirin suspension หากต้องการให้ยาตกตะกอนไม่เร็วเกินไป สารปรุงแต่งที่ต้องเติมคือ")</f>
        <v/>
      </c>
      <c r="C7" s="18" t="n"/>
      <c r="D7" s="18">
        <f>IFERROR(__xludf.DUMMYFUNCTION("""COMPUTED_VALUE"""),"Glycerin")</f>
        <v/>
      </c>
      <c r="E7" s="18">
        <f>IFERROR(__xludf.DUMMYFUNCTION("""COMPUTED_VALUE"""),"Tween 80")</f>
        <v/>
      </c>
      <c r="F7" s="18">
        <f>IFERROR(__xludf.DUMMYFUNCTION("""COMPUTED_VALUE"""),"Methylcellulose")</f>
        <v/>
      </c>
      <c r="G7" s="18">
        <f>IFERROR(__xludf.DUMMYFUNCTION("""COMPUTED_VALUE"""),"Aluminium chloride")</f>
        <v/>
      </c>
      <c r="H7" s="18">
        <f>IFERROR(__xludf.DUMMYFUNCTION("""COMPUTED_VALUE"""),"Sodium citrate")</f>
        <v/>
      </c>
      <c r="I7" s="18">
        <f>IFERROR(__xludf.DUMMYFUNCTION("""COMPUTED_VALUE"""),"3")</f>
        <v/>
      </c>
      <c r="J7" s="1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8" t="n"/>
      <c r="L7" s="18">
        <f>IFERROR(__xludf.DUMMYFUNCTION("""COMPUTED_VALUE"""),"Tablet Manufacturing")</f>
        <v/>
      </c>
      <c r="M7" s="18">
        <f>IFERROR(__xludf.DUMMYFUNCTION("""COMPUTED_VALUE"""),"Product")</f>
        <v/>
      </c>
      <c r="N7" s="18">
        <f>IFERROR(__xludf.DUMMYFUNCTION("""COMPUTED_VALUE"""),"ข้อ 8 ชุด 1 (เฉลยข้อ ค)")</f>
        <v/>
      </c>
      <c r="O7" s="18">
        <f>IFERROR(__xludf.DUMMYFUNCTION("""COMPUTED_VALUE"""),"Mock")</f>
        <v/>
      </c>
      <c r="P7" s="18">
        <f>IFERROR(__xludf.DUMMYFUNCTION("""COMPUTED_VALUE"""),"ชุด 1")</f>
        <v/>
      </c>
    </row>
    <row r="8">
      <c r="A8" s="18">
        <f>IFERROR(__xludf.DUMMYFUNCTION("""COMPUTED_VALUE"""),"9")</f>
        <v/>
      </c>
      <c r="B8" s="1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8" t="n"/>
      <c r="D8" s="18">
        <f>IFERROR(__xludf.DUMMYFUNCTION("""COMPUTED_VALUE"""),"Flocculation")</f>
        <v/>
      </c>
      <c r="E8" s="18">
        <f>IFERROR(__xludf.DUMMYFUNCTION("""COMPUTED_VALUE"""),"Lamination")</f>
        <v/>
      </c>
      <c r="F8" s="18">
        <f>IFERROR(__xludf.DUMMYFUNCTION("""COMPUTED_VALUE"""),"Creaming")</f>
        <v/>
      </c>
      <c r="G8" s="18">
        <f>IFERROR(__xludf.DUMMYFUNCTION("""COMPUTED_VALUE"""),"Coalescence")</f>
        <v/>
      </c>
      <c r="H8" s="18">
        <f>IFERROR(__xludf.DUMMYFUNCTION("""COMPUTED_VALUE"""),"Caking")</f>
        <v/>
      </c>
      <c r="I8" s="18">
        <f>IFERROR(__xludf.DUMMYFUNCTION("""COMPUTED_VALUE"""),"5")</f>
        <v/>
      </c>
      <c r="J8" s="1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8" t="n"/>
      <c r="L8" s="18">
        <f>IFERROR(__xludf.DUMMYFUNCTION("""COMPUTED_VALUE"""),"Tablet Manufacturing")</f>
        <v/>
      </c>
      <c r="M8" s="18">
        <f>IFERROR(__xludf.DUMMYFUNCTION("""COMPUTED_VALUE"""),"Product")</f>
        <v/>
      </c>
      <c r="N8" s="18">
        <f>IFERROR(__xludf.DUMMYFUNCTION("""COMPUTED_VALUE"""),"ข้อ 9 ชุด 1 (เฉลยข้อ จ)")</f>
        <v/>
      </c>
      <c r="O8" s="18">
        <f>IFERROR(__xludf.DUMMYFUNCTION("""COMPUTED_VALUE"""),"Mock")</f>
        <v/>
      </c>
      <c r="P8" s="18">
        <f>IFERROR(__xludf.DUMMYFUNCTION("""COMPUTED_VALUE"""),"ชุด 1")</f>
        <v/>
      </c>
    </row>
    <row r="9">
      <c r="A9" s="18">
        <f>IFERROR(__xludf.DUMMYFUNCTION("""COMPUTED_VALUE"""),"10")</f>
        <v/>
      </c>
      <c r="B9" s="18">
        <f>IFERROR(__xludf.DUMMYFUNCTION("""COMPUTED_VALUE"""),"สูตรตำรับย้ำน้ำ Ferrous sulfate
- Ferrous sulfate 12.5 g
- Citric acid 0.2 g
- Paraben conc. 1 ml
- Syrup add qs 100 ml
ข้อใดถูก")</f>
        <v/>
      </c>
      <c r="C9" s="18" t="n"/>
      <c r="D9" s="18">
        <f>IFERROR(__xludf.DUMMYFUNCTION("""COMPUTED_VALUE"""),"มีปัญหาการละลาย")</f>
        <v/>
      </c>
      <c r="E9" s="18">
        <f>IFERROR(__xludf.DUMMYFUNCTION("""COMPUTED_VALUE"""),"ต้องเก็บในตู้เย็น")</f>
        <v/>
      </c>
      <c r="F9" s="18">
        <f>IFERROR(__xludf.DUMMYFUNCTION("""COMPUTED_VALUE"""),"เก็บในขวดใส ปิดสนิท")</f>
        <v/>
      </c>
      <c r="G9" s="18">
        <f>IFERROR(__xludf.DUMMYFUNCTION("""COMPUTED_VALUE"""),"ไม่มีสารแต่งรส")</f>
        <v/>
      </c>
      <c r="H9" s="18">
        <f>IFERROR(__xludf.DUMMYFUNCTION("""COMPUTED_VALUE"""),"ไม่มีสารเพิ่มความคงตัว")</f>
        <v/>
      </c>
      <c r="I9" s="18">
        <f>IFERROR(__xludf.DUMMYFUNCTION("""COMPUTED_VALUE"""),"1")</f>
        <v/>
      </c>
      <c r="J9" s="1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8" t="n"/>
      <c r="L9" s="18">
        <f>IFERROR(__xludf.DUMMYFUNCTION("""COMPUTED_VALUE"""),"Tablet Manufacturing")</f>
        <v/>
      </c>
      <c r="M9" s="18">
        <f>IFERROR(__xludf.DUMMYFUNCTION("""COMPUTED_VALUE"""),"Product")</f>
        <v/>
      </c>
      <c r="N9" s="18">
        <f>IFERROR(__xludf.DUMMYFUNCTION("""COMPUTED_VALUE"""),"ข้อ 10 ชุด 1 (เฉลยข้อ ก)")</f>
        <v/>
      </c>
      <c r="O9" s="18">
        <f>IFERROR(__xludf.DUMMYFUNCTION("""COMPUTED_VALUE"""),"Mock")</f>
        <v/>
      </c>
      <c r="P9" s="18">
        <f>IFERROR(__xludf.DUMMYFUNCTION("""COMPUTED_VALUE"""),"ชุด 1")</f>
        <v/>
      </c>
    </row>
    <row r="10">
      <c r="A10" s="18">
        <f>IFERROR(__xludf.DUMMYFUNCTION("""COMPUTED_VALUE"""),"11")</f>
        <v/>
      </c>
      <c r="B10" s="1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8" t="n"/>
      <c r="D10" s="18">
        <f>IFERROR(__xludf.DUMMYFUNCTION("""COMPUTED_VALUE"""),"0.625 mg")</f>
        <v/>
      </c>
      <c r="E10" s="18">
        <f>IFERROR(__xludf.DUMMYFUNCTION("""COMPUTED_VALUE"""),"2.625 mg")</f>
        <v/>
      </c>
      <c r="F10" s="18">
        <f>IFERROR(__xludf.DUMMYFUNCTION("""COMPUTED_VALUE"""),"62.5 mg")</f>
        <v/>
      </c>
      <c r="G10" s="18">
        <f>IFERROR(__xludf.DUMMYFUNCTION("""COMPUTED_VALUE"""),"375 mg")</f>
        <v/>
      </c>
      <c r="H10" s="18">
        <f>IFERROR(__xludf.DUMMYFUNCTION("""COMPUTED_VALUE"""),"125 mg")</f>
        <v/>
      </c>
      <c r="I10" s="18">
        <f>IFERROR(__xludf.DUMMYFUNCTION("""COMPUTED_VALUE"""),"5")</f>
        <v/>
      </c>
      <c r="J10" s="1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elemental"&amp;"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8" t="n"/>
      <c r="L10" s="18">
        <f>IFERROR(__xludf.DUMMYFUNCTION("""COMPUTED_VALUE"""),"Tablet Manufacturing")</f>
        <v/>
      </c>
      <c r="M10" s="18">
        <f>IFERROR(__xludf.DUMMYFUNCTION("""COMPUTED_VALUE"""),"Product")</f>
        <v/>
      </c>
      <c r="N10" s="18">
        <f>IFERROR(__xludf.DUMMYFUNCTION("""COMPUTED_VALUE"""),"ข้อ 11 ชุด 1 (เฉลยข้อ จ)")</f>
        <v/>
      </c>
      <c r="O10" s="18">
        <f>IFERROR(__xludf.DUMMYFUNCTION("""COMPUTED_VALUE"""),"Mock")</f>
        <v/>
      </c>
      <c r="P10" s="18">
        <f>IFERROR(__xludf.DUMMYFUNCTION("""COMPUTED_VALUE"""),"ชุด 1")</f>
        <v/>
      </c>
    </row>
    <row r="11">
      <c r="A11" s="18">
        <f>IFERROR(__xludf.DUMMYFUNCTION("""COMPUTED_VALUE"""),"22")</f>
        <v/>
      </c>
      <c r="B11" s="1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8" t="n"/>
      <c r="D11" s="18">
        <f>IFERROR(__xludf.DUMMYFUNCTION("""COMPUTED_VALUE"""),"Stearic acid")</f>
        <v/>
      </c>
      <c r="E11" s="18">
        <f>IFERROR(__xludf.DUMMYFUNCTION("""COMPUTED_VALUE"""),"Lanolin")</f>
        <v/>
      </c>
      <c r="F11" s="18">
        <f>IFERROR(__xludf.DUMMYFUNCTION("""COMPUTED_VALUE"""),"Cetyl alcohol")</f>
        <v/>
      </c>
      <c r="G11" s="18">
        <f>IFERROR(__xludf.DUMMYFUNCTION("""COMPUTED_VALUE"""),"Potassium hydroxide")</f>
        <v/>
      </c>
      <c r="H11" s="18">
        <f>IFERROR(__xludf.DUMMYFUNCTION("""COMPUTED_VALUE"""),"Potassium stearate")</f>
        <v/>
      </c>
      <c r="I11" s="18">
        <f>IFERROR(__xludf.DUMMYFUNCTION("""COMPUTED_VALUE"""),"5")</f>
        <v/>
      </c>
      <c r="J11" s="1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8" t="n"/>
      <c r="L11" s="18">
        <f>IFERROR(__xludf.DUMMYFUNCTION("""COMPUTED_VALUE"""),"Tablet Manufacturing")</f>
        <v/>
      </c>
      <c r="M11" s="18">
        <f>IFERROR(__xludf.DUMMYFUNCTION("""COMPUTED_VALUE"""),"Product")</f>
        <v/>
      </c>
      <c r="N11" s="18">
        <f>IFERROR(__xludf.DUMMYFUNCTION("""COMPUTED_VALUE"""),"ข้อ 22 ชุด 1 (เฉลยข้อ จ)")</f>
        <v/>
      </c>
      <c r="O11" s="18">
        <f>IFERROR(__xludf.DUMMYFUNCTION("""COMPUTED_VALUE"""),"Mock")</f>
        <v/>
      </c>
      <c r="P11" s="18">
        <f>IFERROR(__xludf.DUMMYFUNCTION("""COMPUTED_VALUE"""),"ชุด 1")</f>
        <v/>
      </c>
    </row>
    <row r="12">
      <c r="A12" s="18">
        <f>IFERROR(__xludf.DUMMYFUNCTION("""COMPUTED_VALUE"""),"23")</f>
        <v/>
      </c>
      <c r="B12" s="1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8" t="n"/>
      <c r="D12" s="18">
        <f>IFERROR(__xludf.DUMMYFUNCTION("""COMPUTED_VALUE"""),"เพิ่มการละลายของ Neomycin")</f>
        <v/>
      </c>
      <c r="E12" s="18">
        <f>IFERROR(__xludf.DUMMYFUNCTION("""COMPUTED_VALUE"""),"ป้องกันการตกตะกอนขุ่นของสารละลาย")</f>
        <v/>
      </c>
      <c r="F12" s="18">
        <f>IFERROR(__xludf.DUMMYFUNCTION("""COMPUTED_VALUE"""),"เพิ่มฤทธิ์ฆ่าเชื้อแบคทีเรีย")</f>
        <v/>
      </c>
      <c r="G12" s="18">
        <f>IFERROR(__xludf.DUMMYFUNCTION("""COMPUTED_VALUE"""),"ลดการแสบระคายเคืองตา")</f>
        <v/>
      </c>
      <c r="H12" s="18">
        <f>IFERROR(__xludf.DUMMYFUNCTION("""COMPUTED_VALUE"""),"เพิ่มการติดของสารละลายกับดวงตา")</f>
        <v/>
      </c>
      <c r="I12" s="18">
        <f>IFERROR(__xludf.DUMMYFUNCTION("""COMPUTED_VALUE"""),"5")</f>
        <v/>
      </c>
      <c r="J12" s="1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8" t="n"/>
      <c r="L12" s="18">
        <f>IFERROR(__xludf.DUMMYFUNCTION("""COMPUTED_VALUE"""),"Tablet Manufacturing")</f>
        <v/>
      </c>
      <c r="M12" s="18">
        <f>IFERROR(__xludf.DUMMYFUNCTION("""COMPUTED_VALUE"""),"Product")</f>
        <v/>
      </c>
      <c r="N12" s="18">
        <f>IFERROR(__xludf.DUMMYFUNCTION("""COMPUTED_VALUE"""),"ข้อ 23 ชุด 1 (เฉลยข้อ จ)")</f>
        <v/>
      </c>
      <c r="O12" s="18">
        <f>IFERROR(__xludf.DUMMYFUNCTION("""COMPUTED_VALUE"""),"Mock")</f>
        <v/>
      </c>
      <c r="P12" s="18">
        <f>IFERROR(__xludf.DUMMYFUNCTION("""COMPUTED_VALUE"""),"ชุด 1")</f>
        <v/>
      </c>
    </row>
    <row r="13">
      <c r="A13" s="18">
        <f>IFERROR(__xludf.DUMMYFUNCTION("""COMPUTED_VALUE"""),"24")</f>
        <v/>
      </c>
      <c r="B13" s="18">
        <f>IFERROR(__xludf.DUMMYFUNCTION("""COMPUTED_VALUE"""),"คุณสมบัติที่สำคัญที่สุดของยาตา")</f>
        <v/>
      </c>
      <c r="C13" s="18" t="n"/>
      <c r="D13" s="18">
        <f>IFERROR(__xludf.DUMMYFUNCTION("""COMPUTED_VALUE"""),"Isotonic")</f>
        <v/>
      </c>
      <c r="E13" s="18">
        <f>IFERROR(__xludf.DUMMYFUNCTION("""COMPUTED_VALUE"""),"Sterile")</f>
        <v/>
      </c>
      <c r="F13" s="18">
        <f>IFERROR(__xludf.DUMMYFUNCTION("""COMPUTED_VALUE"""),"pH")</f>
        <v/>
      </c>
      <c r="G13" s="18">
        <f>IFERROR(__xludf.DUMMYFUNCTION("""COMPUTED_VALUE"""),"Preservative")</f>
        <v/>
      </c>
      <c r="H13" s="18">
        <f>IFERROR(__xludf.DUMMYFUNCTION("""COMPUTED_VALUE"""),"ต้องเป็นสารละลาย")</f>
        <v/>
      </c>
      <c r="I13" s="18">
        <f>IFERROR(__xludf.DUMMYFUNCTION("""COMPUTED_VALUE"""),"2")</f>
        <v/>
      </c>
      <c r="J13" s="1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8" t="n"/>
      <c r="L13" s="18">
        <f>IFERROR(__xludf.DUMMYFUNCTION("""COMPUTED_VALUE"""),"Tablet Manufacturing")</f>
        <v/>
      </c>
      <c r="M13" s="18">
        <f>IFERROR(__xludf.DUMMYFUNCTION("""COMPUTED_VALUE"""),"Product")</f>
        <v/>
      </c>
      <c r="N13" s="18">
        <f>IFERROR(__xludf.DUMMYFUNCTION("""COMPUTED_VALUE"""),"ข้อ 24 ชุด 1 (เฉลยข้อ ข)")</f>
        <v/>
      </c>
      <c r="O13" s="18">
        <f>IFERROR(__xludf.DUMMYFUNCTION("""COMPUTED_VALUE"""),"Mock")</f>
        <v/>
      </c>
      <c r="P13" s="18">
        <f>IFERROR(__xludf.DUMMYFUNCTION("""COMPUTED_VALUE"""),"ชุด 1")</f>
        <v/>
      </c>
    </row>
    <row r="14">
      <c r="A14" s="18">
        <f>IFERROR(__xludf.DUMMYFUNCTION("""COMPUTED_VALUE"""),"25")</f>
        <v/>
      </c>
      <c r="B14" s="18">
        <f>IFERROR(__xludf.DUMMYFUNCTION("""COMPUTED_VALUE"""),"Norfloxacin มีค่าการละลายต่ำจึงนำมาใช้ร่วมกับ B-cyclodextrin ข้อใดคือกลไกของ B-cyclodextrin")</f>
        <v/>
      </c>
      <c r="C14" s="18" t="n"/>
      <c r="D14" s="18">
        <f>IFERROR(__xludf.DUMMYFUNCTION("""COMPUTED_VALUE"""),"pH")</f>
        <v/>
      </c>
      <c r="E14" s="18">
        <f>IFERROR(__xludf.DUMMYFUNCTION("""COMPUTED_VALUE"""),"ลดค่า dielectric constant")</f>
        <v/>
      </c>
      <c r="F14" s="18">
        <f>IFERROR(__xludf.DUMMYFUNCTION("""COMPUTED_VALUE"""),"Micelle")</f>
        <v/>
      </c>
      <c r="G14" s="18">
        <f>IFERROR(__xludf.DUMMYFUNCTION("""COMPUTED_VALUE"""),"Co-solvent")</f>
        <v/>
      </c>
      <c r="H14" s="18">
        <f>IFERROR(__xludf.DUMMYFUNCTION("""COMPUTED_VALUE"""),"Complexation")</f>
        <v/>
      </c>
      <c r="I14" s="18">
        <f>IFERROR(__xludf.DUMMYFUNCTION("""COMPUTED_VALUE"""),"5")</f>
        <v/>
      </c>
      <c r="J14" s="1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8" t="n"/>
      <c r="L14" s="18">
        <f>IFERROR(__xludf.DUMMYFUNCTION("""COMPUTED_VALUE"""),"Tablet Manufacturing")</f>
        <v/>
      </c>
      <c r="M14" s="18">
        <f>IFERROR(__xludf.DUMMYFUNCTION("""COMPUTED_VALUE"""),"Product")</f>
        <v/>
      </c>
      <c r="N14" s="18">
        <f>IFERROR(__xludf.DUMMYFUNCTION("""COMPUTED_VALUE"""),"ข้อ 25 ชุด 1 (เฉลยข้อ จ)")</f>
        <v/>
      </c>
      <c r="O14" s="18">
        <f>IFERROR(__xludf.DUMMYFUNCTION("""COMPUTED_VALUE"""),"Mock")</f>
        <v/>
      </c>
      <c r="P14" s="18">
        <f>IFERROR(__xludf.DUMMYFUNCTION("""COMPUTED_VALUE"""),"ชุด 1")</f>
        <v/>
      </c>
    </row>
    <row r="15">
      <c r="A15" s="18">
        <f>IFERROR(__xludf.DUMMYFUNCTION("""COMPUTED_VALUE"""),"26")</f>
        <v/>
      </c>
      <c r="B15" s="18">
        <f>IFERROR(__xludf.DUMMYFUNCTION("""COMPUTED_VALUE"""),"หากต้องการพัฒนาสูตรตำรับยาคุมกำเนิดปัญหาใดที่มีความสำคัญที่สุดและต้องแก้ไข")</f>
        <v/>
      </c>
      <c r="C15" s="18" t="n"/>
      <c r="D15" s="18">
        <f>IFERROR(__xludf.DUMMYFUNCTION("""COMPUTED_VALUE"""),"ความหนาของเม็ดยาต้องเท่ากัน")</f>
        <v/>
      </c>
      <c r="E15" s="18">
        <f>IFERROR(__xludf.DUMMYFUNCTION("""COMPUTED_VALUE"""),"ความแข็งของเม็ดยา เนื่องจากต้องพกติดตัว")</f>
        <v/>
      </c>
      <c r="F15" s="18">
        <f>IFERROR(__xludf.DUMMYFUNCTION("""COMPUTED_VALUE"""),"ความสม่ำเสมอของตัวยาสำคัญ")</f>
        <v/>
      </c>
      <c r="G15" s="18">
        <f>IFERROR(__xludf.DUMMYFUNCTION("""COMPUTED_VALUE"""),"ความกร่อน")</f>
        <v/>
      </c>
      <c r="H15" s="18">
        <f>IFERROR(__xludf.DUMMYFUNCTION("""COMPUTED_VALUE"""),"การละลายของยา")</f>
        <v/>
      </c>
      <c r="I15" s="18">
        <f>IFERROR(__xludf.DUMMYFUNCTION("""COMPUTED_VALUE"""),"3")</f>
        <v/>
      </c>
      <c r="J15" s="1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8" t="n"/>
      <c r="L15" s="18">
        <f>IFERROR(__xludf.DUMMYFUNCTION("""COMPUTED_VALUE"""),"Tablet Manufacturing")</f>
        <v/>
      </c>
      <c r="M15" s="18">
        <f>IFERROR(__xludf.DUMMYFUNCTION("""COMPUTED_VALUE"""),"Product")</f>
        <v/>
      </c>
      <c r="N15" s="18">
        <f>IFERROR(__xludf.DUMMYFUNCTION("""COMPUTED_VALUE"""),"ข้อ 26 ชุด 1 (เฉลยข้อ ค)")</f>
        <v/>
      </c>
      <c r="O15" s="18">
        <f>IFERROR(__xludf.DUMMYFUNCTION("""COMPUTED_VALUE"""),"Mock")</f>
        <v/>
      </c>
      <c r="P15" s="18">
        <f>IFERROR(__xludf.DUMMYFUNCTION("""COMPUTED_VALUE"""),"ชุด 1")</f>
        <v/>
      </c>
    </row>
    <row r="16">
      <c r="A16" s="18">
        <f>IFERROR(__xludf.DUMMYFUNCTION("""COMPUTED_VALUE"""),"72")</f>
        <v/>
      </c>
      <c r="B16" s="18">
        <f>IFERROR(__xludf.DUMMYFUNCTION("""COMPUTED_VALUE"""),"สาเหตุความไม่คงตัวดังข้อ 71 คือ")</f>
        <v/>
      </c>
      <c r="C16" s="18" t="n"/>
      <c r="D16" s="18">
        <f>IFERROR(__xludf.DUMMYFUNCTION("""COMPUTED_VALUE"""),"อนุภาคมีขนาดใหญ่เกินไป")</f>
        <v/>
      </c>
      <c r="E16" s="18">
        <f>IFERROR(__xludf.DUMMYFUNCTION("""COMPUTED_VALUE"""),"วัตภาคน้ำมันมีปริมาณมากเกินไป")</f>
        <v/>
      </c>
      <c r="F16" s="18">
        <f>IFERROR(__xludf.DUMMYFUNCTION("""COMPUTED_VALUE"""),"ความหนืดของวัตภาคภายนอกสูงเกินไป")</f>
        <v/>
      </c>
      <c r="G16" s="18">
        <f>IFERROR(__xludf.DUMMYFUNCTION("""COMPUTED_VALUE"""),"ไม่มีสารก่ออิมัลชัน (emulsifier) ในตำรับ")</f>
        <v/>
      </c>
      <c r="H16" s="18">
        <f>IFERROR(__xludf.DUMMYFUNCTION("""COMPUTED_VALUE"""),"ความหนาแน่นของวัตภาคในและนอกมีค่าใกล้เคียงกัน")</f>
        <v/>
      </c>
      <c r="I16" s="18">
        <f>IFERROR(__xludf.DUMMYFUNCTION("""COMPUTED_VALUE"""),"4")</f>
        <v/>
      </c>
      <c r="J16" s="1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8" t="n"/>
      <c r="L16" s="18">
        <f>IFERROR(__xludf.DUMMYFUNCTION("""COMPUTED_VALUE"""),"Tablet Manufacturing")</f>
        <v/>
      </c>
      <c r="M16" s="18">
        <f>IFERROR(__xludf.DUMMYFUNCTION("""COMPUTED_VALUE"""),"Product")</f>
        <v/>
      </c>
      <c r="N16" s="18">
        <f>IFERROR(__xludf.DUMMYFUNCTION("""COMPUTED_VALUE"""),"ข้อ 72 ชุด 1 (เฉลยข้อ ง)")</f>
        <v/>
      </c>
      <c r="O16" s="18">
        <f>IFERROR(__xludf.DUMMYFUNCTION("""COMPUTED_VALUE"""),"Mock")</f>
        <v/>
      </c>
      <c r="P16" s="18">
        <f>IFERROR(__xludf.DUMMYFUNCTION("""COMPUTED_VALUE"""),"ชุด 1")</f>
        <v/>
      </c>
    </row>
    <row r="17">
      <c r="A17" s="18">
        <f>IFERROR(__xludf.DUMMYFUNCTION("""COMPUTED_VALUE"""),"73")</f>
        <v/>
      </c>
      <c r="B17" s="18">
        <f>IFERROR(__xludf.DUMMYFUNCTION("""COMPUTED_VALUE"""),"ค่า required HLB ในการเกิดเป็น o/w emulsion ของวัตภาคน้ำมัน stearic acid และ liquid paraffin ในตำรับข้อ 71 มีค่าเท่ากับ")</f>
        <v/>
      </c>
      <c r="C17" s="18" t="n"/>
      <c r="D17" s="18">
        <f>IFERROR(__xludf.DUMMYFUNCTION("""COMPUTED_VALUE"""),"9.5")</f>
        <v/>
      </c>
      <c r="E17" s="18">
        <f>IFERROR(__xludf.DUMMYFUNCTION("""COMPUTED_VALUE"""),"10.75")</f>
        <v/>
      </c>
      <c r="F17" s="18">
        <f>IFERROR(__xludf.DUMMYFUNCTION("""COMPUTED_VALUE"""),"11.04")</f>
        <v/>
      </c>
      <c r="G17" s="18">
        <f>IFERROR(__xludf.DUMMYFUNCTION("""COMPUTED_VALUE"""),"12.13")</f>
        <v/>
      </c>
      <c r="H17" s="18">
        <f>IFERROR(__xludf.DUMMYFUNCTION("""COMPUTED_VALUE"""),"14")</f>
        <v/>
      </c>
      <c r="I17" s="18">
        <f>IFERROR(__xludf.DUMMYFUNCTION("""COMPUTED_VALUE"""),"1")</f>
        <v/>
      </c>
      <c r="J17" s="1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8" t="n"/>
      <c r="L17" s="18">
        <f>IFERROR(__xludf.DUMMYFUNCTION("""COMPUTED_VALUE"""),"Tablet Manufacturing")</f>
        <v/>
      </c>
      <c r="M17" s="18">
        <f>IFERROR(__xludf.DUMMYFUNCTION("""COMPUTED_VALUE"""),"Product")</f>
        <v/>
      </c>
      <c r="N17" s="18">
        <f>IFERROR(__xludf.DUMMYFUNCTION("""COMPUTED_VALUE"""),"ข้อ 73 ชุด 1 (เฉลยข้อ )")</f>
        <v/>
      </c>
      <c r="O17" s="18">
        <f>IFERROR(__xludf.DUMMYFUNCTION("""COMPUTED_VALUE"""),"Mock")</f>
        <v/>
      </c>
      <c r="P17" s="18">
        <f>IFERROR(__xludf.DUMMYFUNCTION("""COMPUTED_VALUE"""),"ชุด 1")</f>
        <v/>
      </c>
    </row>
    <row r="18">
      <c r="A18" s="18">
        <f>IFERROR(__xludf.DUMMYFUNCTION("""COMPUTED_VALUE"""),"74")</f>
        <v/>
      </c>
      <c r="B18" s="18">
        <f>IFERROR(__xludf.DUMMYFUNCTION("""COMPUTED_VALUE"""),"สัดส่วนที่เหมาะสมของสารก่ออิมัลชันที่ใช้สำหรับตำรับข้อ 71 เพื่อให้เกิดเป็น o/w")</f>
        <v/>
      </c>
      <c r="C18" s="18" t="n"/>
      <c r="D18" s="18">
        <f>IFERROR(__xludf.DUMMYFUNCTION("""COMPUTED_VALUE"""),"Tween 80 : Span 80 = 8.43 : 2.87")</f>
        <v/>
      </c>
      <c r="E18" s="18">
        <f>IFERROR(__xludf.DUMMYFUNCTION("""COMPUTED_VALUE"""),"Tween 80 : Span 80 = 2.87 : 8.43")</f>
        <v/>
      </c>
      <c r="F18" s="18">
        <f>IFERROR(__xludf.DUMMYFUNCTION("""COMPUTED_VALUE"""),"Tween 80 : Span 80 = 15.0 : 3.7")</f>
        <v/>
      </c>
      <c r="G18" s="18">
        <f>IFERROR(__xludf.DUMMYFUNCTION("""COMPUTED_VALUE"""),"Tween 80 : Span 80 = 3.7 : 15.0")</f>
        <v/>
      </c>
      <c r="H18" s="18">
        <f>IFERROR(__xludf.DUMMYFUNCTION("""COMPUTED_VALUE"""),"Tween 80 : Span 80 = 1.5 : 2.5")</f>
        <v/>
      </c>
      <c r="I18" s="18">
        <f>IFERROR(__xludf.DUMMYFUNCTION("""COMPUTED_VALUE"""),"1")</f>
        <v/>
      </c>
      <c r="J18" s="1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8" t="n"/>
      <c r="L18" s="18">
        <f>IFERROR(__xludf.DUMMYFUNCTION("""COMPUTED_VALUE"""),"Tablet Manufacturing")</f>
        <v/>
      </c>
      <c r="M18" s="18">
        <f>IFERROR(__xludf.DUMMYFUNCTION("""COMPUTED_VALUE"""),"Product")</f>
        <v/>
      </c>
      <c r="N18" s="18">
        <f>IFERROR(__xludf.DUMMYFUNCTION("""COMPUTED_VALUE"""),"ข้อ 74 ชุด 1 (เฉลยข้อ )")</f>
        <v/>
      </c>
      <c r="O18" s="18">
        <f>IFERROR(__xludf.DUMMYFUNCTION("""COMPUTED_VALUE"""),"Mock")</f>
        <v/>
      </c>
      <c r="P18" s="18">
        <f>IFERROR(__xludf.DUMMYFUNCTION("""COMPUTED_VALUE"""),"ชุด 1")</f>
        <v/>
      </c>
    </row>
    <row r="19">
      <c r="A19" s="18">
        <f>IFERROR(__xludf.DUMMYFUNCTION("""COMPUTED_VALUE"""),"75")</f>
        <v/>
      </c>
      <c r="B19" s="18">
        <f>IFERROR(__xludf.DUMMYFUNCTION("""COMPUTED_VALUE"""),"เพราะเหตุใดอิมัลชันที่เตรียมได้ตามสูตรข้างต้นเป็นอิมัลชันชนิด o/w")</f>
        <v/>
      </c>
      <c r="C19" s="18" t="n"/>
      <c r="D19" s="18">
        <f>IFERROR(__xludf.DUMMYFUNCTION("""COMPUTED_VALUE"""),"มีปริมาตรวัตภาคบ้า(น้ำ)สูงกว่าวัตภาคน้ำมัน และระบบสารก่ออิมัลชัน (emulsifier system) มีค่า HLB ที่สูง")</f>
        <v/>
      </c>
      <c r="E19" s="18">
        <f>IFERROR(__xludf.DUMMYFUNCTION("""COMPUTED_VALUE"""),"มีปริมาตรวัตภาคบ้า(น้ำ)สูงกว่าวัตภาคน้ำมัน และระบบสารก่ออิมัลชัน (emulsifier system) มีค่า HLB ที่ต่ำ")</f>
        <v/>
      </c>
      <c r="F19" s="18">
        <f>IFERROR(__xludf.DUMMYFUNCTION("""COMPUTED_VALUE"""),"มีปริมาตรวัตภาคน้ำมันสูงกว่าวัตภาคบ้า(น้ำ) และระบบสารก่ออิมัลชัน (emulsifier system) มีค่า HLB ที่สูง")</f>
        <v/>
      </c>
      <c r="G19" s="18">
        <f>IFERROR(__xludf.DUMMYFUNCTION("""COMPUTED_VALUE"""),"มีปริมาตรวัตภาคน้ำมันสูงกว่าวัตภาคบ้า(น้ำ) และระบบสารก่ออิมัลชัน (emulsifier system) มีค่า HLB ที่ต่ำ")</f>
        <v/>
      </c>
      <c r="H19" s="18">
        <f>IFERROR(__xludf.DUMMYFUNCTION("""COMPUTED_VALUE"""),"มีปริมาตรวัตภาคน้ำมันและวัตภาคน้ำเท่าๆกัน และระบบสารก่ออิมัลชัน (emulsifier system) มีค่า HLB ที่สูง")</f>
        <v/>
      </c>
      <c r="I19" s="18">
        <f>IFERROR(__xludf.DUMMYFUNCTION("""COMPUTED_VALUE"""),"1")</f>
        <v/>
      </c>
      <c r="J19" s="1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8" t="n"/>
      <c r="L19" s="18">
        <f>IFERROR(__xludf.DUMMYFUNCTION("""COMPUTED_VALUE"""),"Tablet Manufacturing")</f>
        <v/>
      </c>
      <c r="M19" s="18">
        <f>IFERROR(__xludf.DUMMYFUNCTION("""COMPUTED_VALUE"""),"Product")</f>
        <v/>
      </c>
      <c r="N19" s="18">
        <f>IFERROR(__xludf.DUMMYFUNCTION("""COMPUTED_VALUE"""),"ข้อ 75 ชุด 1 (เฉลยข้อ ก)")</f>
        <v/>
      </c>
      <c r="O19" s="18">
        <f>IFERROR(__xludf.DUMMYFUNCTION("""COMPUTED_VALUE"""),"Mock")</f>
        <v/>
      </c>
      <c r="P19" s="18">
        <f>IFERROR(__xludf.DUMMYFUNCTION("""COMPUTED_VALUE"""),"ชุด 1")</f>
        <v/>
      </c>
    </row>
    <row r="20">
      <c r="A20" s="18">
        <f>IFERROR(__xludf.DUMMYFUNCTION("""COMPUTED_VALUE"""),"76")</f>
        <v/>
      </c>
      <c r="B20" s="18">
        <f>IFERROR(__xludf.DUMMYFUNCTION("""COMPUTED_VALUE"""),"ในการผลิตยาเม็ด gemfibrozil พบว่าเมื่อตอกแล้วยาเม็ดติดสาก แก้ไขโดยการเติมสารใด")</f>
        <v/>
      </c>
      <c r="C20" s="18" t="n"/>
      <c r="D20" s="18">
        <f>IFERROR(__xludf.DUMMYFUNCTION("""COMPUTED_VALUE"""),"Lactose")</f>
        <v/>
      </c>
      <c r="E20" s="18">
        <f>IFERROR(__xludf.DUMMYFUNCTION("""COMPUTED_VALUE"""),"Calcium carbonate")</f>
        <v/>
      </c>
      <c r="F20" s="18">
        <f>IFERROR(__xludf.DUMMYFUNCTION("""COMPUTED_VALUE"""),"HPMC")</f>
        <v/>
      </c>
      <c r="G20" s="18">
        <f>IFERROR(__xludf.DUMMYFUNCTION("""COMPUTED_VALUE"""),"Magnesium stearate")</f>
        <v/>
      </c>
      <c r="H20" s="18">
        <f>IFERROR(__xludf.DUMMYFUNCTION("""COMPUTED_VALUE"""),"Alcohol")</f>
        <v/>
      </c>
      <c r="I20" s="18">
        <f>IFERROR(__xludf.DUMMYFUNCTION("""COMPUTED_VALUE"""),"4")</f>
        <v/>
      </c>
      <c r="J20" s="1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8" t="n"/>
      <c r="L20" s="18">
        <f>IFERROR(__xludf.DUMMYFUNCTION("""COMPUTED_VALUE"""),"Tablet Defects")</f>
        <v/>
      </c>
      <c r="M20" s="18">
        <f>IFERROR(__xludf.DUMMYFUNCTION("""COMPUTED_VALUE"""),"Product")</f>
        <v/>
      </c>
      <c r="N20" s="18">
        <f>IFERROR(__xludf.DUMMYFUNCTION("""COMPUTED_VALUE"""),"ข้อ 76 ชุด 1 (เฉลยข้อ ง)")</f>
        <v/>
      </c>
      <c r="O20" s="18">
        <f>IFERROR(__xludf.DUMMYFUNCTION("""COMPUTED_VALUE"""),"Mock")</f>
        <v/>
      </c>
      <c r="P20" s="18">
        <f>IFERROR(__xludf.DUMMYFUNCTION("""COMPUTED_VALUE"""),"ชุด 1")</f>
        <v/>
      </c>
    </row>
    <row r="21">
      <c r="A21" s="18">
        <f>IFERROR(__xludf.DUMMYFUNCTION("""COMPUTED_VALUE"""),"77")</f>
        <v/>
      </c>
      <c r="B21" s="18">
        <f>IFERROR(__xludf.DUMMYFUNCTION("""COMPUTED_VALUE"""),"หากต้องการเพิ่มความสามารถในการแตกตัวของยาเม็ด colchicine ควรใช้สารใด")</f>
        <v/>
      </c>
      <c r="C21" s="18" t="n"/>
      <c r="D21" s="18">
        <f>IFERROR(__xludf.DUMMYFUNCTION("""COMPUTED_VALUE"""),"Lactose")</f>
        <v/>
      </c>
      <c r="E21" s="18">
        <f>IFERROR(__xludf.DUMMYFUNCTION("""COMPUTED_VALUE"""),"Starch paste")</f>
        <v/>
      </c>
      <c r="F21" s="18">
        <f>IFERROR(__xludf.DUMMYFUNCTION("""COMPUTED_VALUE"""),"Microcrystalline cellulose")</f>
        <v/>
      </c>
      <c r="G21" s="18">
        <f>IFERROR(__xludf.DUMMYFUNCTION("""COMPUTED_VALUE"""),"Magnesium stearate")</f>
        <v/>
      </c>
      <c r="H21" s="18">
        <f>IFERROR(__xludf.DUMMYFUNCTION("""COMPUTED_VALUE"""),"Dicalcium phosphate")</f>
        <v/>
      </c>
      <c r="I21" s="18">
        <f>IFERROR(__xludf.DUMMYFUNCTION("""COMPUTED_VALUE"""),"3")</f>
        <v/>
      </c>
      <c r="J21" s="1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8" t="n"/>
      <c r="L21" s="18">
        <f>IFERROR(__xludf.DUMMYFUNCTION("""COMPUTED_VALUE"""),"Tablet Manufacturing")</f>
        <v/>
      </c>
      <c r="M21" s="18">
        <f>IFERROR(__xludf.DUMMYFUNCTION("""COMPUTED_VALUE"""),"Product")</f>
        <v/>
      </c>
      <c r="N21" s="18">
        <f>IFERROR(__xludf.DUMMYFUNCTION("""COMPUTED_VALUE"""),"ข้อ 77 ชุด 1 (เฉลยข้อ ค)")</f>
        <v/>
      </c>
      <c r="O21" s="18">
        <f>IFERROR(__xludf.DUMMYFUNCTION("""COMPUTED_VALUE"""),"Mock")</f>
        <v/>
      </c>
      <c r="P21" s="18">
        <f>IFERROR(__xludf.DUMMYFUNCTION("""COMPUTED_VALUE"""),"ชุด 1")</f>
        <v/>
      </c>
    </row>
    <row r="22">
      <c r="A22" s="18">
        <f>IFERROR(__xludf.DUMMYFUNCTION("""COMPUTED_VALUE"""),"78")</f>
        <v/>
      </c>
      <c r="B22" s="18">
        <f>IFERROR(__xludf.DUMMYFUNCTION("""COMPUTED_VALUE"""),"ในการควบคุมคุณภาพของยาเม็ด colchicine tablet 0.6 mg ตามข้อกำหนดใน USP สิ่งที่ไม่ต้องทำคือ")</f>
        <v/>
      </c>
      <c r="C22" s="18" t="n"/>
      <c r="D22" s="18">
        <f>IFERROR(__xludf.DUMMYFUNCTION("""COMPUTED_VALUE"""),"Friability test")</f>
        <v/>
      </c>
      <c r="E22" s="18">
        <f>IFERROR(__xludf.DUMMYFUNCTION("""COMPUTED_VALUE"""),"Content uniformity")</f>
        <v/>
      </c>
      <c r="F22" s="18">
        <f>IFERROR(__xludf.DUMMYFUNCTION("""COMPUTED_VALUE"""),"Weight variation")</f>
        <v/>
      </c>
      <c r="G22" s="18">
        <f>IFERROR(__xludf.DUMMYFUNCTION("""COMPUTED_VALUE"""),"Dissolution test")</f>
        <v/>
      </c>
      <c r="H22" s="18">
        <f>IFERROR(__xludf.DUMMYFUNCTION("""COMPUTED_VALUE"""),"Disintegration test")</f>
        <v/>
      </c>
      <c r="I22" s="18">
        <f>IFERROR(__xludf.DUMMYFUNCTION("""COMPUTED_VALUE"""),"1")</f>
        <v/>
      </c>
      <c r="J22" s="1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8" t="n"/>
      <c r="L22" s="18">
        <f>IFERROR(__xludf.DUMMYFUNCTION("""COMPUTED_VALUE"""),"Tablet Manufacturing")</f>
        <v/>
      </c>
      <c r="M22" s="18">
        <f>IFERROR(__xludf.DUMMYFUNCTION("""COMPUTED_VALUE"""),"Product")</f>
        <v/>
      </c>
      <c r="N22" s="18">
        <f>IFERROR(__xludf.DUMMYFUNCTION("""COMPUTED_VALUE"""),"ข้อ 78 ชุด 1 (เฉลยข้อ ก)")</f>
        <v/>
      </c>
      <c r="O22" s="18">
        <f>IFERROR(__xludf.DUMMYFUNCTION("""COMPUTED_VALUE"""),"Mock")</f>
        <v/>
      </c>
      <c r="P22" s="18">
        <f>IFERROR(__xludf.DUMMYFUNCTION("""COMPUTED_VALUE"""),"ชุด 1")</f>
        <v/>
      </c>
    </row>
    <row r="23">
      <c r="A23" s="18">
        <f>IFERROR(__xludf.DUMMYFUNCTION("""COMPUTED_VALUE"""),"79")</f>
        <v/>
      </c>
      <c r="B23" s="18">
        <f>IFERROR(__xludf.DUMMYFUNCTION("""COMPUTED_VALUE"""),"ถ้าต้องการเตรียมยา Intra-arthricular corticosteroids (ampule) ต้องผ่านการควบคุมคุณภาพต่อไปนี้ ยกเว้นข้อใด")</f>
        <v/>
      </c>
      <c r="C23" s="18" t="n"/>
      <c r="D23" s="18">
        <f>IFERROR(__xludf.DUMMYFUNCTION("""COMPUTED_VALUE"""),"Sterility test")</f>
        <v/>
      </c>
      <c r="E23" s="18">
        <f>IFERROR(__xludf.DUMMYFUNCTION("""COMPUTED_VALUE"""),"Clarity test")</f>
        <v/>
      </c>
      <c r="F23" s="18">
        <f>IFERROR(__xludf.DUMMYFUNCTION("""COMPUTED_VALUE"""),"Pyrogen test")</f>
        <v/>
      </c>
      <c r="G23" s="18">
        <f>IFERROR(__xludf.DUMMYFUNCTION("""COMPUTED_VALUE"""),"Compatibility test")</f>
        <v/>
      </c>
      <c r="H23" s="18">
        <f>IFERROR(__xludf.DUMMYFUNCTION("""COMPUTED_VALUE"""),"Leaker test")</f>
        <v/>
      </c>
      <c r="I23" s="18">
        <f>IFERROR(__xludf.DUMMYFUNCTION("""COMPUTED_VALUE"""),"4")</f>
        <v/>
      </c>
      <c r="J23" s="1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8" t="n"/>
      <c r="L23" s="18">
        <f>IFERROR(__xludf.DUMMYFUNCTION("""COMPUTED_VALUE"""),"Tablet Manufacturing")</f>
        <v/>
      </c>
      <c r="M23" s="18">
        <f>IFERROR(__xludf.DUMMYFUNCTION("""COMPUTED_VALUE"""),"Product")</f>
        <v/>
      </c>
      <c r="N23" s="18">
        <f>IFERROR(__xludf.DUMMYFUNCTION("""COMPUTED_VALUE"""),"ข้อ 79 ชุด 1 (เฉลยข้อ ง)")</f>
        <v/>
      </c>
      <c r="O23" s="18">
        <f>IFERROR(__xludf.DUMMYFUNCTION("""COMPUTED_VALUE"""),"Mock")</f>
        <v/>
      </c>
      <c r="P23" s="18">
        <f>IFERROR(__xludf.DUMMYFUNCTION("""COMPUTED_VALUE"""),"ชุด 1")</f>
        <v/>
      </c>
    </row>
    <row r="24">
      <c r="A24" s="18">
        <f>IFERROR(__xludf.DUMMYFUNCTION("""COMPUTED_VALUE"""),"80")</f>
        <v/>
      </c>
      <c r="B24" s="1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8" t="n"/>
      <c r="D24" s="18">
        <f>IFERROR(__xludf.DUMMYFUNCTION("""COMPUTED_VALUE"""),"0.8 g")</f>
        <v/>
      </c>
      <c r="E24" s="18">
        <f>IFERROR(__xludf.DUMMYFUNCTION("""COMPUTED_VALUE"""),"1.2 g")</f>
        <v/>
      </c>
      <c r="F24" s="18">
        <f>IFERROR(__xludf.DUMMYFUNCTION("""COMPUTED_VALUE"""),"1.5 g")</f>
        <v/>
      </c>
      <c r="G24" s="18">
        <f>IFERROR(__xludf.DUMMYFUNCTION("""COMPUTED_VALUE"""),"2.2 g")</f>
        <v/>
      </c>
      <c r="H24" s="18">
        <f>IFERROR(__xludf.DUMMYFUNCTION("""COMPUTED_VALUE"""),"3.0 g")</f>
        <v/>
      </c>
      <c r="I24" s="18">
        <f>IFERROR(__xludf.DUMMYFUNCTION("""COMPUTED_VALUE"""),"4")</f>
        <v/>
      </c>
      <c r="J24" s="1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8" t="n"/>
      <c r="L24" s="18">
        <f>IFERROR(__xludf.DUMMYFUNCTION("""COMPUTED_VALUE"""),"Tablet Manufacturing")</f>
        <v/>
      </c>
      <c r="M24" s="18">
        <f>IFERROR(__xludf.DUMMYFUNCTION("""COMPUTED_VALUE"""),"Product")</f>
        <v/>
      </c>
      <c r="N24" s="18">
        <f>IFERROR(__xludf.DUMMYFUNCTION("""COMPUTED_VALUE"""),"ข้อ 80 ชุด 1 (เฉลยข้อ ง)")</f>
        <v/>
      </c>
      <c r="O24" s="18">
        <f>IFERROR(__xludf.DUMMYFUNCTION("""COMPUTED_VALUE"""),"Mock")</f>
        <v/>
      </c>
      <c r="P24" s="18">
        <f>IFERROR(__xludf.DUMMYFUNCTION("""COMPUTED_VALUE"""),"ชุด 1")</f>
        <v/>
      </c>
    </row>
    <row r="25">
      <c r="A25" s="18">
        <f>IFERROR(__xludf.DUMMYFUNCTION("""COMPUTED_VALUE"""),"81")</f>
        <v/>
      </c>
      <c r="B25" s="18">
        <f>IFERROR(__xludf.DUMMYFUNCTION("""COMPUTED_VALUE"""),"ผู้ป่วยควรเก็บ insulin ที่ภาวะใด")</f>
        <v/>
      </c>
      <c r="C25" s="18" t="n"/>
      <c r="D25" s="18">
        <f>IFERROR(__xludf.DUMMYFUNCTION("""COMPUTED_VALUE"""),"Cold")</f>
        <v/>
      </c>
      <c r="E25" s="18">
        <f>IFERROR(__xludf.DUMMYFUNCTION("""COMPUTED_VALUE"""),"Refrigerator")</f>
        <v/>
      </c>
      <c r="F25" s="18">
        <f>IFERROR(__xludf.DUMMYFUNCTION("""COMPUTED_VALUE"""),"Cool")</f>
        <v/>
      </c>
      <c r="G25" s="18">
        <f>IFERROR(__xludf.DUMMYFUNCTION("""COMPUTED_VALUE"""),"Room temperature")</f>
        <v/>
      </c>
      <c r="H25" s="18">
        <f>IFERROR(__xludf.DUMMYFUNCTION("""COMPUTED_VALUE"""),"Warm")</f>
        <v/>
      </c>
      <c r="I25" s="18">
        <f>IFERROR(__xludf.DUMMYFUNCTION("""COMPUTED_VALUE"""),"2")</f>
        <v/>
      </c>
      <c r="J25" s="1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8" t="n"/>
      <c r="L25" s="18">
        <f>IFERROR(__xludf.DUMMYFUNCTION("""COMPUTED_VALUE"""),"Tablet Manufacturing")</f>
        <v/>
      </c>
      <c r="M25" s="18">
        <f>IFERROR(__xludf.DUMMYFUNCTION("""COMPUTED_VALUE"""),"Product")</f>
        <v/>
      </c>
      <c r="N25" s="18">
        <f>IFERROR(__xludf.DUMMYFUNCTION("""COMPUTED_VALUE"""),"ข้อ 81 ชุด 1 (เฉลยข้อ ข)")</f>
        <v/>
      </c>
      <c r="O25" s="18">
        <f>IFERROR(__xludf.DUMMYFUNCTION("""COMPUTED_VALUE"""),"Mock")</f>
        <v/>
      </c>
      <c r="P25" s="18">
        <f>IFERROR(__xludf.DUMMYFUNCTION("""COMPUTED_VALUE"""),"ชุด 1")</f>
        <v/>
      </c>
    </row>
    <row r="26">
      <c r="A26" s="18">
        <f>IFERROR(__xludf.DUMMYFUNCTION("""COMPUTED_VALUE"""),"82")</f>
        <v/>
      </c>
      <c r="B26" s="18">
        <f>IFERROR(__xludf.DUMMYFUNCTION("""COMPUTED_VALUE"""),"ท่านคิดว่า metformin tablet ไม่จำเป็นต้องทำ finished product quality control ข้อใด")</f>
        <v/>
      </c>
      <c r="C26" s="18" t="n"/>
      <c r="D26" s="18">
        <f>IFERROR(__xludf.DUMMYFUNCTION("""COMPUTED_VALUE"""),"Friability test")</f>
        <v/>
      </c>
      <c r="E26" s="18">
        <f>IFERROR(__xludf.DUMMYFUNCTION("""COMPUTED_VALUE"""),"Disintegration test")</f>
        <v/>
      </c>
      <c r="F26" s="18">
        <f>IFERROR(__xludf.DUMMYFUNCTION("""COMPUTED_VALUE"""),"Dissolution test")</f>
        <v/>
      </c>
      <c r="G26" s="18">
        <f>IFERROR(__xludf.DUMMYFUNCTION("""COMPUTED_VALUE"""),"Freeze-thaw cycle")</f>
        <v/>
      </c>
      <c r="H26" s="18">
        <f>IFERROR(__xludf.DUMMYFUNCTION("""COMPUTED_VALUE"""),"Weight variation")</f>
        <v/>
      </c>
      <c r="I26" s="18">
        <f>IFERROR(__xludf.DUMMYFUNCTION("""COMPUTED_VALUE"""),"1")</f>
        <v/>
      </c>
      <c r="J26" s="1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8" t="n"/>
      <c r="L26" s="18">
        <f>IFERROR(__xludf.DUMMYFUNCTION("""COMPUTED_VALUE"""),"Tablet Manufacturing")</f>
        <v/>
      </c>
      <c r="M26" s="18">
        <f>IFERROR(__xludf.DUMMYFUNCTION("""COMPUTED_VALUE"""),"Product")</f>
        <v/>
      </c>
      <c r="N26" s="18">
        <f>IFERROR(__xludf.DUMMYFUNCTION("""COMPUTED_VALUE"""),"ข้อ 82 ชุด 1 (เฉลยข้อ ก)")</f>
        <v/>
      </c>
      <c r="O26" s="18">
        <f>IFERROR(__xludf.DUMMYFUNCTION("""COMPUTED_VALUE"""),"Mock")</f>
        <v/>
      </c>
      <c r="P26" s="18">
        <f>IFERROR(__xludf.DUMMYFUNCTION("""COMPUTED_VALUE"""),"ชุด 1")</f>
        <v/>
      </c>
    </row>
    <row r="27">
      <c r="A27" s="18">
        <f>IFERROR(__xludf.DUMMYFUNCTION("""COMPUTED_VALUE"""),"83")</f>
        <v/>
      </c>
      <c r="B27" s="18">
        <f>IFERROR(__xludf.DUMMYFUNCTION("""COMPUTED_VALUE"""),"ข้อใดไม่ใช่ข้อดีของการทำ film coated tablet ที่เหนือกว่า sugar coated tablet")</f>
        <v/>
      </c>
      <c r="C27" s="18" t="n"/>
      <c r="D27" s="1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18">
        <f>IFERROR(__xludf.DUMMYFUNCTION("""COMPUTED_VALUE"""),"พื้นผิวเม็ดยามีความเรียบและ สีสม่ำเสมอกว่า sugar coated tablet")</f>
        <v/>
      </c>
      <c r="F27" s="18">
        <f>IFERROR(__xludf.DUMMYFUNCTION("""COMPUTED_VALUE"""),"กระบวนการทำ film coated tablet รวดเร็วกว่า sugar coated tablet")</f>
        <v/>
      </c>
      <c r="G27" s="18">
        <f>IFERROR(__xludf.DUMMYFUNCTION("""COMPUTED_VALUE"""),"กระบวนการทำ film coated tablet ไม่เกิดปัญหา dead spot")</f>
        <v/>
      </c>
      <c r="H27" s="18">
        <f>IFERROR(__xludf.DUMMYFUNCTION("""COMPUTED_VALUE"""),"film coated tabletไม่มีการทำ polishing ด้วย wax จึงไม่เกิดปัญหาที่เรียกว่า marbled เหมือน sugar coated tablet")</f>
        <v/>
      </c>
      <c r="I27" s="18">
        <f>IFERROR(__xludf.DUMMYFUNCTION("""COMPUTED_VALUE"""),"1")</f>
        <v/>
      </c>
      <c r="J27" s="1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8" t="n"/>
      <c r="L27" s="18">
        <f>IFERROR(__xludf.DUMMYFUNCTION("""COMPUTED_VALUE"""),"Tablet Coating")</f>
        <v/>
      </c>
      <c r="M27" s="18">
        <f>IFERROR(__xludf.DUMMYFUNCTION("""COMPUTED_VALUE"""),"Product")</f>
        <v/>
      </c>
      <c r="N27" s="18">
        <f>IFERROR(__xludf.DUMMYFUNCTION("""COMPUTED_VALUE"""),"ข้อ 83 ชุด 1 (เฉลยข้อ ก)")</f>
        <v/>
      </c>
      <c r="O27" s="18">
        <f>IFERROR(__xludf.DUMMYFUNCTION("""COMPUTED_VALUE"""),"Mock")</f>
        <v/>
      </c>
      <c r="P27" s="18">
        <f>IFERROR(__xludf.DUMMYFUNCTION("""COMPUTED_VALUE"""),"ชุด 1")</f>
        <v/>
      </c>
    </row>
    <row r="28">
      <c r="A28" s="18">
        <f>IFERROR(__xludf.DUMMYFUNCTION("""COMPUTED_VALUE"""),"96")</f>
        <v/>
      </c>
      <c r="B28" s="18">
        <f>IFERROR(__xludf.DUMMYFUNCTION("""COMPUTED_VALUE"""),"Antacid เป็นยาเตรียมประเภทใด")</f>
        <v/>
      </c>
      <c r="C28" s="18" t="n"/>
      <c r="D28" s="18">
        <f>IFERROR(__xludf.DUMMYFUNCTION("""COMPUTED_VALUE"""),"Gel")</f>
        <v/>
      </c>
      <c r="E28" s="18">
        <f>IFERROR(__xludf.DUMMYFUNCTION("""COMPUTED_VALUE"""),"Emulsion")</f>
        <v/>
      </c>
      <c r="F28" s="18">
        <f>IFERROR(__xludf.DUMMYFUNCTION("""COMPUTED_VALUE"""),"Suspension")</f>
        <v/>
      </c>
      <c r="G28" s="18">
        <f>IFERROR(__xludf.DUMMYFUNCTION("""COMPUTED_VALUE"""),"Solution")</f>
        <v/>
      </c>
      <c r="H28" s="18">
        <f>IFERROR(__xludf.DUMMYFUNCTION("""COMPUTED_VALUE"""),"Elixir")</f>
        <v/>
      </c>
      <c r="I28" s="18">
        <f>IFERROR(__xludf.DUMMYFUNCTION("""COMPUTED_VALUE"""),"3")</f>
        <v/>
      </c>
      <c r="J28" s="1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8" t="n"/>
      <c r="L28" s="18">
        <f>IFERROR(__xludf.DUMMYFUNCTION("""COMPUTED_VALUE"""),"Tablet Manufacturing")</f>
        <v/>
      </c>
      <c r="M28" s="18">
        <f>IFERROR(__xludf.DUMMYFUNCTION("""COMPUTED_VALUE"""),"Product")</f>
        <v/>
      </c>
      <c r="N28" s="18">
        <f>IFERROR(__xludf.DUMMYFUNCTION("""COMPUTED_VALUE"""),"ข้อ 96 ชุด 1 (เฉลยข้อ ค)")</f>
        <v/>
      </c>
      <c r="O28" s="18">
        <f>IFERROR(__xludf.DUMMYFUNCTION("""COMPUTED_VALUE"""),"Mock")</f>
        <v/>
      </c>
      <c r="P28" s="18">
        <f>IFERROR(__xludf.DUMMYFUNCTION("""COMPUTED_VALUE"""),"ชุด 1")</f>
        <v/>
      </c>
    </row>
    <row r="29">
      <c r="A29" s="18">
        <f>IFERROR(__xludf.DUMMYFUNCTION("""COMPUTED_VALUE"""),"97")</f>
        <v/>
      </c>
      <c r="B29" s="1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8" t="n"/>
      <c r="D29" s="18">
        <f>IFERROR(__xludf.DUMMYFUNCTION("""COMPUTED_VALUE"""),"Hard Gelatin Capsule filling")</f>
        <v/>
      </c>
      <c r="E29" s="18">
        <f>IFERROR(__xludf.DUMMYFUNCTION("""COMPUTED_VALUE"""),"Soft Gelatin Capsule encapsulation")</f>
        <v/>
      </c>
      <c r="F29" s="18">
        <f>IFERROR(__xludf.DUMMYFUNCTION("""COMPUTED_VALUE"""),"1 และ 3")</f>
        <v/>
      </c>
      <c r="G29" s="18">
        <f>IFERROR(__xludf.DUMMYFUNCTION("""COMPUTED_VALUE"""),"2 และ 3")</f>
        <v/>
      </c>
      <c r="H29" s="18">
        <f>IFERROR(__xludf.DUMMYFUNCTION("""COMPUTED_VALUE"""),"ไม่มีข้อใดถูก")</f>
        <v/>
      </c>
      <c r="I29" s="18">
        <f>IFERROR(__xludf.DUMMYFUNCTION("""COMPUTED_VALUE"""),"3")</f>
        <v/>
      </c>
      <c r="J29" s="1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8" t="n"/>
      <c r="L29" s="18">
        <f>IFERROR(__xludf.DUMMYFUNCTION("""COMPUTED_VALUE"""),"Tablet Manufacturing")</f>
        <v/>
      </c>
      <c r="M29" s="18">
        <f>IFERROR(__xludf.DUMMYFUNCTION("""COMPUTED_VALUE"""),"Product")</f>
        <v/>
      </c>
      <c r="N29" s="18">
        <f>IFERROR(__xludf.DUMMYFUNCTION("""COMPUTED_VALUE"""),"ข้อ 97 ชุด 1 (เฉลยข้อ ค)")</f>
        <v/>
      </c>
      <c r="O29" s="18">
        <f>IFERROR(__xludf.DUMMYFUNCTION("""COMPUTED_VALUE"""),"Mock")</f>
        <v/>
      </c>
      <c r="P29" s="18">
        <f>IFERROR(__xludf.DUMMYFUNCTION("""COMPUTED_VALUE"""),"ชุด 1")</f>
        <v/>
      </c>
    </row>
    <row r="30">
      <c r="A30" s="18">
        <f>IFERROR(__xludf.DUMMYFUNCTION("""COMPUTED_VALUE"""),"98")</f>
        <v/>
      </c>
      <c r="B30" s="1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8" t="n"/>
      <c r="D30" s="18">
        <f>IFERROR(__xludf.DUMMYFUNCTION("""COMPUTED_VALUE"""),"Very soluble")</f>
        <v/>
      </c>
      <c r="E30" s="18">
        <f>IFERROR(__xludf.DUMMYFUNCTION("""COMPUTED_VALUE"""),"Sparingly soluble")</f>
        <v/>
      </c>
      <c r="F30" s="18">
        <f>IFERROR(__xludf.DUMMYFUNCTION("""COMPUTED_VALUE"""),"Soluble")</f>
        <v/>
      </c>
      <c r="G30" s="18">
        <f>IFERROR(__xludf.DUMMYFUNCTION("""COMPUTED_VALUE"""),"Freely soluble")</f>
        <v/>
      </c>
      <c r="H30" s="18">
        <f>IFERROR(__xludf.DUMMYFUNCTION("""COMPUTED_VALUE"""),"Insoluble")</f>
        <v/>
      </c>
      <c r="I30" s="18">
        <f>IFERROR(__xludf.DUMMYFUNCTION("""COMPUTED_VALUE"""),"3")</f>
        <v/>
      </c>
      <c r="J30" s="1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8" t="n"/>
      <c r="L30" s="18">
        <f>IFERROR(__xludf.DUMMYFUNCTION("""COMPUTED_VALUE"""),"Tablet Manufacturing")</f>
        <v/>
      </c>
      <c r="M30" s="18">
        <f>IFERROR(__xludf.DUMMYFUNCTION("""COMPUTED_VALUE"""),"Product")</f>
        <v/>
      </c>
      <c r="N30" s="18">
        <f>IFERROR(__xludf.DUMMYFUNCTION("""COMPUTED_VALUE"""),"ข้อ 98 ชุด 1 (เฉลยข้อ ค)")</f>
        <v/>
      </c>
      <c r="O30" s="18">
        <f>IFERROR(__xludf.DUMMYFUNCTION("""COMPUTED_VALUE"""),"Mock")</f>
        <v/>
      </c>
      <c r="P30" s="18">
        <f>IFERROR(__xludf.DUMMYFUNCTION("""COMPUTED_VALUE"""),"ชุด 1")</f>
        <v/>
      </c>
    </row>
    <row r="31">
      <c r="A31" s="18">
        <f>IFERROR(__xludf.DUMMYFUNCTION("""COMPUTED_VALUE"""),"99")</f>
        <v/>
      </c>
      <c r="B31" s="1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8" t="n"/>
      <c r="D31" s="18">
        <f>IFERROR(__xludf.DUMMYFUNCTION("""COMPUTED_VALUE"""),"เปลี่ยนสูตรตำรับเป็นยาน้ำ")</f>
        <v/>
      </c>
      <c r="E31" s="18">
        <f>IFERROR(__xludf.DUMMYFUNCTION("""COMPUTED_VALUE"""),"ทำ wet granulation")</f>
        <v/>
      </c>
      <c r="F31" s="18">
        <f>IFERROR(__xludf.DUMMYFUNCTION("""COMPUTED_VALUE"""),"นำไปผ่าน sieve เพื่อคัดขนาดอนุภาค")</f>
        <v/>
      </c>
      <c r="G31" s="18">
        <f>IFERROR(__xludf.DUMMYFUNCTION("""COMPUTED_VALUE"""),"เพิ่มแรงตอก")</f>
        <v/>
      </c>
      <c r="H31" s="18">
        <f>IFERROR(__xludf.DUMMYFUNCTION("""COMPUTED_VALUE"""),"เพิ่ม diluent")</f>
        <v/>
      </c>
      <c r="I31" s="18">
        <f>IFERROR(__xludf.DUMMYFUNCTION("""COMPUTED_VALUE"""),"2")</f>
        <v/>
      </c>
      <c r="J31" s="1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8" t="n"/>
      <c r="L31" s="18">
        <f>IFERROR(__xludf.DUMMYFUNCTION("""COMPUTED_VALUE"""),"Powders &amp; Granules")</f>
        <v/>
      </c>
      <c r="M31" s="18">
        <f>IFERROR(__xludf.DUMMYFUNCTION("""COMPUTED_VALUE"""),"Product")</f>
        <v/>
      </c>
      <c r="N31" s="18">
        <f>IFERROR(__xludf.DUMMYFUNCTION("""COMPUTED_VALUE"""),"ข้อ 99 ชุด 1 (เฉลยข้อ ข)")</f>
        <v/>
      </c>
      <c r="O31" s="18">
        <f>IFERROR(__xludf.DUMMYFUNCTION("""COMPUTED_VALUE"""),"Mock")</f>
        <v/>
      </c>
      <c r="P31" s="18">
        <f>IFERROR(__xludf.DUMMYFUNCTION("""COMPUTED_VALUE"""),"ชุด 1")</f>
        <v/>
      </c>
    </row>
    <row r="32">
      <c r="A32" s="18">
        <f>IFERROR(__xludf.DUMMYFUNCTION("""COMPUTED_VALUE"""),"100")</f>
        <v/>
      </c>
      <c r="B32" s="18">
        <f>IFERROR(__xludf.DUMMYFUNCTION("""COMPUTED_VALUE"""),"เภสัชกรผู้หนึ่งทำการสุ่ม atenolol tablets ระหว่างการผลิตพบว่ายาเม็ดเกิดการแยกฝา เรียกปรากฏการณ์นี้ว่า")</f>
        <v/>
      </c>
      <c r="C32" s="18" t="n"/>
      <c r="D32" s="18">
        <f>IFERROR(__xludf.DUMMYFUNCTION("""COMPUTED_VALUE"""),"Breaking")</f>
        <v/>
      </c>
      <c r="E32" s="18">
        <f>IFERROR(__xludf.DUMMYFUNCTION("""COMPUTED_VALUE"""),"Cracking")</f>
        <v/>
      </c>
      <c r="F32" s="18">
        <f>IFERROR(__xludf.DUMMYFUNCTION("""COMPUTED_VALUE"""),"Capping")</f>
        <v/>
      </c>
      <c r="G32" s="18">
        <f>IFERROR(__xludf.DUMMYFUNCTION("""COMPUTED_VALUE"""),"Segregation")</f>
        <v/>
      </c>
      <c r="H32" s="18">
        <f>IFERROR(__xludf.DUMMYFUNCTION("""COMPUTED_VALUE"""),"Sticking")</f>
        <v/>
      </c>
      <c r="I32" s="18">
        <f>IFERROR(__xludf.DUMMYFUNCTION("""COMPUTED_VALUE"""),"3")</f>
        <v/>
      </c>
      <c r="J32" s="1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8" t="n"/>
      <c r="L32" s="18">
        <f>IFERROR(__xludf.DUMMYFUNCTION("""COMPUTED_VALUE"""),"Tablet Defects")</f>
        <v/>
      </c>
      <c r="M32" s="18">
        <f>IFERROR(__xludf.DUMMYFUNCTION("""COMPUTED_VALUE"""),"Product")</f>
        <v/>
      </c>
      <c r="N32" s="18">
        <f>IFERROR(__xludf.DUMMYFUNCTION("""COMPUTED_VALUE"""),"ข้อ 100 ชุด 1 (เฉลยข้อ ค)")</f>
        <v/>
      </c>
      <c r="O32" s="18">
        <f>IFERROR(__xludf.DUMMYFUNCTION("""COMPUTED_VALUE"""),"Mock")</f>
        <v/>
      </c>
      <c r="P32" s="18">
        <f>IFERROR(__xludf.DUMMYFUNCTION("""COMPUTED_VALUE"""),"ชุด 1")</f>
        <v/>
      </c>
    </row>
    <row r="33">
      <c r="A33" s="18">
        <f>IFERROR(__xludf.DUMMYFUNCTION("""COMPUTED_VALUE"""),"101")</f>
        <v/>
      </c>
      <c r="B33" s="18">
        <f>IFERROR(__xludf.DUMMYFUNCTION("""COMPUTED_VALUE"""),"จะแก้ไขปรากฏการณ์ข้อ 100 ได้อย่างไร")</f>
        <v/>
      </c>
      <c r="C33" s="18" t="n"/>
      <c r="D33" s="18">
        <f>IFERROR(__xludf.DUMMYFUNCTION("""COMPUTED_VALUE"""),"เติม anti-adherent")</f>
        <v/>
      </c>
      <c r="E33" s="18">
        <f>IFERROR(__xludf.DUMMYFUNCTION("""COMPUTED_VALUE"""),"เติม binder")</f>
        <v/>
      </c>
      <c r="F33" s="18">
        <f>IFERROR(__xludf.DUMMYFUNCTION("""COMPUTED_VALUE"""),"ลดขนาดอนุภาคให้ใกล้เคียงกัน")</f>
        <v/>
      </c>
      <c r="G33" s="18">
        <f>IFERROR(__xludf.DUMMYFUNCTION("""COMPUTED_VALUE"""),"ปรับความเร็วในการตอกให้ลดลง")</f>
        <v/>
      </c>
      <c r="H33" s="18">
        <f>IFERROR(__xludf.DUMMYFUNCTION("""COMPUTED_VALUE"""),"ข. และ ง. ถูก")</f>
        <v/>
      </c>
      <c r="I33" s="18">
        <f>IFERROR(__xludf.DUMMYFUNCTION("""COMPUTED_VALUE"""),"5")</f>
        <v/>
      </c>
      <c r="J33" s="1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8" t="n"/>
      <c r="L33" s="18">
        <f>IFERROR(__xludf.DUMMYFUNCTION("""COMPUTED_VALUE"""),"Tablet Manufacturing")</f>
        <v/>
      </c>
      <c r="M33" s="18">
        <f>IFERROR(__xludf.DUMMYFUNCTION("""COMPUTED_VALUE"""),"Product")</f>
        <v/>
      </c>
      <c r="N33" s="18">
        <f>IFERROR(__xludf.DUMMYFUNCTION("""COMPUTED_VALUE"""),"ข้อ 101 ชุด 1 (เฉลยข้อ จ)")</f>
        <v/>
      </c>
      <c r="O33" s="18">
        <f>IFERROR(__xludf.DUMMYFUNCTION("""COMPUTED_VALUE"""),"Mock")</f>
        <v/>
      </c>
      <c r="P33" s="18">
        <f>IFERROR(__xludf.DUMMYFUNCTION("""COMPUTED_VALUE"""),"ชุด 1")</f>
        <v/>
      </c>
    </row>
    <row r="34">
      <c r="A34" s="18">
        <f>IFERROR(__xludf.DUMMYFUNCTION("""COMPUTED_VALUE"""),"105")</f>
        <v/>
      </c>
      <c r="B34" s="1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8" t="n"/>
      <c r="D34" s="18">
        <f>IFERROR(__xludf.DUMMYFUNCTION("""COMPUTED_VALUE"""),"44.44")</f>
        <v/>
      </c>
      <c r="E34" s="18">
        <f>IFERROR(__xludf.DUMMYFUNCTION("""COMPUTED_VALUE"""),"75.88")</f>
        <v/>
      </c>
      <c r="F34" s="18">
        <f>IFERROR(__xludf.DUMMYFUNCTION("""COMPUTED_VALUE"""),"80.58")</f>
        <v/>
      </c>
      <c r="G34" s="18">
        <f>IFERROR(__xludf.DUMMYFUNCTION("""COMPUTED_VALUE"""),"85")</f>
        <v/>
      </c>
      <c r="H34" s="18">
        <f>IFERROR(__xludf.DUMMYFUNCTION("""COMPUTED_VALUE"""),"88.89")</f>
        <v/>
      </c>
      <c r="I34" s="18">
        <f>IFERROR(__xludf.DUMMYFUNCTION("""COMPUTED_VALUE"""),"5")</f>
        <v/>
      </c>
      <c r="J34" s="1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8" t="n"/>
      <c r="L34" s="18">
        <f>IFERROR(__xludf.DUMMYFUNCTION("""COMPUTED_VALUE"""),"Tablet Manufacturing")</f>
        <v/>
      </c>
      <c r="M34" s="18">
        <f>IFERROR(__xludf.DUMMYFUNCTION("""COMPUTED_VALUE"""),"Product")</f>
        <v/>
      </c>
      <c r="N34" s="18">
        <f>IFERROR(__xludf.DUMMYFUNCTION("""COMPUTED_VALUE"""),"ข้อ 105 ชุด 1 (เฉลยข้อ จ)")</f>
        <v/>
      </c>
      <c r="O34" s="18">
        <f>IFERROR(__xludf.DUMMYFUNCTION("""COMPUTED_VALUE"""),"Mock")</f>
        <v/>
      </c>
      <c r="P34" s="18">
        <f>IFERROR(__xludf.DUMMYFUNCTION("""COMPUTED_VALUE"""),"ชุด 1")</f>
        <v/>
      </c>
    </row>
    <row r="35">
      <c r="A35" s="18">
        <f>IFERROR(__xludf.DUMMYFUNCTION("""COMPUTED_VALUE"""),"106")</f>
        <v/>
      </c>
      <c r="B35" s="1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8" t="n"/>
      <c r="D35" s="18">
        <f>IFERROR(__xludf.DUMMYFUNCTION("""COMPUTED_VALUE"""),"Preservatives")</f>
        <v/>
      </c>
      <c r="E35" s="18">
        <f>IFERROR(__xludf.DUMMYFUNCTION("""COMPUTED_VALUE"""),"Suspending agent")</f>
        <v/>
      </c>
      <c r="F35" s="18">
        <f>IFERROR(__xludf.DUMMYFUNCTION("""COMPUTED_VALUE"""),"Sweetening agent")</f>
        <v/>
      </c>
      <c r="G35" s="18">
        <f>IFERROR(__xludf.DUMMYFUNCTION("""COMPUTED_VALUE"""),"Coloring agent")</f>
        <v/>
      </c>
      <c r="H35" s="18">
        <f>IFERROR(__xludf.DUMMYFUNCTION("""COMPUTED_VALUE"""),"Active ingredient")</f>
        <v/>
      </c>
      <c r="I35" s="18">
        <f>IFERROR(__xludf.DUMMYFUNCTION("""COMPUTED_VALUE"""),"2")</f>
        <v/>
      </c>
      <c r="J35" s="1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8" t="n"/>
      <c r="L35" s="18">
        <f>IFERROR(__xludf.DUMMYFUNCTION("""COMPUTED_VALUE"""),"Tablet Manufacturing")</f>
        <v/>
      </c>
      <c r="M35" s="18">
        <f>IFERROR(__xludf.DUMMYFUNCTION("""COMPUTED_VALUE"""),"Product")</f>
        <v/>
      </c>
      <c r="N35" s="18">
        <f>IFERROR(__xludf.DUMMYFUNCTION("""COMPUTED_VALUE"""),"ข้อ 106 ชุด 1 (เฉลยข้อ ข)")</f>
        <v/>
      </c>
      <c r="O35" s="18">
        <f>IFERROR(__xludf.DUMMYFUNCTION("""COMPUTED_VALUE"""),"Mock")</f>
        <v/>
      </c>
      <c r="P35" s="18">
        <f>IFERROR(__xludf.DUMMYFUNCTION("""COMPUTED_VALUE"""),"ชุด 1")</f>
        <v/>
      </c>
    </row>
    <row r="36">
      <c r="A36" s="18">
        <f>IFERROR(__xludf.DUMMYFUNCTION("""COMPUTED_VALUE"""),"107")</f>
        <v/>
      </c>
      <c r="B36" s="1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8" t="n"/>
      <c r="D36" s="18">
        <f>IFERROR(__xludf.DUMMYFUNCTION("""COMPUTED_VALUE"""),"155 g")</f>
        <v/>
      </c>
      <c r="E36" s="18">
        <f>IFERROR(__xludf.DUMMYFUNCTION("""COMPUTED_VALUE"""),"175 g")</f>
        <v/>
      </c>
      <c r="F36" s="18">
        <f>IFERROR(__xludf.DUMMYFUNCTION("""COMPUTED_VALUE"""),"180 g")</f>
        <v/>
      </c>
      <c r="G36" s="18">
        <f>IFERROR(__xludf.DUMMYFUNCTION("""COMPUTED_VALUE"""),"197 g")</f>
        <v/>
      </c>
      <c r="H36" s="18">
        <f>IFERROR(__xludf.DUMMYFUNCTION("""COMPUTED_VALUE"""),"200 g")</f>
        <v/>
      </c>
      <c r="I36" s="18">
        <f>IFERROR(__xludf.DUMMYFUNCTION("""COMPUTED_VALUE"""),"3")</f>
        <v/>
      </c>
      <c r="J36" s="1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200"&amp;"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8" t="n"/>
      <c r="L36" s="18">
        <f>IFERROR(__xludf.DUMMYFUNCTION("""COMPUTED_VALUE"""),"Tablet Manufacturing")</f>
        <v/>
      </c>
      <c r="M36" s="18">
        <f>IFERROR(__xludf.DUMMYFUNCTION("""COMPUTED_VALUE"""),"Product")</f>
        <v/>
      </c>
      <c r="N36" s="18">
        <f>IFERROR(__xludf.DUMMYFUNCTION("""COMPUTED_VALUE"""),"ข้อ 107 ชุด 1 (เฉลยข้อ ค)")</f>
        <v/>
      </c>
      <c r="O36" s="18">
        <f>IFERROR(__xludf.DUMMYFUNCTION("""COMPUTED_VALUE"""),"Mock")</f>
        <v/>
      </c>
      <c r="P36" s="18">
        <f>IFERROR(__xludf.DUMMYFUNCTION("""COMPUTED_VALUE"""),"ชุด 1")</f>
        <v/>
      </c>
    </row>
    <row r="37">
      <c r="A37" s="18">
        <f>IFERROR(__xludf.DUMMYFUNCTION("""COMPUTED_VALUE"""),"108")</f>
        <v/>
      </c>
      <c r="B37" s="18">
        <f>IFERROR(__xludf.DUMMYFUNCTION("""COMPUTED_VALUE"""),"ในการเตรียม D-5-S จำนวน 100 ขวด (ขวดละ 1000 mL) จะต้องใช้ NaCl หนักเท่าใด")</f>
        <v/>
      </c>
      <c r="C37" s="18" t="n"/>
      <c r="D37" s="18">
        <f>IFERROR(__xludf.DUMMYFUNCTION("""COMPUTED_VALUE"""),"45 กรัม")</f>
        <v/>
      </c>
      <c r="E37" s="18">
        <f>IFERROR(__xludf.DUMMYFUNCTION("""COMPUTED_VALUE"""),"450 กรัม")</f>
        <v/>
      </c>
      <c r="F37" s="18">
        <f>IFERROR(__xludf.DUMMYFUNCTION("""COMPUTED_VALUE"""),"90 กรัม")</f>
        <v/>
      </c>
      <c r="G37" s="18">
        <f>IFERROR(__xludf.DUMMYFUNCTION("""COMPUTED_VALUE"""),"900 กรัม")</f>
        <v/>
      </c>
      <c r="H37" s="18">
        <f>IFERROR(__xludf.DUMMYFUNCTION("""COMPUTED_VALUE"""),"ไม่มีคำตอบใดถูก")</f>
        <v/>
      </c>
      <c r="I37" s="18">
        <f>IFERROR(__xludf.DUMMYFUNCTION("""COMPUTED_VALUE"""),"4")</f>
        <v/>
      </c>
      <c r="J37" s="1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8" t="n"/>
      <c r="L37" s="18">
        <f>IFERROR(__xludf.DUMMYFUNCTION("""COMPUTED_VALUE"""),"Tablet Manufacturing")</f>
        <v/>
      </c>
      <c r="M37" s="18">
        <f>IFERROR(__xludf.DUMMYFUNCTION("""COMPUTED_VALUE"""),"Product")</f>
        <v/>
      </c>
      <c r="N37" s="18">
        <f>IFERROR(__xludf.DUMMYFUNCTION("""COMPUTED_VALUE"""),"ข้อ 108 ชุด 1 (เฉลยข้อ ง)")</f>
        <v/>
      </c>
      <c r="O37" s="18">
        <f>IFERROR(__xludf.DUMMYFUNCTION("""COMPUTED_VALUE"""),"Mock")</f>
        <v/>
      </c>
      <c r="P37" s="18">
        <f>IFERROR(__xludf.DUMMYFUNCTION("""COMPUTED_VALUE"""),"ชุด 1")</f>
        <v/>
      </c>
    </row>
    <row r="38">
      <c r="A38" s="18">
        <f>IFERROR(__xludf.DUMMYFUNCTION("""COMPUTED_VALUE"""),"109")</f>
        <v/>
      </c>
      <c r="B38" s="1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8" t="n"/>
      <c r="D38" s="18">
        <f>IFERROR(__xludf.DUMMYFUNCTION("""COMPUTED_VALUE"""),"Hot air oven 160 องศาเซลเซียส นาน 3 ชั่วโมง")</f>
        <v/>
      </c>
      <c r="E38" s="18">
        <f>IFERROR(__xludf.DUMMYFUNCTION("""COMPUTED_VALUE"""),"Hot air oven 121 องศาเซลเซียส นาน 20-30 นาที")</f>
        <v/>
      </c>
      <c r="F38" s="18">
        <f>IFERROR(__xludf.DUMMYFUNCTION("""COMPUTED_VALUE"""),"Autoclave 121 องศาเซลเซียส นาน 20-30 นาที")</f>
        <v/>
      </c>
      <c r="G38" s="18">
        <f>IFERROR(__xludf.DUMMYFUNCTION("""COMPUTED_VALUE"""),"Autoclave 160 องศาเซลเซียส นาน 3 ชั่วโมง")</f>
        <v/>
      </c>
      <c r="H38" s="18">
        <f>IFERROR(__xludf.DUMMYFUNCTION("""COMPUTED_VALUE"""),"Autoclave 100 องศาเซลเซียส นาน 30 นาที")</f>
        <v/>
      </c>
      <c r="I38" s="18">
        <f>IFERROR(__xludf.DUMMYFUNCTION("""COMPUTED_VALUE"""),"3")</f>
        <v/>
      </c>
      <c r="J38" s="1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8" t="n"/>
      <c r="L38" s="18">
        <f>IFERROR(__xludf.DUMMYFUNCTION("""COMPUTED_VALUE"""),"Tablet Manufacturing")</f>
        <v/>
      </c>
      <c r="M38" s="18">
        <f>IFERROR(__xludf.DUMMYFUNCTION("""COMPUTED_VALUE"""),"Product")</f>
        <v/>
      </c>
      <c r="N38" s="18">
        <f>IFERROR(__xludf.DUMMYFUNCTION("""COMPUTED_VALUE"""),"ข้อ 109 ชุด 1 (เฉลยข้อ ค)")</f>
        <v/>
      </c>
      <c r="O38" s="18">
        <f>IFERROR(__xludf.DUMMYFUNCTION("""COMPUTED_VALUE"""),"Mock")</f>
        <v/>
      </c>
      <c r="P38" s="18">
        <f>IFERROR(__xludf.DUMMYFUNCTION("""COMPUTED_VALUE"""),"ชุด 1")</f>
        <v/>
      </c>
    </row>
    <row r="39">
      <c r="A39" s="18">
        <f>IFERROR(__xludf.DUMMYFUNCTION("""COMPUTED_VALUE"""),"122")</f>
        <v/>
      </c>
      <c r="B39" s="18">
        <f>IFERROR(__xludf.DUMMYFUNCTION("""COMPUTED_VALUE"""),"ยา ISDN เหมาะกับอาการขณะกำเริบ คือ dosage form ใด")</f>
        <v/>
      </c>
      <c r="C39" s="18" t="n"/>
      <c r="D39" s="18">
        <f>IFERROR(__xludf.DUMMYFUNCTION("""COMPUTED_VALUE"""),"Extent release")</f>
        <v/>
      </c>
      <c r="E39" s="18">
        <f>IFERROR(__xludf.DUMMYFUNCTION("""COMPUTED_VALUE"""),"Ointment")</f>
        <v/>
      </c>
      <c r="F39" s="18">
        <f>IFERROR(__xludf.DUMMYFUNCTION("""COMPUTED_VALUE"""),"Solution")</f>
        <v/>
      </c>
      <c r="G39" s="18">
        <f>IFERROR(__xludf.DUMMYFUNCTION("""COMPUTED_VALUE"""),"Sublingual tablet")</f>
        <v/>
      </c>
      <c r="H39" s="18">
        <f>IFERROR(__xludf.DUMMYFUNCTION("""COMPUTED_VALUE"""),"Transdermal")</f>
        <v/>
      </c>
      <c r="I39" s="18">
        <f>IFERROR(__xludf.DUMMYFUNCTION("""COMPUTED_VALUE"""),"4")</f>
        <v/>
      </c>
      <c r="J39" s="1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8" t="n"/>
      <c r="L39" s="18">
        <f>IFERROR(__xludf.DUMMYFUNCTION("""COMPUTED_VALUE"""),"Tablet Manufacturing")</f>
        <v/>
      </c>
      <c r="M39" s="18">
        <f>IFERROR(__xludf.DUMMYFUNCTION("""COMPUTED_VALUE"""),"Product")</f>
        <v/>
      </c>
      <c r="N39" s="18">
        <f>IFERROR(__xludf.DUMMYFUNCTION("""COMPUTED_VALUE"""),"ข้อ 122 ชุด 1 (เฉลยข้อ ง)")</f>
        <v/>
      </c>
      <c r="O39" s="18">
        <f>IFERROR(__xludf.DUMMYFUNCTION("""COMPUTED_VALUE"""),"Mock")</f>
        <v/>
      </c>
      <c r="P39" s="18">
        <f>IFERROR(__xludf.DUMMYFUNCTION("""COMPUTED_VALUE"""),"ชุด 1")</f>
        <v/>
      </c>
    </row>
    <row r="40">
      <c r="A40" s="18">
        <f>IFERROR(__xludf.DUMMYFUNCTION("""COMPUTED_VALUE"""),"123")</f>
        <v/>
      </c>
      <c r="B40" s="18">
        <f>IFERROR(__xludf.DUMMYFUNCTION("""COMPUTED_VALUE"""),"ยาที่ผู้ป่วยได้รับก่อนมารพ. คือ nifedipine SR เป็นการปลดยารูปแบบใด")</f>
        <v/>
      </c>
      <c r="C40" s="18" t="n"/>
      <c r="D40" s="18">
        <f>IFERROR(__xludf.DUMMYFUNCTION("""COMPUTED_VALUE"""),"ปลดปล่อยยาทันทีหลังรับประทานอาหาร")</f>
        <v/>
      </c>
      <c r="E40" s="18">
        <f>IFERROR(__xludf.DUMMYFUNCTION("""COMPUTED_VALUE"""),"ปลดปล่อยยาอย่างเร็ว")</f>
        <v/>
      </c>
      <c r="F40" s="18">
        <f>IFERROR(__xludf.DUMMYFUNCTION("""COMPUTED_VALUE"""),"ปลดปล่อยยาในปริมาณที่แน่นอน")</f>
        <v/>
      </c>
      <c r="G40" s="18">
        <f>IFERROR(__xludf.DUMMYFUNCTION("""COMPUTED_VALUE"""),"ค่อย ๆ ปล่อยยาออกมาอย่าง ช้า ๆ")</f>
        <v/>
      </c>
      <c r="H40" s="18">
        <f>IFERROR(__xludf.DUMMYFUNCTION("""COMPUTED_VALUE"""),"ค่อย ๆปลดปล่อยยาออกมาในปริมาณน้อย")</f>
        <v/>
      </c>
      <c r="I40" s="18">
        <f>IFERROR(__xludf.DUMMYFUNCTION("""COMPUTED_VALUE"""),"4")</f>
        <v/>
      </c>
      <c r="J40" s="1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8" t="n"/>
      <c r="L40" s="18">
        <f>IFERROR(__xludf.DUMMYFUNCTION("""COMPUTED_VALUE"""),"Tablet Manufacturing")</f>
        <v/>
      </c>
      <c r="M40" s="18">
        <f>IFERROR(__xludf.DUMMYFUNCTION("""COMPUTED_VALUE"""),"Product")</f>
        <v/>
      </c>
      <c r="N40" s="18">
        <f>IFERROR(__xludf.DUMMYFUNCTION("""COMPUTED_VALUE"""),"ข้อ 123 ชุด 1 (เฉลยข้อ ง)")</f>
        <v/>
      </c>
      <c r="O40" s="18">
        <f>IFERROR(__xludf.DUMMYFUNCTION("""COMPUTED_VALUE"""),"Mock")</f>
        <v/>
      </c>
      <c r="P40" s="18">
        <f>IFERROR(__xludf.DUMMYFUNCTION("""COMPUTED_VALUE"""),"ชุด 1")</f>
        <v/>
      </c>
    </row>
    <row r="41">
      <c r="A41" s="18">
        <f>IFERROR(__xludf.DUMMYFUNCTION("""COMPUTED_VALUE"""),"124")</f>
        <v/>
      </c>
      <c r="B41" s="1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8" t="n"/>
      <c r="D41" s="18">
        <f>IFERROR(__xludf.DUMMYFUNCTION("""COMPUTED_VALUE"""),"นำไปปั่นเหวี่ยงที่ความเร็วรอบ 3,750 รอบ/นาที เป็นเวลา 5 ชั่วโมง")</f>
        <v/>
      </c>
      <c r="E41" s="18">
        <f>IFERROR(__xludf.DUMMYFUNCTION("""COMPUTED_VALUE"""),"นำไปเก็บไว้ที่อุณหภูมิ 180 C เป็นเวลา 12 ชั่วโมง")</f>
        <v/>
      </c>
      <c r="F41" s="18">
        <f>IFERROR(__xludf.DUMMYFUNCTION("""COMPUTED_VALUE"""),"นำไปเก็บไว้ที่อุณหภูมิ -5 C สลับกับ 40 C ทุก ๆ 24 ชั่วโมง เป็นจำนวน 24 รอบ")</f>
        <v/>
      </c>
      <c r="G41" s="18">
        <f>IFERROR(__xludf.DUMMYFUNCTION("""COMPUTED_VALUE"""),"นำไปเก็บไว้ที่อุณหภูมิ 4 C, 25 C และ 45 Cเป็นเวลา 6 เดือน")</f>
        <v/>
      </c>
      <c r="H41" s="18">
        <f>IFERROR(__xludf.DUMMYFUNCTION("""COMPUTED_VALUE"""),"นำไปเก็บไว้ที่อุณหภูมิ 25 C เป็นเวลา 2 ปี")</f>
        <v/>
      </c>
      <c r="I41" s="18">
        <f>IFERROR(__xludf.DUMMYFUNCTION("""COMPUTED_VALUE"""),"2")</f>
        <v/>
      </c>
      <c r="J41" s="1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8" t="n"/>
      <c r="L41" s="18">
        <f>IFERROR(__xludf.DUMMYFUNCTION("""COMPUTED_VALUE"""),"Tablet Manufacturing")</f>
        <v/>
      </c>
      <c r="M41" s="18">
        <f>IFERROR(__xludf.DUMMYFUNCTION("""COMPUTED_VALUE"""),"Product")</f>
        <v/>
      </c>
      <c r="N41" s="18">
        <f>IFERROR(__xludf.DUMMYFUNCTION("""COMPUTED_VALUE"""),"ข้อ 124 ชุด 1 (เฉลยข้อ ข)")</f>
        <v/>
      </c>
      <c r="O41" s="18">
        <f>IFERROR(__xludf.DUMMYFUNCTION("""COMPUTED_VALUE"""),"Mock")</f>
        <v/>
      </c>
      <c r="P41" s="18">
        <f>IFERROR(__xludf.DUMMYFUNCTION("""COMPUTED_VALUE"""),"ชุด 1")</f>
        <v/>
      </c>
    </row>
    <row r="42">
      <c r="A42" s="18">
        <f>IFERROR(__xludf.DUMMYFUNCTION("""COMPUTED_VALUE"""),"125")</f>
        <v/>
      </c>
      <c r="B42" s="18">
        <f>IFERROR(__xludf.DUMMYFUNCTION("""COMPUTED_VALUE"""),"ข้อมูลข้อมีความจำเป็นน้อยที่สุดในการนำพริกมาบรรจุในแคปซูลเพื่อรับประทาน")</f>
        <v/>
      </c>
      <c r="C42" s="18" t="n"/>
      <c r="D42" s="18">
        <f>IFERROR(__xludf.DUMMYFUNCTION("""COMPUTED_VALUE"""),"Solubility")</f>
        <v/>
      </c>
      <c r="E42" s="18">
        <f>IFERROR(__xludf.DUMMYFUNCTION("""COMPUTED_VALUE"""),"Angle of repose")</f>
        <v/>
      </c>
      <c r="F42" s="18">
        <f>IFERROR(__xludf.DUMMYFUNCTION("""COMPUTED_VALUE"""),"Capsule's size and volume")</f>
        <v/>
      </c>
      <c r="G42" s="18">
        <f>IFERROR(__xludf.DUMMYFUNCTION("""COMPUTED_VALUE"""),"Tap density")</f>
        <v/>
      </c>
      <c r="H42" s="18">
        <f>IFERROR(__xludf.DUMMYFUNCTION("""COMPUTED_VALUE"""),"Therapeutic dose")</f>
        <v/>
      </c>
      <c r="I42" s="18">
        <f>IFERROR(__xludf.DUMMYFUNCTION("""COMPUTED_VALUE"""),"1")</f>
        <v/>
      </c>
      <c r="J42" s="1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8" t="n"/>
      <c r="L42" s="18">
        <f>IFERROR(__xludf.DUMMYFUNCTION("""COMPUTED_VALUE"""),"Hard &amp; Soft Gelatin Capsules")</f>
        <v/>
      </c>
      <c r="M42" s="18">
        <f>IFERROR(__xludf.DUMMYFUNCTION("""COMPUTED_VALUE"""),"Product")</f>
        <v/>
      </c>
      <c r="N42" s="18">
        <f>IFERROR(__xludf.DUMMYFUNCTION("""COMPUTED_VALUE"""),"ข้อ 125 ชุด 1 (เฉลยข้อ ก)")</f>
        <v/>
      </c>
      <c r="O42" s="18">
        <f>IFERROR(__xludf.DUMMYFUNCTION("""COMPUTED_VALUE"""),"Mock")</f>
        <v/>
      </c>
      <c r="P42" s="18">
        <f>IFERROR(__xludf.DUMMYFUNCTION("""COMPUTED_VALUE"""),"ชุด 1")</f>
        <v/>
      </c>
    </row>
    <row r="43">
      <c r="A43" s="18">
        <f>IFERROR(__xludf.DUMMYFUNCTION("""COMPUTED_VALUE"""),"126")</f>
        <v/>
      </c>
      <c r="B43" s="1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8" t="n"/>
      <c r="D43" s="18">
        <f>IFERROR(__xludf.DUMMYFUNCTION("""COMPUTED_VALUE"""),"ใช้ 25% NaHCO3 6 mL และปรับปริมาตรให้ได้ 100 mL")</f>
        <v/>
      </c>
      <c r="E43" s="18">
        <f>IFERROR(__xludf.DUMMYFUNCTION("""COMPUTED_VALUE"""),"ใช้ 25% NaHCO3 6 mL และปรับปริมาตรให้ได้ 30 mL")</f>
        <v/>
      </c>
      <c r="F43" s="18">
        <f>IFERROR(__xludf.DUMMYFUNCTION("""COMPUTED_VALUE"""),"ใช้ 25% NaHCO3 20 mL และปรับปริมาตรให้ได้ 100 mL")</f>
        <v/>
      </c>
      <c r="G43" s="18">
        <f>IFERROR(__xludf.DUMMYFUNCTION("""COMPUTED_VALUE"""),"ใช้ 25% NaHCO3 20 mL และปรับปริมาตรให้ได้ 30 mL")</f>
        <v/>
      </c>
      <c r="H43" s="18">
        <f>IFERROR(__xludf.DUMMYFUNCTION("""COMPUTED_VALUE"""),"ใช้ 25% NaHCO3 10 mL และปรับปริมาตรให้ได้ 100 mL")</f>
        <v/>
      </c>
      <c r="I43" s="18">
        <f>IFERROR(__xludf.DUMMYFUNCTION("""COMPUTED_VALUE"""),"2")</f>
        <v/>
      </c>
      <c r="J43" s="1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8" t="n"/>
      <c r="L43" s="18">
        <f>IFERROR(__xludf.DUMMYFUNCTION("""COMPUTED_VALUE"""),"Tablet Manufacturing")</f>
        <v/>
      </c>
      <c r="M43" s="18">
        <f>IFERROR(__xludf.DUMMYFUNCTION("""COMPUTED_VALUE"""),"Product")</f>
        <v/>
      </c>
      <c r="N43" s="18">
        <f>IFERROR(__xludf.DUMMYFUNCTION("""COMPUTED_VALUE"""),"ข้อ 126 ชุด 1 (เฉลยข้อ ข)")</f>
        <v/>
      </c>
      <c r="O43" s="18">
        <f>IFERROR(__xludf.DUMMYFUNCTION("""COMPUTED_VALUE"""),"Mock")</f>
        <v/>
      </c>
      <c r="P43" s="18">
        <f>IFERROR(__xludf.DUMMYFUNCTION("""COMPUTED_VALUE"""),"ชุด 1")</f>
        <v/>
      </c>
    </row>
    <row r="44">
      <c r="A44" s="18">
        <f>IFERROR(__xludf.DUMMYFUNCTION("""COMPUTED_VALUE"""),"127")</f>
        <v/>
      </c>
      <c r="B44" s="18">
        <f>IFERROR(__xludf.DUMMYFUNCTION("""COMPUTED_VALUE"""),"เมื่อเตรียมตำรับยาข้างต้นในข้อ 126 ส่วนประกอบใดไม่จำเป็นในการเตรียมยาใช้ในช่องหู")</f>
        <v/>
      </c>
      <c r="C44" s="18" t="n"/>
      <c r="D44" s="18">
        <f>IFERROR(__xludf.DUMMYFUNCTION("""COMPUTED_VALUE"""),"Antioxidant")</f>
        <v/>
      </c>
      <c r="E44" s="18">
        <f>IFERROR(__xludf.DUMMYFUNCTION("""COMPUTED_VALUE"""),"Buffering agent")</f>
        <v/>
      </c>
      <c r="F44" s="18">
        <f>IFERROR(__xludf.DUMMYFUNCTION("""COMPUTED_VALUE"""),"Structure vehicle")</f>
        <v/>
      </c>
      <c r="G44" s="18">
        <f>IFERROR(__xludf.DUMMYFUNCTION("""COMPUTED_VALUE"""),"Preservative")</f>
        <v/>
      </c>
      <c r="H44" s="18">
        <f>IFERROR(__xludf.DUMMYFUNCTION("""COMPUTED_VALUE"""),"Viscosity agent")</f>
        <v/>
      </c>
      <c r="I44" s="18">
        <f>IFERROR(__xludf.DUMMYFUNCTION("""COMPUTED_VALUE"""),"2")</f>
        <v/>
      </c>
      <c r="J44" s="1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8" t="n"/>
      <c r="L44" s="18">
        <f>IFERROR(__xludf.DUMMYFUNCTION("""COMPUTED_VALUE"""),"Tablet Manufacturing")</f>
        <v/>
      </c>
      <c r="M44" s="18">
        <f>IFERROR(__xludf.DUMMYFUNCTION("""COMPUTED_VALUE"""),"Product")</f>
        <v/>
      </c>
      <c r="N44" s="18">
        <f>IFERROR(__xludf.DUMMYFUNCTION("""COMPUTED_VALUE"""),"ข้อ 127 ชุด 1 (เฉลยข้อ ข)")</f>
        <v/>
      </c>
      <c r="O44" s="18">
        <f>IFERROR(__xludf.DUMMYFUNCTION("""COMPUTED_VALUE"""),"Mock")</f>
        <v/>
      </c>
      <c r="P44" s="18">
        <f>IFERROR(__xludf.DUMMYFUNCTION("""COMPUTED_VALUE"""),"ชุด 1")</f>
        <v/>
      </c>
    </row>
    <row r="45">
      <c r="A45" s="18">
        <f>IFERROR(__xludf.DUMMYFUNCTION("""COMPUTED_VALUE"""),"152")</f>
        <v/>
      </c>
      <c r="B45" s="1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8" t="n"/>
      <c r="D45" s="18">
        <f>IFERROR(__xludf.DUMMYFUNCTION("""COMPUTED_VALUE"""),"0.27 g")</f>
        <v/>
      </c>
      <c r="E45" s="18">
        <f>IFERROR(__xludf.DUMMYFUNCTION("""COMPUTED_VALUE"""),"0.18 g")</f>
        <v/>
      </c>
      <c r="F45" s="18">
        <f>IFERROR(__xludf.DUMMYFUNCTION("""COMPUTED_VALUE"""),"0.09 g")</f>
        <v/>
      </c>
      <c r="G45" s="18">
        <f>IFERROR(__xludf.DUMMYFUNCTION("""COMPUTED_VALUE"""),"0.04 g")</f>
        <v/>
      </c>
      <c r="H45" s="18">
        <f>IFERROR(__xludf.DUMMYFUNCTION("""COMPUTED_VALUE"""),"0.12 g")</f>
        <v/>
      </c>
      <c r="I45" s="18">
        <f>IFERROR(__xludf.DUMMYFUNCTION("""COMPUTED_VALUE"""),"3")</f>
        <v/>
      </c>
      <c r="J45" s="1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8" t="n"/>
      <c r="L45" s="18">
        <f>IFERROR(__xludf.DUMMYFUNCTION("""COMPUTED_VALUE"""),"Tablet Manufacturing")</f>
        <v/>
      </c>
      <c r="M45" s="18">
        <f>IFERROR(__xludf.DUMMYFUNCTION("""COMPUTED_VALUE"""),"Product")</f>
        <v/>
      </c>
      <c r="N45" s="18">
        <f>IFERROR(__xludf.DUMMYFUNCTION("""COMPUTED_VALUE"""),"ข้อ 152 ชุด 1 (เฉลยข้อ ค)")</f>
        <v/>
      </c>
      <c r="O45" s="18">
        <f>IFERROR(__xludf.DUMMYFUNCTION("""COMPUTED_VALUE"""),"Mock")</f>
        <v/>
      </c>
      <c r="P45" s="18">
        <f>IFERROR(__xludf.DUMMYFUNCTION("""COMPUTED_VALUE"""),"ชุด 1")</f>
        <v/>
      </c>
    </row>
    <row r="46">
      <c r="A46" s="18">
        <f>IFERROR(__xludf.DUMMYFUNCTION("""COMPUTED_VALUE"""),"153")</f>
        <v/>
      </c>
      <c r="B46" s="18">
        <f>IFERROR(__xludf.DUMMYFUNCTION("""COMPUTED_VALUE"""),"ข้อใดไม่เกี่ยวกับการควบคุมคุณภาพ ยาเม็ด norfloxacin")</f>
        <v/>
      </c>
      <c r="C46" s="18" t="n"/>
      <c r="D46" s="18">
        <f>IFERROR(__xludf.DUMMYFUNCTION("""COMPUTED_VALUE"""),"Content Uniformity")</f>
        <v/>
      </c>
      <c r="E46" s="18">
        <f>IFERROR(__xludf.DUMMYFUNCTION("""COMPUTED_VALUE"""),"Dissolution test")</f>
        <v/>
      </c>
      <c r="F46" s="18">
        <f>IFERROR(__xludf.DUMMYFUNCTION("""COMPUTED_VALUE"""),"Disintegration")</f>
        <v/>
      </c>
      <c r="G46" s="18">
        <f>IFERROR(__xludf.DUMMYFUNCTION("""COMPUTED_VALUE"""),"Weight Variation")</f>
        <v/>
      </c>
      <c r="H46" s="18">
        <f>IFERROR(__xludf.DUMMYFUNCTION("""COMPUTED_VALUE"""),"Limulus Amoebocyte Lysate test")</f>
        <v/>
      </c>
      <c r="I46" s="18">
        <f>IFERROR(__xludf.DUMMYFUNCTION("""COMPUTED_VALUE"""),"5")</f>
        <v/>
      </c>
      <c r="J46" s="1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8" t="n"/>
      <c r="L46" s="18">
        <f>IFERROR(__xludf.DUMMYFUNCTION("""COMPUTED_VALUE"""),"Tablet Manufacturing")</f>
        <v/>
      </c>
      <c r="M46" s="18">
        <f>IFERROR(__xludf.DUMMYFUNCTION("""COMPUTED_VALUE"""),"Product")</f>
        <v/>
      </c>
      <c r="N46" s="18">
        <f>IFERROR(__xludf.DUMMYFUNCTION("""COMPUTED_VALUE"""),"ข้อ 153 ชุด 1 (เฉลยข้อ จ)")</f>
        <v/>
      </c>
      <c r="O46" s="18">
        <f>IFERROR(__xludf.DUMMYFUNCTION("""COMPUTED_VALUE"""),"Mock")</f>
        <v/>
      </c>
      <c r="P46" s="18">
        <f>IFERROR(__xludf.DUMMYFUNCTION("""COMPUTED_VALUE"""),"ชุด 1")</f>
        <v/>
      </c>
    </row>
    <row r="47">
      <c r="A47" s="18">
        <f>IFERROR(__xludf.DUMMYFUNCTION("""COMPUTED_VALUE"""),"154")</f>
        <v/>
      </c>
      <c r="B47" s="18">
        <f>IFERROR(__xludf.DUMMYFUNCTION("""COMPUTED_VALUE"""),"สารทำ emulsion ที่ดีของยาครีม isotretinoin ควรมีคุณสมบัติ")</f>
        <v/>
      </c>
      <c r="C47" s="18" t="n"/>
      <c r="D47" s="18">
        <f>IFERROR(__xludf.DUMMYFUNCTION("""COMPUTED_VALUE"""),"ลดแรงตึงผิว")</f>
        <v/>
      </c>
      <c r="E47" s="18">
        <f>IFERROR(__xludf.DUMMYFUNCTION("""COMPUTED_VALUE"""),"เพิ่มความหนืดให้กับครีม")</f>
        <v/>
      </c>
      <c r="F47" s="18">
        <f>IFERROR(__xludf.DUMMYFUNCTION("""COMPUTED_VALUE"""),"ให้ศักย์ไฟฟ้าที่เหมาะสมเพื่อให้เกิดแรงผลักของหยด")</f>
        <v/>
      </c>
      <c r="G47" s="18">
        <f>IFERROR(__xludf.DUMMYFUNCTION("""COMPUTED_VALUE"""),"มีประสิทธิภาพความเข้มข้นต่ำ")</f>
        <v/>
      </c>
      <c r="H47" s="18">
        <f>IFERROR(__xludf.DUMMYFUNCTION("""COMPUTED_VALUE"""),"ถูกทุกข้อ")</f>
        <v/>
      </c>
      <c r="I47" s="18">
        <f>IFERROR(__xludf.DUMMYFUNCTION("""COMPUTED_VALUE"""),"5")</f>
        <v/>
      </c>
      <c r="J47" s="1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8" t="n"/>
      <c r="L47" s="18">
        <f>IFERROR(__xludf.DUMMYFUNCTION("""COMPUTED_VALUE"""),"Tablet Manufacturing")</f>
        <v/>
      </c>
      <c r="M47" s="18">
        <f>IFERROR(__xludf.DUMMYFUNCTION("""COMPUTED_VALUE"""),"Product")</f>
        <v/>
      </c>
      <c r="N47" s="18">
        <f>IFERROR(__xludf.DUMMYFUNCTION("""COMPUTED_VALUE"""),"ข้อ 154 ชุด 1 (เฉลยข้อ จ)")</f>
        <v/>
      </c>
      <c r="O47" s="18">
        <f>IFERROR(__xludf.DUMMYFUNCTION("""COMPUTED_VALUE"""),"Mock")</f>
        <v/>
      </c>
      <c r="P47" s="18">
        <f>IFERROR(__xludf.DUMMYFUNCTION("""COMPUTED_VALUE"""),"ชุด 1")</f>
        <v/>
      </c>
    </row>
    <row r="48">
      <c r="A48" s="18">
        <f>IFERROR(__xludf.DUMMYFUNCTION("""COMPUTED_VALUE"""),"155")</f>
        <v/>
      </c>
      <c r="B48" s="1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8" t="n"/>
      <c r="D48" s="18">
        <f>IFERROR(__xludf.DUMMYFUNCTION("""COMPUTED_VALUE"""),"Sodium alginate, bentonite, methylcellulose")</f>
        <v/>
      </c>
      <c r="E48" s="18">
        <f>IFERROR(__xludf.DUMMYFUNCTION("""COMPUTED_VALUE"""),"Tragacanth, carbomer, methylcellulose")</f>
        <v/>
      </c>
      <c r="F48" s="18">
        <f>IFERROR(__xludf.DUMMYFUNCTION("""COMPUTED_VALUE"""),"Carbomer, methylcellulose, hydroxypropyl cellulose")</f>
        <v/>
      </c>
      <c r="G48" s="18">
        <f>IFERROR(__xludf.DUMMYFUNCTION("""COMPUTED_VALUE"""),"Pectin, guar gum, carbomer")</f>
        <v/>
      </c>
      <c r="H48" s="18">
        <f>IFERROR(__xludf.DUMMYFUNCTION("""COMPUTED_VALUE"""),"Tragacanth, carboxymethylcellulose, carbomer")</f>
        <v/>
      </c>
      <c r="I48" s="18">
        <f>IFERROR(__xludf.DUMMYFUNCTION("""COMPUTED_VALUE"""),"5")</f>
        <v/>
      </c>
      <c r="J48" s="1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8" t="n"/>
      <c r="L48" s="18">
        <f>IFERROR(__xludf.DUMMYFUNCTION("""COMPUTED_VALUE"""),"Tablet Manufacturing")</f>
        <v/>
      </c>
      <c r="M48" s="18">
        <f>IFERROR(__xludf.DUMMYFUNCTION("""COMPUTED_VALUE"""),"Product")</f>
        <v/>
      </c>
      <c r="N48" s="18">
        <f>IFERROR(__xludf.DUMMYFUNCTION("""COMPUTED_VALUE"""),"ข้อ 155 ชุด 1 (เฉลยข้อ จ)")</f>
        <v/>
      </c>
      <c r="O48" s="18">
        <f>IFERROR(__xludf.DUMMYFUNCTION("""COMPUTED_VALUE"""),"Mock")</f>
        <v/>
      </c>
      <c r="P48" s="18">
        <f>IFERROR(__xludf.DUMMYFUNCTION("""COMPUTED_VALUE"""),"ชุด 1")</f>
        <v/>
      </c>
    </row>
    <row r="49">
      <c r="A49" s="18">
        <f>IFERROR(__xludf.DUMMYFUNCTION("""COMPUTED_VALUE"""),"156")</f>
        <v/>
      </c>
      <c r="B49" s="1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8" t="n"/>
      <c r="D49" s="18">
        <f>IFERROR(__xludf.DUMMYFUNCTION("""COMPUTED_VALUE"""),"Mineral oil")</f>
        <v/>
      </c>
      <c r="E49" s="18">
        <f>IFERROR(__xludf.DUMMYFUNCTION("""COMPUTED_VALUE"""),"Carbopol")</f>
        <v/>
      </c>
      <c r="F49" s="18">
        <f>IFERROR(__xludf.DUMMYFUNCTION("""COMPUTED_VALUE"""),"White beeswax")</f>
        <v/>
      </c>
      <c r="G49" s="18">
        <f>IFERROR(__xludf.DUMMYFUNCTION("""COMPUTED_VALUE"""),"PEG 4000")</f>
        <v/>
      </c>
      <c r="H49" s="18">
        <f>IFERROR(__xludf.DUMMYFUNCTION("""COMPUTED_VALUE"""),"Glycerin")</f>
        <v/>
      </c>
      <c r="I49" s="18">
        <f>IFERROR(__xludf.DUMMYFUNCTION("""COMPUTED_VALUE"""),"3")</f>
        <v/>
      </c>
      <c r="J49" s="1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8" t="n"/>
      <c r="L49" s="18">
        <f>IFERROR(__xludf.DUMMYFUNCTION("""COMPUTED_VALUE"""),"Tablet Manufacturing")</f>
        <v/>
      </c>
      <c r="M49" s="18">
        <f>IFERROR(__xludf.DUMMYFUNCTION("""COMPUTED_VALUE"""),"Product")</f>
        <v/>
      </c>
      <c r="N49" s="18">
        <f>IFERROR(__xludf.DUMMYFUNCTION("""COMPUTED_VALUE"""),"ข้อ 156 ชุด 1 (เฉลยข้อ ค)")</f>
        <v/>
      </c>
      <c r="O49" s="18">
        <f>IFERROR(__xludf.DUMMYFUNCTION("""COMPUTED_VALUE"""),"Mock")</f>
        <v/>
      </c>
      <c r="P49" s="18">
        <f>IFERROR(__xludf.DUMMYFUNCTION("""COMPUTED_VALUE"""),"ชุด 1")</f>
        <v/>
      </c>
    </row>
    <row r="50">
      <c r="A50" s="18">
        <f>IFERROR(__xludf.DUMMYFUNCTION("""COMPUTED_VALUE"""),"163")</f>
        <v/>
      </c>
      <c r="B50" s="18">
        <f>IFERROR(__xludf.DUMMYFUNCTION("""COMPUTED_VALUE"""),"สาร polymer ตัวใดนิยมใช้ในการทำ film coat tablet")</f>
        <v/>
      </c>
      <c r="C50" s="18" t="n"/>
      <c r="D50" s="18">
        <f>IFERROR(__xludf.DUMMYFUNCTION("""COMPUTED_VALUE"""),"HPMC")</f>
        <v/>
      </c>
      <c r="E50" s="18">
        <f>IFERROR(__xludf.DUMMYFUNCTION("""COMPUTED_VALUE"""),"CMC")</f>
        <v/>
      </c>
      <c r="F50" s="18">
        <f>IFERROR(__xludf.DUMMYFUNCTION("""COMPUTED_VALUE"""),"Polymeric methacrylates")</f>
        <v/>
      </c>
      <c r="G50" s="18">
        <f>IFERROR(__xludf.DUMMYFUNCTION("""COMPUTED_VALUE"""),"Carbopol")</f>
        <v/>
      </c>
      <c r="H50" s="18">
        <f>IFERROR(__xludf.DUMMYFUNCTION("""COMPUTED_VALUE"""),"Veegum")</f>
        <v/>
      </c>
      <c r="I50" s="18">
        <f>IFERROR(__xludf.DUMMYFUNCTION("""COMPUTED_VALUE"""),"1")</f>
        <v/>
      </c>
      <c r="J50" s="1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8" t="n"/>
      <c r="L50" s="18">
        <f>IFERROR(__xludf.DUMMYFUNCTION("""COMPUTED_VALUE"""),"Tablet Coating")</f>
        <v/>
      </c>
      <c r="M50" s="18">
        <f>IFERROR(__xludf.DUMMYFUNCTION("""COMPUTED_VALUE"""),"Product")</f>
        <v/>
      </c>
      <c r="N50" s="18">
        <f>IFERROR(__xludf.DUMMYFUNCTION("""COMPUTED_VALUE"""),"ข้อ 163 ชุด 1 (เฉลยข้อ ก)")</f>
        <v/>
      </c>
      <c r="O50" s="18">
        <f>IFERROR(__xludf.DUMMYFUNCTION("""COMPUTED_VALUE"""),"Mock")</f>
        <v/>
      </c>
      <c r="P50" s="18">
        <f>IFERROR(__xludf.DUMMYFUNCTION("""COMPUTED_VALUE"""),"ชุด 1")</f>
        <v/>
      </c>
    </row>
    <row r="51">
      <c r="A51" s="18">
        <f>IFERROR(__xludf.DUMMYFUNCTION("""COMPUTED_VALUE"""),"164")</f>
        <v/>
      </c>
      <c r="B51" s="18">
        <f>IFERROR(__xludf.DUMMYFUNCTION("""COMPUTED_VALUE"""),"ข้อใดกล่าวผิดเกี่ยวกับยารูปแบบเม็ด")</f>
        <v/>
      </c>
      <c r="C51" s="18" t="n"/>
      <c r="D51" s="18">
        <f>IFERROR(__xludf.DUMMYFUNCTION("""COMPUTED_VALUE"""),"การเตรียมยา solution ทำได้โดยการใช้ตัวทำละลายร่วมที่เป็น organic solvent เพื่อช่วยละลาย")</f>
        <v/>
      </c>
      <c r="E51" s="18">
        <f>IFERROR(__xludf.DUMMYFUNCTION("""COMPUTED_VALUE"""),"ยารูปแบบ solution มักมีค่าความต้านทานการไหลและแรงตึงผิวภายในสารละลายใกล้เคียงกับน้ำ")</f>
        <v/>
      </c>
      <c r="F51" s="18">
        <f>IFERROR(__xludf.DUMMYFUNCTION("""COMPUTED_VALUE"""),"Suspension ใช้เป็นยาฉีดเข้าหลอดเลือดได้ ถ้าขนาดอนุภาคเล็กมากๆ")</f>
        <v/>
      </c>
      <c r="G51" s="18">
        <f>IFERROR(__xludf.DUMMYFUNCTION("""COMPUTED_VALUE"""),"Emulsion ใช้เป็นอาหารทางหลอดเลือดดำได้แต่ควรเป็นการเตรียมใหม่ๆ")</f>
        <v/>
      </c>
      <c r="H51" s="18">
        <f>IFERROR(__xludf.DUMMYFUNCTION("""COMPUTED_VALUE"""),"การลดความเจ็บปวดเมื่อฉีดทำได้โดยเติมสารบางชนิดเช่น buffer")</f>
        <v/>
      </c>
      <c r="I51" s="18">
        <f>IFERROR(__xludf.DUMMYFUNCTION("""COMPUTED_VALUE"""),"1")</f>
        <v/>
      </c>
      <c r="J51" s="1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8" t="n"/>
      <c r="L51" s="18">
        <f>IFERROR(__xludf.DUMMYFUNCTION("""COMPUTED_VALUE"""),"Tablet Manufacturing")</f>
        <v/>
      </c>
      <c r="M51" s="18">
        <f>IFERROR(__xludf.DUMMYFUNCTION("""COMPUTED_VALUE"""),"Product")</f>
        <v/>
      </c>
      <c r="N51" s="18">
        <f>IFERROR(__xludf.DUMMYFUNCTION("""COMPUTED_VALUE"""),"ข้อ 164 ชุด 1 (เฉลยข้อ ไมมีคำตอบ)")</f>
        <v/>
      </c>
      <c r="O51" s="18">
        <f>IFERROR(__xludf.DUMMYFUNCTION("""COMPUTED_VALUE"""),"Mock")</f>
        <v/>
      </c>
      <c r="P51" s="18">
        <f>IFERROR(__xludf.DUMMYFUNCTION("""COMPUTED_VALUE"""),"ชุด 1")</f>
        <v/>
      </c>
    </row>
    <row r="52">
      <c r="A52" s="18">
        <f>IFERROR(__xludf.DUMMYFUNCTION("""COMPUTED_VALUE"""),"165")</f>
        <v/>
      </c>
      <c r="B52" s="18">
        <f>IFERROR(__xludf.DUMMYFUNCTION("""COMPUTED_VALUE"""),"ข้อใดถูกต้องที่สุดเกี่ยวกับ tonicity ของยาฉีด")</f>
        <v/>
      </c>
      <c r="C52" s="18" t="n"/>
      <c r="D52" s="18">
        <f>IFERROR(__xludf.DUMMYFUNCTION("""COMPUTED_VALUE"""),"จัดเป็น colligative property")</f>
        <v/>
      </c>
      <c r="E52" s="18">
        <f>IFERROR(__xludf.DUMMYFUNCTION("""COMPUTED_VALUE"""),"สามารถปรับได้โดยเติมสารบางชนิด เช่น phosphate acetate ซึ่งนิยมมาก")</f>
        <v/>
      </c>
      <c r="F52" s="18">
        <f>IFERROR(__xludf.DUMMYFUNCTION("""COMPUTED_VALUE"""),"การฉีด hypertonic solution ก่อให้เกิด cell lysis ได้")</f>
        <v/>
      </c>
      <c r="G52" s="18">
        <f>IFERROR(__xludf.DUMMYFUNCTION("""COMPUTED_VALUE"""),"การฉีดยา isotonic ต่อระบบเลือด มักเป็น isotonic ต่อเนื้อเยื่ออื่นด้วย")</f>
        <v/>
      </c>
      <c r="H52" s="18">
        <f>IFERROR(__xludf.DUMMYFUNCTION("""COMPUTED_VALUE"""),"Normal saline เป็นทั้ง isotonic และ iso-osmotic")</f>
        <v/>
      </c>
      <c r="I52" s="18">
        <f>IFERROR(__xludf.DUMMYFUNCTION("""COMPUTED_VALUE"""),"5")</f>
        <v/>
      </c>
      <c r="J52" s="1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8" t="n"/>
      <c r="L52" s="18">
        <f>IFERROR(__xludf.DUMMYFUNCTION("""COMPUTED_VALUE"""),"Tablet Manufacturing")</f>
        <v/>
      </c>
      <c r="M52" s="18">
        <f>IFERROR(__xludf.DUMMYFUNCTION("""COMPUTED_VALUE"""),"Product")</f>
        <v/>
      </c>
      <c r="N52" s="18">
        <f>IFERROR(__xludf.DUMMYFUNCTION("""COMPUTED_VALUE"""),"ข้อ 165 ชุด 1 (เฉลยข้อ จ)")</f>
        <v/>
      </c>
      <c r="O52" s="18">
        <f>IFERROR(__xludf.DUMMYFUNCTION("""COMPUTED_VALUE"""),"Mock")</f>
        <v/>
      </c>
      <c r="P52" s="18">
        <f>IFERROR(__xludf.DUMMYFUNCTION("""COMPUTED_VALUE"""),"ชุด 1")</f>
        <v/>
      </c>
    </row>
    <row r="53">
      <c r="A53" s="18">
        <f>IFERROR(__xludf.DUMMYFUNCTION("""COMPUTED_VALUE"""),"166")</f>
        <v/>
      </c>
      <c r="B53" s="1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8" t="n"/>
      <c r="D53" s="18">
        <f>IFERROR(__xludf.DUMMYFUNCTION("""COMPUTED_VALUE"""),"Spray dried lactose")</f>
        <v/>
      </c>
      <c r="E53" s="18">
        <f>IFERROR(__xludf.DUMMYFUNCTION("""COMPUTED_VALUE"""),"Microcrystalline cellulose")</f>
        <v/>
      </c>
      <c r="F53" s="18">
        <f>IFERROR(__xludf.DUMMYFUNCTION("""COMPUTED_VALUE"""),"Tapioca starch")</f>
        <v/>
      </c>
      <c r="G53" s="18">
        <f>IFERROR(__xludf.DUMMYFUNCTION("""COMPUTED_VALUE"""),"Dibasic calcium phosphate")</f>
        <v/>
      </c>
      <c r="H53" s="18">
        <f>IFERROR(__xludf.DUMMYFUNCTION("""COMPUTED_VALUE"""),"Mannitol")</f>
        <v/>
      </c>
      <c r="I53" s="18">
        <f>IFERROR(__xludf.DUMMYFUNCTION("""COMPUTED_VALUE"""),"1")</f>
        <v/>
      </c>
      <c r="J53" s="1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8" t="n"/>
      <c r="L53" s="18">
        <f>IFERROR(__xludf.DUMMYFUNCTION("""COMPUTED_VALUE"""),"Hard &amp; Soft Gelatin Capsules")</f>
        <v/>
      </c>
      <c r="M53" s="18">
        <f>IFERROR(__xludf.DUMMYFUNCTION("""COMPUTED_VALUE"""),"Product")</f>
        <v/>
      </c>
      <c r="N53" s="18">
        <f>IFERROR(__xludf.DUMMYFUNCTION("""COMPUTED_VALUE"""),"ข้อ 166 ชุด 1 (เฉลยข้อ ก)")</f>
        <v/>
      </c>
      <c r="O53" s="18">
        <f>IFERROR(__xludf.DUMMYFUNCTION("""COMPUTED_VALUE"""),"Mock")</f>
        <v/>
      </c>
      <c r="P53" s="18">
        <f>IFERROR(__xludf.DUMMYFUNCTION("""COMPUTED_VALUE"""),"ชุด 1")</f>
        <v/>
      </c>
    </row>
    <row r="54">
      <c r="A54" s="18">
        <f>IFERROR(__xludf.DUMMYFUNCTION("""COMPUTED_VALUE"""),"167")</f>
        <v/>
      </c>
      <c r="B54" s="1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8" t="n"/>
      <c r="D54" s="18">
        <f>IFERROR(__xludf.DUMMYFUNCTION("""COMPUTED_VALUE"""),"ผงยามีการกระจายขนาดอนุภาคในช่วงแคบ")</f>
        <v/>
      </c>
      <c r="E54" s="18">
        <f>IFERROR(__xludf.DUMMYFUNCTION("""COMPUTED_VALUE"""),"ผงยามีค่า angle of repose ต่ำ")</f>
        <v/>
      </c>
      <c r="F54" s="18">
        <f>IFERROR(__xludf.DUMMYFUNCTION("""COMPUTED_VALUE"""),"สารเจือจางมีความหนาแน่นใกล้เคียงตัวยาสำคัญ")</f>
        <v/>
      </c>
      <c r="G54" s="18">
        <f>IFERROR(__xludf.DUMMYFUNCTION("""COMPUTED_VALUE"""),"ปริมาณของตัวยาและสารช่วยรวมกัน ควรบรรจุขอบ body ของเปลือก capsule ได้เต็มหรือเกือบเต็ม")</f>
        <v/>
      </c>
      <c r="H54" s="18">
        <f>IFERROR(__xludf.DUMMYFUNCTION("""COMPUTED_VALUE"""),"สารช่วยการไหลที่ใช้มีคุณสมบัติเป็น true lubricant มากกว่า glidant")</f>
        <v/>
      </c>
      <c r="I54" s="18">
        <f>IFERROR(__xludf.DUMMYFUNCTION("""COMPUTED_VALUE"""),"5")</f>
        <v/>
      </c>
      <c r="J54" s="1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8" t="n"/>
      <c r="L54" s="18">
        <f>IFERROR(__xludf.DUMMYFUNCTION("""COMPUTED_VALUE"""),"Hard &amp; Soft Gelatin Capsules")</f>
        <v/>
      </c>
      <c r="M54" s="18">
        <f>IFERROR(__xludf.DUMMYFUNCTION("""COMPUTED_VALUE"""),"Product")</f>
        <v/>
      </c>
      <c r="N54" s="18">
        <f>IFERROR(__xludf.DUMMYFUNCTION("""COMPUTED_VALUE"""),"ข้อ 167 ชุด 1 (เฉลยข้อ จ)")</f>
        <v/>
      </c>
      <c r="O54" s="18">
        <f>IFERROR(__xludf.DUMMYFUNCTION("""COMPUTED_VALUE"""),"Mock")</f>
        <v/>
      </c>
      <c r="P54" s="18">
        <f>IFERROR(__xludf.DUMMYFUNCTION("""COMPUTED_VALUE"""),"ชุด 1")</f>
        <v/>
      </c>
    </row>
    <row r="55">
      <c r="A55" s="18">
        <f>IFERROR(__xludf.DUMMYFUNCTION("""COMPUTED_VALUE"""),"168")</f>
        <v/>
      </c>
      <c r="B55" s="18">
        <f>IFERROR(__xludf.DUMMYFUNCTION("""COMPUTED_VALUE"""),"ตำรับ aspirin suspension ที่เตรียมแล้วพบว่า เมื่อตั้งทิ้งไว้เป็นก้อนแข็ง เรียกปรากฏการณ์นี้ว่า")</f>
        <v/>
      </c>
      <c r="C55" s="18" t="n"/>
      <c r="D55" s="18">
        <f>IFERROR(__xludf.DUMMYFUNCTION("""COMPUTED_VALUE"""),"Flocculation")</f>
        <v/>
      </c>
      <c r="E55" s="18">
        <f>IFERROR(__xludf.DUMMYFUNCTION("""COMPUTED_VALUE"""),"Lamination")</f>
        <v/>
      </c>
      <c r="F55" s="18">
        <f>IFERROR(__xludf.DUMMYFUNCTION("""COMPUTED_VALUE"""),"Creaming")</f>
        <v/>
      </c>
      <c r="G55" s="18">
        <f>IFERROR(__xludf.DUMMYFUNCTION("""COMPUTED_VALUE"""),"Coalescence")</f>
        <v/>
      </c>
      <c r="H55" s="18">
        <f>IFERROR(__xludf.DUMMYFUNCTION("""COMPUTED_VALUE"""),"Caking")</f>
        <v/>
      </c>
      <c r="I55" s="18">
        <f>IFERROR(__xludf.DUMMYFUNCTION("""COMPUTED_VALUE"""),"5")</f>
        <v/>
      </c>
      <c r="J55" s="1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8" t="n"/>
      <c r="L55" s="18">
        <f>IFERROR(__xludf.DUMMYFUNCTION("""COMPUTED_VALUE"""),"Tablet Manufacturing")</f>
        <v/>
      </c>
      <c r="M55" s="18">
        <f>IFERROR(__xludf.DUMMYFUNCTION("""COMPUTED_VALUE"""),"Product")</f>
        <v/>
      </c>
      <c r="N55" s="18">
        <f>IFERROR(__xludf.DUMMYFUNCTION("""COMPUTED_VALUE"""),"ข้อ 168 ชุด 1 (เฉลยข้อ จ)")</f>
        <v/>
      </c>
      <c r="O55" s="18">
        <f>IFERROR(__xludf.DUMMYFUNCTION("""COMPUTED_VALUE"""),"Mock")</f>
        <v/>
      </c>
      <c r="P55" s="18">
        <f>IFERROR(__xludf.DUMMYFUNCTION("""COMPUTED_VALUE"""),"ชุด 1")</f>
        <v/>
      </c>
    </row>
    <row r="56">
      <c r="A56" s="18">
        <f>IFERROR(__xludf.DUMMYFUNCTION("""COMPUTED_VALUE"""),"180")</f>
        <v/>
      </c>
      <c r="B56" s="1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8" t="n"/>
      <c r="D56" s="18">
        <f>IFERROR(__xludf.DUMMYFUNCTION("""COMPUTED_VALUE"""),"ผ่านการทดสอบใน S1 ทั้งหกเม็ด")</f>
        <v/>
      </c>
      <c r="E56" s="18">
        <f>IFERROR(__xludf.DUMMYFUNCTION("""COMPUTED_VALUE"""),"มี 3 เม็ดไม่ผ่านการทดสอบใน S1")</f>
        <v/>
      </c>
      <c r="F56" s="18">
        <f>IFERROR(__xludf.DUMMYFUNCTION("""COMPUTED_VALUE"""),"มี 1 เม็ดไม่ผ่านการทดสอบใน S1")</f>
        <v/>
      </c>
      <c r="G56" s="18">
        <f>IFERROR(__xludf.DUMMYFUNCTION("""COMPUTED_VALUE"""),"ต้องทำการทดสอบเพิ่มอีก 12 เม็ด")</f>
        <v/>
      </c>
      <c r="H56" s="18">
        <f>IFERROR(__xludf.DUMMYFUNCTION("""COMPUTED_VALUE"""),"มี 4 เม็ดไม่ผ่านการทดสอบ")</f>
        <v/>
      </c>
      <c r="I56" s="18">
        <f>IFERROR(__xludf.DUMMYFUNCTION("""COMPUTED_VALUE"""),"1")</f>
        <v/>
      </c>
      <c r="J56" s="1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8" t="n"/>
      <c r="L56" s="18">
        <f>IFERROR(__xludf.DUMMYFUNCTION("""COMPUTED_VALUE"""),"Tablet Manufacturing")</f>
        <v/>
      </c>
      <c r="M56" s="18">
        <f>IFERROR(__xludf.DUMMYFUNCTION("""COMPUTED_VALUE"""),"Product")</f>
        <v/>
      </c>
      <c r="N56" s="18">
        <f>IFERROR(__xludf.DUMMYFUNCTION("""COMPUTED_VALUE"""),"ข้อ 180 ชุด 1 (เฉลยข้อ )")</f>
        <v/>
      </c>
      <c r="O56" s="18">
        <f>IFERROR(__xludf.DUMMYFUNCTION("""COMPUTED_VALUE"""),"Mock")</f>
        <v/>
      </c>
      <c r="P56" s="18">
        <f>IFERROR(__xludf.DUMMYFUNCTION("""COMPUTED_VALUE"""),"ชุด 1")</f>
        <v/>
      </c>
    </row>
    <row r="57">
      <c r="A57" s="18">
        <f>IFERROR(__xludf.DUMMYFUNCTION("""COMPUTED_VALUE"""),"181")</f>
        <v/>
      </c>
      <c r="B57" s="18">
        <f>IFERROR(__xludf.DUMMYFUNCTION("""COMPUTED_VALUE"""),"ยาของบริษัทใดมีความสามารถในการละลายน้ำที่ดีกว่ากัน")</f>
        <v/>
      </c>
      <c r="C57" s="18" t="n"/>
      <c r="D57" s="18">
        <f>IFERROR(__xludf.DUMMYFUNCTION("""COMPUTED_VALUE"""),"ยาของบริษัท A ละลายน้ำได้ดีกว่า บริษัท B เนื่องจากมี lactose ทำให้ละลายน้ำได้ดีกว่า")</f>
        <v/>
      </c>
      <c r="E57" s="18">
        <f>IFERROR(__xludf.DUMMYFUNCTION("""COMPUTED_VALUE"""),"ยาของบริษัท A ละลายน้ำได้ดีกว่า บริษัท B เนื่องจากมีปริมาณ magnesium stearate มากกว่า")</f>
        <v/>
      </c>
      <c r="F57" s="18">
        <f>IFERROR(__xludf.DUMMYFUNCTION("""COMPUTED_VALUE"""),"ยาของบริษัท B ละลายน้ำได้ดีกว่า บริษัท A เนื่องจากมี microcrystalline cellulose ช่วยในการละลาย")</f>
        <v/>
      </c>
      <c r="G57" s="18">
        <f>IFERROR(__xludf.DUMMYFUNCTION("""COMPUTED_VALUE"""),"ยาของบริษัท B ละลายน้ำได้ดีกว่า บริษัท A เนื่องจากมี sodium lauryl sulfate เป็น wetting agent")</f>
        <v/>
      </c>
      <c r="H57" s="18">
        <f>IFERROR(__xludf.DUMMYFUNCTION("""COMPUTED_VALUE"""),"ยาของบริษัท A และ B ละลายน้ำได้เท่ากันเนื่องจากยา allopurinol มีคุณสมบัติละลายน้ำได้น้อยอยู่แล้ว")</f>
        <v/>
      </c>
      <c r="I57" s="18">
        <f>IFERROR(__xludf.DUMMYFUNCTION("""COMPUTED_VALUE"""),"1")</f>
        <v/>
      </c>
      <c r="J57" s="1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8" t="n"/>
      <c r="L57" s="18">
        <f>IFERROR(__xludf.DUMMYFUNCTION("""COMPUTED_VALUE"""),"Tablet Manufacturing")</f>
        <v/>
      </c>
      <c r="M57" s="18">
        <f>IFERROR(__xludf.DUMMYFUNCTION("""COMPUTED_VALUE"""),"Product")</f>
        <v/>
      </c>
      <c r="N57" s="18">
        <f>IFERROR(__xludf.DUMMYFUNCTION("""COMPUTED_VALUE"""),"ข้อ 181 ชุด 1 (เฉลยข้อ )")</f>
        <v/>
      </c>
      <c r="O57" s="18">
        <f>IFERROR(__xludf.DUMMYFUNCTION("""COMPUTED_VALUE"""),"Mock")</f>
        <v/>
      </c>
      <c r="P57" s="18">
        <f>IFERROR(__xludf.DUMMYFUNCTION("""COMPUTED_VALUE"""),"ชุด 1")</f>
        <v/>
      </c>
    </row>
    <row r="58">
      <c r="A58" s="18">
        <f>IFERROR(__xludf.DUMMYFUNCTION("""COMPUTED_VALUE"""),"182")</f>
        <v/>
      </c>
      <c r="B58" s="18">
        <f>IFERROR(__xludf.DUMMYFUNCTION("""COMPUTED_VALUE"""),"ยาเม็ดคุมกำเนิด ไม่ต้องทำการทดสอบตัวข้อใด (ตามมาตรฐานของ USP)")</f>
        <v/>
      </c>
      <c r="C58" s="18" t="n"/>
      <c r="D58" s="18">
        <f>IFERROR(__xludf.DUMMYFUNCTION("""COMPUTED_VALUE"""),"Dissolution")</f>
        <v/>
      </c>
      <c r="E58" s="18">
        <f>IFERROR(__xludf.DUMMYFUNCTION("""COMPUTED_VALUE"""),"Hardness")</f>
        <v/>
      </c>
      <c r="F58" s="18">
        <f>IFERROR(__xludf.DUMMYFUNCTION("""COMPUTED_VALUE"""),"Disintegration")</f>
        <v/>
      </c>
      <c r="G58" s="18">
        <f>IFERROR(__xludf.DUMMYFUNCTION("""COMPUTED_VALUE"""),"Content of Uniformity")</f>
        <v/>
      </c>
      <c r="H58" s="18">
        <f>IFERROR(__xludf.DUMMYFUNCTION("""COMPUTED_VALUE"""),"Percent labeled amount")</f>
        <v/>
      </c>
      <c r="I58" s="18">
        <f>IFERROR(__xludf.DUMMYFUNCTION("""COMPUTED_VALUE"""),"2")</f>
        <v/>
      </c>
      <c r="J58" s="1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8" t="n"/>
      <c r="L58" s="18">
        <f>IFERROR(__xludf.DUMMYFUNCTION("""COMPUTED_VALUE"""),"Tablet Manufacturing")</f>
        <v/>
      </c>
      <c r="M58" s="18">
        <f>IFERROR(__xludf.DUMMYFUNCTION("""COMPUTED_VALUE"""),"Product")</f>
        <v/>
      </c>
      <c r="N58" s="18">
        <f>IFERROR(__xludf.DUMMYFUNCTION("""COMPUTED_VALUE"""),"ข้อ 182 ชุด 1 (เฉลยข้อ ข)")</f>
        <v/>
      </c>
      <c r="O58" s="18">
        <f>IFERROR(__xludf.DUMMYFUNCTION("""COMPUTED_VALUE"""),"Mock")</f>
        <v/>
      </c>
      <c r="P58" s="18">
        <f>IFERROR(__xludf.DUMMYFUNCTION("""COMPUTED_VALUE"""),"ชุด 1")</f>
        <v/>
      </c>
    </row>
    <row r="59">
      <c r="A59" s="18">
        <f>IFERROR(__xludf.DUMMYFUNCTION("""COMPUTED_VALUE"""),"183")</f>
        <v/>
      </c>
      <c r="B59" s="18">
        <f>IFERROR(__xludf.DUMMYFUNCTION("""COMPUTED_VALUE"""),"ข้อใดผิดเกี่ยวกับการเตรียมยาเม็ดด้วยวิธีตอกอัดโดยตรง")</f>
        <v/>
      </c>
      <c r="C59" s="18" t="n"/>
      <c r="D59" s="18">
        <f>IFERROR(__xludf.DUMMYFUNCTION("""COMPUTED_VALUE"""),"เป็นวิธีที่สะดวกรวดเร็ว")</f>
        <v/>
      </c>
      <c r="E59" s="18">
        <f>IFERROR(__xludf.DUMMYFUNCTION("""COMPUTED_VALUE"""),"ไม่ใช้น้ำและความร้อนในการตอก")</f>
        <v/>
      </c>
      <c r="F59" s="18">
        <f>IFERROR(__xludf.DUMMYFUNCTION("""COMPUTED_VALUE"""),"ยาเม็ดที่ได้มีการกระจายของสีที่สม่ำเสมอกว่าการทำแกรนูลเปียก")</f>
        <v/>
      </c>
      <c r="G59" s="18">
        <f>IFERROR(__xludf.DUMMYFUNCTION("""COMPUTED_VALUE"""),"ยาที่ตอกควรมีคุณสมบัติในการไหลและยึดเกาะกันได้ดี")</f>
        <v/>
      </c>
      <c r="H59" s="18">
        <f>IFERROR(__xludf.DUMMYFUNCTION("""COMPUTED_VALUE"""),"สารช่วยควรไหลได้ดีและตอกอัดได้")</f>
        <v/>
      </c>
      <c r="I59" s="18">
        <f>IFERROR(__xludf.DUMMYFUNCTION("""COMPUTED_VALUE"""),"3")</f>
        <v/>
      </c>
      <c r="J59" s="1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8" t="n"/>
      <c r="L59" s="18">
        <f>IFERROR(__xludf.DUMMYFUNCTION("""COMPUTED_VALUE"""),"Tablet Manufacturing")</f>
        <v/>
      </c>
      <c r="M59" s="18">
        <f>IFERROR(__xludf.DUMMYFUNCTION("""COMPUTED_VALUE"""),"Product")</f>
        <v/>
      </c>
      <c r="N59" s="18">
        <f>IFERROR(__xludf.DUMMYFUNCTION("""COMPUTED_VALUE"""),"ข้อ 183 ชุด 1 (เฉลยข้อ ค)")</f>
        <v/>
      </c>
      <c r="O59" s="18">
        <f>IFERROR(__xludf.DUMMYFUNCTION("""COMPUTED_VALUE"""),"Mock")</f>
        <v/>
      </c>
      <c r="P59" s="18">
        <f>IFERROR(__xludf.DUMMYFUNCTION("""COMPUTED_VALUE"""),"ชุด 1")</f>
        <v/>
      </c>
    </row>
    <row r="60">
      <c r="A60" s="18">
        <f>IFERROR(__xludf.DUMMYFUNCTION("""COMPUTED_VALUE"""),"184")</f>
        <v/>
      </c>
      <c r="B60" s="1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8" t="n"/>
      <c r="D60" s="18">
        <f>IFERROR(__xludf.DUMMYFUNCTION("""COMPUTED_VALUE"""),"Cosolvency")</f>
        <v/>
      </c>
      <c r="E60" s="18">
        <f>IFERROR(__xludf.DUMMYFUNCTION("""COMPUTED_VALUE"""),"Complexation")</f>
        <v/>
      </c>
      <c r="F60" s="18">
        <f>IFERROR(__xludf.DUMMYFUNCTION("""COMPUTED_VALUE"""),"Micelle")</f>
        <v/>
      </c>
      <c r="G60" s="18">
        <f>IFERROR(__xludf.DUMMYFUNCTION("""COMPUTED_VALUE"""),"Liposome")</f>
        <v/>
      </c>
      <c r="H60" s="18">
        <f>IFERROR(__xludf.DUMMYFUNCTION("""COMPUTED_VALUE"""),"Crystallization")</f>
        <v/>
      </c>
      <c r="I60" s="18">
        <f>IFERROR(__xludf.DUMMYFUNCTION("""COMPUTED_VALUE"""),"1")</f>
        <v/>
      </c>
      <c r="J60" s="1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8" t="n"/>
      <c r="L60" s="18">
        <f>IFERROR(__xludf.DUMMYFUNCTION("""COMPUTED_VALUE"""),"Tablet Manufacturing")</f>
        <v/>
      </c>
      <c r="M60" s="18">
        <f>IFERROR(__xludf.DUMMYFUNCTION("""COMPUTED_VALUE"""),"Product")</f>
        <v/>
      </c>
      <c r="N60" s="18">
        <f>IFERROR(__xludf.DUMMYFUNCTION("""COMPUTED_VALUE"""),"ข้อ 184 ชุด 1 (เฉลยข้อ ก)")</f>
        <v/>
      </c>
      <c r="O60" s="18">
        <f>IFERROR(__xludf.DUMMYFUNCTION("""COMPUTED_VALUE"""),"Mock")</f>
        <v/>
      </c>
      <c r="P60" s="18">
        <f>IFERROR(__xludf.DUMMYFUNCTION("""COMPUTED_VALUE"""),"ชุด 1")</f>
        <v/>
      </c>
    </row>
    <row r="61">
      <c r="A61" s="18">
        <f>IFERROR(__xludf.DUMMYFUNCTION("""COMPUTED_VALUE"""),"185")</f>
        <v/>
      </c>
      <c r="B61" s="1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8" t="n"/>
      <c r="D61" s="18">
        <f>IFERROR(__xludf.DUMMYFUNCTION("""COMPUTED_VALUE"""),"Cosolvency")</f>
        <v/>
      </c>
      <c r="E61" s="18">
        <f>IFERROR(__xludf.DUMMYFUNCTION("""COMPUTED_VALUE"""),"pH adjustment")</f>
        <v/>
      </c>
      <c r="F61" s="18">
        <f>IFERROR(__xludf.DUMMYFUNCTION("""COMPUTED_VALUE"""),"Complexation")</f>
        <v/>
      </c>
      <c r="G61" s="18">
        <f>IFERROR(__xludf.DUMMYFUNCTION("""COMPUTED_VALUE"""),"Prodrug formation")</f>
        <v/>
      </c>
      <c r="H61" s="18">
        <f>IFERROR(__xludf.DUMMYFUNCTION("""COMPUTED_VALUE"""),"Micelle solubilization")</f>
        <v/>
      </c>
      <c r="I61" s="18">
        <f>IFERROR(__xludf.DUMMYFUNCTION("""COMPUTED_VALUE"""),"1")</f>
        <v/>
      </c>
      <c r="J61" s="1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8" t="n"/>
      <c r="L61" s="18">
        <f>IFERROR(__xludf.DUMMYFUNCTION("""COMPUTED_VALUE"""),"Tablet Manufacturing")</f>
        <v/>
      </c>
      <c r="M61" s="18">
        <f>IFERROR(__xludf.DUMMYFUNCTION("""COMPUTED_VALUE"""),"Product")</f>
        <v/>
      </c>
      <c r="N61" s="18">
        <f>IFERROR(__xludf.DUMMYFUNCTION("""COMPUTED_VALUE"""),"ข้อ 185 ชุด 1 (เฉลยข้อ ก)")</f>
        <v/>
      </c>
      <c r="O61" s="18">
        <f>IFERROR(__xludf.DUMMYFUNCTION("""COMPUTED_VALUE"""),"Mock")</f>
        <v/>
      </c>
      <c r="P61" s="18">
        <f>IFERROR(__xludf.DUMMYFUNCTION("""COMPUTED_VALUE"""),"ชุด 1")</f>
        <v/>
      </c>
    </row>
    <row r="62">
      <c r="A62" s="18">
        <f>IFERROR(__xludf.DUMMYFUNCTION("""COMPUTED_VALUE"""),"186")</f>
        <v/>
      </c>
      <c r="B62" s="1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8" t="n"/>
      <c r="D62" s="18">
        <f>IFERROR(__xludf.DUMMYFUNCTION("""COMPUTED_VALUE"""),"Caking")</f>
        <v/>
      </c>
      <c r="E62" s="18">
        <f>IFERROR(__xludf.DUMMYFUNCTION("""COMPUTED_VALUE"""),"Cracking")</f>
        <v/>
      </c>
      <c r="F62" s="18">
        <f>IFERROR(__xludf.DUMMYFUNCTION("""COMPUTED_VALUE"""),"Bleeding")</f>
        <v/>
      </c>
      <c r="G62" s="18">
        <f>IFERROR(__xludf.DUMMYFUNCTION("""COMPUTED_VALUE"""),"Creaming")</f>
        <v/>
      </c>
      <c r="H62" s="18">
        <f>IFERROR(__xludf.DUMMYFUNCTION("""COMPUTED_VALUE"""),"Phase inversion")</f>
        <v/>
      </c>
      <c r="I62" s="18">
        <f>IFERROR(__xludf.DUMMYFUNCTION("""COMPUTED_VALUE"""),"2")</f>
        <v/>
      </c>
      <c r="J62" s="1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8" t="n"/>
      <c r="L62" s="18">
        <f>IFERROR(__xludf.DUMMYFUNCTION("""COMPUTED_VALUE"""),"Tablet Manufacturing")</f>
        <v/>
      </c>
      <c r="M62" s="18">
        <f>IFERROR(__xludf.DUMMYFUNCTION("""COMPUTED_VALUE"""),"Product")</f>
        <v/>
      </c>
      <c r="N62" s="18">
        <f>IFERROR(__xludf.DUMMYFUNCTION("""COMPUTED_VALUE"""),"ข้อ 186 ชุด 1 (เฉลยข้อ ข)")</f>
        <v/>
      </c>
      <c r="O62" s="18">
        <f>IFERROR(__xludf.DUMMYFUNCTION("""COMPUTED_VALUE"""),"Mock")</f>
        <v/>
      </c>
      <c r="P62" s="18">
        <f>IFERROR(__xludf.DUMMYFUNCTION("""COMPUTED_VALUE"""),"ชุด 1")</f>
        <v/>
      </c>
    </row>
    <row r="63">
      <c r="A63" s="18">
        <f>IFERROR(__xludf.DUMMYFUNCTION("""COMPUTED_VALUE"""),"187")</f>
        <v/>
      </c>
      <c r="B63" s="18">
        <f>IFERROR(__xludf.DUMMYFUNCTION("""COMPUTED_VALUE"""),"มีสูตรตำรับโลชั่นพริก เกิดแยกตัว เขย่าไม่กลับคืนเกิดจากสาเหตุใดได้")</f>
        <v/>
      </c>
      <c r="C63" s="18" t="n"/>
      <c r="D63" s="18">
        <f>IFERROR(__xludf.DUMMYFUNCTION("""COMPUTED_VALUE"""),"เฟสน้ำมันมีมากไป")</f>
        <v/>
      </c>
      <c r="E63" s="18">
        <f>IFERROR(__xludf.DUMMYFUNCTION("""COMPUTED_VALUE"""),"สัดส่วนระหว่างวัดภาคน้ำและน้ำมันต่างกันมาก")</f>
        <v/>
      </c>
      <c r="F63" s="18">
        <f>IFERROR(__xludf.DUMMYFUNCTION("""COMPUTED_VALUE"""),"ไม่มี emulsifier")</f>
        <v/>
      </c>
      <c r="G63" s="18">
        <f>IFERROR(__xludf.DUMMYFUNCTION("""COMPUTED_VALUE"""),"Emulsifier ไม่เพียงพอ")</f>
        <v/>
      </c>
      <c r="H63" s="18">
        <f>IFERROR(__xludf.DUMMYFUNCTION("""COMPUTED_VALUE"""),"ความหนาแน่นเฟสน้ำกับน้ำมันมีความแตกต่างกันมาก")</f>
        <v/>
      </c>
      <c r="I63" s="18">
        <f>IFERROR(__xludf.DUMMYFUNCTION("""COMPUTED_VALUE"""),"4")</f>
        <v/>
      </c>
      <c r="J63" s="1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8" t="n"/>
      <c r="L63" s="18">
        <f>IFERROR(__xludf.DUMMYFUNCTION("""COMPUTED_VALUE"""),"Tablet Manufacturing")</f>
        <v/>
      </c>
      <c r="M63" s="18">
        <f>IFERROR(__xludf.DUMMYFUNCTION("""COMPUTED_VALUE"""),"Product")</f>
        <v/>
      </c>
      <c r="N63" s="18">
        <f>IFERROR(__xludf.DUMMYFUNCTION("""COMPUTED_VALUE"""),"ข้อ 187 ชุด 1 (เฉลยข้อ ง)")</f>
        <v/>
      </c>
      <c r="O63" s="18">
        <f>IFERROR(__xludf.DUMMYFUNCTION("""COMPUTED_VALUE"""),"Mock")</f>
        <v/>
      </c>
      <c r="P63" s="18">
        <f>IFERROR(__xludf.DUMMYFUNCTION("""COMPUTED_VALUE"""),"ชุด 1")</f>
        <v/>
      </c>
    </row>
    <row r="64">
      <c r="A64" s="18">
        <f>IFERROR(__xludf.DUMMYFUNCTION("""COMPUTED_VALUE"""),"188")</f>
        <v/>
      </c>
      <c r="B64" s="18">
        <f>IFERROR(__xludf.DUMMYFUNCTION("""COMPUTED_VALUE"""),"ถ้าจะเตรียมยาเพื่อให้ไม่ผ่านกระบวนการ metabolite ที่ตับ เราควรจะเตรียมในรูปแบบใด")</f>
        <v/>
      </c>
      <c r="C64" s="18" t="n"/>
      <c r="D64" s="18">
        <f>IFERROR(__xludf.DUMMYFUNCTION("""COMPUTED_VALUE"""),"Film coated tablets")</f>
        <v/>
      </c>
      <c r="E64" s="18">
        <f>IFERROR(__xludf.DUMMYFUNCTION("""COMPUTED_VALUE"""),"Enteric coated tablets")</f>
        <v/>
      </c>
      <c r="F64" s="18">
        <f>IFERROR(__xludf.DUMMYFUNCTION("""COMPUTED_VALUE"""),"Osmotic pump tablets")</f>
        <v/>
      </c>
      <c r="G64" s="18">
        <f>IFERROR(__xludf.DUMMYFUNCTION("""COMPUTED_VALUE"""),"Matrix tablets")</f>
        <v/>
      </c>
      <c r="H64" s="18">
        <f>IFERROR(__xludf.DUMMYFUNCTION("""COMPUTED_VALUE"""),"Rectal suppositories")</f>
        <v/>
      </c>
      <c r="I64" s="18">
        <f>IFERROR(__xludf.DUMMYFUNCTION("""COMPUTED_VALUE"""),"4")</f>
        <v/>
      </c>
      <c r="J64" s="1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8" t="n"/>
      <c r="L64" s="18">
        <f>IFERROR(__xludf.DUMMYFUNCTION("""COMPUTED_VALUE"""),"Tablet Manufacturing")</f>
        <v/>
      </c>
      <c r="M64" s="18">
        <f>IFERROR(__xludf.DUMMYFUNCTION("""COMPUTED_VALUE"""),"Product")</f>
        <v/>
      </c>
      <c r="N64" s="18">
        <f>IFERROR(__xludf.DUMMYFUNCTION("""COMPUTED_VALUE"""),"ข้อ 188 ชุด 1 (เฉลยข้อ ง)")</f>
        <v/>
      </c>
      <c r="O64" s="18">
        <f>IFERROR(__xludf.DUMMYFUNCTION("""COMPUTED_VALUE"""),"Mock")</f>
        <v/>
      </c>
      <c r="P64" s="18">
        <f>IFERROR(__xludf.DUMMYFUNCTION("""COMPUTED_VALUE"""),"ชุด 1")</f>
        <v/>
      </c>
    </row>
    <row r="65">
      <c r="A65" s="18">
        <f>IFERROR(__xludf.DUMMYFUNCTION("""COMPUTED_VALUE"""),"189")</f>
        <v/>
      </c>
      <c r="B65" s="18">
        <f>IFERROR(__xludf.DUMMYFUNCTION("""COMPUTED_VALUE"""),"ระบบควบคุมการปลดปล่อยยาแบบใดสามารถหักแบ่งครึ่งเม็ดได้")</f>
        <v/>
      </c>
      <c r="C65" s="18" t="n"/>
      <c r="D65" s="18">
        <f>IFERROR(__xludf.DUMMYFUNCTION("""COMPUTED_VALUE"""),"Enteric coated")</f>
        <v/>
      </c>
      <c r="E65" s="18">
        <f>IFERROR(__xludf.DUMMYFUNCTION("""COMPUTED_VALUE"""),"Reservoir")</f>
        <v/>
      </c>
      <c r="F65" s="18">
        <f>IFERROR(__xludf.DUMMYFUNCTION("""COMPUTED_VALUE"""),"Osmotic control")</f>
        <v/>
      </c>
      <c r="G65" s="18">
        <f>IFERROR(__xludf.DUMMYFUNCTION("""COMPUTED_VALUE"""),"Matrix control")</f>
        <v/>
      </c>
      <c r="H65" s="18">
        <f>IFERROR(__xludf.DUMMYFUNCTION("""COMPUTED_VALUE"""),"Film diffuse control")</f>
        <v/>
      </c>
      <c r="I65" s="18">
        <f>IFERROR(__xludf.DUMMYFUNCTION("""COMPUTED_VALUE"""),"5")</f>
        <v/>
      </c>
      <c r="J65" s="1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8" t="n"/>
      <c r="L65" s="18">
        <f>IFERROR(__xludf.DUMMYFUNCTION("""COMPUTED_VALUE"""),"Tablet Manufacturing")</f>
        <v/>
      </c>
      <c r="M65" s="18">
        <f>IFERROR(__xludf.DUMMYFUNCTION("""COMPUTED_VALUE"""),"Product")</f>
        <v/>
      </c>
      <c r="N65" s="18">
        <f>IFERROR(__xludf.DUMMYFUNCTION("""COMPUTED_VALUE"""),"ข้อ 189 ชุด 1 (เฉลยข้อ จ)")</f>
        <v/>
      </c>
      <c r="O65" s="18">
        <f>IFERROR(__xludf.DUMMYFUNCTION("""COMPUTED_VALUE"""),"Mock")</f>
        <v/>
      </c>
      <c r="P65" s="18">
        <f>IFERROR(__xludf.DUMMYFUNCTION("""COMPUTED_VALUE"""),"ชุด 1")</f>
        <v/>
      </c>
    </row>
    <row r="66">
      <c r="A66" s="18">
        <f>IFERROR(__xludf.DUMMYFUNCTION("""COMPUTED_VALUE"""),"190")</f>
        <v/>
      </c>
      <c r="B66" s="1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8" t="n"/>
      <c r="D66" s="18">
        <f>IFERROR(__xludf.DUMMYFUNCTION("""COMPUTED_VALUE"""),"Titanium dioxide เป็น binder")</f>
        <v/>
      </c>
      <c r="E66" s="18">
        <f>IFERROR(__xludf.DUMMYFUNCTION("""COMPUTED_VALUE"""),"Microcrystalline cellulose เป็น filler")</f>
        <v/>
      </c>
      <c r="F66" s="18">
        <f>IFERROR(__xludf.DUMMYFUNCTION("""COMPUTED_VALUE"""),"Sodium starch glycolate เป็น superdisintegrant")</f>
        <v/>
      </c>
      <c r="G66" s="18">
        <f>IFERROR(__xludf.DUMMYFUNCTION("""COMPUTED_VALUE"""),"Magnesium stearate เป็น glidant")</f>
        <v/>
      </c>
      <c r="H66" s="18">
        <f>IFERROR(__xludf.DUMMYFUNCTION("""COMPUTED_VALUE"""),"Corn starch เป็น disintegrant")</f>
        <v/>
      </c>
      <c r="I66" s="18">
        <f>IFERROR(__xludf.DUMMYFUNCTION("""COMPUTED_VALUE"""),"5")</f>
        <v/>
      </c>
      <c r="J66" s="1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8" t="n"/>
      <c r="L66" s="18">
        <f>IFERROR(__xludf.DUMMYFUNCTION("""COMPUTED_VALUE"""),"Powders &amp; Granules")</f>
        <v/>
      </c>
      <c r="M66" s="18">
        <f>IFERROR(__xludf.DUMMYFUNCTION("""COMPUTED_VALUE"""),"Product")</f>
        <v/>
      </c>
      <c r="N66" s="18">
        <f>IFERROR(__xludf.DUMMYFUNCTION("""COMPUTED_VALUE"""),"ข้อ 190 ชุด 1 (เฉลยข้อ จ)")</f>
        <v/>
      </c>
      <c r="O66" s="18">
        <f>IFERROR(__xludf.DUMMYFUNCTION("""COMPUTED_VALUE"""),"Mock")</f>
        <v/>
      </c>
      <c r="P66" s="18">
        <f>IFERROR(__xludf.DUMMYFUNCTION("""COMPUTED_VALUE"""),"ชุด 1")</f>
        <v/>
      </c>
    </row>
    <row r="67">
      <c r="A67" s="18">
        <f>IFERROR(__xludf.DUMMYFUNCTION("""COMPUTED_VALUE"""),"191")</f>
        <v/>
      </c>
      <c r="B67" s="1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8" t="n"/>
      <c r="D67" s="18">
        <f>IFERROR(__xludf.DUMMYFUNCTION("""COMPUTED_VALUE"""),"มีสารก่อเจล 2 ชนิด")</f>
        <v/>
      </c>
      <c r="E67" s="18">
        <f>IFERROR(__xludf.DUMMYFUNCTION("""COMPUTED_VALUE"""),"Carbopol ละลายในน้ำเดือด แล้วเติมน้ำเย็นละลายทันที")</f>
        <v/>
      </c>
      <c r="F67" s="18">
        <f>IFERROR(__xludf.DUMMYFUNCTION("""COMPUTED_VALUE"""),"Triclosan ช่วยให้เจลแข็งตัวจากการปรับ pH")</f>
        <v/>
      </c>
      <c r="G67" s="18">
        <f>IFERROR(__xludf.DUMMYFUNCTION("""COMPUTED_VALUE"""),"Triethanolamine เป็น preservative ของตำรับ")</f>
        <v/>
      </c>
      <c r="H67" s="18">
        <f>IFERROR(__xludf.DUMMYFUNCTION("""COMPUTED_VALUE"""),"Carbopol ละลายได้ดีใน alcohol")</f>
        <v/>
      </c>
      <c r="I67" s="18">
        <f>IFERROR(__xludf.DUMMYFUNCTION("""COMPUTED_VALUE"""),"4")</f>
        <v/>
      </c>
      <c r="J67" s="1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8" t="n"/>
      <c r="L67" s="18">
        <f>IFERROR(__xludf.DUMMYFUNCTION("""COMPUTED_VALUE"""),"Tablet Manufacturing")</f>
        <v/>
      </c>
      <c r="M67" s="18">
        <f>IFERROR(__xludf.DUMMYFUNCTION("""COMPUTED_VALUE"""),"Product")</f>
        <v/>
      </c>
      <c r="N67" s="18">
        <f>IFERROR(__xludf.DUMMYFUNCTION("""COMPUTED_VALUE"""),"ข้อ 191 ชุด 1 (เฉลยข้อ ง)")</f>
        <v/>
      </c>
      <c r="O67" s="18">
        <f>IFERROR(__xludf.DUMMYFUNCTION("""COMPUTED_VALUE"""),"Mock")</f>
        <v/>
      </c>
      <c r="P67" s="18">
        <f>IFERROR(__xludf.DUMMYFUNCTION("""COMPUTED_VALUE"""),"ชุด 1")</f>
        <v/>
      </c>
    </row>
    <row r="68">
      <c r="A68" s="18">
        <f>IFERROR(__xludf.DUMMYFUNCTION("""COMPUTED_VALUE"""),"192")</f>
        <v/>
      </c>
      <c r="B68" s="18">
        <f>IFERROR(__xludf.DUMMYFUNCTION("""COMPUTED_VALUE"""),"โจทย์ให้สูตรตำรับของ tetracycline capsule มา ได้แก่ lactose, magnesium stearate ... (โจทย์ไม่ครบ) ตำรับ tetracycline capsule
ข้อใดถูกต้อง")</f>
        <v/>
      </c>
      <c r="C68" s="18" t="n"/>
      <c r="D68" s="18">
        <f>IFERROR(__xludf.DUMMYFUNCTION("""COMPUTED_VALUE"""),"เหมาะจะเตรียมเป็น soft gelatin capsule")</f>
        <v/>
      </c>
      <c r="E68" s="18">
        <f>IFERROR(__xludf.DUMMYFUNCTION("""COMPUTED_VALUE"""),"Capsule เบอร์ 000 เล็กสุด เบอร์ 5 ใหญ่สุด")</f>
        <v/>
      </c>
      <c r="F68" s="18">
        <f>IFERROR(__xludf.DUMMYFUNCTION("""COMPUTED_VALUE"""),"Lactose เพิ่มความหวาน")</f>
        <v/>
      </c>
      <c r="G68" s="18">
        <f>IFERROR(__xludf.DUMMYFUNCTION("""COMPUTED_VALUE"""),"Magnesium stearate เพิ่มการแตกตัว")</f>
        <v/>
      </c>
      <c r="H68" s="18">
        <f>IFERROR(__xludf.DUMMYFUNCTION("""COMPUTED_VALUE"""),"Silicon dioxide เพิ่มการไหล")</f>
        <v/>
      </c>
      <c r="I68" s="18">
        <f>IFERROR(__xludf.DUMMYFUNCTION("""COMPUTED_VALUE"""),"1")</f>
        <v/>
      </c>
      <c r="J68" s="1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8" t="n"/>
      <c r="L68" s="18">
        <f>IFERROR(__xludf.DUMMYFUNCTION("""COMPUTED_VALUE"""),"Hard &amp; Soft Gelatin Capsules")</f>
        <v/>
      </c>
      <c r="M68" s="18">
        <f>IFERROR(__xludf.DUMMYFUNCTION("""COMPUTED_VALUE"""),"Product")</f>
        <v/>
      </c>
      <c r="N68" s="18">
        <f>IFERROR(__xludf.DUMMYFUNCTION("""COMPUTED_VALUE"""),"ข้อ 192 ชุด 1 (เฉลยข้อ ก)")</f>
        <v/>
      </c>
      <c r="O68" s="18">
        <f>IFERROR(__xludf.DUMMYFUNCTION("""COMPUTED_VALUE"""),"Mock")</f>
        <v/>
      </c>
      <c r="P68" s="18">
        <f>IFERROR(__xludf.DUMMYFUNCTION("""COMPUTED_VALUE"""),"ชุด 1")</f>
        <v/>
      </c>
    </row>
    <row r="69">
      <c r="A69" s="18">
        <f>IFERROR(__xludf.DUMMYFUNCTION("""COMPUTED_VALUE"""),"193")</f>
        <v/>
      </c>
      <c r="B69" s="1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8" t="n"/>
      <c r="D69" s="18">
        <f>IFERROR(__xludf.DUMMYFUNCTION("""COMPUTED_VALUE"""),"Hydroxypropyl methyl cellulose")</f>
        <v/>
      </c>
      <c r="E69" s="18">
        <f>IFERROR(__xludf.DUMMYFUNCTION("""COMPUTED_VALUE"""),"Magnesium stearate")</f>
        <v/>
      </c>
      <c r="F69" s="18">
        <f>IFERROR(__xludf.DUMMYFUNCTION("""COMPUTED_VALUE"""),"Microcrystalline cellulose")</f>
        <v/>
      </c>
      <c r="G69" s="18">
        <f>IFERROR(__xludf.DUMMYFUNCTION("""COMPUTED_VALUE"""),"Colloidal silica")</f>
        <v/>
      </c>
      <c r="H69" s="18">
        <f>IFERROR(__xludf.DUMMYFUNCTION("""COMPUTED_VALUE"""),"Pre-gelatinized starch")</f>
        <v/>
      </c>
      <c r="I69" s="18">
        <f>IFERROR(__xludf.DUMMYFUNCTION("""COMPUTED_VALUE"""),"5")</f>
        <v/>
      </c>
      <c r="J69" s="1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8" t="n"/>
      <c r="L69" s="18">
        <f>IFERROR(__xludf.DUMMYFUNCTION("""COMPUTED_VALUE"""),"Tablet Manufacturing")</f>
        <v/>
      </c>
      <c r="M69" s="18">
        <f>IFERROR(__xludf.DUMMYFUNCTION("""COMPUTED_VALUE"""),"Product")</f>
        <v/>
      </c>
      <c r="N69" s="18">
        <f>IFERROR(__xludf.DUMMYFUNCTION("""COMPUTED_VALUE"""),"ข้อ 193 ชุด 1 (เฉลยข้อ จ)")</f>
        <v/>
      </c>
      <c r="O69" s="18">
        <f>IFERROR(__xludf.DUMMYFUNCTION("""COMPUTED_VALUE"""),"Mock")</f>
        <v/>
      </c>
      <c r="P69" s="18">
        <f>IFERROR(__xludf.DUMMYFUNCTION("""COMPUTED_VALUE"""),"ชุด 1")</f>
        <v/>
      </c>
    </row>
    <row r="70">
      <c r="A70" s="18">
        <f>IFERROR(__xludf.DUMMYFUNCTION("""COMPUTED_VALUE"""),"194")</f>
        <v/>
      </c>
      <c r="B70" s="18">
        <f>IFERROR(__xludf.DUMMYFUNCTION("""COMPUTED_VALUE"""),"ในการพิสูจน์ Bioequivalence ระหว่างยา 2 ตัว จะต้องคำนึงถึง parameter ใดบ้าง
ข้อใดต่อไปนี้ถูกต้อง")</f>
        <v/>
      </c>
      <c r="C70" s="18" t="n"/>
      <c r="D70" s="18">
        <f>IFERROR(__xludf.DUMMYFUNCTION("""COMPUTED_VALUE"""),"AUC0-inf และ Tmax")</f>
        <v/>
      </c>
      <c r="E70" s="18">
        <f>IFERROR(__xludf.DUMMYFUNCTION("""COMPUTED_VALUE"""),"AUC0-inf และ Cmax")</f>
        <v/>
      </c>
      <c r="F70" s="18">
        <f>IFERROR(__xludf.DUMMYFUNCTION("""COMPUTED_VALUE"""),"AUC0-inf และ Elimination half life")</f>
        <v/>
      </c>
      <c r="G70" s="18">
        <f>IFERROR(__xludf.DUMMYFUNCTION("""COMPUTED_VALUE"""),"Cmax และ Elimination half life")</f>
        <v/>
      </c>
      <c r="H70" s="18">
        <f>IFERROR(__xludf.DUMMYFUNCTION("""COMPUTED_VALUE"""),"Tmax และ Elimination half life")</f>
        <v/>
      </c>
      <c r="I70" s="18">
        <f>IFERROR(__xludf.DUMMYFUNCTION("""COMPUTED_VALUE"""),"5")</f>
        <v/>
      </c>
      <c r="J70" s="1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8" t="n"/>
      <c r="L70" s="18">
        <f>IFERROR(__xludf.DUMMYFUNCTION("""COMPUTED_VALUE"""),"Tablet Manufacturing")</f>
        <v/>
      </c>
      <c r="M70" s="18">
        <f>IFERROR(__xludf.DUMMYFUNCTION("""COMPUTED_VALUE"""),"Product")</f>
        <v/>
      </c>
      <c r="N70" s="18">
        <f>IFERROR(__xludf.DUMMYFUNCTION("""COMPUTED_VALUE"""),"ข้อ 194 ชุด 1 (เฉลยข้อ จ)")</f>
        <v/>
      </c>
      <c r="O70" s="18">
        <f>IFERROR(__xludf.DUMMYFUNCTION("""COMPUTED_VALUE"""),"Mock")</f>
        <v/>
      </c>
      <c r="P70" s="18">
        <f>IFERROR(__xludf.DUMMYFUNCTION("""COMPUTED_VALUE"""),"ชุด 1")</f>
        <v/>
      </c>
    </row>
    <row r="71">
      <c r="A71" s="18">
        <f>IFERROR(__xludf.DUMMYFUNCTION("""COMPUTED_VALUE"""),"1")</f>
        <v/>
      </c>
      <c r="B71" s="1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8" t="n"/>
      <c r="D71" s="18">
        <f>IFERROR(__xludf.DUMMYFUNCTION("""COMPUTED_VALUE"""),"Methyl cyanide")</f>
        <v/>
      </c>
      <c r="E71" s="18">
        <f>IFERROR(__xludf.DUMMYFUNCTION("""COMPUTED_VALUE"""),"Nitro")</f>
        <v/>
      </c>
      <c r="F71" s="18">
        <f>IFERROR(__xludf.DUMMYFUNCTION("""COMPUTED_VALUE"""),"Thio")</f>
        <v/>
      </c>
      <c r="G71" s="18">
        <f>IFERROR(__xludf.DUMMYFUNCTION("""COMPUTED_VALUE"""),"Furan")</f>
        <v/>
      </c>
      <c r="H71" s="18">
        <f>IFERROR(__xludf.DUMMYFUNCTION("""COMPUTED_VALUE"""),"Amine")</f>
        <v/>
      </c>
      <c r="I71" s="18">
        <f>IFERROR(__xludf.DUMMYFUNCTION("""COMPUTED_VALUE"""),"4")</f>
        <v/>
      </c>
      <c r="J71" s="1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8" t="n"/>
      <c r="L71" s="18">
        <f>IFERROR(__xludf.DUMMYFUNCTION("""COMPUTED_VALUE"""),"SAR &amp; Drug Design")</f>
        <v/>
      </c>
      <c r="M71" s="18">
        <f>IFERROR(__xludf.DUMMYFUNCTION("""COMPUTED_VALUE"""),"Product")</f>
        <v/>
      </c>
      <c r="N71" s="18">
        <f>IFERROR(__xludf.DUMMYFUNCTION("""COMPUTED_VALUE"""),"ข้อ 1 ชุด 1 (เฉลยข้อ ง)")</f>
        <v/>
      </c>
      <c r="O71" s="18">
        <f>IFERROR(__xludf.DUMMYFUNCTION("""COMPUTED_VALUE"""),"Mock")</f>
        <v/>
      </c>
      <c r="P71" s="18">
        <f>IFERROR(__xludf.DUMMYFUNCTION("""COMPUTED_VALUE"""),"ชุด 1")</f>
        <v/>
      </c>
    </row>
    <row r="72">
      <c r="A72" s="18">
        <f>IFERROR(__xludf.DUMMYFUNCTION("""COMPUTED_VALUE"""),"2")</f>
        <v/>
      </c>
      <c r="B72" s="18">
        <f>IFERROR(__xludf.DUMMYFUNCTION("""COMPUTED_VALUE"""),"จากสูตรโครงสร้างของ praziquantel ตำแหน่งนี้เรียกว่า และมีคุณสมบัติอย่างไร")</f>
        <v/>
      </c>
      <c r="C72" s="18" t="n"/>
      <c r="D72" s="18">
        <f>IFERROR(__xludf.DUMMYFUNCTION("""COMPUTED_VALUE"""),"Quinoline, base")</f>
        <v/>
      </c>
      <c r="E72" s="18">
        <f>IFERROR(__xludf.DUMMYFUNCTION("""COMPUTED_VALUE"""),"Isoquinoline, base")</f>
        <v/>
      </c>
      <c r="F72" s="18">
        <f>IFERROR(__xludf.DUMMYFUNCTION("""COMPUTED_VALUE"""),"Guanine, acid")</f>
        <v/>
      </c>
      <c r="G72" s="18">
        <f>IFERROR(__xludf.DUMMYFUNCTION("""COMPUTED_VALUE"""),"Pyramidine, acid")</f>
        <v/>
      </c>
      <c r="H72" s="18">
        <f>IFERROR(__xludf.DUMMYFUNCTION("""COMPUTED_VALUE"""),"Nirobenzene, acid")</f>
        <v/>
      </c>
      <c r="I72" s="18">
        <f>IFERROR(__xludf.DUMMYFUNCTION("""COMPUTED_VALUE"""),"2")</f>
        <v/>
      </c>
      <c r="J72" s="1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8" t="n"/>
      <c r="L72" s="18">
        <f>IFERROR(__xludf.DUMMYFUNCTION("""COMPUTED_VALUE"""),"SAR &amp; Drug Design")</f>
        <v/>
      </c>
      <c r="M72" s="18">
        <f>IFERROR(__xludf.DUMMYFUNCTION("""COMPUTED_VALUE"""),"Product")</f>
        <v/>
      </c>
      <c r="N72" s="18">
        <f>IFERROR(__xludf.DUMMYFUNCTION("""COMPUTED_VALUE"""),"ข้อ 2 ชุด 1 (เฉลยข้อ ข)")</f>
        <v/>
      </c>
      <c r="O72" s="18">
        <f>IFERROR(__xludf.DUMMYFUNCTION("""COMPUTED_VALUE"""),"Mock")</f>
        <v/>
      </c>
      <c r="P72" s="18">
        <f>IFERROR(__xludf.DUMMYFUNCTION("""COMPUTED_VALUE"""),"ชุด 1")</f>
        <v/>
      </c>
    </row>
    <row r="73">
      <c r="A73" s="18">
        <f>IFERROR(__xludf.DUMMYFUNCTION("""COMPUTED_VALUE"""),"3")</f>
        <v/>
      </c>
      <c r="B73" s="18">
        <f>IFERROR(__xludf.DUMMYFUNCTION("""COMPUTED_VALUE"""),"จากสูตรโครงสร้างมีหมู่ carboxyl group กี่หมู่")</f>
        <v/>
      </c>
      <c r="C73" s="18" t="n"/>
      <c r="D73" s="18">
        <f>IFERROR(__xludf.DUMMYFUNCTION("""COMPUTED_VALUE"""),"Bioisosteric Replacement (Carboxylic acid → Tetrazole)")</f>
        <v/>
      </c>
      <c r="E73" s="18">
        <f>IFERROR(__xludf.DUMMYFUNCTION("""COMPUTED_VALUE"""),"Prodrug Design via Esterification for Oral Bioavailability")</f>
        <v/>
      </c>
      <c r="F73" s="18">
        <f>IFERROR(__xludf.DUMMYFUNCTION("""COMPUTED_VALUE"""),"Cytochrome P450 CYP3A4 Phase I Oxidation")</f>
        <v/>
      </c>
      <c r="G73" s="18">
        <f>IFERROR(__xludf.DUMMYFUNCTION("""COMPUTED_VALUE"""),"Phase II Glucuronidation Conjugation by UGT")</f>
        <v/>
      </c>
      <c r="H73" s="18">
        <f>IFERROR(__xludf.DUMMYFUNCTION("""COMPUTED_VALUE"""),"Log P Lipophilicity Partition Coefficient optimization")</f>
        <v/>
      </c>
      <c r="I73" s="18">
        <f>IFERROR(__xludf.DUMMYFUNCTION("""COMPUTED_VALUE"""),"2")</f>
        <v/>
      </c>
      <c r="J73" s="1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8" t="n"/>
      <c r="L73" s="18">
        <f>IFERROR(__xludf.DUMMYFUNCTION("""COMPUTED_VALUE"""),"SAR &amp; Drug Design")</f>
        <v/>
      </c>
      <c r="M73" s="18">
        <f>IFERROR(__xludf.DUMMYFUNCTION("""COMPUTED_VALUE"""),"Product")</f>
        <v/>
      </c>
      <c r="N73" s="18">
        <f>IFERROR(__xludf.DUMMYFUNCTION("""COMPUTED_VALUE"""),"ข้อ 3 ชุด 1 (เฉลยข้อ ข)")</f>
        <v/>
      </c>
      <c r="O73" s="18">
        <f>IFERROR(__xludf.DUMMYFUNCTION("""COMPUTED_VALUE"""),"Mock")</f>
        <v/>
      </c>
      <c r="P73" s="18">
        <f>IFERROR(__xludf.DUMMYFUNCTION("""COMPUTED_VALUE"""),"ชุด 1")</f>
        <v/>
      </c>
    </row>
    <row r="74">
      <c r="A74" s="18">
        <f>IFERROR(__xludf.DUMMYFUNCTION("""COMPUTED_VALUE"""),"4")</f>
        <v/>
      </c>
      <c r="B74" s="18">
        <f>IFERROR(__xludf.DUMMYFUNCTION("""COMPUTED_VALUE"""),"จากโครงสร้าง Simvastatin และ Pravastatin ข้อใดถูกต้อง")</f>
        <v/>
      </c>
      <c r="C74" s="18" t="n"/>
      <c r="D74" s="18">
        <f>IFERROR(__xludf.DUMMYFUNCTION("""COMPUTED_VALUE"""),"Cholestyramine ลดการดูดซึมของยา simvastatin เพราะโครงสร้าง Simvastatin มี lactone ring")</f>
        <v/>
      </c>
      <c r="E74" s="18">
        <f>IFERROR(__xludf.DUMMYFUNCTION("""COMPUTED_VALUE"""),"Cholestyramine ลดการดูดซึมของยา pravastatin เพราะโครงสร้าง Pravastatin มี carboxylic acid")</f>
        <v/>
      </c>
      <c r="F74" s="18">
        <f>IFERROR(__xludf.DUMMYFUNCTION("""COMPUTED_VALUE"""),"Simvastatin ลดการดูดซึมของยา cholestyramine")</f>
        <v/>
      </c>
      <c r="G74" s="18">
        <f>IFERROR(__xludf.DUMMYFUNCTION("""COMPUTED_VALUE"""),"Cholestyramine ไม่มีผลต่อการดูดซึมของยา simvastatin และ pravastatin")</f>
        <v/>
      </c>
      <c r="H74" s="18">
        <f>IFERROR(__xludf.DUMMYFUNCTION("""COMPUTED_VALUE"""),"Cholestyramine เพิ่มการดูดซึมของยา simvastatin และ pravastatin")</f>
        <v/>
      </c>
      <c r="I74" s="18">
        <f>IFERROR(__xludf.DUMMYFUNCTION("""COMPUTED_VALUE"""),"2")</f>
        <v/>
      </c>
      <c r="J74" s="1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8" t="n"/>
      <c r="L74" s="18">
        <f>IFERROR(__xludf.DUMMYFUNCTION("""COMPUTED_VALUE"""),"SAR &amp; Drug Design")</f>
        <v/>
      </c>
      <c r="M74" s="18">
        <f>IFERROR(__xludf.DUMMYFUNCTION("""COMPUTED_VALUE"""),"Product")</f>
        <v/>
      </c>
      <c r="N74" s="18">
        <f>IFERROR(__xludf.DUMMYFUNCTION("""COMPUTED_VALUE"""),"ข้อ 4 ชุด 1 (เฉลยข้อ ข)")</f>
        <v/>
      </c>
      <c r="O74" s="18">
        <f>IFERROR(__xludf.DUMMYFUNCTION("""COMPUTED_VALUE"""),"Mock")</f>
        <v/>
      </c>
      <c r="P74" s="18">
        <f>IFERROR(__xludf.DUMMYFUNCTION("""COMPUTED_VALUE"""),"ชุด 1")</f>
        <v/>
      </c>
    </row>
    <row r="75">
      <c r="A75" s="18">
        <f>IFERROR(__xludf.DUMMYFUNCTION("""COMPUTED_VALUE"""),"5")</f>
        <v/>
      </c>
      <c r="B75" s="18">
        <f>IFERROR(__xludf.DUMMYFUNCTION("""COMPUTED_VALUE"""),"โครงสร้างที่แสดงข้อ 4 สัมพันธ์กับการออกฤทธิ์ของยาอย่างไร")</f>
        <v/>
      </c>
      <c r="C75" s="18" t="n"/>
      <c r="D75" s="18">
        <f>IFERROR(__xludf.DUMMYFUNCTION("""COMPUTED_VALUE"""),"Pravastatin เป็น prodrug")</f>
        <v/>
      </c>
      <c r="E75" s="18">
        <f>IFERROR(__xludf.DUMMYFUNCTION("""COMPUTED_VALUE"""),"Pravastatin และ simvastatin เป็น prodrug")</f>
        <v/>
      </c>
      <c r="F75" s="1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18">
        <f>IFERROR(__xludf.DUMMYFUNCTION("""COMPUTED_VALUE"""),"Simvastatin มีโครงสร้างที่ออกฤทธิ์ คือ โครงสร้างที่เป็น lactone ring เปิด")</f>
        <v/>
      </c>
      <c r="H75" s="18">
        <f>IFERROR(__xludf.DUMMYFUNCTION("""COMPUTED_VALUE"""),"Pravastatin และ simvastatin ไม่เป็น prodrug")</f>
        <v/>
      </c>
      <c r="I75" s="18">
        <f>IFERROR(__xludf.DUMMYFUNCTION("""COMPUTED_VALUE"""),"4")</f>
        <v/>
      </c>
      <c r="J75" s="1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8" t="n"/>
      <c r="L75" s="18">
        <f>IFERROR(__xludf.DUMMYFUNCTION("""COMPUTED_VALUE"""),"SAR &amp; Drug Design")</f>
        <v/>
      </c>
      <c r="M75" s="18">
        <f>IFERROR(__xludf.DUMMYFUNCTION("""COMPUTED_VALUE"""),"Product")</f>
        <v/>
      </c>
      <c r="N75" s="18">
        <f>IFERROR(__xludf.DUMMYFUNCTION("""COMPUTED_VALUE"""),"ข้อ 5 ชุด 1 (เฉลยข้อ ง)")</f>
        <v/>
      </c>
      <c r="O75" s="18">
        <f>IFERROR(__xludf.DUMMYFUNCTION("""COMPUTED_VALUE"""),"Mock")</f>
        <v/>
      </c>
      <c r="P75" s="18">
        <f>IFERROR(__xludf.DUMMYFUNCTION("""COMPUTED_VALUE"""),"ชุด 1")</f>
        <v/>
      </c>
    </row>
    <row r="76">
      <c r="A76" s="18">
        <f>IFERROR(__xludf.DUMMYFUNCTION("""COMPUTED_VALUE"""),"6")</f>
        <v/>
      </c>
      <c r="B76" s="18">
        <f>IFERROR(__xludf.DUMMYFUNCTION("""COMPUTED_VALUE"""),"สูตรโครงสร้างของยาต่อไปนี้ข้อใดคือ Dexamethasone")</f>
        <v/>
      </c>
      <c r="C76" s="18" t="n"/>
      <c r="D76" s="18">
        <f>IFERROR(__xludf.DUMMYFUNCTION("""COMPUTED_VALUE"""),"โครงสร้างเตียรอยด์มีหมู่ -OH และ -F")</f>
        <v/>
      </c>
      <c r="E76" s="18">
        <f>IFERROR(__xludf.DUMMYFUNCTION("""COMPUTED_VALUE"""),"โครงสร้าง ACE inhibitor")</f>
        <v/>
      </c>
      <c r="F76" s="18">
        <f>IFERROR(__xludf.DUMMYFUNCTION("""COMPUTED_VALUE"""),"โครงสร้าง Chloramphenicol")</f>
        <v/>
      </c>
      <c r="G76" s="18">
        <f>IFERROR(__xludf.DUMMYFUNCTION("""COMPUTED_VALUE"""),"โครงสร้าง Sulfonamide")</f>
        <v/>
      </c>
      <c r="H76" s="18">
        <f>IFERROR(__xludf.DUMMYFUNCTION("""COMPUTED_VALUE"""),"โครงสร้าง Beta-lactam หรือโครงสร้างอื่น")</f>
        <v/>
      </c>
      <c r="I76" s="18">
        <f>IFERROR(__xludf.DUMMYFUNCTION("""COMPUTED_VALUE"""),"1")</f>
        <v/>
      </c>
      <c r="J76" s="1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8" t="n"/>
      <c r="L76" s="18">
        <f>IFERROR(__xludf.DUMMYFUNCTION("""COMPUTED_VALUE"""),"SAR &amp; Drug Design")</f>
        <v/>
      </c>
      <c r="M76" s="18">
        <f>IFERROR(__xludf.DUMMYFUNCTION("""COMPUTED_VALUE"""),"Product")</f>
        <v/>
      </c>
      <c r="N76" s="18">
        <f>IFERROR(__xludf.DUMMYFUNCTION("""COMPUTED_VALUE"""),"ข้อ 6 ชุด 1 (เฉลยข้อ ก)")</f>
        <v/>
      </c>
      <c r="O76" s="18">
        <f>IFERROR(__xludf.DUMMYFUNCTION("""COMPUTED_VALUE"""),"Mock")</f>
        <v/>
      </c>
      <c r="P76" s="18">
        <f>IFERROR(__xludf.DUMMYFUNCTION("""COMPUTED_VALUE"""),"ชุด 1")</f>
        <v/>
      </c>
    </row>
    <row r="77">
      <c r="A77" s="18">
        <f>IFERROR(__xludf.DUMMYFUNCTION("""COMPUTED_VALUE"""),"11")</f>
        <v/>
      </c>
      <c r="B77" s="18">
        <f>IFERROR(__xludf.DUMMYFUNCTION("""COMPUTED_VALUE"""),"จากโครงสร้างของ vitamin A ข้อใดต่อไปนี้ถูกต้องเกี่ยวกับ SAR")</f>
        <v/>
      </c>
      <c r="C77" s="18" t="n"/>
      <c r="D77" s="18">
        <f>IFERROR(__xludf.DUMMYFUNCTION("""COMPUTED_VALUE"""),"Conjugated double bond เพิ่มขึ้น ทำให้ activity ของ vitamin A ลดลง")</f>
        <v/>
      </c>
      <c r="E77" s="18">
        <f>IFERROR(__xludf.DUMMYFUNCTION("""COMPUTED_VALUE"""),"Conjugated double bond ลดลง ทำให้ activity ของ vitamin A เพิ่มขึ้น")</f>
        <v/>
      </c>
      <c r="F77" s="18">
        <f>IFERROR(__xludf.DUMMYFUNCTION("""COMPUTED_VALUE"""),"ถ้า b-ionone ring saturate จะทำให้ vitamin A หมดฤทธิ์")</f>
        <v/>
      </c>
      <c r="G77" s="18">
        <f>IFERROR(__xludf.DUMMYFUNCTION("""COMPUTED_VALUE"""),"ถ้า b-ionone ring saturate จะทำให้ vitamin A ฤทธิ์เพิ่มขึ้น")</f>
        <v/>
      </c>
      <c r="H77" s="18">
        <f>IFERROR(__xludf.DUMMYFUNCTION("""COMPUTED_VALUE"""),"ถ้าเปลี่ยนจาก -OH เป็น ether จะทำให้ vitamin A ฤทธิ์เพิ่มขึ้น")</f>
        <v/>
      </c>
      <c r="I77" s="18">
        <f>IFERROR(__xludf.DUMMYFUNCTION("""COMPUTED_VALUE"""),"3")</f>
        <v/>
      </c>
      <c r="J77" s="1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8" t="n"/>
      <c r="L77" s="18">
        <f>IFERROR(__xludf.DUMMYFUNCTION("""COMPUTED_VALUE"""),"SAR &amp; Drug Design")</f>
        <v/>
      </c>
      <c r="M77" s="18">
        <f>IFERROR(__xludf.DUMMYFUNCTION("""COMPUTED_VALUE"""),"Product")</f>
        <v/>
      </c>
      <c r="N77" s="18">
        <f>IFERROR(__xludf.DUMMYFUNCTION("""COMPUTED_VALUE"""),"ข้อ 11 ชุด 1 (เฉลยข้อ ค)")</f>
        <v/>
      </c>
      <c r="O77" s="18">
        <f>IFERROR(__xludf.DUMMYFUNCTION("""COMPUTED_VALUE"""),"Mock")</f>
        <v/>
      </c>
      <c r="P77" s="18">
        <f>IFERROR(__xludf.DUMMYFUNCTION("""COMPUTED_VALUE"""),"ชุด 1")</f>
        <v/>
      </c>
    </row>
    <row r="78">
      <c r="A78" s="18">
        <f>IFERROR(__xludf.DUMMYFUNCTION("""COMPUTED_VALUE"""),"12")</f>
        <v/>
      </c>
      <c r="B78" s="18">
        <f>IFERROR(__xludf.DUMMYFUNCTION("""COMPUTED_VALUE"""),"จากข้อ 11 ถ้าเปลี่ยนจากหมู่ OH เป็น COOH จะเป็นสารใดต่อไปนี้")</f>
        <v/>
      </c>
      <c r="C78" s="18" t="n"/>
      <c r="D78" s="18">
        <f>IFERROR(__xludf.DUMMYFUNCTION("""COMPUTED_VALUE"""),"Tretinoin")</f>
        <v/>
      </c>
      <c r="E78" s="18">
        <f>IFERROR(__xludf.DUMMYFUNCTION("""COMPUTED_VALUE"""),"Isotretinoin")</f>
        <v/>
      </c>
      <c r="F78" s="18">
        <f>IFERROR(__xludf.DUMMYFUNCTION("""COMPUTED_VALUE"""),"Adapalene")</f>
        <v/>
      </c>
      <c r="G78" s="18">
        <f>IFERROR(__xludf.DUMMYFUNCTION("""COMPUTED_VALUE"""),"Carotenoid")</f>
        <v/>
      </c>
      <c r="H78" s="18">
        <f>IFERROR(__xludf.DUMMYFUNCTION("""COMPUTED_VALUE"""),"Retinal")</f>
        <v/>
      </c>
      <c r="I78" s="18">
        <f>IFERROR(__xludf.DUMMYFUNCTION("""COMPUTED_VALUE"""),"1")</f>
        <v/>
      </c>
      <c r="J78" s="1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8" t="n"/>
      <c r="L78" s="18">
        <f>IFERROR(__xludf.DUMMYFUNCTION("""COMPUTED_VALUE"""),"SAR &amp; Drug Design")</f>
        <v/>
      </c>
      <c r="M78" s="18">
        <f>IFERROR(__xludf.DUMMYFUNCTION("""COMPUTED_VALUE"""),"Product")</f>
        <v/>
      </c>
      <c r="N78" s="18">
        <f>IFERROR(__xludf.DUMMYFUNCTION("""COMPUTED_VALUE"""),"ข้อ 12 ชุด 1 (เฉลยข้อ ก)")</f>
        <v/>
      </c>
      <c r="O78" s="18">
        <f>IFERROR(__xludf.DUMMYFUNCTION("""COMPUTED_VALUE"""),"Mock")</f>
        <v/>
      </c>
      <c r="P78" s="18">
        <f>IFERROR(__xludf.DUMMYFUNCTION("""COMPUTED_VALUE"""),"ชุด 1")</f>
        <v/>
      </c>
    </row>
    <row r="79">
      <c r="A79" s="18">
        <f>IFERROR(__xludf.DUMMYFUNCTION("""COMPUTED_VALUE"""),"13")</f>
        <v/>
      </c>
      <c r="B79" s="18">
        <f>IFERROR(__xludf.DUMMYFUNCTION("""COMPUTED_VALUE"""),"จากโครงสร้างของยา Gemcitabine เป็นอนุพันธ์ของอะไร")</f>
        <v/>
      </c>
      <c r="C79" s="18" t="n"/>
      <c r="D79" s="18">
        <f>IFERROR(__xludf.DUMMYFUNCTION("""COMPUTED_VALUE"""),"Acyclonucleoside analog")</f>
        <v/>
      </c>
      <c r="E79" s="18">
        <f>IFERROR(__xludf.DUMMYFUNCTION("""COMPUTED_VALUE"""),"Pyrimidine nucleoside analog")</f>
        <v/>
      </c>
      <c r="F79" s="18">
        <f>IFERROR(__xludf.DUMMYFUNCTION("""COMPUTED_VALUE"""),"Pyrimidine nucleotide analog")</f>
        <v/>
      </c>
      <c r="G79" s="18">
        <f>IFERROR(__xludf.DUMMYFUNCTION("""COMPUTED_VALUE"""),"Purine nucleotide analog")</f>
        <v/>
      </c>
      <c r="H79" s="18">
        <f>IFERROR(__xludf.DUMMYFUNCTION("""COMPUTED_VALUE"""),"Purine nucleoside analog")</f>
        <v/>
      </c>
      <c r="I79" s="18">
        <f>IFERROR(__xludf.DUMMYFUNCTION("""COMPUTED_VALUE"""),"2")</f>
        <v/>
      </c>
      <c r="J79" s="1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8" t="n"/>
      <c r="L79" s="18">
        <f>IFERROR(__xludf.DUMMYFUNCTION("""COMPUTED_VALUE"""),"SAR &amp; Drug Design")</f>
        <v/>
      </c>
      <c r="M79" s="18">
        <f>IFERROR(__xludf.DUMMYFUNCTION("""COMPUTED_VALUE"""),"Product")</f>
        <v/>
      </c>
      <c r="N79" s="18">
        <f>IFERROR(__xludf.DUMMYFUNCTION("""COMPUTED_VALUE"""),"ข้อ 13 ชุด 1 (เฉลยข้อ ข)")</f>
        <v/>
      </c>
      <c r="O79" s="18">
        <f>IFERROR(__xludf.DUMMYFUNCTION("""COMPUTED_VALUE"""),"Mock")</f>
        <v/>
      </c>
      <c r="P79" s="18">
        <f>IFERROR(__xludf.DUMMYFUNCTION("""COMPUTED_VALUE"""),"ชุด 1")</f>
        <v/>
      </c>
    </row>
    <row r="80">
      <c r="A80" s="18">
        <f>IFERROR(__xludf.DUMMYFUNCTION("""COMPUTED_VALUE"""),"14")</f>
        <v/>
      </c>
      <c r="B80" s="18">
        <f>IFERROR(__xludf.DUMMYFUNCTION("""COMPUTED_VALUE"""),"จากโครงสร้างของยา A และยา B ข้อใดถูกต้องเกี่ยวกับยา B")</f>
        <v/>
      </c>
      <c r="C80" s="18" t="n"/>
      <c r="D80" s="18">
        <f>IFERROR(__xludf.DUMMYFUNCTION("""COMPUTED_VALUE"""),"ฤทธิ์ต้านแบคทีเรียลดลงอย่างมีนัยสำคัญ")</f>
        <v/>
      </c>
      <c r="E80" s="18">
        <f>IFERROR(__xludf.DUMMYFUNCTION("""COMPUTED_VALUE"""),"ความสามารถในการละลายน้ำไม่เปลี่ยนแปลง")</f>
        <v/>
      </c>
      <c r="F80" s="18">
        <f>IFERROR(__xludf.DUMMYFUNCTION("""COMPUTED_VALUE"""),"ความถี่ในการรับประทานลดลง")</f>
        <v/>
      </c>
      <c r="G80" s="18">
        <f>IFERROR(__xludf.DUMMYFUNCTION("""COMPUTED_VALUE"""),"ไม่คงตัวต่อกรดเช่นเดียวกับยา A")</f>
        <v/>
      </c>
      <c r="H80" s="18">
        <f>IFERROR(__xludf.DUMMYFUNCTION("""COMPUTED_VALUE"""),"ไม่คงตัวต่อด่างเช่นเดียวกันกับยา A")</f>
        <v/>
      </c>
      <c r="I80" s="18">
        <f>IFERROR(__xludf.DUMMYFUNCTION("""COMPUTED_VALUE"""),"3")</f>
        <v/>
      </c>
      <c r="J80" s="1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8" t="n"/>
      <c r="L80" s="18">
        <f>IFERROR(__xludf.DUMMYFUNCTION("""COMPUTED_VALUE"""),"SAR &amp; Drug Design")</f>
        <v/>
      </c>
      <c r="M80" s="18">
        <f>IFERROR(__xludf.DUMMYFUNCTION("""COMPUTED_VALUE"""),"Product")</f>
        <v/>
      </c>
      <c r="N80" s="18">
        <f>IFERROR(__xludf.DUMMYFUNCTION("""COMPUTED_VALUE"""),"ข้อ 14 ชุด 1 (เฉลยข้อ ค)")</f>
        <v/>
      </c>
      <c r="O80" s="18">
        <f>IFERROR(__xludf.DUMMYFUNCTION("""COMPUTED_VALUE"""),"Mock")</f>
        <v/>
      </c>
      <c r="P80" s="18">
        <f>IFERROR(__xludf.DUMMYFUNCTION("""COMPUTED_VALUE"""),"ชุด 1")</f>
        <v/>
      </c>
    </row>
    <row r="81">
      <c r="A81" s="18">
        <f>IFERROR(__xludf.DUMMYFUNCTION("""COMPUTED_VALUE"""),"15")</f>
        <v/>
      </c>
      <c r="B81" s="18">
        <f>IFERROR(__xludf.DUMMYFUNCTION("""COMPUTED_VALUE"""),"จากสูตรโครงสร้างของยา doxorubicin โครงสร้างส่วนใดที่ออกฤทธิ์เป็น intercalating ของ DNA")</f>
        <v/>
      </c>
      <c r="C81" s="18" t="n"/>
      <c r="D81" s="18">
        <f>IFERROR(__xludf.DUMMYFUNCTION("""COMPUTED_VALUE"""),"Anthracycline ring")</f>
        <v/>
      </c>
      <c r="E81" s="18">
        <f>IFERROR(__xludf.DUMMYFUNCTION("""COMPUTED_VALUE"""),"- NH2 group")</f>
        <v/>
      </c>
      <c r="F81" s="18">
        <f>IFERROR(__xludf.DUMMYFUNCTION("""COMPUTED_VALUE"""),"Methoxy")</f>
        <v/>
      </c>
      <c r="G81" s="18">
        <f>IFERROR(__xludf.DUMMYFUNCTION("""COMPUTED_VALUE"""),"Hydroxyl")</f>
        <v/>
      </c>
      <c r="H81" s="18">
        <f>IFERROR(__xludf.DUMMYFUNCTION("""COMPUTED_VALUE"""),"น้ำตาล glycoside")</f>
        <v/>
      </c>
      <c r="I81" s="18">
        <f>IFERROR(__xludf.DUMMYFUNCTION("""COMPUTED_VALUE"""),"1")</f>
        <v/>
      </c>
      <c r="J81" s="1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8" t="n"/>
      <c r="L81" s="18">
        <f>IFERROR(__xludf.DUMMYFUNCTION("""COMPUTED_VALUE"""),"SAR &amp; Drug Design")</f>
        <v/>
      </c>
      <c r="M81" s="18">
        <f>IFERROR(__xludf.DUMMYFUNCTION("""COMPUTED_VALUE"""),"Product")</f>
        <v/>
      </c>
      <c r="N81" s="18">
        <f>IFERROR(__xludf.DUMMYFUNCTION("""COMPUTED_VALUE"""),"ข้อ 15 ชุด 1 (เฉลยข้อ ก)")</f>
        <v/>
      </c>
      <c r="O81" s="18">
        <f>IFERROR(__xludf.DUMMYFUNCTION("""COMPUTED_VALUE"""),"Mock")</f>
        <v/>
      </c>
      <c r="P81" s="18">
        <f>IFERROR(__xludf.DUMMYFUNCTION("""COMPUTED_VALUE"""),"ชุด 1")</f>
        <v/>
      </c>
    </row>
    <row r="82">
      <c r="A82" s="18">
        <f>IFERROR(__xludf.DUMMYFUNCTION("""COMPUTED_VALUE"""),"16")</f>
        <v/>
      </c>
      <c r="B82" s="18">
        <f>IFERROR(__xludf.DUMMYFUNCTION("""COMPUTED_VALUE"""),"โครงสร้างนี้ เรียกว่า อะไร")</f>
        <v/>
      </c>
      <c r="C82" s="18" t="n"/>
      <c r="D82" s="18">
        <f>IFERROR(__xludf.DUMMYFUNCTION("""COMPUTED_VALUE"""),"Nucleotide ของ Purine")</f>
        <v/>
      </c>
      <c r="E82" s="18">
        <f>IFERROR(__xludf.DUMMYFUNCTION("""COMPUTED_VALUE"""),"Nucleotide ของ Pyridine")</f>
        <v/>
      </c>
      <c r="F82" s="18">
        <f>IFERROR(__xludf.DUMMYFUNCTION("""COMPUTED_VALUE"""),"Nucleoside ของ Purine")</f>
        <v/>
      </c>
      <c r="G82" s="18">
        <f>IFERROR(__xludf.DUMMYFUNCTION("""COMPUTED_VALUE"""),"Nucleoside ของ Pyridine")</f>
        <v/>
      </c>
      <c r="H82" s="18">
        <f>IFERROR(__xludf.DUMMYFUNCTION("""COMPUTED_VALUE"""),"ไม่มีข้อใดถูกต้องการ")</f>
        <v/>
      </c>
      <c r="I82" s="18">
        <f>IFERROR(__xludf.DUMMYFUNCTION("""COMPUTED_VALUE"""),"5")</f>
        <v/>
      </c>
      <c r="J82" s="1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8" t="n"/>
      <c r="L82" s="18">
        <f>IFERROR(__xludf.DUMMYFUNCTION("""COMPUTED_VALUE"""),"SAR &amp; Drug Design")</f>
        <v/>
      </c>
      <c r="M82" s="18">
        <f>IFERROR(__xludf.DUMMYFUNCTION("""COMPUTED_VALUE"""),"Product")</f>
        <v/>
      </c>
      <c r="N82" s="18">
        <f>IFERROR(__xludf.DUMMYFUNCTION("""COMPUTED_VALUE"""),"ข้อ 16 ชุด 1 (เฉลยข้อ จ)")</f>
        <v/>
      </c>
      <c r="O82" s="18">
        <f>IFERROR(__xludf.DUMMYFUNCTION("""COMPUTED_VALUE"""),"Mock")</f>
        <v/>
      </c>
      <c r="P82" s="18">
        <f>IFERROR(__xludf.DUMMYFUNCTION("""COMPUTED_VALUE"""),"ชุด 1")</f>
        <v/>
      </c>
    </row>
    <row r="83">
      <c r="A83" s="18">
        <f>IFERROR(__xludf.DUMMYFUNCTION("""COMPUTED_VALUE"""),"17")</f>
        <v/>
      </c>
      <c r="B83" s="18">
        <f>IFERROR(__xludf.DUMMYFUNCTION("""COMPUTED_VALUE"""),"ข้อใดกล่าวถูกต้องเกี่ยวกับการพัฒนาโครงสร้างดังแสดงด้านล่าง")</f>
        <v/>
      </c>
      <c r="C83" s="18" t="n"/>
      <c r="D83" s="18">
        <f>IFERROR(__xludf.DUMMYFUNCTION("""COMPUTED_VALUE"""),"เปลี่ยนตัวออกฤทธิ์เป็น Ligand เพื่อช่วยลดอาการไม่พึงประสงค์จากยา")</f>
        <v/>
      </c>
      <c r="E83" s="18">
        <f>IFERROR(__xludf.DUMMYFUNCTION("""COMPUTED_VALUE"""),"ทำให้โครงสร้างใหญ่ขึ้นเพื่อลดการโดนทำลายหมู่สำคัญในการออกฤทธิ์")</f>
        <v/>
      </c>
      <c r="F83" s="18">
        <f>IFERROR(__xludf.DUMMYFUNCTION("""COMPUTED_VALUE"""),"เพิ่ม Lipophilicity ของยาเพื่อเพิ่มการเข้าสู่เซลล์เป้าหมาย")</f>
        <v/>
      </c>
      <c r="G83" s="18">
        <f>IFERROR(__xludf.DUMMYFUNCTION("""COMPUTED_VALUE"""),"ข้อ ก ข ถูก")</f>
        <v/>
      </c>
      <c r="H83" s="18">
        <f>IFERROR(__xludf.DUMMYFUNCTION("""COMPUTED_VALUE"""),"ข้อ ก ข ค ถูก")</f>
        <v/>
      </c>
      <c r="I83" s="18">
        <f>IFERROR(__xludf.DUMMYFUNCTION("""COMPUTED_VALUE"""),"4")</f>
        <v/>
      </c>
      <c r="J83" s="1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8" t="n"/>
      <c r="L83" s="18">
        <f>IFERROR(__xludf.DUMMYFUNCTION("""COMPUTED_VALUE"""),"SAR &amp; Drug Design")</f>
        <v/>
      </c>
      <c r="M83" s="18">
        <f>IFERROR(__xludf.DUMMYFUNCTION("""COMPUTED_VALUE"""),"Product")</f>
        <v/>
      </c>
      <c r="N83" s="18">
        <f>IFERROR(__xludf.DUMMYFUNCTION("""COMPUTED_VALUE"""),"ข้อ 17 ชุด 1 (เฉลยข้อ ง)")</f>
        <v/>
      </c>
      <c r="O83" s="18">
        <f>IFERROR(__xludf.DUMMYFUNCTION("""COMPUTED_VALUE"""),"Mock")</f>
        <v/>
      </c>
      <c r="P83" s="18">
        <f>IFERROR(__xludf.DUMMYFUNCTION("""COMPUTED_VALUE"""),"ชุด 1")</f>
        <v/>
      </c>
    </row>
    <row r="84">
      <c r="A84" s="18">
        <f>IFERROR(__xludf.DUMMYFUNCTION("""COMPUTED_VALUE"""),"18")</f>
        <v/>
      </c>
      <c r="B84" s="18">
        <f>IFERROR(__xludf.DUMMYFUNCTION("""COMPUTED_VALUE"""),"จากโครงสร้างของยาต่อไปนี้ ยาในข้อใดที่มีคุณสมบัติทนต่อ catechol-O-methyltransferase")</f>
        <v/>
      </c>
      <c r="C84" s="18" t="n"/>
      <c r="D84" s="18">
        <f>IFERROR(__xludf.DUMMYFUNCTION("""COMPUTED_VALUE"""),"Prodrug Design via Esterification for Oral Bioavailability")</f>
        <v/>
      </c>
      <c r="E84" s="18">
        <f>IFERROR(__xludf.DUMMYFUNCTION("""COMPUTED_VALUE"""),"Cytochrome P450 CYP3A4 Phase I Oxidation")</f>
        <v/>
      </c>
      <c r="F84" s="18">
        <f>IFERROR(__xludf.DUMMYFUNCTION("""COMPUTED_VALUE"""),"Phase II Glucuronidation Conjugation by UGT")</f>
        <v/>
      </c>
      <c r="G84" s="18">
        <f>IFERROR(__xludf.DUMMYFUNCTION("""COMPUTED_VALUE"""),"Log P Lipophilicity Partition Coefficient optimization")</f>
        <v/>
      </c>
      <c r="H84" s="18">
        <f>IFERROR(__xludf.DUMMYFUNCTION("""COMPUTED_VALUE"""),"Chiral Eutomer vs Distomer Pharmacological activity")</f>
        <v/>
      </c>
      <c r="I84" s="18">
        <f>IFERROR(__xludf.DUMMYFUNCTION("""COMPUTED_VALUE"""),"1")</f>
        <v/>
      </c>
      <c r="J84" s="1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8" t="n"/>
      <c r="L84" s="18">
        <f>IFERROR(__xludf.DUMMYFUNCTION("""COMPUTED_VALUE"""),"SAR &amp; Drug Design")</f>
        <v/>
      </c>
      <c r="M84" s="18">
        <f>IFERROR(__xludf.DUMMYFUNCTION("""COMPUTED_VALUE"""),"Product")</f>
        <v/>
      </c>
      <c r="N84" s="18">
        <f>IFERROR(__xludf.DUMMYFUNCTION("""COMPUTED_VALUE"""),"ข้อ 18 ชุด 1 (เฉลยข้อ ก)")</f>
        <v/>
      </c>
      <c r="O84" s="18">
        <f>IFERROR(__xludf.DUMMYFUNCTION("""COMPUTED_VALUE"""),"Mock")</f>
        <v/>
      </c>
      <c r="P84" s="18">
        <f>IFERROR(__xludf.DUMMYFUNCTION("""COMPUTED_VALUE"""),"ชุด 1")</f>
        <v/>
      </c>
    </row>
    <row r="85">
      <c r="A85" s="18">
        <f>IFERROR(__xludf.DUMMYFUNCTION("""COMPUTED_VALUE"""),"19")</f>
        <v/>
      </c>
      <c r="B85" s="18">
        <f>IFERROR(__xludf.DUMMYFUNCTION("""COMPUTED_VALUE"""),"จากโครงสร้าง ข้อใดไม่ถูกต้อง")</f>
        <v/>
      </c>
      <c r="C85" s="18" t="n"/>
      <c r="D85" s="18">
        <f>IFERROR(__xludf.DUMMYFUNCTION("""COMPUTED_VALUE"""),"(S)-form มีฤทธิ์มากกว่า (R)-form")</f>
        <v/>
      </c>
      <c r="E85" s="18">
        <f>IFERROR(__xludf.DUMMYFUNCTION("""COMPUTED_VALUE"""),"อยู่ในกลุ่ม coumarin")</f>
        <v/>
      </c>
      <c r="F85" s="18">
        <f>IFERROR(__xludf.DUMMYFUNCTION("""COMPUTED_VALUE"""),"Cyclic hemiketal เป็น active form")</f>
        <v/>
      </c>
      <c r="G85" s="18">
        <f>IFERROR(__xludf.DUMMYFUNCTION("""COMPUTED_VALUE"""),"ออกฤทธิ์ direct acting anticoagulants")</f>
        <v/>
      </c>
      <c r="H85" s="18">
        <f>IFERROR(__xludf.DUMMYFUNCTION("""COMPUTED_VALUE"""),"ไม่มีข้อใดไม่ถูกต้อง")</f>
        <v/>
      </c>
      <c r="I85" s="18">
        <f>IFERROR(__xludf.DUMMYFUNCTION("""COMPUTED_VALUE"""),"4")</f>
        <v/>
      </c>
      <c r="J85" s="1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8" t="n"/>
      <c r="L85" s="18">
        <f>IFERROR(__xludf.DUMMYFUNCTION("""COMPUTED_VALUE"""),"SAR &amp; Drug Design")</f>
        <v/>
      </c>
      <c r="M85" s="18">
        <f>IFERROR(__xludf.DUMMYFUNCTION("""COMPUTED_VALUE"""),"Product")</f>
        <v/>
      </c>
      <c r="N85" s="18">
        <f>IFERROR(__xludf.DUMMYFUNCTION("""COMPUTED_VALUE"""),"ข้อ 19 ชุด 1 (เฉลยข้อ ง)")</f>
        <v/>
      </c>
      <c r="O85" s="18">
        <f>IFERROR(__xludf.DUMMYFUNCTION("""COMPUTED_VALUE"""),"Mock")</f>
        <v/>
      </c>
      <c r="P85" s="18">
        <f>IFERROR(__xludf.DUMMYFUNCTION("""COMPUTED_VALUE"""),"ชุด 1")</f>
        <v/>
      </c>
    </row>
    <row r="86">
      <c r="A86" s="18">
        <f>IFERROR(__xludf.DUMMYFUNCTION("""COMPUTED_VALUE"""),"20")</f>
        <v/>
      </c>
      <c r="B86" s="18">
        <f>IFERROR(__xludf.DUMMYFUNCTION("""COMPUTED_VALUE"""),"จากโครงสร้าง ข้อความใดต่อไปนี้ไม่ถูกต้อง")</f>
        <v/>
      </c>
      <c r="C86" s="18" t="n"/>
      <c r="D86" s="18">
        <f>IFERROR(__xludf.DUMMYFUNCTION("""COMPUTED_VALUE"""),"ตัวอย่างยาในกลุ่มนี้ คือ Digoxin")</f>
        <v/>
      </c>
      <c r="E86" s="18">
        <f>IFERROR(__xludf.DUMMYFUNCTION("""COMPUTED_VALUE"""),"Lactone ring เป็นประเภท bufadienolide")</f>
        <v/>
      </c>
      <c r="F86" s="18">
        <f>IFERROR(__xludf.DUMMYFUNCTION("""COMPUTED_VALUE"""),"ออกฤทธิ์ยับยั้ง Na-K ATPase")</f>
        <v/>
      </c>
      <c r="G86" s="18">
        <f>IFERROR(__xludf.DUMMYFUNCTION("""COMPUTED_VALUE"""),"น้ำตาลจะเข้ามาเกาะที่ตำแหน่ง C3")</f>
        <v/>
      </c>
      <c r="H86" s="18">
        <f>IFERROR(__xludf.DUMMYFUNCTION("""COMPUTED_VALUE"""),"ไม่มีข้อใดถูก")</f>
        <v/>
      </c>
      <c r="I86" s="18">
        <f>IFERROR(__xludf.DUMMYFUNCTION("""COMPUTED_VALUE"""),"2")</f>
        <v/>
      </c>
      <c r="J86" s="1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8" t="n"/>
      <c r="L86" s="18">
        <f>IFERROR(__xludf.DUMMYFUNCTION("""COMPUTED_VALUE"""),"SAR &amp; Drug Design")</f>
        <v/>
      </c>
      <c r="M86" s="18">
        <f>IFERROR(__xludf.DUMMYFUNCTION("""COMPUTED_VALUE"""),"Product")</f>
        <v/>
      </c>
      <c r="N86" s="18">
        <f>IFERROR(__xludf.DUMMYFUNCTION("""COMPUTED_VALUE"""),"ข้อ 20 ชุด 1 (เฉลยข้อ ข)")</f>
        <v/>
      </c>
      <c r="O86" s="18">
        <f>IFERROR(__xludf.DUMMYFUNCTION("""COMPUTED_VALUE"""),"Mock")</f>
        <v/>
      </c>
      <c r="P86" s="18">
        <f>IFERROR(__xludf.DUMMYFUNCTION("""COMPUTED_VALUE"""),"ชุด 1")</f>
        <v/>
      </c>
    </row>
    <row r="87">
      <c r="A87" s="18">
        <f>IFERROR(__xludf.DUMMYFUNCTION("""COMPUTED_VALUE"""),"21")</f>
        <v/>
      </c>
      <c r="B87" s="18">
        <f>IFERROR(__xludf.DUMMYFUNCTION("""COMPUTED_VALUE"""),"โครงสร้างใดต่อไปนี้เป็น Ester of Amino Alcohol")</f>
        <v/>
      </c>
      <c r="C87" s="18" t="n"/>
      <c r="D87" s="18">
        <f>IFERROR(__xludf.DUMMYFUNCTION("""COMPUTED_VALUE"""),"Cytochrome P450 CYP3A4 Phase I Oxidation")</f>
        <v/>
      </c>
      <c r="E87" s="18">
        <f>IFERROR(__xludf.DUMMYFUNCTION("""COMPUTED_VALUE"""),"Phase II Glucuronidation Conjugation by UGT")</f>
        <v/>
      </c>
      <c r="F87" s="18">
        <f>IFERROR(__xludf.DUMMYFUNCTION("""COMPUTED_VALUE"""),"Log P Lipophilicity Partition Coefficient optimization")</f>
        <v/>
      </c>
      <c r="G87" s="18">
        <f>IFERROR(__xludf.DUMMYFUNCTION("""COMPUTED_VALUE"""),"Chiral Eutomer vs Distomer Pharmacological activity")</f>
        <v/>
      </c>
      <c r="H87" s="18">
        <f>IFERROR(__xludf.DUMMYFUNCTION("""COMPUTED_VALUE"""),"Covalent Irreversible Enzyme Inhibition")</f>
        <v/>
      </c>
      <c r="I87" s="18">
        <f>IFERROR(__xludf.DUMMYFUNCTION("""COMPUTED_VALUE"""),"5")</f>
        <v/>
      </c>
      <c r="J87" s="1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8" t="n"/>
      <c r="L87" s="18">
        <f>IFERROR(__xludf.DUMMYFUNCTION("""COMPUTED_VALUE"""),"SAR &amp; Drug Design")</f>
        <v/>
      </c>
      <c r="M87" s="18">
        <f>IFERROR(__xludf.DUMMYFUNCTION("""COMPUTED_VALUE"""),"Product")</f>
        <v/>
      </c>
      <c r="N87" s="18">
        <f>IFERROR(__xludf.DUMMYFUNCTION("""COMPUTED_VALUE"""),"ข้อ 21 ชุด 1 (เฉลยข้อ จ)")</f>
        <v/>
      </c>
      <c r="O87" s="18">
        <f>IFERROR(__xludf.DUMMYFUNCTION("""COMPUTED_VALUE"""),"Mock")</f>
        <v/>
      </c>
      <c r="P87" s="18">
        <f>IFERROR(__xludf.DUMMYFUNCTION("""COMPUTED_VALUE"""),"ชุด 1")</f>
        <v/>
      </c>
    </row>
    <row r="88">
      <c r="A88" s="18">
        <f>IFERROR(__xludf.DUMMYFUNCTION("""COMPUTED_VALUE"""),"22")</f>
        <v/>
      </c>
      <c r="B88" s="18">
        <f>IFERROR(__xludf.DUMMYFUNCTION("""COMPUTED_VALUE"""),"N3 หรือ Azido group จากสูตรโครงสร้างของ AZT มีผลให้เกิดสิ่งใด")</f>
        <v/>
      </c>
      <c r="C88" s="18" t="n"/>
      <c r="D88" s="18">
        <f>IFERROR(__xludf.DUMMYFUNCTION("""COMPUTED_VALUE"""),"เพิ่มความสามารถในการจับกับโปรตีน albumin")</f>
        <v/>
      </c>
      <c r="E88" s="18">
        <f>IFERROR(__xludf.DUMMYFUNCTION("""COMPUTED_VALUE"""),"ช่วยเพิ่มการดูดซึมของยา")</f>
        <v/>
      </c>
      <c r="F88" s="18">
        <f>IFERROR(__xludf.DUMMYFUNCTION("""COMPUTED_VALUE"""),"เพิ่มค่าครึ่งชีวิตให้ยาวขึ้น")</f>
        <v/>
      </c>
      <c r="G88" s="18">
        <f>IFERROR(__xludf.DUMMYFUNCTION("""COMPUTED_VALUE"""),"เพิ่มการออกฤทธิ์")</f>
        <v/>
      </c>
      <c r="H88" s="18">
        <f>IFERROR(__xludf.DUMMYFUNCTION("""COMPUTED_VALUE"""),"มีผลต่อการตั้งสูตรตำรับ")</f>
        <v/>
      </c>
      <c r="I88" s="18">
        <f>IFERROR(__xludf.DUMMYFUNCTION("""COMPUTED_VALUE"""),"4")</f>
        <v/>
      </c>
      <c r="J88" s="1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8" t="n"/>
      <c r="L88" s="18">
        <f>IFERROR(__xludf.DUMMYFUNCTION("""COMPUTED_VALUE"""),"SAR &amp; Drug Design")</f>
        <v/>
      </c>
      <c r="M88" s="18">
        <f>IFERROR(__xludf.DUMMYFUNCTION("""COMPUTED_VALUE"""),"Product")</f>
        <v/>
      </c>
      <c r="N88" s="18">
        <f>IFERROR(__xludf.DUMMYFUNCTION("""COMPUTED_VALUE"""),"ข้อ 22 ชุด 1 (เฉลยข้อ ง)")</f>
        <v/>
      </c>
      <c r="O88" s="18">
        <f>IFERROR(__xludf.DUMMYFUNCTION("""COMPUTED_VALUE"""),"Mock")</f>
        <v/>
      </c>
      <c r="P88" s="18">
        <f>IFERROR(__xludf.DUMMYFUNCTION("""COMPUTED_VALUE"""),"ชุด 1")</f>
        <v/>
      </c>
    </row>
    <row r="89">
      <c r="A89" s="18">
        <f>IFERROR(__xludf.DUMMYFUNCTION("""COMPUTED_VALUE"""),"23")</f>
        <v/>
      </c>
      <c r="B89" s="18">
        <f>IFERROR(__xludf.DUMMYFUNCTION("""COMPUTED_VALUE"""),"โครงสร้างต่อไปนี้หมายถึงยาชนิดใด")</f>
        <v/>
      </c>
      <c r="C89" s="18" t="n"/>
      <c r="D89" s="18">
        <f>IFERROR(__xludf.DUMMYFUNCTION("""COMPUTED_VALUE"""),"Zidovudine")</f>
        <v/>
      </c>
      <c r="E89" s="18">
        <f>IFERROR(__xludf.DUMMYFUNCTION("""COMPUTED_VALUE"""),"Cotrimoxazole")</f>
        <v/>
      </c>
      <c r="F89" s="18">
        <f>IFERROR(__xludf.DUMMYFUNCTION("""COMPUTED_VALUE"""),"Ceftriaxone")</f>
        <v/>
      </c>
      <c r="G89" s="18">
        <f>IFERROR(__xludf.DUMMYFUNCTION("""COMPUTED_VALUE"""),"Acyclovir")</f>
        <v/>
      </c>
      <c r="H89" s="18">
        <f>IFERROR(__xludf.DUMMYFUNCTION("""COMPUTED_VALUE"""),"Ciprofloxacin")</f>
        <v/>
      </c>
      <c r="I89" s="18">
        <f>IFERROR(__xludf.DUMMYFUNCTION("""COMPUTED_VALUE"""),"4")</f>
        <v/>
      </c>
      <c r="J89" s="1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8" t="n"/>
      <c r="L89" s="18">
        <f>IFERROR(__xludf.DUMMYFUNCTION("""COMPUTED_VALUE"""),"SAR &amp; Drug Design")</f>
        <v/>
      </c>
      <c r="M89" s="18">
        <f>IFERROR(__xludf.DUMMYFUNCTION("""COMPUTED_VALUE"""),"Product")</f>
        <v/>
      </c>
      <c r="N89" s="18">
        <f>IFERROR(__xludf.DUMMYFUNCTION("""COMPUTED_VALUE"""),"ข้อ 23 ชุด 1 (เฉลยข้อ ง)")</f>
        <v/>
      </c>
      <c r="O89" s="18">
        <f>IFERROR(__xludf.DUMMYFUNCTION("""COMPUTED_VALUE"""),"Mock")</f>
        <v/>
      </c>
      <c r="P89" s="18">
        <f>IFERROR(__xludf.DUMMYFUNCTION("""COMPUTED_VALUE"""),"ชุด 1")</f>
        <v/>
      </c>
    </row>
    <row r="90">
      <c r="A90" s="18">
        <f>IFERROR(__xludf.DUMMYFUNCTION("""COMPUTED_VALUE"""),"24")</f>
        <v/>
      </c>
      <c r="B90" s="18">
        <f>IFERROR(__xludf.DUMMYFUNCTION("""COMPUTED_VALUE"""),"ยาปฏิชีวนะข้อใดที่ไม่มีโครงสร้าง B-lactam ring")</f>
        <v/>
      </c>
      <c r="C90" s="18" t="n"/>
      <c r="D90" s="18">
        <f>IFERROR(__xludf.DUMMYFUNCTION("""COMPUTED_VALUE"""),"Ciprofloxacin")</f>
        <v/>
      </c>
      <c r="E90" s="18">
        <f>IFERROR(__xludf.DUMMYFUNCTION("""COMPUTED_VALUE"""),"Amoxycillin")</f>
        <v/>
      </c>
      <c r="F90" s="18">
        <f>IFERROR(__xludf.DUMMYFUNCTION("""COMPUTED_VALUE"""),"Imipenam")</f>
        <v/>
      </c>
      <c r="G90" s="18">
        <f>IFERROR(__xludf.DUMMYFUNCTION("""COMPUTED_VALUE"""),"Cloxacillin")</f>
        <v/>
      </c>
      <c r="H90" s="18">
        <f>IFERROR(__xludf.DUMMYFUNCTION("""COMPUTED_VALUE"""),"Cefazolin")</f>
        <v/>
      </c>
      <c r="I90" s="18">
        <f>IFERROR(__xludf.DUMMYFUNCTION("""COMPUTED_VALUE"""),"1")</f>
        <v/>
      </c>
      <c r="J90" s="1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8" t="n"/>
      <c r="L90" s="18">
        <f>IFERROR(__xludf.DUMMYFUNCTION("""COMPUTED_VALUE"""),"SAR &amp; Drug Design")</f>
        <v/>
      </c>
      <c r="M90" s="18">
        <f>IFERROR(__xludf.DUMMYFUNCTION("""COMPUTED_VALUE"""),"Product")</f>
        <v/>
      </c>
      <c r="N90" s="18">
        <f>IFERROR(__xludf.DUMMYFUNCTION("""COMPUTED_VALUE"""),"ข้อ 24 ชุด 1 (เฉลยข้อ ก)")</f>
        <v/>
      </c>
      <c r="O90" s="18">
        <f>IFERROR(__xludf.DUMMYFUNCTION("""COMPUTED_VALUE"""),"Mock")</f>
        <v/>
      </c>
      <c r="P90" s="18">
        <f>IFERROR(__xludf.DUMMYFUNCTION("""COMPUTED_VALUE"""),"ชุด 1")</f>
        <v/>
      </c>
    </row>
    <row r="91">
      <c r="A91" s="18">
        <f>IFERROR(__xludf.DUMMYFUNCTION("""COMPUTED_VALUE"""),"25")</f>
        <v/>
      </c>
      <c r="B91" s="18">
        <f>IFERROR(__xludf.DUMMYFUNCTION("""COMPUTED_VALUE"""),"จากสูตรโครงสร้างของยา amoxacillin นี้ตำแหน่งไหนที่ถูกทำลายได้ง่ายและมีผลต่อการดื้อยา")</f>
        <v/>
      </c>
      <c r="C91" s="18" t="n"/>
      <c r="D91" s="18">
        <f>IFERROR(__xludf.DUMMYFUNCTION("""COMPUTED_VALUE"""),"Covalent Irreversible Enzyme Inhibition")</f>
        <v/>
      </c>
      <c r="E91" s="18">
        <f>IFERROR(__xludf.DUMMYFUNCTION("""COMPUTED_VALUE"""),"Structure-Activity Relationship (SAR) Optimization")</f>
        <v/>
      </c>
      <c r="F91" s="18">
        <f>IFERROR(__xludf.DUMMYFUNCTION("""COMPUTED_VALUE"""),"Bioisosteric Replacement (Carboxylic acid → Tetrazole)")</f>
        <v/>
      </c>
      <c r="G91" s="18">
        <f>IFERROR(__xludf.DUMMYFUNCTION("""COMPUTED_VALUE"""),"Prodrug Design via Esterification for Oral Bioavailability")</f>
        <v/>
      </c>
      <c r="H91" s="18">
        <f>IFERROR(__xludf.DUMMYFUNCTION("""COMPUTED_VALUE"""),"Cytochrome P450 CYP3A4 Phase I Oxidation")</f>
        <v/>
      </c>
      <c r="I91" s="18">
        <f>IFERROR(__xludf.DUMMYFUNCTION("""COMPUTED_VALUE"""),"3")</f>
        <v/>
      </c>
      <c r="J91" s="1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8" t="n"/>
      <c r="L91" s="18">
        <f>IFERROR(__xludf.DUMMYFUNCTION("""COMPUTED_VALUE"""),"SAR &amp; Drug Design")</f>
        <v/>
      </c>
      <c r="M91" s="18">
        <f>IFERROR(__xludf.DUMMYFUNCTION("""COMPUTED_VALUE"""),"Product")</f>
        <v/>
      </c>
      <c r="N91" s="18">
        <f>IFERROR(__xludf.DUMMYFUNCTION("""COMPUTED_VALUE"""),"ข้อ 25 ชุด 1 (เฉลยข้อ ค)")</f>
        <v/>
      </c>
      <c r="O91" s="18">
        <f>IFERROR(__xludf.DUMMYFUNCTION("""COMPUTED_VALUE"""),"Mock")</f>
        <v/>
      </c>
      <c r="P91" s="18">
        <f>IFERROR(__xludf.DUMMYFUNCTION("""COMPUTED_VALUE"""),"ชุด 1")</f>
        <v/>
      </c>
    </row>
    <row r="92">
      <c r="A92" s="18">
        <f>IFERROR(__xludf.DUMMYFUNCTION("""COMPUTED_VALUE"""),"26")</f>
        <v/>
      </c>
      <c r="B92" s="18">
        <f>IFERROR(__xludf.DUMMYFUNCTION("""COMPUTED_VALUE"""),"ข้อใดผิดเกี่ยวกับ penicillin")</f>
        <v/>
      </c>
      <c r="C92" s="18" t="n"/>
      <c r="D92" s="18">
        <f>IFERROR(__xludf.DUMMYFUNCTION("""COMPUTED_VALUE"""),"Pen G มี chain เป็น Benzoyl group")</f>
        <v/>
      </c>
      <c r="E92" s="18">
        <f>IFERROR(__xludf.DUMMYFUNCTION("""COMPUTED_VALUE"""),"Pen G potassium ละลายได้ดีกว่า Pen G")</f>
        <v/>
      </c>
      <c r="F92" s="18">
        <f>IFERROR(__xludf.DUMMYFUNCTION("""COMPUTED_VALUE"""),"Benzathine Pen G เป็นเกลือของ Pen G")</f>
        <v/>
      </c>
      <c r="G92" s="18">
        <f>IFERROR(__xludf.DUMMYFUNCTION("""COMPUTED_VALUE"""),"B-lactamase ถูก Hydrolyze ด้วยกรด")</f>
        <v/>
      </c>
      <c r="H92" s="18">
        <f>IFERROR(__xludf.DUMMYFUNCTION("""COMPUTED_VALUE"""),"Procaine penicillin G ถูกดูดได้ดีในทางเดินอาหาร")</f>
        <v/>
      </c>
      <c r="I92" s="18">
        <f>IFERROR(__xludf.DUMMYFUNCTION("""COMPUTED_VALUE"""),"5")</f>
        <v/>
      </c>
      <c r="J92" s="1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8" t="n"/>
      <c r="L92" s="18">
        <f>IFERROR(__xludf.DUMMYFUNCTION("""COMPUTED_VALUE"""),"SAR &amp; Drug Design")</f>
        <v/>
      </c>
      <c r="M92" s="18">
        <f>IFERROR(__xludf.DUMMYFUNCTION("""COMPUTED_VALUE"""),"Product")</f>
        <v/>
      </c>
      <c r="N92" s="18">
        <f>IFERROR(__xludf.DUMMYFUNCTION("""COMPUTED_VALUE"""),"ข้อ 26 ชุด 1 (เฉลยข้อ จ)")</f>
        <v/>
      </c>
      <c r="O92" s="18">
        <f>IFERROR(__xludf.DUMMYFUNCTION("""COMPUTED_VALUE"""),"Mock")</f>
        <v/>
      </c>
      <c r="P92" s="18">
        <f>IFERROR(__xludf.DUMMYFUNCTION("""COMPUTED_VALUE"""),"ชุด 1")</f>
        <v/>
      </c>
    </row>
    <row r="93">
      <c r="A93" s="18">
        <f>IFERROR(__xludf.DUMMYFUNCTION("""COMPUTED_VALUE"""),"27")</f>
        <v/>
      </c>
      <c r="B93" s="18">
        <f>IFERROR(__xludf.DUMMYFUNCTION("""COMPUTED_VALUE"""),"Doxycycline มีสูตรโครงสร้างรูป เป็นยากลุ่มเดียวกันกับยาใด")</f>
        <v/>
      </c>
      <c r="C93" s="18" t="n"/>
      <c r="D93" s="18">
        <f>IFERROR(__xludf.DUMMYFUNCTION("""COMPUTED_VALUE"""),"Tetracycline")</f>
        <v/>
      </c>
      <c r="E93" s="18">
        <f>IFERROR(__xludf.DUMMYFUNCTION("""COMPUTED_VALUE"""),"Penicillin")</f>
        <v/>
      </c>
      <c r="F93" s="18">
        <f>IFERROR(__xludf.DUMMYFUNCTION("""COMPUTED_VALUE"""),"Cotrimazole")</f>
        <v/>
      </c>
      <c r="G93" s="18">
        <f>IFERROR(__xludf.DUMMYFUNCTION("""COMPUTED_VALUE"""),"Sulfamethoxazole")</f>
        <v/>
      </c>
      <c r="H93" s="18">
        <f>IFERROR(__xludf.DUMMYFUNCTION("""COMPUTED_VALUE"""),"Amoxicillin")</f>
        <v/>
      </c>
      <c r="I93" s="18">
        <f>IFERROR(__xludf.DUMMYFUNCTION("""COMPUTED_VALUE"""),"1")</f>
        <v/>
      </c>
      <c r="J93" s="1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8" t="n"/>
      <c r="L93" s="18">
        <f>IFERROR(__xludf.DUMMYFUNCTION("""COMPUTED_VALUE"""),"SAR &amp; Drug Design")</f>
        <v/>
      </c>
      <c r="M93" s="18">
        <f>IFERROR(__xludf.DUMMYFUNCTION("""COMPUTED_VALUE"""),"Product")</f>
        <v/>
      </c>
      <c r="N93" s="18">
        <f>IFERROR(__xludf.DUMMYFUNCTION("""COMPUTED_VALUE"""),"ข้อ 27 ชุด 1 (เฉลยข้อ ก)")</f>
        <v/>
      </c>
      <c r="O93" s="18">
        <f>IFERROR(__xludf.DUMMYFUNCTION("""COMPUTED_VALUE"""),"Mock")</f>
        <v/>
      </c>
      <c r="P93" s="18">
        <f>IFERROR(__xludf.DUMMYFUNCTION("""COMPUTED_VALUE"""),"ชุด 1")</f>
        <v/>
      </c>
    </row>
    <row r="94">
      <c r="A94" s="18">
        <f>IFERROR(__xludf.DUMMYFUNCTION("""COMPUTED_VALUE"""),"28")</f>
        <v/>
      </c>
      <c r="B94" s="18">
        <f>IFERROR(__xludf.DUMMYFUNCTION("""COMPUTED_VALUE"""),"เกี่ยวกับโครงสร้างของสารดังรูป ทุกข้อต่อไปนี้ถูกต้อง ยกเว้นข้อใด")</f>
        <v/>
      </c>
      <c r="C94" s="18" t="n"/>
      <c r="D94" s="18">
        <f>IFERROR(__xludf.DUMMYFUNCTION("""COMPUTED_VALUE"""),"เป็นสารในกลุ่ม 8-aminoquinoline")</f>
        <v/>
      </c>
      <c r="E94" s="18">
        <f>IFERROR(__xludf.DUMMYFUNCTION("""COMPUTED_VALUE"""),"ตัวอย่างยาในกลุ่มนี้ได้แก่ primaquine")</f>
        <v/>
      </c>
      <c r="F94" s="18">
        <f>IFERROR(__xludf.DUMMYFUNCTION("""COMPUTED_VALUE"""),"ถ้ามี Cl ที่ตำแหน่ง 7 จะทำให้ได้ฤทธิ์สูงสุด และมีพิษน้อย")</f>
        <v/>
      </c>
      <c r="G94" s="18">
        <f>IFERROR(__xludf.DUMMYFUNCTION("""COMPUTED_VALUE"""),"Dialkylamino alkylamine side chain จะให้ฤทธิ์สูงสุดเมื่อ n = 2, 5 หรือ 6")</f>
        <v/>
      </c>
      <c r="H94" s="18">
        <f>IFERROR(__xludf.DUMMYFUNCTION("""COMPUTED_VALUE"""),"Quinoline ring system และอนุพันธ์ให้ผลที่ดีกว่า acridine ring system")</f>
        <v/>
      </c>
      <c r="I94" s="18">
        <f>IFERROR(__xludf.DUMMYFUNCTION("""COMPUTED_VALUE"""),"4")</f>
        <v/>
      </c>
      <c r="J94" s="1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8" t="n"/>
      <c r="L94" s="18">
        <f>IFERROR(__xludf.DUMMYFUNCTION("""COMPUTED_VALUE"""),"SAR &amp; Drug Design")</f>
        <v/>
      </c>
      <c r="M94" s="18">
        <f>IFERROR(__xludf.DUMMYFUNCTION("""COMPUTED_VALUE"""),"Product")</f>
        <v/>
      </c>
      <c r="N94" s="18">
        <f>IFERROR(__xludf.DUMMYFUNCTION("""COMPUTED_VALUE"""),"ข้อ 28 ชุด 1 (เฉลยข้อ ง)")</f>
        <v/>
      </c>
      <c r="O94" s="18">
        <f>IFERROR(__xludf.DUMMYFUNCTION("""COMPUTED_VALUE"""),"Mock")</f>
        <v/>
      </c>
      <c r="P94" s="18">
        <f>IFERROR(__xludf.DUMMYFUNCTION("""COMPUTED_VALUE"""),"ชุด 1")</f>
        <v/>
      </c>
    </row>
    <row r="95">
      <c r="A95" s="18">
        <f>IFERROR(__xludf.DUMMYFUNCTION("""COMPUTED_VALUE"""),"29")</f>
        <v/>
      </c>
      <c r="B95" s="18">
        <f>IFERROR(__xludf.DUMMYFUNCTION("""COMPUTED_VALUE"""),"จากสูตรโครงสร้างของ folic acid ข้อใดกล่าวไม่ถูกต้อง")</f>
        <v/>
      </c>
      <c r="C95" s="18" t="n"/>
      <c r="D95" s="18">
        <f>IFERROR(__xludf.DUMMYFUNCTION("""COMPUTED_VALUE"""),"เป็น water soluble vitamin")</f>
        <v/>
      </c>
      <c r="E95" s="18">
        <f>IFERROR(__xludf.DUMMYFUNCTION("""COMPUTED_VALUE"""),"เรียกอีกอย่างหนึ่งว่า vitamin B9")</f>
        <v/>
      </c>
      <c r="F95" s="18">
        <f>IFERROR(__xludf.DUMMYFUNCTION("""COMPUTED_VALUE"""),"เกี่ยวข้องกับการสร้าง DNA และ RNA")</f>
        <v/>
      </c>
      <c r="G95" s="18">
        <f>IFERROR(__xludf.DUMMYFUNCTION("""COMPUTED_VALUE"""),"มนุษย์สามารถสังเคราะห์ folic acid ได้")</f>
        <v/>
      </c>
      <c r="H95" s="18">
        <f>IFERROR(__xludf.DUMMYFUNCTION("""COMPUTED_VALUE"""),"ใน IR chromatogram จะเห็น peak ที่ชัดเจน ที่ค่าความถี่ประมาณ 1,700 cm⁻¹")</f>
        <v/>
      </c>
      <c r="I95" s="18">
        <f>IFERROR(__xludf.DUMMYFUNCTION("""COMPUTED_VALUE"""),"4")</f>
        <v/>
      </c>
      <c r="J95" s="1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8" t="n"/>
      <c r="L95" s="18">
        <f>IFERROR(__xludf.DUMMYFUNCTION("""COMPUTED_VALUE"""),"SAR &amp; Drug Design")</f>
        <v/>
      </c>
      <c r="M95" s="18">
        <f>IFERROR(__xludf.DUMMYFUNCTION("""COMPUTED_VALUE"""),"Product")</f>
        <v/>
      </c>
      <c r="N95" s="18">
        <f>IFERROR(__xludf.DUMMYFUNCTION("""COMPUTED_VALUE"""),"ข้อ 29 ชุด 1 (เฉลยข้อ ง)")</f>
        <v/>
      </c>
      <c r="O95" s="18">
        <f>IFERROR(__xludf.DUMMYFUNCTION("""COMPUTED_VALUE"""),"Mock")</f>
        <v/>
      </c>
      <c r="P95" s="18">
        <f>IFERROR(__xludf.DUMMYFUNCTION("""COMPUTED_VALUE"""),"ชุด 1")</f>
        <v/>
      </c>
    </row>
    <row r="96">
      <c r="A96" s="18">
        <f>IFERROR(__xludf.DUMMYFUNCTION("""COMPUTED_VALUE"""),"30")</f>
        <v/>
      </c>
      <c r="B96" s="18">
        <f>IFERROR(__xludf.DUMMYFUNCTION("""COMPUTED_VALUE"""),"จากโครงสร้าง ไม่สามารถใช้ในผู้ป่วยกลุ่มใด")</f>
        <v/>
      </c>
      <c r="C96" s="18" t="n"/>
      <c r="D96" s="18">
        <f>IFERROR(__xludf.DUMMYFUNCTION("""COMPUTED_VALUE"""),"Pediatric")</f>
        <v/>
      </c>
      <c r="E96" s="18">
        <f>IFERROR(__xludf.DUMMYFUNCTION("""COMPUTED_VALUE"""),"Cirrhosis/Hepatitis")</f>
        <v/>
      </c>
      <c r="F96" s="18">
        <f>IFERROR(__xludf.DUMMYFUNCTION("""COMPUTED_VALUE"""),"Pregnancy")</f>
        <v/>
      </c>
      <c r="G96" s="18">
        <f>IFERROR(__xludf.DUMMYFUNCTION("""COMPUTED_VALUE"""),"Renal failure")</f>
        <v/>
      </c>
      <c r="H96" s="18">
        <f>IFERROR(__xludf.DUMMYFUNCTION("""COMPUTED_VALUE"""),"Sulfa allergy")</f>
        <v/>
      </c>
      <c r="I96" s="18">
        <f>IFERROR(__xludf.DUMMYFUNCTION("""COMPUTED_VALUE"""),"5")</f>
        <v/>
      </c>
      <c r="J96" s="1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8" t="n"/>
      <c r="L96" s="18">
        <f>IFERROR(__xludf.DUMMYFUNCTION("""COMPUTED_VALUE"""),"SAR &amp; Drug Design")</f>
        <v/>
      </c>
      <c r="M96" s="18">
        <f>IFERROR(__xludf.DUMMYFUNCTION("""COMPUTED_VALUE"""),"Product")</f>
        <v/>
      </c>
      <c r="N96" s="18">
        <f>IFERROR(__xludf.DUMMYFUNCTION("""COMPUTED_VALUE"""),"ข้อ 30 ชุด 1 (เฉลยข้อ จ)")</f>
        <v/>
      </c>
      <c r="O96" s="18">
        <f>IFERROR(__xludf.DUMMYFUNCTION("""COMPUTED_VALUE"""),"Mock")</f>
        <v/>
      </c>
      <c r="P96" s="18">
        <f>IFERROR(__xludf.DUMMYFUNCTION("""COMPUTED_VALUE"""),"ชุด 1")</f>
        <v/>
      </c>
    </row>
    <row r="97">
      <c r="A97" s="18">
        <f>IFERROR(__xludf.DUMMYFUNCTION("""COMPUTED_VALUE"""),"31")</f>
        <v/>
      </c>
      <c r="B97" s="18">
        <f>IFERROR(__xludf.DUMMYFUNCTION("""COMPUTED_VALUE"""),"จากโครงสร้างของยา glybenclamide ข้อใดเป็นเหตุผลที่ทำให้ duration นานขึ้น")</f>
        <v/>
      </c>
      <c r="C97" s="18" t="n"/>
      <c r="D97" s="18">
        <f>IFERROR(__xludf.DUMMYFUNCTION("""COMPUTED_VALUE"""),"สามารถหมุนแสง polarized ได้")</f>
        <v/>
      </c>
      <c r="E97" s="18">
        <f>IFERROR(__xludf.DUMMYFUNCTION("""COMPUTED_VALUE"""),"สามารถวิเคราะห์ได้โดยใช้วิธี HPLC-UV detection")</f>
        <v/>
      </c>
      <c r="F97" s="18">
        <f>IFERROR(__xludf.DUMMYFUNCTION("""COMPUTED_VALUE"""),"หมู่ซัลโฟไททำให้โครงสร้างมีความเป็นกรด")</f>
        <v/>
      </c>
      <c r="G97" s="18">
        <f>IFERROR(__xludf.DUMMYFUNCTION("""COMPUTED_VALUE"""),"หมู่ยูเรียทำให้โครงสร้างมีความเป็นเบส")</f>
        <v/>
      </c>
      <c r="H97" s="18">
        <f>IFERROR(__xludf.DUMMYFUNCTION("""COMPUTED_VALUE"""),"วงแหวนอะโรมาติกปลาย ซึ่งมีหมู่คลอโรในเมตาบอไลต์โดยกระบวนการออกซิเดชันได้")</f>
        <v/>
      </c>
      <c r="I97" s="18">
        <f>IFERROR(__xludf.DUMMYFUNCTION("""COMPUTED_VALUE"""),"5")</f>
        <v/>
      </c>
      <c r="J97" s="1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8" t="n"/>
      <c r="L97" s="18">
        <f>IFERROR(__xludf.DUMMYFUNCTION("""COMPUTED_VALUE"""),"SAR &amp; Drug Design")</f>
        <v/>
      </c>
      <c r="M97" s="18">
        <f>IFERROR(__xludf.DUMMYFUNCTION("""COMPUTED_VALUE"""),"Product")</f>
        <v/>
      </c>
      <c r="N97" s="18">
        <f>IFERROR(__xludf.DUMMYFUNCTION("""COMPUTED_VALUE"""),"ข้อ 31 ชุด 1 (เฉลยข้อ จ)")</f>
        <v/>
      </c>
      <c r="O97" s="18">
        <f>IFERROR(__xludf.DUMMYFUNCTION("""COMPUTED_VALUE"""),"Mock")</f>
        <v/>
      </c>
      <c r="P97" s="18">
        <f>IFERROR(__xludf.DUMMYFUNCTION("""COMPUTED_VALUE"""),"ชุด 1")</f>
        <v/>
      </c>
    </row>
    <row r="98">
      <c r="A98" s="18">
        <f>IFERROR(__xludf.DUMMYFUNCTION("""COMPUTED_VALUE"""),"32")</f>
        <v/>
      </c>
      <c r="B98" s="18">
        <f>IFERROR(__xludf.DUMMYFUNCTION("""COMPUTED_VALUE"""),"จากสูตรโครงสร้างต่อไปนี้ของยา glipizide จัดว่าเป็นยากลุ่มใด")</f>
        <v/>
      </c>
      <c r="C98" s="18" t="n"/>
      <c r="D98" s="18">
        <f>IFERROR(__xludf.DUMMYFUNCTION("""COMPUTED_VALUE"""),"Biguanides")</f>
        <v/>
      </c>
      <c r="E98" s="18">
        <f>IFERROR(__xludf.DUMMYFUNCTION("""COMPUTED_VALUE"""),"Nicotinic acids")</f>
        <v/>
      </c>
      <c r="F98" s="18">
        <f>IFERROR(__xludf.DUMMYFUNCTION("""COMPUTED_VALUE"""),"Sulfonylurea compounds")</f>
        <v/>
      </c>
      <c r="G98" s="18">
        <f>IFERROR(__xludf.DUMMYFUNCTION("""COMPUTED_VALUE"""),"Nucleoside analogue")</f>
        <v/>
      </c>
      <c r="H98" s="18">
        <f>IFERROR(__xludf.DUMMYFUNCTION("""COMPUTED_VALUE"""),"Sulfones")</f>
        <v/>
      </c>
      <c r="I98" s="18">
        <f>IFERROR(__xludf.DUMMYFUNCTION("""COMPUTED_VALUE"""),"3")</f>
        <v/>
      </c>
      <c r="J98" s="1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8" t="n"/>
      <c r="L98" s="18">
        <f>IFERROR(__xludf.DUMMYFUNCTION("""COMPUTED_VALUE"""),"SAR &amp; Drug Design")</f>
        <v/>
      </c>
      <c r="M98" s="18">
        <f>IFERROR(__xludf.DUMMYFUNCTION("""COMPUTED_VALUE"""),"Product")</f>
        <v/>
      </c>
      <c r="N98" s="18">
        <f>IFERROR(__xludf.DUMMYFUNCTION("""COMPUTED_VALUE"""),"ข้อ 32 ชุด 1 (เฉลยข้อ ค)")</f>
        <v/>
      </c>
      <c r="O98" s="18">
        <f>IFERROR(__xludf.DUMMYFUNCTION("""COMPUTED_VALUE"""),"Mock")</f>
        <v/>
      </c>
      <c r="P98" s="18">
        <f>IFERROR(__xludf.DUMMYFUNCTION("""COMPUTED_VALUE"""),"ชุด 1")</f>
        <v/>
      </c>
    </row>
    <row r="99">
      <c r="A99" s="18">
        <f>IFERROR(__xludf.DUMMYFUNCTION("""COMPUTED_VALUE"""),"33")</f>
        <v/>
      </c>
      <c r="B99" s="18">
        <f>IFERROR(__xludf.DUMMYFUNCTION("""COMPUTED_VALUE"""),"โครงสร้างต่อไปนี้เป็นโครงสร้างของยากลุ่มใด")</f>
        <v/>
      </c>
      <c r="C99" s="18" t="n"/>
      <c r="D99" s="18">
        <f>IFERROR(__xludf.DUMMYFUNCTION("""COMPUTED_VALUE"""),"Iodoperoxidase inhibitor")</f>
        <v/>
      </c>
      <c r="E99" s="18">
        <f>IFERROR(__xludf.DUMMYFUNCTION("""COMPUTED_VALUE"""),"Sulfonylurea")</f>
        <v/>
      </c>
      <c r="F99" s="18">
        <f>IFERROR(__xludf.DUMMYFUNCTION("""COMPUTED_VALUE"""),"Thyroid hormone")</f>
        <v/>
      </c>
      <c r="G99" s="18">
        <f>IFERROR(__xludf.DUMMYFUNCTION("""COMPUTED_VALUE"""),"Biguanide")</f>
        <v/>
      </c>
      <c r="H99" s="18">
        <f>IFERROR(__xludf.DUMMYFUNCTION("""COMPUTED_VALUE"""),"Insulin analog")</f>
        <v/>
      </c>
      <c r="I99" s="18">
        <f>IFERROR(__xludf.DUMMYFUNCTION("""COMPUTED_VALUE"""),"4")</f>
        <v/>
      </c>
      <c r="J99" s="1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8" t="n"/>
      <c r="L99" s="18">
        <f>IFERROR(__xludf.DUMMYFUNCTION("""COMPUTED_VALUE"""),"SAR &amp; Drug Design")</f>
        <v/>
      </c>
      <c r="M99" s="18">
        <f>IFERROR(__xludf.DUMMYFUNCTION("""COMPUTED_VALUE"""),"Product")</f>
        <v/>
      </c>
      <c r="N99" s="18">
        <f>IFERROR(__xludf.DUMMYFUNCTION("""COMPUTED_VALUE"""),"ข้อ 33 ชุด 1 (เฉลยข้อ ง)")</f>
        <v/>
      </c>
      <c r="O99" s="18">
        <f>IFERROR(__xludf.DUMMYFUNCTION("""COMPUTED_VALUE"""),"Mock")</f>
        <v/>
      </c>
      <c r="P99" s="18">
        <f>IFERROR(__xludf.DUMMYFUNCTION("""COMPUTED_VALUE"""),"ชุด 1")</f>
        <v/>
      </c>
    </row>
    <row r="100">
      <c r="A100" s="18">
        <f>IFERROR(__xludf.DUMMYFUNCTION("""COMPUTED_VALUE"""),"34")</f>
        <v/>
      </c>
      <c r="B100" s="18">
        <f>IFERROR(__xludf.DUMMYFUNCTION("""COMPUTED_VALUE"""),"ชื่อเรียกทั่วไปของยาที่มีโครงสร้างในรูป คือ (ยา PTU)")</f>
        <v/>
      </c>
      <c r="C100" s="18" t="n"/>
      <c r="D100" s="18">
        <f>IFERROR(__xludf.DUMMYFUNCTION("""COMPUTED_VALUE"""),"6 propyl 3 thiouracil")</f>
        <v/>
      </c>
      <c r="E100" s="18">
        <f>IFERROR(__xludf.DUMMYFUNCTION("""COMPUTED_VALUE"""),"1 propyl 5 thiouracil")</f>
        <v/>
      </c>
      <c r="F100" s="18">
        <f>IFERROR(__xludf.DUMMYFUNCTION("""COMPUTED_VALUE"""),"2 propyl 6 thiouracil")</f>
        <v/>
      </c>
      <c r="G100" s="18">
        <f>IFERROR(__xludf.DUMMYFUNCTION("""COMPUTED_VALUE"""),"2 propyl 5 thiouracil")</f>
        <v/>
      </c>
      <c r="H100" s="18">
        <f>IFERROR(__xludf.DUMMYFUNCTION("""COMPUTED_VALUE"""),"6 propyl 2 thiouracil")</f>
        <v/>
      </c>
      <c r="I100" s="18">
        <f>IFERROR(__xludf.DUMMYFUNCTION("""COMPUTED_VALUE"""),"5")</f>
        <v/>
      </c>
      <c r="J100" s="1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8" t="n"/>
      <c r="L100" s="18">
        <f>IFERROR(__xludf.DUMMYFUNCTION("""COMPUTED_VALUE"""),"SAR &amp; Drug Design")</f>
        <v/>
      </c>
      <c r="M100" s="18">
        <f>IFERROR(__xludf.DUMMYFUNCTION("""COMPUTED_VALUE"""),"Product")</f>
        <v/>
      </c>
      <c r="N100" s="18">
        <f>IFERROR(__xludf.DUMMYFUNCTION("""COMPUTED_VALUE"""),"ข้อ 34 ชุด 1 (เฉลยข้อ จ)")</f>
        <v/>
      </c>
      <c r="O100" s="18">
        <f>IFERROR(__xludf.DUMMYFUNCTION("""COMPUTED_VALUE"""),"Mock")</f>
        <v/>
      </c>
      <c r="P100" s="18">
        <f>IFERROR(__xludf.DUMMYFUNCTION("""COMPUTED_VALUE"""),"ชุด 1")</f>
        <v/>
      </c>
    </row>
    <row r="101">
      <c r="A101" s="18">
        <f>IFERROR(__xludf.DUMMYFUNCTION("""COMPUTED_VALUE"""),"35")</f>
        <v/>
      </c>
      <c r="B101" s="18">
        <f>IFERROR(__xludf.DUMMYFUNCTION("""COMPUTED_VALUE"""),"จากโครงสร้างของยา 3 ชนิด (methimazole, carbimazole และ propylthiouracil)
ข้อใดถูกต้องเกี่ยวกับยา methimazole, carbimazole และ propylthiouracil")</f>
        <v/>
      </c>
      <c r="C101" s="18" t="n"/>
      <c r="D101" s="18">
        <f>IFERROR(__xludf.DUMMYFUNCTION("""COMPUTED_VALUE"""),"Methimazole, carbimazole และ propylthiouracil ถูก metabolized โดยปฏิกิริยา desulfunation ก่อนจึงจะได้สารที่มีฤทธิ์ทางเภสัชวิทยา")</f>
        <v/>
      </c>
      <c r="E101" s="18">
        <f>IFERROR(__xludf.DUMMYFUNCTION("""COMPUTED_VALUE"""),"Propylthiouracil จะถูก metabolized โดยปฏิกิริยา dealkylation ซึ่งจะตัด Propyl group ออกก่อนจึงจะได้สารที่มีฤทธิ์ทางเภสัชวิทยา")</f>
        <v/>
      </c>
      <c r="F101" s="18">
        <f>IFERROR(__xludf.DUMMYFUNCTION("""COMPUTED_VALUE"""),"Methimazole จะถูก metabolized โดยปฏิกิริยา conjugation ได้เป็น carbimazole จึงจะได้สารที่มีฤทธิ์ทางเภสัชวิทยาที่ต้องการ")</f>
        <v/>
      </c>
      <c r="G101" s="18">
        <f>IFERROR(__xludf.DUMMYFUNCTION("""COMPUTED_VALUE"""),"ต้องเกิดปฏิกิริยา amide hydrolysis กับโครงสร้าง carbimazole จึงจะได้สารที่มีฤทธิ์ทางเภสัชวิทยาที่ต้องการ")</f>
        <v/>
      </c>
      <c r="H101" s="18">
        <f>IFERROR(__xludf.DUMMYFUNCTION("""COMPUTED_VALUE"""),"ต้องเกิดปฏิกิริยา ester hydrolysis กับโครงสร้าง carbimazole จึงจะได้สารที่มีฤทธิ์ทางเภสัชวิทยาที่ต้องการ")</f>
        <v/>
      </c>
      <c r="I101" s="18">
        <f>IFERROR(__xludf.DUMMYFUNCTION("""COMPUTED_VALUE"""),"4")</f>
        <v/>
      </c>
      <c r="J101" s="1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8" t="n"/>
      <c r="L101" s="18">
        <f>IFERROR(__xludf.DUMMYFUNCTION("""COMPUTED_VALUE"""),"SAR &amp; Drug Design")</f>
        <v/>
      </c>
      <c r="M101" s="18">
        <f>IFERROR(__xludf.DUMMYFUNCTION("""COMPUTED_VALUE"""),"Product")</f>
        <v/>
      </c>
      <c r="N101" s="18">
        <f>IFERROR(__xludf.DUMMYFUNCTION("""COMPUTED_VALUE"""),"ข้อ 35 ชุด 1 (เฉลยข้อ ง)")</f>
        <v/>
      </c>
      <c r="O101" s="18">
        <f>IFERROR(__xludf.DUMMYFUNCTION("""COMPUTED_VALUE"""),"Mock")</f>
        <v/>
      </c>
      <c r="P101" s="18">
        <f>IFERROR(__xludf.DUMMYFUNCTION("""COMPUTED_VALUE"""),"ชุด 1")</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P219"/>
  <sheetViews>
    <sheetView workbookViewId="0">
      <pane ySplit="2" topLeftCell="A3" activePane="bottomLeft" state="frozen"/>
      <selection pane="bottomLeft" activeCell="B4" sqref="B4"/>
    </sheetView>
  </sheetViews>
  <sheetFormatPr baseColWidth="8" defaultColWidth="12.63" defaultRowHeight="15.75" customHeight="1"/>
  <cols>
    <col width="8.5" customWidth="1" style="52" min="1" max="1"/>
    <col width="56.5" customWidth="1" style="52" min="2" max="2"/>
    <col width="13.75" customWidth="1" style="52" min="8" max="8"/>
    <col width="13.38" customWidth="1" style="52" min="9" max="9"/>
    <col width="60.13" customWidth="1" style="52" min="10" max="10"/>
    <col width="26.13" customWidth="1" style="52" min="15" max="15"/>
    <col width="16.5" customWidth="1" style="52" min="16" max="16"/>
  </cols>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0" t="n">
        <v>1</v>
      </c>
      <c r="B3" s="0"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0" t="inlineStr"/>
      <c r="D3" s="0" t="inlineStr">
        <is>
          <t>Tramadol</t>
        </is>
      </c>
      <c r="E3" s="0" t="inlineStr">
        <is>
          <t>Naproxen</t>
        </is>
      </c>
      <c r="F3" s="0" t="inlineStr">
        <is>
          <t>Pethidine</t>
        </is>
      </c>
      <c r="G3" s="0" t="inlineStr">
        <is>
          <t>Probenecid</t>
        </is>
      </c>
      <c r="H3" s="0" t="inlineStr">
        <is>
          <t>Allopurinol</t>
        </is>
      </c>
      <c r="I3" s="0" t="n">
        <v>2</v>
      </c>
      <c r="J3" s="0"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0" t="inlineStr"/>
      <c r="L3" s="0" t="inlineStr">
        <is>
          <t>Gout</t>
        </is>
      </c>
      <c r="M3" s="0" t="inlineStr">
        <is>
          <t>Clinic</t>
        </is>
      </c>
      <c r="N3" s="0" t="inlineStr">
        <is>
          <t>Gout Acute Flare: First-line = NSAIDs / Colchicine. ห้ามเริ่มยาลดกรดยูริกขณะ acute flare</t>
        </is>
      </c>
      <c r="O3" s="0" t="inlineStr">
        <is>
          <t>ข้อสอบจริง</t>
        </is>
      </c>
      <c r="P3" s="0" t="inlineStr">
        <is>
          <t>2567</t>
        </is>
      </c>
    </row>
    <row r="4">
      <c r="A4" s="0" t="n">
        <v>2</v>
      </c>
      <c r="B4" s="0"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0" t="inlineStr"/>
      <c r="D4" s="0" t="inlineStr">
        <is>
          <t>น้ำผลไม้รสหวานที่มีน้ำตาล Fructose สูง</t>
        </is>
      </c>
      <c r="E4" s="0" t="inlineStr">
        <is>
          <t>ตับทอดหรือเครื่องในสัตว์</t>
        </is>
      </c>
      <c r="F4" s="0" t="inlineStr">
        <is>
          <t>เครื่องดื่มประเภทเบียร์หรือแอลกอฮอล์</t>
        </is>
      </c>
      <c r="G4" s="0" t="inlineStr">
        <is>
          <t>นมหรือผลิตภัณฑ์นมประเภทพร่องมันเนย (Low-fat dairy products)</t>
        </is>
      </c>
      <c r="H4" s="0" t="inlineStr">
        <is>
          <t>ปีกไก่ทอดหรือสัตว์ปีก</t>
        </is>
      </c>
      <c r="I4" s="0" t="n">
        <v>4</v>
      </c>
      <c r="J4" s="0"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0" t="inlineStr"/>
      <c r="L4" s="0" t="inlineStr">
        <is>
          <t>Gout</t>
        </is>
      </c>
      <c r="M4" s="0" t="inlineStr">
        <is>
          <t>Clinic</t>
        </is>
      </c>
      <c r="N4" s="0" t="inlineStr">
        <is>
          <t>Gout Lifestyle: Low-fat dairy ช่วยลดกรดยูริก; หลีกเลี่ยง High-fructose, แอลกอฮอล์, เครื่องใน</t>
        </is>
      </c>
      <c r="O4" s="0" t="inlineStr">
        <is>
          <t>ข้อสอบจริง</t>
        </is>
      </c>
      <c r="P4" s="0" t="inlineStr">
        <is>
          <t>2567</t>
        </is>
      </c>
    </row>
    <row r="5">
      <c r="A5" s="0" t="n">
        <v>3</v>
      </c>
      <c r="B5" s="0"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0" t="inlineStr"/>
      <c r="D5" s="0" t="inlineStr">
        <is>
          <t>ปวดศีรษะรุนแรง</t>
        </is>
      </c>
      <c r="E5" s="0" t="inlineStr">
        <is>
          <t>ผื่นลมพิษตามผิวหนัง</t>
        </is>
      </c>
      <c r="F5" s="0" t="inlineStr">
        <is>
          <t>ท้องเสียถ่ายเหลว (Diarrhea)</t>
        </is>
      </c>
      <c r="G5" s="0" t="inlineStr">
        <is>
          <t>ปัสสาวะเป็นเลือด</t>
        </is>
      </c>
      <c r="H5" s="0" t="inlineStr">
        <is>
          <t>ความดันโลหิตต่ำฉับพลัน</t>
        </is>
      </c>
      <c r="I5" s="0" t="n">
        <v>3</v>
      </c>
      <c r="J5" s="0" t="inlineStr">
        <is>
          <t>✅ คำตอบที่ถูกต้อง: ข้อ ค.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0" t="inlineStr"/>
      <c r="L5" s="0" t="inlineStr">
        <is>
          <t>Gout</t>
        </is>
      </c>
      <c r="M5" s="0" t="inlineStr">
        <is>
          <t>Clinic</t>
        </is>
      </c>
      <c r="N5" s="0" t="inlineStr">
        <is>
          <t>Colchicine Toxicity: สัญญาณเตือนพิษเฉียบพลัน = Diarrhea, N/V. แนะนำ Low-dose regimen</t>
        </is>
      </c>
      <c r="O5" s="0" t="inlineStr">
        <is>
          <t>ข้อสอบจริง</t>
        </is>
      </c>
      <c r="P5" s="0" t="inlineStr">
        <is>
          <t>2567</t>
        </is>
      </c>
    </row>
    <row r="6">
      <c r="A6" s="0" t="n">
        <v>4</v>
      </c>
      <c r="B6" s="0" t="inlineStr">
        <is>
          <t>หากผู้ป่วยโรคเกาต์ตรวจพบยีนหรืออัลลีลเสี่ยงต่อการแพ้ยารุนแรงชนิด HLA-B58:01 ห้ามใช้ยาในข้อใดต่อไปนี้</t>
        </is>
      </c>
      <c r="C6" s="0" t="inlineStr"/>
      <c r="D6" s="0" t="inlineStr">
        <is>
          <t>Allopurinol</t>
        </is>
      </c>
      <c r="E6" s="0" t="inlineStr">
        <is>
          <t>Febuxostat</t>
        </is>
      </c>
      <c r="F6" s="0" t="inlineStr">
        <is>
          <t>Benzbromarone</t>
        </is>
      </c>
      <c r="G6" s="0" t="inlineStr">
        <is>
          <t>Probenecid</t>
        </is>
      </c>
      <c r="H6" s="0" t="inlineStr">
        <is>
          <t>Lesinurad</t>
        </is>
      </c>
      <c r="I6" s="0" t="n">
        <v>1</v>
      </c>
      <c r="J6" s="0"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0" t="inlineStr"/>
      <c r="L6" s="0" t="inlineStr">
        <is>
          <t>Gout</t>
        </is>
      </c>
      <c r="M6" s="0" t="inlineStr">
        <is>
          <t>Clinic</t>
        </is>
      </c>
      <c r="N6" s="0" t="inlineStr">
        <is>
          <t>Allopurinol SCARs: ผู้ป่วยไทยมีความชุกของ HLA-B58:01 สูง เสี่ยง SJS/TEN ต้องคัดกรอง</t>
        </is>
      </c>
      <c r="O6" s="0" t="inlineStr">
        <is>
          <t>ข้อสอบจริง</t>
        </is>
      </c>
      <c r="P6" s="0" t="inlineStr">
        <is>
          <t>2567</t>
        </is>
      </c>
    </row>
    <row r="7">
      <c r="A7" s="0" t="n">
        <v>5</v>
      </c>
      <c r="B7" s="0"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0" t="inlineStr"/>
      <c r="D7" s="0" t="inlineStr">
        <is>
          <t>Osteoarthritis</t>
        </is>
      </c>
      <c r="E7" s="0" t="inlineStr">
        <is>
          <t>Osteoporosis</t>
        </is>
      </c>
      <c r="F7" s="0" t="inlineStr">
        <is>
          <t>Rheumatoid arthritis</t>
        </is>
      </c>
      <c r="G7" s="0" t="inlineStr">
        <is>
          <t>Gout</t>
        </is>
      </c>
      <c r="H7" s="0" t="inlineStr">
        <is>
          <t>Osteomalacia</t>
        </is>
      </c>
      <c r="I7" s="0" t="n">
        <v>1</v>
      </c>
      <c r="J7" s="0"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0" t="inlineStr"/>
      <c r="L7" s="0" t="inlineStr">
        <is>
          <t>Osteoarthritis</t>
        </is>
      </c>
      <c r="M7" s="0" t="inlineStr">
        <is>
          <t>Clinic</t>
        </is>
      </c>
      <c r="N7" s="0" t="inlineStr">
        <is>
          <t>OA Diagnosis: Morning stiffness &lt; 30 นาที, Crepitus, ปวดเมื่อใช้งาน ดีขึ้นเมื่อพัก</t>
        </is>
      </c>
      <c r="O7" s="0" t="inlineStr">
        <is>
          <t>ข้อสอบจริง</t>
        </is>
      </c>
      <c r="P7" s="0" t="inlineStr">
        <is>
          <t>2567</t>
        </is>
      </c>
    </row>
    <row r="8">
      <c r="A8" s="0" t="n">
        <v>6</v>
      </c>
      <c r="B8" s="0"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0" t="inlineStr"/>
      <c r="D8" s="0" t="inlineStr">
        <is>
          <t>Oral NSAIDs (เช่น Diclofenac)</t>
        </is>
      </c>
      <c r="E8" s="0" t="inlineStr">
        <is>
          <t>Oral Paracetamol + Orphenadrine</t>
        </is>
      </c>
      <c r="F8" s="0" t="inlineStr">
        <is>
          <t>Oral Ondansetron</t>
        </is>
      </c>
      <c r="G8" s="0" t="inlineStr">
        <is>
          <t>Oral Tramadol</t>
        </is>
      </c>
      <c r="H8" s="0" t="inlineStr">
        <is>
          <t>Topical NSAIDs (เช่น Diclofenac emulgel)</t>
        </is>
      </c>
      <c r="I8" s="0" t="n">
        <v>5</v>
      </c>
      <c r="J8" s="0"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 s="0" t="inlineStr"/>
      <c r="L8" s="0" t="inlineStr">
        <is>
          <t>Osteoarthritis</t>
        </is>
      </c>
      <c r="M8" s="0" t="inlineStr">
        <is>
          <t>Clinic</t>
        </is>
      </c>
      <c r="N8" s="0" t="inlineStr">
        <is>
          <t>OA Knee First-line: Topical NSAIDs (Diclofenac emulgel) มีประสิทธิภาพดีและปลอดภัยต่อ GI/CV/Renal</t>
        </is>
      </c>
      <c r="O8" s="0" t="inlineStr">
        <is>
          <t>ข้อสอบจริง</t>
        </is>
      </c>
      <c r="P8" s="0" t="inlineStr">
        <is>
          <t>2567</t>
        </is>
      </c>
    </row>
    <row r="9">
      <c r="A9" s="0" t="n">
        <v>7</v>
      </c>
      <c r="B9" s="0"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0" t="inlineStr"/>
      <c r="D9" s="0" t="inlineStr">
        <is>
          <t>Alkaline phosphatase</t>
        </is>
      </c>
      <c r="E9" s="0" t="inlineStr">
        <is>
          <t>Hemoglobin</t>
        </is>
      </c>
      <c r="F9" s="0" t="inlineStr">
        <is>
          <t>Creatine phosphokinase</t>
        </is>
      </c>
      <c r="G9" s="0" t="inlineStr">
        <is>
          <t>HLA-B58:01</t>
        </is>
      </c>
      <c r="H9" s="0" t="inlineStr">
        <is>
          <t>CYP3A4 polymorphism</t>
        </is>
      </c>
      <c r="I9" s="0" t="n">
        <v>4</v>
      </c>
      <c r="J9" s="0"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0" t="inlineStr"/>
      <c r="L9" s="0" t="inlineStr">
        <is>
          <t>Gout</t>
        </is>
      </c>
      <c r="M9" s="0" t="inlineStr">
        <is>
          <t>Clinic</t>
        </is>
      </c>
      <c r="N9" s="0" t="inlineStr">
        <is>
          <t>Allopurinol Pharmacogenomics: ตรวจยีน HLA-B58:01 ก่อนเริ่มยาในคนไทยทุกราย</t>
        </is>
      </c>
      <c r="O9" s="0" t="inlineStr">
        <is>
          <t>ข้อสอบจริง</t>
        </is>
      </c>
      <c r="P9" s="0" t="inlineStr">
        <is>
          <t>2567</t>
        </is>
      </c>
    </row>
    <row r="10">
      <c r="A10" s="0" t="n">
        <v>8</v>
      </c>
      <c r="B10" s="0"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0" t="inlineStr"/>
      <c r="D10" s="0" t="inlineStr">
        <is>
          <t>เพื่อป้องกันการเกิดข้ออักเสบเฉียบพลัน (Gout flare prophylaxis) ในระยะเริ่มยาลดกรดยูริก</t>
        </is>
      </c>
      <c r="E10" s="0" t="inlineStr">
        <is>
          <t>เสริมฤทธิ์ยา Allopurinol ในการขับกรดยูริกโดยทำหน้าที่คนละกลไก</t>
        </is>
      </c>
      <c r="F10" s="0" t="inlineStr">
        <is>
          <t>ป้องกันการเกิดก้อนโทฟัส (Tophi) ตามข้อต่าง ๆ</t>
        </is>
      </c>
      <c r="G10" s="0" t="inlineStr">
        <is>
          <t>ป้องกันการสะสมและการตกผลึกของสาร Xanthine ในหลอดเลือด</t>
        </is>
      </c>
      <c r="H10" s="0" t="inlineStr">
        <is>
          <t>เสริมฤทธิ์ยา Allopurinol โดยช่วยลดการขับถ่ายยาออกทางไต</t>
        </is>
      </c>
      <c r="I10" s="0" t="n">
        <v>1</v>
      </c>
      <c r="J10" s="0"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0" t="inlineStr"/>
      <c r="L10" s="0" t="inlineStr">
        <is>
          <t>Gout</t>
        </is>
      </c>
      <c r="M10" s="0" t="inlineStr">
        <is>
          <t>Clinic</t>
        </is>
      </c>
      <c r="N10" s="0" t="inlineStr">
        <is>
          <t>Gout Flare Prophylaxis: ให้ Colchicine / NSAID ร่วมกับ Allopurinol นานอย่างน้อย 3-6 เดือน</t>
        </is>
      </c>
      <c r="O10" s="0" t="inlineStr">
        <is>
          <t>ข้อสอบจริง</t>
        </is>
      </c>
      <c r="P10" s="0" t="inlineStr">
        <is>
          <t>2567</t>
        </is>
      </c>
    </row>
    <row r="11">
      <c r="A11" s="0" t="n">
        <v>9</v>
      </c>
      <c r="B11" s="0"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0" t="inlineStr"/>
      <c r="D11" s="0" t="inlineStr">
        <is>
          <t>Oral Paracetamol + Orphenadrine</t>
        </is>
      </c>
      <c r="E11" s="0" t="inlineStr">
        <is>
          <t>Topical NSAIDs (เช่น Diclofenac emulgel)</t>
        </is>
      </c>
      <c r="F11" s="0" t="inlineStr">
        <is>
          <t>Oral Tramadol</t>
        </is>
      </c>
      <c r="G11" s="0" t="inlineStr">
        <is>
          <t>Oral Diclofenac sodium</t>
        </is>
      </c>
      <c r="H11" s="0" t="inlineStr">
        <is>
          <t>Glucosamine sulfate oral capsule</t>
        </is>
      </c>
      <c r="I11" s="0" t="n">
        <v>2</v>
      </c>
      <c r="J11" s="0"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0" t="inlineStr"/>
      <c r="L11" s="0" t="inlineStr">
        <is>
          <t>Osteoarthritis</t>
        </is>
      </c>
      <c r="M11" s="0" t="inlineStr">
        <is>
          <t>Clinic</t>
        </is>
      </c>
      <c r="N11" s="0" t="inlineStr">
        <is>
          <t>ACR 2019 OA: แนะนำ Topical NSAID เป็นอันดับแรกก่อน Oral NSAID ในข้อเข่าเสื่อม</t>
        </is>
      </c>
      <c r="O11" s="0" t="inlineStr">
        <is>
          <t>ข้อสอบจริง</t>
        </is>
      </c>
      <c r="P11" s="0" t="inlineStr">
        <is>
          <t>2566</t>
        </is>
      </c>
    </row>
    <row r="12">
      <c r="A12" s="0" t="n">
        <v>10</v>
      </c>
      <c r="B12" s="0"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0" t="inlineStr"/>
      <c r="D12" s="0" t="inlineStr">
        <is>
          <t>ท้องเสียถ่ายเหลว (Diarrhea)</t>
        </is>
      </c>
      <c r="E12" s="0" t="inlineStr">
        <is>
          <t>ปวดศีรษะเฉียบพลัน</t>
        </is>
      </c>
      <c r="F12" s="0" t="inlineStr">
        <is>
          <t>ความดันโลหิตต่ำ</t>
        </is>
      </c>
      <c r="G12" s="0" t="inlineStr">
        <is>
          <t>ผื่นคันตามผิวหนัง</t>
        </is>
      </c>
      <c r="H12" s="0" t="inlineStr">
        <is>
          <t>ปัสสาวะเป็นเลือด</t>
        </is>
      </c>
      <c r="I12" s="0" t="n">
        <v>1</v>
      </c>
      <c r="J12" s="0" t="inlineStr">
        <is>
          <t>✅ คำตอบที่ถูกต้อง: ข้อ ก.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ADR สำคัญที่พบบ่อยที่สุดของ Colchicine คือการกระตุ้นให้เกิดพิษต่อระบบทางเดินอาหาร โดยมีอาการท้องเสียถ่ายเหลว (Diarrhea)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0" t="inlineStr"/>
      <c r="L12" s="0" t="inlineStr">
        <is>
          <t>Gout</t>
        </is>
      </c>
      <c r="M12" s="0" t="inlineStr">
        <is>
          <t>Clinic</t>
        </is>
      </c>
      <c r="N12" s="0" t="inlineStr">
        <is>
          <t>Colchicine Counseling: หยุดยาหรือลดขนาดทันทีหากเกิดอาการถ่ายเหลวรุนแรง</t>
        </is>
      </c>
      <c r="O12" s="0" t="inlineStr">
        <is>
          <t>ข้อสอบจริง</t>
        </is>
      </c>
      <c r="P12" s="0" t="inlineStr">
        <is>
          <t>2566</t>
        </is>
      </c>
    </row>
    <row r="13">
      <c r="A13" s="0" t="n">
        <v>11</v>
      </c>
      <c r="B13" s="0"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0" t="inlineStr"/>
      <c r="D13" s="0" t="inlineStr">
        <is>
          <t>Sulfasalazine</t>
        </is>
      </c>
      <c r="E13" s="0" t="inlineStr">
        <is>
          <t>เพิ่มขนาด Methotrexate</t>
        </is>
      </c>
      <c r="F13" s="0" t="inlineStr">
        <is>
          <t>เพิ่มขนาด Prednisolone</t>
        </is>
      </c>
      <c r="G13" s="0" t="inlineStr">
        <is>
          <t>เพิ่มยา Hydroxychloroquine</t>
        </is>
      </c>
      <c r="H13" s="0" t="inlineStr">
        <is>
          <t>เพิ่มยา Azathioprine</t>
        </is>
      </c>
      <c r="I13" s="0" t="n">
        <v>4</v>
      </c>
      <c r="J13" s="0"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0" t="inlineStr"/>
      <c r="L13" s="0" t="inlineStr">
        <is>
          <t>Rheumatoid arthritis</t>
        </is>
      </c>
      <c r="M13" s="0" t="inlineStr">
        <is>
          <t>Clinic</t>
        </is>
      </c>
      <c r="N13" s="0" t="inlineStr">
        <is>
          <t>RA Treat-to-target: หากคุมโรคไม่ได้ด้วย MTX ให้พิจารณา Add-on csDMARDs อื่น (เช่น HCQ, SSZ)</t>
        </is>
      </c>
      <c r="O13" s="0" t="inlineStr">
        <is>
          <t>ข้อสอบจริง</t>
        </is>
      </c>
      <c r="P13" s="0" t="inlineStr">
        <is>
          <t>2566</t>
        </is>
      </c>
    </row>
    <row r="14">
      <c r="A14" s="0" t="n">
        <v>12</v>
      </c>
      <c r="B14" s="0"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 ผู้ป่วยโรคข้ออักเสบรูมาตอยด์ (Rheumatoid Arthritis) มีอาการแสดงอยู่ในระดับปานกลาง (Moderate disease activity) ได้รับการรักษาด้วยยากลุ่ม Corticosteroids ร่วมด้วยมานานกว่า 3 เดือนแล้ว แพทย์สั่งปรับเพิ่มขนาดยา Methotrexate (MTX) เพื่อควบคุมอาการของโรค ผู้ป่วยมีประวัติแพ้ยาปฏิกิริยารุนแรงกับยากลุ่ม Sulfa (มีประวัติแพ้ยา Co-trimoxazole)</t>
        </is>
      </c>
      <c r="C14" s="0" t="inlineStr"/>
      <c r="D14" s="0" t="inlineStr">
        <is>
          <t>เพื่อลดผลข้างเคียงทางไตของ Allopurinol</t>
        </is>
      </c>
      <c r="E14" s="0" t="inlineStr">
        <is>
          <t>เพื่อเสริมฤทธิ์ต้านอักเสบและลดกรดยูริกของยา Allopurinol</t>
        </is>
      </c>
      <c r="F14" s="0" t="inlineStr">
        <is>
          <t>เพื่อป้องกันการเกิดข้ออักเสบเฉียบพลัน (Gout flare) จากการเปลี่ยนแปลงของระดับกรดยูริก</t>
        </is>
      </c>
      <c r="G14" s="0" t="inlineStr">
        <is>
          <t>เพื่อลดการเกิดนิ่วในไตจากกรดยูริก</t>
        </is>
      </c>
      <c r="H14" s="0" t="inlineStr">
        <is>
          <t>เพื่อเพิ่มการดูดซึมยา Allopurinol ในระบบทางเดินอาหาร</t>
        </is>
      </c>
      <c r="I14" s="0" t="n">
        <v>3</v>
      </c>
      <c r="J14" s="0"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0" t="inlineStr"/>
      <c r="L14" s="0" t="inlineStr">
        <is>
          <t>Gout</t>
        </is>
      </c>
      <c r="M14" s="0" t="inlineStr">
        <is>
          <t>Clinic</t>
        </is>
      </c>
      <c r="N14" s="0" t="inlineStr">
        <is>
          <t>Gout Prophylaxis: ป้องกัน Gout flare จากการแกว่งของระดับกรดยูริกในช่วงเริ่ม ULT</t>
        </is>
      </c>
      <c r="O14" s="0" t="inlineStr">
        <is>
          <t>ข้อสอบจริง</t>
        </is>
      </c>
      <c r="P14" s="0" t="inlineStr">
        <is>
          <t>2566</t>
        </is>
      </c>
    </row>
    <row r="15">
      <c r="A15" s="0" t="n">
        <v>13</v>
      </c>
      <c r="B15" s="0"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0" t="inlineStr"/>
      <c r="D15" s="0" t="inlineStr">
        <is>
          <t>Complete Blood Count (CBC)</t>
        </is>
      </c>
      <c r="E15" s="0" t="inlineStr">
        <is>
          <t>Liver function tests (AST/ALT)</t>
        </is>
      </c>
      <c r="F15" s="0" t="inlineStr">
        <is>
          <t>Renal function (Serum creatinine)</t>
        </is>
      </c>
      <c r="G15" s="0" t="inlineStr">
        <is>
          <t>Chest X-ray</t>
        </is>
      </c>
      <c r="H15" s="0" t="inlineStr">
        <is>
          <t>การตรวจตาอย่างละเอียดโดยจักษุแพทย์ (Eye examination)</t>
        </is>
      </c>
      <c r="I15" s="0" t="n">
        <v>5</v>
      </c>
      <c r="J15" s="0"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0" t="inlineStr"/>
      <c r="L15" s="0" t="inlineStr">
        <is>
          <t>Rheumatoid arthritis</t>
        </is>
      </c>
      <c r="M15" s="0" t="inlineStr">
        <is>
          <t>Clinic</t>
        </is>
      </c>
      <c r="N15" s="0" t="inlineStr">
        <is>
          <t>DMARDs Monitoring: HCQ ต้องตรวจคัดกรอง Retinal toxicity ด้วย Eye exam ประจำปี (MTX ไม่ต้อง)</t>
        </is>
      </c>
      <c r="O15" s="0" t="inlineStr">
        <is>
          <t>ข้อสอบจริง</t>
        </is>
      </c>
      <c r="P15" s="0" t="inlineStr">
        <is>
          <t>2566</t>
        </is>
      </c>
    </row>
    <row r="16">
      <c r="A16" s="0" t="n">
        <v>14</v>
      </c>
      <c r="B16" s="0" t="inlineStr">
        <is>
          <t>คำแนะนำข้อใดต่อไปนี้เกี่ยวกับการใช้ยา Methotrexate (MTX) ในผู้ป่วยโรคข้ออักเสบรูมาตอยด์ที่ ไม่เหมาะสม หรือผิดพลาด</t>
        </is>
      </c>
      <c r="C16" s="0" t="inlineStr"/>
      <c r="D16" s="0" t="inlineStr">
        <is>
          <t>แนะนำให้หลีกเลี่ยงการดื่มเครื่องดื่มแอลกอฮอล์ในระหว่างใช้ยานี้</t>
        </is>
      </c>
      <c r="E16" s="0" t="inlineStr">
        <is>
          <t>รับประทานยาเพียงสัปดาห์ละ 1 ครั้งตามที่แพทย์สั่ง (ห้ามกินทุกวัน)</t>
        </is>
      </c>
      <c r="F16" s="0" t="inlineStr">
        <is>
          <t>รับประทานร่วมกับ Folic acid ตามแพทย์สั่งเพื่อลดอาการปากเปื่อยและผลข้างเคียงอื่น ๆ</t>
        </is>
      </c>
      <c r="G16" s="0" t="inlineStr">
        <is>
          <t>สามารถปรับลดขนาดยาเองได้ทันทีเมื่ออาการของโรคเริ่มคงที่หรือไม่มีอาการปวดอักเสบ</t>
        </is>
      </c>
      <c r="H16" s="0" t="inlineStr">
        <is>
          <t>หากมีอาการไข้ เจ็บคอ หรือไอแห้งผิดปกติ ให้หยุดยาและรีบมาพบแพทย์ทันที</t>
        </is>
      </c>
      <c r="I16" s="0" t="n">
        <v>4</v>
      </c>
      <c r="J16" s="0"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0" t="inlineStr"/>
      <c r="L16" s="0" t="inlineStr">
        <is>
          <t>Rheumatoid arthritis</t>
        </is>
      </c>
      <c r="M16" s="0" t="inlineStr">
        <is>
          <t>Clinic</t>
        </is>
      </c>
      <c r="N16" s="0" t="inlineStr">
        <is>
          <t>DMARDs Counseling: MTX ทานสัปดาห์ละ 1 ครั้งเท่านั้น ห้ามทานทุกวัน และห้ามปรับลดขนาดยาเอง</t>
        </is>
      </c>
      <c r="O16" s="0" t="inlineStr">
        <is>
          <t>ข้อสอบจริง</t>
        </is>
      </c>
      <c r="P16" s="0" t="inlineStr">
        <is>
          <t>2566</t>
        </is>
      </c>
    </row>
    <row r="17">
      <c r="A17" s="0" t="n">
        <v>15</v>
      </c>
      <c r="B17" s="0" t="inlineStr">
        <is>
          <t>จากกรณีศึกษาข้างต้น การจัดการการรักษาในข้อใดเหมาะสมที่สุดสำหรับคนไข้รายนี้เพื่อควบคุมอาการของโรค ผู้ป่วยชายไทย อายุ 55 ปี น้ำหนัก 60 กิโลกรัม ส่วนสูง 150 เซนติเมตร (BMI = 26.67 kg/m²) มาโรงพยาบาลด้วยอาการปวดเข่าเวลาเดินขึ้นลงบันได เป็นที่เข่าทั้งสองข้าง ระดับความปวด 2/10 มีอาการข้อฝืดตึงตอนเช้าหลังตื่นนอนนาน 10 นาที ตรวจร่างกายคลำพบเสียงกรอบแกรบในข้อเข่า ไม่มีอาการปวดบวมแดงร้อนบริเวณข้อ</t>
        </is>
      </c>
      <c r="C17" s="0" t="inlineStr"/>
      <c r="D17" s="0" t="inlineStr">
        <is>
          <t>เพิ่มขนาดยา Methotrexate</t>
        </is>
      </c>
      <c r="E17" s="0" t="inlineStr">
        <is>
          <t>เพิ่มขนาดยา Corticosteroids</t>
        </is>
      </c>
      <c r="F17" s="0" t="inlineStr">
        <is>
          <t>เพิ่มยา Sulfasalazine</t>
        </is>
      </c>
      <c r="G17" s="0" t="inlineStr">
        <is>
          <t>เพิ่มยา Hydroxychloroquine</t>
        </is>
      </c>
      <c r="H17" s="0" t="inlineStr">
        <is>
          <t>เพิ่มยา Leflunomide</t>
        </is>
      </c>
      <c r="I17" s="0" t="n">
        <v>5</v>
      </c>
      <c r="J17" s="0"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0" t="inlineStr"/>
      <c r="L17" s="0" t="inlineStr">
        <is>
          <t>Rheumatoid arthritis</t>
        </is>
      </c>
      <c r="M17" s="0" t="inlineStr">
        <is>
          <t>Clinic</t>
        </is>
      </c>
      <c r="N17" s="0" t="inlineStr">
        <is>
          <t>RA Sulfa Allergy: Sulfasalazine มีโครงสร้าง Sulfa ห้ามใช้ในคนไข้แพ้ Sulfa ให้เลี่ยงไปใช้ HCQ หรือ LEF</t>
        </is>
      </c>
      <c r="O17" s="0" t="inlineStr">
        <is>
          <t>ข้อสอบจริง</t>
        </is>
      </c>
      <c r="P17" s="0" t="inlineStr">
        <is>
          <t>2566</t>
        </is>
      </c>
    </row>
    <row r="18">
      <c r="A18" s="0" t="n">
        <v>16</v>
      </c>
      <c r="B18" s="0" t="inlineStr">
        <is>
          <t>จากประวัติและอาการแสดงทางคลินิกของผู้ป่วยรายนี้ คาดว่าผู้ป่วยเป็นโรคในข้อใดมากที่สุด</t>
        </is>
      </c>
      <c r="C18" s="0" t="inlineStr"/>
      <c r="D18" s="0" t="inlineStr">
        <is>
          <t>Osteoporosis</t>
        </is>
      </c>
      <c r="E18" s="0" t="inlineStr">
        <is>
          <t>Rheumatoid arthritis</t>
        </is>
      </c>
      <c r="F18" s="0" t="inlineStr">
        <is>
          <t>Gout</t>
        </is>
      </c>
      <c r="G18" s="0" t="inlineStr">
        <is>
          <t>Osteoarthritis</t>
        </is>
      </c>
      <c r="H18" s="0" t="inlineStr">
        <is>
          <t>Tendinitis</t>
        </is>
      </c>
      <c r="I18" s="0" t="n">
        <v>4</v>
      </c>
      <c r="J18" s="0"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0" t="inlineStr"/>
      <c r="L18" s="0" t="inlineStr">
        <is>
          <t>Osteoarthritis</t>
        </is>
      </c>
      <c r="M18" s="0" t="inlineStr">
        <is>
          <t>Clinic</t>
        </is>
      </c>
      <c r="N18" s="0" t="inlineStr">
        <is>
          <t>OA Clinical Features: ข้อฝืดขัดสั้น ๆ (&lt;30 นาที), อาการปวดสัมพันธ์กับการลงน้ำหนัก/เคลื่อนไหว</t>
        </is>
      </c>
      <c r="O18" s="0" t="inlineStr">
        <is>
          <t>ข้อสอบจริง</t>
        </is>
      </c>
      <c r="P18" s="0" t="inlineStr">
        <is>
          <t>2566</t>
        </is>
      </c>
    </row>
    <row r="19">
      <c r="A19" s="0" t="n">
        <v>17</v>
      </c>
      <c r="B19" s="0"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0" t="inlineStr"/>
      <c r="D19" s="0" t="inlineStr">
        <is>
          <t>Etoricoxib</t>
        </is>
      </c>
      <c r="E19" s="0" t="inlineStr">
        <is>
          <t>Paracetamol</t>
        </is>
      </c>
      <c r="F19" s="0" t="inlineStr">
        <is>
          <t>Tolperisone</t>
        </is>
      </c>
      <c r="G19" s="0" t="inlineStr">
        <is>
          <t>Tramadol</t>
        </is>
      </c>
      <c r="H19" s="0" t="inlineStr">
        <is>
          <t>Codeine</t>
        </is>
      </c>
      <c r="I19" s="0" t="n">
        <v>1</v>
      </c>
      <c r="J19" s="0"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0" t="inlineStr"/>
      <c r="L19" s="0" t="inlineStr">
        <is>
          <t>Osteoarthritis</t>
        </is>
      </c>
      <c r="M19" s="0" t="inlineStr">
        <is>
          <t>Clinic</t>
        </is>
      </c>
      <c r="N19" s="0" t="inlineStr">
        <is>
          <t>OA CV Safety: Etoricoxib / COX-2 inhibitors เพิ่มความเสี่ยง Thrombotic CV events สูงสุด</t>
        </is>
      </c>
      <c r="O19" s="0" t="inlineStr">
        <is>
          <t>ข้อสอบจริง</t>
        </is>
      </c>
      <c r="P19" s="0" t="inlineStr"/>
    </row>
    <row r="20">
      <c r="A20" s="0" t="n">
        <v>18</v>
      </c>
      <c r="B20" s="0" t="inlineStr">
        <is>
          <t>ยาแก้ปวดอักเสบในข้อใดที่ควรเลือกใช้รักษาอาการปวดข้อเข่าเสื่อมของผู้ป่วยรายนี้เป็นอันดับแรกตามแนวทางเวชปฏิบัติ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t>
        </is>
      </c>
      <c r="C20" s="0" t="inlineStr"/>
      <c r="D20" s="0" t="inlineStr">
        <is>
          <t>Paracetamol + Orphenadrine</t>
        </is>
      </c>
      <c r="E20" s="0" t="inlineStr">
        <is>
          <t>Tramadol</t>
        </is>
      </c>
      <c r="F20" s="0" t="inlineStr">
        <is>
          <t>Glucosamine sulfate</t>
        </is>
      </c>
      <c r="G20" s="0" t="inlineStr">
        <is>
          <t>Capsaicin gel</t>
        </is>
      </c>
      <c r="H20" s="0" t="inlineStr">
        <is>
          <t>Diclofenac oral tablet</t>
        </is>
      </c>
      <c r="I20" s="0" t="n">
        <v>4</v>
      </c>
      <c r="J20" s="0"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0" t="inlineStr"/>
      <c r="L20" s="0" t="inlineStr">
        <is>
          <t>Gout</t>
        </is>
      </c>
      <c r="M20" s="0" t="inlineStr">
        <is>
          <t>Clinic</t>
        </is>
      </c>
      <c r="N20" s="0" t="inlineStr">
        <is>
          <t>OA Capsaicin: Capsaicin ทาเฉพาะที่ออกฤทธิ์ยับยั้ง Substance P บรรเทาปวดข้อเข่าได้อย่างปลอดภัย</t>
        </is>
      </c>
      <c r="O20" s="0" t="inlineStr">
        <is>
          <t>ข้อสอบจริง</t>
        </is>
      </c>
      <c r="P20" s="0" t="inlineStr"/>
    </row>
    <row r="21">
      <c r="A21" s="0" t="n">
        <v>19</v>
      </c>
      <c r="B21" s="0" t="inlineStr">
        <is>
          <t>ข้อใดคืออาการไม่พึงประสงค์จากการใช้ยา (ADR) สัมพันธ์กับขนาดยาและพบบ่อยที่สุดของยา Colchicine</t>
        </is>
      </c>
      <c r="C21" s="0" t="inlineStr"/>
      <c r="D21" s="0" t="inlineStr">
        <is>
          <t>Stevens-Johnson Syndrome (SJS)</t>
        </is>
      </c>
      <c r="E21" s="0" t="inlineStr">
        <is>
          <t>Nephrotic syndrome</t>
        </is>
      </c>
      <c r="F21" s="0" t="inlineStr">
        <is>
          <t>ปวดศีรษะรุนแรง</t>
        </is>
      </c>
      <c r="G21" s="0" t="inlineStr">
        <is>
          <t>ท้องเสียถ่ายเหลว (Diarrhea)</t>
        </is>
      </c>
      <c r="H21" s="0" t="inlineStr">
        <is>
          <t>ง่วงซึมอย่างรุนแรง</t>
        </is>
      </c>
      <c r="I21" s="0" t="n">
        <v>4</v>
      </c>
      <c r="J21" s="0"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0" t="inlineStr"/>
      <c r="L21" s="0" t="inlineStr">
        <is>
          <t>Gout</t>
        </is>
      </c>
      <c r="M21" s="0" t="inlineStr">
        <is>
          <t>Clinic</t>
        </is>
      </c>
      <c r="N21" s="0" t="inlineStr">
        <is>
          <t>Colchicine ADR: Diarrhea เป็น ADR พบบ่อยสุดจากการรบกวนเซลล์เยื่อบุลำไส้ที่แบ่งตัวเร็ว</t>
        </is>
      </c>
      <c r="O21" s="0" t="inlineStr">
        <is>
          <t>ข้อสอบจริง</t>
        </is>
      </c>
      <c r="P21" s="0" t="inlineStr">
        <is>
          <t>2566</t>
        </is>
      </c>
    </row>
    <row r="22">
      <c r="A22" s="0" t="n">
        <v>20</v>
      </c>
      <c r="B22" s="0" t="inlineStr">
        <is>
          <t>เหตุใดแพทย์จึงสั่งใช้ยา Allopurinol ควบคู่กับ Colchicine วันละครั้ง ในการเริ่มต้นรักษาระยะยาว</t>
        </is>
      </c>
      <c r="C22" s="0" t="inlineStr"/>
      <c r="D22" s="0" t="inlineStr">
        <is>
          <t>ยา Colchicine ช่วยลดผลข้างเคียงและอาการไม่พึงประสงค์ของยา Allopurinol</t>
        </is>
      </c>
      <c r="E22" s="0" t="inlineStr">
        <is>
          <t>เพื่อป้องกันข้ออักเสบเฉียบพลันกำเริบ (Gout flare) ในระหว่างเริ่มต้นใช้ยาลดกรดยูริก</t>
        </is>
      </c>
      <c r="F22" s="0" t="inlineStr">
        <is>
          <t>ยา Allopurinol ช่วยเสริมฤทธิ์ลดปวดและลดการอักเสบของยา Colchicine</t>
        </is>
      </c>
      <c r="G22" s="0" t="inlineStr">
        <is>
          <t>ยา Colchicine ช่วยเสริมฤทธิ์ยา Allopurinol ในการยับยั้งการสร้างกรดยูริก</t>
        </is>
      </c>
      <c r="H22" s="0" t="inlineStr">
        <is>
          <t>ป้องกันการเกิดผลข้างเคียงระยะยาวของยาลดกรดยูริกต่อไต</t>
        </is>
      </c>
      <c r="I22" s="0" t="n">
        <v>2</v>
      </c>
      <c r="J22" s="0"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0" t="inlineStr"/>
      <c r="L22" s="0" t="inlineStr">
        <is>
          <t>Gout</t>
        </is>
      </c>
      <c r="M22" s="0" t="inlineStr">
        <is>
          <t>Clinic</t>
        </is>
      </c>
      <c r="N22" s="0" t="inlineStr">
        <is>
          <t>Gout Prophylaxis: Colchicine ป้องกันข้ออักเสบกำเริบซ้ำจากการสลายผลึก Urate ในช่วงเริ่มยาลดกรดยูริก</t>
        </is>
      </c>
      <c r="O22" s="0" t="inlineStr">
        <is>
          <t>ข้อสอบจริง</t>
        </is>
      </c>
      <c r="P22" s="0" t="inlineStr">
        <is>
          <t>2566</t>
        </is>
      </c>
    </row>
    <row r="23">
      <c r="A23" s="0" t="n">
        <v>21</v>
      </c>
      <c r="B23" s="0"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0" t="inlineStr"/>
      <c r="D23" s="0" t="inlineStr">
        <is>
          <t>HLA-B35:05</t>
        </is>
      </c>
      <c r="E23" s="0" t="inlineStr">
        <is>
          <t>HLA-B15:02</t>
        </is>
      </c>
      <c r="F23" s="0" t="inlineStr">
        <is>
          <t>AST/ALT</t>
        </is>
      </c>
      <c r="G23" s="0" t="inlineStr">
        <is>
          <t>HLA-B58:01</t>
        </is>
      </c>
      <c r="H23" s="0" t="inlineStr">
        <is>
          <t>Serum creatinine (SCr)</t>
        </is>
      </c>
      <c r="I23" s="0" t="n">
        <v>4</v>
      </c>
      <c r="J23" s="0"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0" t="inlineStr"/>
      <c r="L23" s="0" t="inlineStr">
        <is>
          <t>Gout</t>
        </is>
      </c>
      <c r="M23" s="0" t="inlineStr">
        <is>
          <t>Clinic</t>
        </is>
      </c>
      <c r="N23" s="0" t="inlineStr">
        <is>
          <t>Allopurinol Gene Screening: HLA-B58:01 allele เป็น biomarker ทำนายการเกิด SCARs</t>
        </is>
      </c>
      <c r="O23" s="0" t="inlineStr">
        <is>
          <t>ข้อสอบจริง</t>
        </is>
      </c>
      <c r="P23" s="0" t="inlineStr">
        <is>
          <t>2566</t>
        </is>
      </c>
    </row>
    <row r="24">
      <c r="A24" s="0" t="n">
        <v>22</v>
      </c>
      <c r="B24" s="0" t="inlineStr">
        <is>
          <t>ข้อใดต่อไปนี้จัดเป็นยาทางเลือกแรกที่ผู้ป่วยควรได้รับเพื่อบรรเทาอาการอักเสบเฉียบพลัน</t>
        </is>
      </c>
      <c r="C24" s="0" t="inlineStr"/>
      <c r="D24" s="0" t="inlineStr">
        <is>
          <t>Allopurinol</t>
        </is>
      </c>
      <c r="E24" s="0" t="inlineStr">
        <is>
          <t>Oral Naproxen (หรือยากลุ่ม NSAIDs)</t>
        </is>
      </c>
      <c r="F24" s="0" t="inlineStr">
        <is>
          <t>Intra-articular steroid (ยาสเตียรอยด์ฉีดเข้าข้อ)</t>
        </is>
      </c>
      <c r="G24" s="0" t="inlineStr">
        <is>
          <t>Probenecid</t>
        </is>
      </c>
      <c r="H24" s="0" t="inlineStr">
        <is>
          <t>Benzbromarone</t>
        </is>
      </c>
      <c r="I24" s="0" t="n">
        <v>2</v>
      </c>
      <c r="J24" s="0"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0" t="inlineStr"/>
      <c r="L24" s="0" t="inlineStr">
        <is>
          <t>Gout</t>
        </is>
      </c>
      <c r="M24" s="0" t="inlineStr">
        <is>
          <t>Clinic</t>
        </is>
      </c>
      <c r="N24" s="0" t="inlineStr">
        <is>
          <t>Acute Gout: Naproxen / NSAIDs เป็นทางเลือกแรก ห้ามเริ่ม Allopurinol ทันที</t>
        </is>
      </c>
      <c r="O24" s="0" t="inlineStr">
        <is>
          <t>ข้อสอบจริง</t>
        </is>
      </c>
      <c r="P24" s="0" t="inlineStr">
        <is>
          <t>2565</t>
        </is>
      </c>
    </row>
    <row r="25">
      <c r="A25" s="0" t="n">
        <v>23</v>
      </c>
      <c r="B25" s="0"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0" t="inlineStr"/>
      <c r="D25" s="0" t="inlineStr">
        <is>
          <t>Allopurinol</t>
        </is>
      </c>
      <c r="E25" s="0" t="inlineStr">
        <is>
          <t>Febuxostat</t>
        </is>
      </c>
      <c r="F25" s="0" t="inlineStr">
        <is>
          <t>Benzbromarone</t>
        </is>
      </c>
      <c r="G25" s="0" t="inlineStr">
        <is>
          <t>Lesinurad</t>
        </is>
      </c>
      <c r="H25" s="0" t="inlineStr">
        <is>
          <t>Probenecid</t>
        </is>
      </c>
      <c r="I25" s="0" t="n">
        <v>1</v>
      </c>
      <c r="J25" s="0"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0" t="inlineStr"/>
      <c r="L25" s="0" t="inlineStr">
        <is>
          <t>Gout</t>
        </is>
      </c>
      <c r="M25" s="0" t="inlineStr">
        <is>
          <t>Clinic</t>
        </is>
      </c>
      <c r="N25" s="0" t="inlineStr">
        <is>
          <t>Allopurinol Contraindication: ห้ามใช้เด็ดขาดในผู้ป่วยที่มีประวัติแพ้ยา Allopurinol รุนแรง (SJS/TEN)</t>
        </is>
      </c>
      <c r="O25" s="0" t="inlineStr">
        <is>
          <t>ข้อสอบจริง</t>
        </is>
      </c>
      <c r="P25" s="0" t="inlineStr">
        <is>
          <t>2565</t>
        </is>
      </c>
    </row>
    <row r="26">
      <c r="A26" s="0" t="n">
        <v>24</v>
      </c>
      <c r="B26" s="0" t="inlineStr">
        <is>
          <t>ข้อใดต่อไปนี้ ไม่ใช่ คำแนะนำในการปฏิบัติตัวและปรับพฤติกรรม (Non-pharmacological therapy) ที่เหมาะสมสำหรับผู้ป่วยโรคเกาต์</t>
        </is>
      </c>
      <c r="C26" s="0" t="inlineStr"/>
      <c r="D26" s="0" t="inlineStr">
        <is>
          <t>แนะนำให้ลดน้ำหนักตัว</t>
        </is>
      </c>
      <c r="E26" s="0" t="inlineStr">
        <is>
          <t>แนะนำให้ลดหรือจำกัดการดื่มเครื่องดื่มสุราและแอลกอฮอล์</t>
        </is>
      </c>
      <c r="F26" s="0" t="inlineStr">
        <is>
          <t>แนะนำให้หลีกเลี่ยงหรือลดการรับประทานเครื่องในสัตว์</t>
        </is>
      </c>
      <c r="G26" s="0" t="inlineStr">
        <is>
          <t>แนะนำให้ลดการรับประทานน้ำผลไม้ที่มีน้ำตาล Fructose สูง</t>
        </is>
      </c>
      <c r="H26" s="0" t="inlineStr">
        <is>
          <t>แนะนำให้รับประทานวิตามินดี (Vitamin D) ปริมาณสูงเพื่อช่วยขับยูริก</t>
        </is>
      </c>
      <c r="I26" s="0" t="n">
        <v>5</v>
      </c>
      <c r="J26" s="0"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แนะนำให้รับประทานวิตามินดี (Vitamin D) ปริมาณสูงเพื่อช่วยขับยูริก การบำบัดรักษาโรคเกาต์โดยไม่ใช้ยาประกอบด้วย การลดน้ำหนักตัวในคนอ้วน, งดเครื่องดื่มแอลกอฮอล์ (เบียร์), หลีกเลี่ยงเครื่องในสัตว์ และลดการดื่มเครื่องดื่มที่มี Fructose สูง เนื่องจากอาหารเหล่านี้มีผลโดยตรงต่อกรดยูริก อย่างไรก็ตาม การรับประทานวิตามินดีปริมาณสูง (High-dose Vitamin D) ไม่มีข้อมูลหรือข้อแนะนำในระดับ
🔍 ข้ออื่นผิดเพราะอะไร:
• ข้อ ก. (แนะนำให้ลดน้ำหนักตัว): การลดน้ำหนักช่วยลดภาวะดื้อต่ออินซูลินซึ่งเป็นปัจจัยที่ทำให้ไตขับกรดยูริกได้น้อยลง จึงเป็นคำแนะนำที่ถูกต้อง
• ข้อ ข. (แนะนำให้ลดหรือจำกัดการดื่มเครื่องดื่มสุราและแอลกอฮอล์): แอลกอฮอล์มีผลเพิ่มการสร้างกรดยูริกจากการสลาย ATP และกระตุ้นให้เกิดกรดแลคติกซึ่งไปยับยั้งการขับยูริกที่ท่อไต จึงเป็นคำแนะนำที่ถูกต้อง
• ข้อ ค. (แนะนำให้หลีกเลี่ยงหรือลดการรับประทานเครื่องในสัตว์): เครื่องในสัตว์เป็นอาหารที่มีสารพิวรีนสูงมาก ซึ่งเป็นสารตั้งต้นในการสังเคราะห์กรดยูริกผ่านเอนไซม์ Xanthine oxidase จึงเป็นคำแนะนำที่ถูกต้อง
• ข้อ ง. (แนะนำให้ลดการรับประทานน้ำผลไม้ที่มีน้ำตาล Fructose สูง): ฟรุกโตสเร่งกระบวนการสลาย purine nucleotide โดยเพิ่มการทำงานของเอนไซม์ AMP deaminase ส่งผลให้ระดับกรดยูริกในเลือดสูงขึ้น จึงเป็นคำแนะนำที่ถูกต้อง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6" s="0" t="inlineStr"/>
      <c r="L26" s="0" t="inlineStr">
        <is>
          <t>Gout</t>
        </is>
      </c>
      <c r="M26" s="0" t="inlineStr">
        <is>
          <t>Clinic</t>
        </is>
      </c>
      <c r="N26" s="0" t="inlineStr">
        <is>
          <t>Gout Advice: การหยุดยาลดกรดยูริกทันทีเมื่อปวดทำให้ยูริกแกว่งและอักเสบเรื้อรัง</t>
        </is>
      </c>
      <c r="O26" s="0" t="inlineStr">
        <is>
          <t>ข้อสอบจริง</t>
        </is>
      </c>
      <c r="P26" s="0" t="inlineStr">
        <is>
          <t>2565</t>
        </is>
      </c>
    </row>
    <row r="27">
      <c r="A27" s="0" t="n">
        <v>25</v>
      </c>
      <c r="B27" s="0" t="inlineStr">
        <is>
          <t>ยาในข้อใดต่อไปนี้ที่ ไม่มีผล ทำให้ระดับกรดยูริกในเลือดเพิ่มสูงขึ้น (Hyperuricemia) หรือขัดขวางการขับยูริกที่ไต ผู้ป่วยโรคข้ออักเสบรูมาตอยด์ (Rheumatoid Arthritis) ได้รับการรักษาและควบคุมอาการของโรคด้วยยา Methotrexate (MTX)</t>
        </is>
      </c>
      <c r="C27" s="0" t="inlineStr"/>
      <c r="D27" s="0" t="inlineStr">
        <is>
          <t>Low dose aspirin</t>
        </is>
      </c>
      <c r="E27" s="0" t="inlineStr">
        <is>
          <t>Pyrazinamide</t>
        </is>
      </c>
      <c r="F27" s="0" t="inlineStr">
        <is>
          <t>Furosemide</t>
        </is>
      </c>
      <c r="G27" s="0" t="inlineStr">
        <is>
          <t>Hydrochlorothiazide (HCTZ)</t>
        </is>
      </c>
      <c r="H27" s="0" t="inlineStr">
        <is>
          <t>Fenofibrate</t>
        </is>
      </c>
      <c r="I27" s="0" t="n">
        <v>5</v>
      </c>
      <c r="J27" s="0"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0" t="inlineStr"/>
      <c r="L27" s="0" t="inlineStr">
        <is>
          <t>Gout</t>
        </is>
      </c>
      <c r="M27" s="0" t="inlineStr">
        <is>
          <t>Clinic</t>
        </is>
      </c>
      <c r="N27" s="0" t="inlineStr">
        <is>
          <t>Gout Drug-Induced: Losartan ช่วยขับกรดยูริกทางปัสสาวะ ขณะที่ Thiazide/Aspirin ลดการขับยูริก</t>
        </is>
      </c>
      <c r="O27" s="0" t="inlineStr">
        <is>
          <t>ข้อสอบจริง</t>
        </is>
      </c>
      <c r="P27" s="0" t="inlineStr">
        <is>
          <t>2565</t>
        </is>
      </c>
    </row>
    <row r="28">
      <c r="A28" s="0" t="n">
        <v>26</v>
      </c>
      <c r="B28" s="0"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0" t="inlineStr"/>
      <c r="D28" s="0" t="inlineStr">
        <is>
          <t>Rheumatoid factor (RF)</t>
        </is>
      </c>
      <c r="E28" s="0" t="inlineStr">
        <is>
          <t>C-reactive protein (CRP)</t>
        </is>
      </c>
      <c r="F28" s="0" t="inlineStr">
        <is>
          <t>Visual Analog Scale (VAS) score</t>
        </is>
      </c>
      <c r="G28" s="0" t="inlineStr">
        <is>
          <t>Complete Blood Count (CBC) และค่าการทำงานของตับ (AST/ALT)</t>
        </is>
      </c>
      <c r="H28" s="0" t="inlineStr">
        <is>
          <t>Erythrocyte Sedimentation Rate (ESR)</t>
        </is>
      </c>
      <c r="I28" s="0" t="n">
        <v>4</v>
      </c>
      <c r="J28" s="0"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0" t="inlineStr"/>
      <c r="L28" s="0" t="inlineStr">
        <is>
          <t>Rheumatoid arthritis</t>
        </is>
      </c>
      <c r="M28" s="0" t="inlineStr">
        <is>
          <t>Clinic</t>
        </is>
      </c>
      <c r="N28" s="0" t="inlineStr">
        <is>
          <t>RA Disease Activity: ประเมินด้วย CDAI, SDAI หรือ DAS28 เพื่อปรับขนาดยาตาม Treat-to-target</t>
        </is>
      </c>
      <c r="O28" s="0" t="inlineStr">
        <is>
          <t>ข้อสอบจริง</t>
        </is>
      </c>
      <c r="P28" s="0" t="inlineStr">
        <is>
          <t>2565</t>
        </is>
      </c>
    </row>
    <row r="29">
      <c r="A29" s="0" t="n">
        <v>27</v>
      </c>
      <c r="B29" s="0"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 ผู้ป่วยเป็นโรคเกาต์ (Gout) ได้รับยา Allopurinol ร่วมกับ Colchicine และมียา Paracetamol รับประทานเวลาปวด ภายหลังจากรับประทานยาได้ 4 วัน ผู้ป่วยมีอาการปวดเกาต์รุนแรงขึ้น จึงทาน Paracetamol ต่อเนื่องกัน 3 วันแต่อาการปวดยังไม่ทุเลา จึงเดินทางไปซื้อยา Naproxen จากร้านยามาทานร่วมด้วย หลังจากรับทานยาได้ 3 วัน ผู้ป่วยเกิดอาการคลื่นไส้ อาเจียน ปวดท้อง ท้องเสียอย่างรุนแรง จึงเดินทางไปโรงพยาบาล ผลตรวจเลือดพบดังนี้: - WBC = 3,000 cells/µL (ปกติ 4,000 - 10,000) - Platelet = 40,000 cells/µL (ปกติ 150,000 - 450,000) - Neutrophil = 30% - Eosinophil = 3% - Hb = 7 g/dL (ปกติ 12 - 16)</t>
        </is>
      </c>
      <c r="C29" s="0" t="inlineStr"/>
      <c r="D29" s="0" t="inlineStr">
        <is>
          <t>เถาวัลย์เปรียง</t>
        </is>
      </c>
      <c r="E29" s="0" t="inlineStr">
        <is>
          <t>ชุมเห็ดเทศ</t>
        </is>
      </c>
      <c r="F29" s="0" t="inlineStr">
        <is>
          <t>รางจืด</t>
        </is>
      </c>
      <c r="G29" s="0" t="inlineStr">
        <is>
          <t>หญ้าหนวดแมว</t>
        </is>
      </c>
      <c r="H29" s="0" t="inlineStr">
        <is>
          <t>พญายอ</t>
        </is>
      </c>
      <c r="I29" s="0" t="n">
        <v>1</v>
      </c>
      <c r="J29" s="0"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0" t="inlineStr"/>
      <c r="L29" s="0" t="inlineStr">
        <is>
          <t>Gout</t>
        </is>
      </c>
      <c r="M29" s="0" t="inlineStr">
        <is>
          <t>Clinic</t>
        </is>
      </c>
      <c r="N29" s="0" t="inlineStr">
        <is>
          <t>Herbal Medicine: สารสกัดเถาวัลย์เปรียง บรรเทาอาการปวดข้อเข่าเสื่อมได้เทียบเท่า NSAIDs</t>
        </is>
      </c>
      <c r="O29" s="0" t="inlineStr">
        <is>
          <t>ข้อสอบจริง</t>
        </is>
      </c>
      <c r="P29" s="0" t="inlineStr">
        <is>
          <t>2565</t>
        </is>
      </c>
    </row>
    <row r="30">
      <c r="A30" s="0" t="n">
        <v>28</v>
      </c>
      <c r="B30" s="0"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0" t="inlineStr"/>
      <c r="D30" s="0" t="inlineStr">
        <is>
          <t>Pancytopenia (เซลล์เม็ดเลือดต่ำทุกชนิด)</t>
        </is>
      </c>
      <c r="E30" s="0" t="inlineStr">
        <is>
          <t>Neutropenia (เม็ดเลือดขาวชนิดนิวโทรฟิลต่ำ)</t>
        </is>
      </c>
      <c r="F30" s="0" t="inlineStr">
        <is>
          <t>Thrombocytopenia (เกล็ดเลือดต่ำ)</t>
        </is>
      </c>
      <c r="G30" s="0" t="inlineStr">
        <is>
          <t>Anemia (ภาวะโลหิตจาง)</t>
        </is>
      </c>
      <c r="H30" s="0" t="inlineStr">
        <is>
          <t>Bicytopenia (เซลล์เม็ดเลือดต่ำสองชนิด)</t>
        </is>
      </c>
      <c r="I30" s="0" t="n">
        <v>1</v>
      </c>
      <c r="J30" s="0"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0" t="inlineStr"/>
      <c r="L30" s="0" t="inlineStr">
        <is>
          <t>Gout</t>
        </is>
      </c>
      <c r="M30" s="0" t="inlineStr">
        <is>
          <t>Clinic</t>
        </is>
      </c>
      <c r="N30" s="0" t="inlineStr">
        <is>
          <t>MTX Toxicity: ตรวจพบ Leukopenia / Myelosuppression จากฤทธิ์ Antifolate ของ MTX</t>
        </is>
      </c>
      <c r="O30" s="0" t="inlineStr">
        <is>
          <t>ข้อสอบจริง</t>
        </is>
      </c>
      <c r="P30" s="0" t="inlineStr">
        <is>
          <t>2564</t>
        </is>
      </c>
    </row>
    <row r="31">
      <c r="A31" s="0" t="n">
        <v>29</v>
      </c>
      <c r="B31" s="0"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 ผู้ป่วยหญิงอายุ 67 ปี หมดประจำเดือนแล้ว มารับการตรวจความหนาแน่นมวลกระดูก (BMD) ผลตรวจพบค่า T-score ของกระดูกสะโพก (Hip) = -2.5 และกระดูกสันหลัง (Spine) = -2.8</t>
        </is>
      </c>
      <c r="C31" s="0" t="inlineStr"/>
      <c r="D31" s="0" t="inlineStr">
        <is>
          <t>Naproxen</t>
        </is>
      </c>
      <c r="E31" s="0" t="inlineStr">
        <is>
          <t>Colchicine</t>
        </is>
      </c>
      <c r="F31" s="0" t="inlineStr">
        <is>
          <t>Allopurinol</t>
        </is>
      </c>
      <c r="G31" s="0" t="inlineStr">
        <is>
          <t>Paracetamol</t>
        </is>
      </c>
      <c r="H31" s="0" t="inlineStr">
        <is>
          <t>ทั้ง Allopurinol และ Colchicine ร่วมกัน</t>
        </is>
      </c>
      <c r="I31" s="0" t="n">
        <v>2</v>
      </c>
      <c r="J31" s="0"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0" t="inlineStr"/>
      <c r="L31" s="0" t="inlineStr">
        <is>
          <t>Gout</t>
        </is>
      </c>
      <c r="M31" s="0" t="inlineStr">
        <is>
          <t>Clinic</t>
        </is>
      </c>
      <c r="N31" s="0" t="inlineStr">
        <is>
          <t>Drug-Induced Cytopenia: MTX กดไขกระดูก ป้องกันได้ด้วยการให้ Folic acid เสริม</t>
        </is>
      </c>
      <c r="O31" s="0" t="inlineStr">
        <is>
          <t>ข้อสอบจริง</t>
        </is>
      </c>
      <c r="P31" s="0" t="inlineStr">
        <is>
          <t>2564</t>
        </is>
      </c>
    </row>
    <row r="32">
      <c r="A32" s="0" t="n">
        <v>30</v>
      </c>
      <c r="B32" s="0" t="inlineStr">
        <is>
          <t>จากข้อมูลข้างต้น ข้อใดคือคำจำกัดความที่ถูกต้องของค่า T-score ทางคลินิก</t>
        </is>
      </c>
      <c r="C32" s="0" t="inlineStr"/>
      <c r="D32" s="0" t="inlineStr">
        <is>
          <t>ค่าความหนาแน่นมวลกระดูกของผู้ป่วยเมื่อเทียบกับค่าสูงสุดของประชากรเพศเดียวกันในวัยหนุ่มสาว (Peak bone mass)</t>
        </is>
      </c>
      <c r="E32" s="0" t="inlineStr">
        <is>
          <t>ค่าความหนาแน่นมวลกระดูกของผู้ป่วยเมื่อเทียบกับค่าเฉลี่ยของประชากรในช่วงอายุเดียวกัน</t>
        </is>
      </c>
      <c r="F32" s="0" t="inlineStr">
        <is>
          <t>ค่าความแข็งแรงทางสรีรวิทยาของกระดูกสะโพกและกระดูกสันหลัง</t>
        </is>
      </c>
      <c r="G32" s="0" t="inlineStr">
        <is>
          <t>ค่าที่ใช้สำหรับวินิจฉัยภาวะกระดูกน่วมและกระดูกบางในสตรีอายุน้อย</t>
        </is>
      </c>
      <c r="H32" s="0" t="inlineStr">
        <is>
          <t>อัตราส่วนความเสี่ยงในการเกิดกระดูกหักจากอุบัติเหตุล้มเบาบาง</t>
        </is>
      </c>
      <c r="I32" s="0" t="n">
        <v>1</v>
      </c>
      <c r="J32" s="0"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0" t="inlineStr"/>
      <c r="L32" s="0" t="inlineStr">
        <is>
          <t>Osteoporosis</t>
        </is>
      </c>
      <c r="M32" s="0" t="inlineStr">
        <is>
          <t>Clinic</t>
        </is>
      </c>
      <c r="N32" s="0" t="inlineStr">
        <is>
          <t>Osteoporosis Definition: T-score ≤ -2.5 SD ณ Lumbar spine หรือ Hip</t>
        </is>
      </c>
      <c r="O32" s="0" t="inlineStr">
        <is>
          <t>ข้อสอบจริง</t>
        </is>
      </c>
      <c r="P32" s="0" t="inlineStr">
        <is>
          <t>2564</t>
        </is>
      </c>
    </row>
    <row r="33">
      <c r="A33" s="0" t="n">
        <v>31</v>
      </c>
      <c r="B33" s="0"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 ผู้ป่วยชาย อายุ 75 ปี เป็นโรคข้ออักเสบรูมาตอยด์ (Rheumatoid Arthritis) มาโรงพยาบาลด้วยอาการปวดอักเสบข้ออย่างรุนแรง (Pain score = 7) มีประวัติแพ้ยาในกลุ่ม Sulfonamides (Sulfa drugs) เคยมีประวัติเลือดออกในทางเดินอาหาร (GI bleeding) เมื่อ 3 ปีที่แล้ว ปัจจุบันรับประทานยา Aspirin 81 mg วันละ 1 เม็ดเพื่อรักษาโรคหลอดเลือดหัวใจตีบ</t>
        </is>
      </c>
      <c r="C33" s="0" t="inlineStr"/>
      <c r="D33" s="0" t="inlineStr">
        <is>
          <t>Alendronate (หรือยากลุ่ม Bisphosphonates)</t>
        </is>
      </c>
      <c r="E33" s="0" t="inlineStr">
        <is>
          <t>Raloxifene</t>
        </is>
      </c>
      <c r="F33" s="0" t="inlineStr">
        <is>
          <t>Strontium ranelate</t>
        </is>
      </c>
      <c r="G33" s="0" t="inlineStr">
        <is>
          <t>Teriparatide</t>
        </is>
      </c>
      <c r="H33" s="0" t="inlineStr">
        <is>
          <t>Calcitonin nasal spray</t>
        </is>
      </c>
      <c r="I33" s="0" t="n">
        <v>1</v>
      </c>
      <c r="J33" s="0"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0" t="inlineStr"/>
      <c r="L33" s="0" t="inlineStr">
        <is>
          <t>Osteoporosis</t>
        </is>
      </c>
      <c r="M33" s="0" t="inlineStr">
        <is>
          <t>Clinic</t>
        </is>
      </c>
      <c r="N33" s="0" t="inlineStr">
        <is>
          <t>Osteoporosis First-line: Alendronate / Risedronate (Oral Bisphosphonates) ลด Fracture ได้ดีที่สุด</t>
        </is>
      </c>
      <c r="O33" s="0" t="inlineStr">
        <is>
          <t>ข้อสอบจริง</t>
        </is>
      </c>
      <c r="P33" s="0" t="inlineStr">
        <is>
          <t>2564</t>
        </is>
      </c>
    </row>
    <row r="34">
      <c r="A34" s="0" t="n">
        <v>32</v>
      </c>
      <c r="B34" s="0"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0" t="inlineStr"/>
      <c r="D34" s="0" t="inlineStr">
        <is>
          <t>อายุของผู้ป่วย</t>
        </is>
      </c>
      <c r="E34" s="0" t="inlineStr">
        <is>
          <t>ราคาค่ายา</t>
        </is>
      </c>
      <c r="F34" s="0" t="inlineStr">
        <is>
          <t>น้ำหนักตัวของผู้ป่วย</t>
        </is>
      </c>
      <c r="G34" s="0" t="inlineStr">
        <is>
          <t>ประวัติการแพ้ยาของผู้ป่วย</t>
        </is>
      </c>
      <c r="H34" s="0" t="inlineStr">
        <is>
          <t>โรคร่วมและการใช้ยาอื่นร่วมของผู้ป่วย</t>
        </is>
      </c>
      <c r="I34" s="0" t="n">
        <v>3</v>
      </c>
      <c r="J34" s="0"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0" t="inlineStr"/>
      <c r="L34" s="0" t="inlineStr">
        <is>
          <t>Osteoarthritis</t>
        </is>
      </c>
      <c r="M34" s="0" t="inlineStr">
        <is>
          <t>Clinic</t>
        </is>
      </c>
      <c r="N34" s="0" t="inlineStr">
        <is>
          <t>NSAIDs Safety: ปัจจัยเสี่ยงแผลทางเดินอาหาร ได้แก่ ผู้สูงอายุ, ประวัติ GI bleed, ยาต้านเกล็ดเลือด</t>
        </is>
      </c>
      <c r="O34" s="0" t="inlineStr">
        <is>
          <t>ข้อสอบจริง</t>
        </is>
      </c>
      <c r="P34" s="0" t="inlineStr">
        <is>
          <t>2563</t>
        </is>
      </c>
    </row>
    <row r="35">
      <c r="A35" s="0" t="n">
        <v>33</v>
      </c>
      <c r="B35" s="0"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 ผลค่าการทำงานของไต: eGFR &lt; 40 mL/min/1.73 m² ประวัติโรคประจำตัว: โรคเกาต์ (Gout) และโรคความดันโลหิตสูง (Hypertension) รายการยาเดิมที่ใช้อยู่: Enalapril 20 mg วันละ 1 เม็ด หลังอาหารเช้า และ Allopurinol 200 mg วันละ 1 เม็ด หลังอาหารเช้า</t>
        </is>
      </c>
      <c r="C35" s="0" t="inlineStr"/>
      <c r="D35" s="0" t="inlineStr">
        <is>
          <t>หลีกเลี่ยงการจ่ายยา NSAIDs ทุกชนิดเนื่องจากผู้ป่วยทาน Aspirin และเคยเกิดเลือดออกในทางเดินอาหาร</t>
        </is>
      </c>
      <c r="E35" s="0" t="inlineStr">
        <is>
          <t>จ่ายยา Acetaminophen (Paracetamol) เป็นตัวเลือกอันดับแรกในการบรรเทาปวดแทนยาอื่น</t>
        </is>
      </c>
      <c r="F35" s="0" t="inlineStr">
        <is>
          <t>สั่งจ่ายยากลุ่ม NSAIDs ร่วมกัน 2 ตัวเพื่อบรรเทาอาการปวดที่รุนแรง</t>
        </is>
      </c>
      <c r="G35" s="0" t="inlineStr">
        <is>
          <t>เลือกใช้ยากลุ่ม Selective COX-2 inhibitor เพียงอย่างเดียวโดยไม่ต้องใช้ยาอื่น</t>
        </is>
      </c>
      <c r="H35" s="0" t="inlineStr">
        <is>
          <t>จ่ายยากลุ่ม NSAIDs ร่วมกับ Proton Pump Inhibitor (PPI เช่น Omeprazole) ทุกครั้งเพื่อความปลอดภัยต่อทางเดินอาหาร</t>
        </is>
      </c>
      <c r="I35" s="0" t="n">
        <v>5</v>
      </c>
      <c r="J35" s="0" t="inlineStr">
        <is>
          <t>✅ คำตอบที่ถูกต้อง: ข้อ จ. จ่ายยากลุ่ม NSAIDs ร่วมกับ Proton Pump Inhibitor (PPI เช่น Omeprazole) ทุกครั้งเพื่อความปลอดภัยต่อทางเดินอาหาร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จ่ายยากลุ่ม NSAIDs ร่วมกับ Proton Pump Inhibitor (PPI เช่น Omeprazole) ทุกครั้งเพื่อความปลอดภัยต่อทางเดินอาหาร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ผู้ป่วยรายนี้มีปัจจัยเสี่ยงสูงมากต่อการเกิดเลือดออกในทางเดินอาหาร (High GI risk) จากอายุ 75 ปี, ประวัติเคยมี GI bleeding และทาน Aspirin ร่วมด้วย หากมีความจำเป็นต้องใช้ยาต้านการอักเสบกลุ่ม NSAIDs เพื่อควบคุมอาการปวดที่รุนแรง (Pain score = 7) เภสัชกรต้องแนะนำให้แพทย์จ่ายยาลดอักเสบกลุ่มที่เหมาะสม ร่วมกับยาเคลือบหรือป้องกันแผลทางเดินอาหารกลุ่ม Proton Pump Inhibitors (เช่น Omeprazole) เสมอเพื่อ safety
🔍 ข้ออื่นผิดเพราะอะไร:
• ข้อ ก. (หลีกเลี่ยงการจ่ายยา NSAIDs ทุกชนิดเนื่องจากผู้ป่วยทาน Aspirin และเคยเกิดเลือดออกในทางเดินอาหาร): ผู้ป่วยมีอาการปวดเกาต์รุนแรง การหลีกเลี่ยง NSAIDs อย่างสิ้นเชิงอาจทำให้คุมอาการไม่ได้ การใช้ร่วมกับ PPI เป็นทางเลือกที่ปลอดภัยกว่า
• ข้อ ข. (จ่ายยา Acetaminophen (Paracetamol) เป็นตัวเลือกอันดับแรกในการบรรเทาปวดแทนยาอื่น): Paracetamol มีเพียงฤทธิ์ระงับปวดและลดไข้ แต่ไม่มีฤทธิ์ต้านการอักเสบ จึงไม่มีประสิทธิภาพเพียงพอในการรักษาข้ออักเสบเกาต์เฉียบพลัน
• ข้อ ค. (สั่งจ่ายยากลุ่ม NSAIDs ร่วมกัน 2 ตัวเพื่อบรรเทาอาการปวดที่รุนแรง): การใช้ NSAIDs ร่วมกัน 2 ชนิดไม่ช่วยเพิ่มประสิทธิภาพในการระงับปวด แต่จะเพิ่มความเสี่ยงต่อการเกิดพิษทางไตและแผลในทางเดินอาหารอย่างทวีคูณ
• ข้อ ง. (เลือกใช้ยากลุ่ม Selective COX-2 inhibitor เพียงอย่างเดียวโดยไม่ต้องใช้ยาอื่น): แม้ Selective COX-2 inhibitor จะลดความเสี่ยงต่อกระเพาะอาหาร แต่ในผู้ป่วยที่ใช้ Aspirin ร่วมด้วย ยาจะไม่สามารถลดความเสี่ยงได้ดีเท่าการใช้ร่วมกับ PPI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35" s="0" t="inlineStr"/>
      <c r="L35" s="0" t="inlineStr">
        <is>
          <t>Gout</t>
        </is>
      </c>
      <c r="M35" s="0" t="inlineStr">
        <is>
          <t>Clinic</t>
        </is>
      </c>
      <c r="N35" s="0" t="inlineStr">
        <is>
          <t>NSAIDs GI Protection: ใช้ Celecoxib ร่วมกับ PPIs ในผู้ป่วย High GI risk และ low CV risk</t>
        </is>
      </c>
      <c r="O35" s="0" t="inlineStr">
        <is>
          <t>ข้อสอบจริง</t>
        </is>
      </c>
      <c r="P35" s="0" t="inlineStr">
        <is>
          <t>2563</t>
        </is>
      </c>
    </row>
    <row r="36">
      <c r="A36" s="0" t="n">
        <v>34</v>
      </c>
      <c r="B36" s="0" t="inlineStr">
        <is>
          <t>จากการที่ผู้ป่วยรับประทานยา Allopurinol ยาจะถูกสลายสภาพโดยเอนไซม์ Xanthine oxidase ได้สารเมตาโบไลต์ชนิดใดในปัสสาวะ</t>
        </is>
      </c>
      <c r="C36" s="0" t="inlineStr"/>
      <c r="D36" s="0" t="inlineStr">
        <is>
          <t>Hypoxanthine</t>
        </is>
      </c>
      <c r="E36" s="0" t="inlineStr">
        <is>
          <t>Inosine diphosphate</t>
        </is>
      </c>
      <c r="F36" s="0" t="inlineStr">
        <is>
          <t>Oxypurinol (หรือ Alloxanthine)</t>
        </is>
      </c>
      <c r="G36" s="0" t="inlineStr">
        <is>
          <t>Methyl 3-(3,5-di-tert-butyl-4-hydroxyphenyl)propionate</t>
        </is>
      </c>
      <c r="H36" s="0" t="inlineStr">
        <is>
          <t>L-adenine</t>
        </is>
      </c>
      <c r="I36" s="0" t="n">
        <v>3</v>
      </c>
      <c r="J36" s="0"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0" t="inlineStr"/>
      <c r="L36" s="0" t="inlineStr">
        <is>
          <t>Gout</t>
        </is>
      </c>
      <c r="M36" s="0" t="inlineStr">
        <is>
          <t>Clinic</t>
        </is>
      </c>
      <c r="N36" s="0" t="inlineStr">
        <is>
          <t>Allopurinol Metabolism: เปลี่ยนเป็นสารออกฤทธิ์ Oxypurinol ขับออกทางไตเป็นหลัก ต้องปรับตาม CrCl</t>
        </is>
      </c>
      <c r="O36" s="0" t="inlineStr">
        <is>
          <t>ข้อสอบจริง</t>
        </is>
      </c>
      <c r="P36" s="0" t="inlineStr">
        <is>
          <t>2563</t>
        </is>
      </c>
    </row>
    <row r="37">
      <c r="A37" s="0" t="n">
        <v>35</v>
      </c>
      <c r="B37" s="0"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0" t="inlineStr"/>
      <c r="D37" s="0" t="inlineStr">
        <is>
          <t>12 ชั่วโมง</t>
        </is>
      </c>
      <c r="E37" s="0" t="inlineStr">
        <is>
          <t>24 ชั่วโมง</t>
        </is>
      </c>
      <c r="F37" s="0" t="inlineStr">
        <is>
          <t>36 ชั่วโมง</t>
        </is>
      </c>
      <c r="G37" s="0" t="inlineStr">
        <is>
          <t>48 ชั่วโมง</t>
        </is>
      </c>
      <c r="H37" s="0" t="inlineStr">
        <is>
          <t>60 ชั่วโมง</t>
        </is>
      </c>
      <c r="I37" s="0" t="n">
        <v>3</v>
      </c>
      <c r="J37" s="0"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0" t="inlineStr"/>
      <c r="L37" s="0" t="inlineStr">
        <is>
          <t>Gout</t>
        </is>
      </c>
      <c r="M37" s="0" t="inlineStr">
        <is>
          <t>Clinic</t>
        </is>
      </c>
      <c r="N37" s="0" t="inlineStr">
        <is>
          <t>Colchicine Flare Duration: ควรเริ่มยาภายใน 24-36 ชั่วโมงหลังมีอาการ และให้ต่อเนื่องจนอาการสงบ</t>
        </is>
      </c>
      <c r="O37" s="0" t="inlineStr">
        <is>
          <t>ข้อสอบจริง</t>
        </is>
      </c>
      <c r="P37" s="0" t="inlineStr">
        <is>
          <t>2563</t>
        </is>
      </c>
    </row>
    <row r="38">
      <c r="A38" s="0" t="n">
        <v>36</v>
      </c>
      <c r="B38" s="0"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0" t="inlineStr"/>
      <c r="D38" s="0" t="inlineStr">
        <is>
          <t>น้อยกว่า 5 mg/dL</t>
        </is>
      </c>
      <c r="E38" s="0" t="inlineStr">
        <is>
          <t>น้อยกว่า 6 mg/dL</t>
        </is>
      </c>
      <c r="F38" s="0" t="inlineStr">
        <is>
          <t>น้อยกว่า 7 mg/dL</t>
        </is>
      </c>
      <c r="G38" s="0" t="inlineStr">
        <is>
          <t>น้อยกว่า 8 mg/dL</t>
        </is>
      </c>
      <c r="H38" s="0" t="inlineStr">
        <is>
          <t>น้อยกว่า 9 mg/dL</t>
        </is>
      </c>
      <c r="I38" s="0" t="n">
        <v>2</v>
      </c>
      <c r="J38" s="0"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ตามมาตรฐาน
🔍 ข้ออื่นผิดเพราะอะไร:
• ข้อ ก. (น้อยกว่า 5 mg/dL): ระดับที่น้อยกว่า 5 mg/dL เป็นเป้าหมายที่เข้มงวดเกินไปสำหรับผู้ป่วยที่ไม่มีก้อนโทฟัส และอาจเพิ่มความเสี่ยงต่อผลข้างเคียงจากการใช้ยาลดกรดยูริกขนาดสูง
• ข้อ ค. (น้อยกว่า 7 mg/dL): ระดับ 7 mg/dL สูงกว่าจุดอิ่มตัวของผลึกยูเรตในเลือด ทำให้ผลึกไม่สามารถละลายกลับเข้าสู่กระแสเลือดได้ และเสี่ยงต่อการกำเริบของโรค
• ข้อ ง. (น้อยกว่า 8 mg/dL): ระดับที่น้อยกว่า 8 mg/dL ไม่เพียงพอในการรักษาโรคเกาต์ เนื่องจากระดับกรดยูริกยังคงอยู่ในสภาวะอิ่มตัวยวดยิ่ง
• ข้อ จ. (น้อยกว่า 9 mg/dL): ระดับที่น้อยกว่า 9 mg/dL เป็นระดับที่บ่งชี้ถึงภาวะกรดยูริกในเลือดสูง ซึ่งจะทำให้โรคกำเริบและเกิดข้อทำลายในระยะยาว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8" s="0" t="inlineStr"/>
      <c r="L38" s="0" t="inlineStr">
        <is>
          <t>Gout</t>
        </is>
      </c>
      <c r="M38" s="0" t="inlineStr">
        <is>
          <t>Clinic</t>
        </is>
      </c>
      <c r="N38" s="0" t="inlineStr">
        <is>
          <t>Gout SUA Target: เป้าหมายกรดยูริกในเลือด &lt; 6.0 mg/dL (&lt; 5.0 mg/dL หากมี Tophi)</t>
        </is>
      </c>
      <c r="O38" s="0" t="inlineStr">
        <is>
          <t>ข้อสอบจริง</t>
        </is>
      </c>
      <c r="P38" s="0" t="inlineStr">
        <is>
          <t>2563</t>
        </is>
      </c>
    </row>
    <row r="39">
      <c r="A39" s="0" t="n">
        <v>37</v>
      </c>
      <c r="B39" s="0"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0" t="inlineStr"/>
      <c r="D39" s="0" t="inlineStr">
        <is>
          <t>Hyperuricemia</t>
        </is>
      </c>
      <c r="E39" s="0" t="inlineStr">
        <is>
          <t>Genital tract infection</t>
        </is>
      </c>
      <c r="F39" s="0" t="inlineStr">
        <is>
          <t>Angioedema</t>
        </is>
      </c>
      <c r="G39" s="0" t="inlineStr">
        <is>
          <t>Acute renal failure (ไตวายเฉียบพลัน)</t>
        </is>
      </c>
      <c r="H39" s="0" t="inlineStr">
        <is>
          <t>Constipation</t>
        </is>
      </c>
      <c r="I39" s="0" t="n">
        <v>4</v>
      </c>
      <c r="J39" s="0"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0" t="inlineStr"/>
      <c r="L39" s="0" t="inlineStr">
        <is>
          <t>Gout</t>
        </is>
      </c>
      <c r="M39" s="0" t="inlineStr">
        <is>
          <t>Clinic</t>
        </is>
      </c>
      <c r="N39" s="0" t="inlineStr">
        <is>
          <t>NSAIDs AKI: ยับยั้ง Renal PGE2/PGI2 ทำให้เกิด Afferent arteriole vasoconstriction</t>
        </is>
      </c>
      <c r="O39" s="0" t="inlineStr">
        <is>
          <t>ข้อสอบจริง</t>
        </is>
      </c>
      <c r="P39" s="0" t="inlineStr">
        <is>
          <t>2563</t>
        </is>
      </c>
    </row>
    <row r="40">
      <c r="A40" s="0" t="n">
        <v>38</v>
      </c>
      <c r="B40" s="0"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0" t="inlineStr"/>
      <c r="D40" s="0" t="inlineStr">
        <is>
          <t>Acute renal injury (Acute kidney injury: AKI)</t>
        </is>
      </c>
      <c r="E40" s="0" t="inlineStr">
        <is>
          <t>Renal stone (นิ่วในไต)</t>
        </is>
      </c>
      <c r="F40" s="0" t="inlineStr">
        <is>
          <t>Hemorrhagic cystitis (กระเพาะปัสสาวะอักเสบมีเลือดออก)</t>
        </is>
      </c>
      <c r="G40" s="0" t="inlineStr">
        <is>
          <t>Pyelonephritis (กรวยไตอักเสบ)</t>
        </is>
      </c>
      <c r="H40" s="0" t="inlineStr">
        <is>
          <t>Chronic kidney disease (โรคไตเรื้อรังระยะลุกลาม)</t>
        </is>
      </c>
      <c r="I40" s="0" t="n">
        <v>1</v>
      </c>
      <c r="J40" s="0"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0" t="inlineStr"/>
      <c r="L40" s="0" t="inlineStr">
        <is>
          <t>Gout</t>
        </is>
      </c>
      <c r="M40" s="0" t="inlineStr">
        <is>
          <t>Clinic</t>
        </is>
      </c>
      <c r="N40" s="0" t="inlineStr">
        <is>
          <t>NSAIDs Nephrotoxicity: เสี่ยงต่อ Hemodynamic acute kidney injury โดยเฉพาะเมื่อใช้ร่วมกับ ACEI/Diuretics</t>
        </is>
      </c>
      <c r="O40" s="0" t="inlineStr">
        <is>
          <t>ข้อสอบจริง</t>
        </is>
      </c>
      <c r="P40" s="0" t="inlineStr">
        <is>
          <t>2563</t>
        </is>
      </c>
    </row>
    <row r="41">
      <c r="A41" s="0" t="n">
        <v>39</v>
      </c>
      <c r="B41" s="0"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0" t="inlineStr"/>
      <c r="D41" s="0" t="inlineStr">
        <is>
          <t>Bisoprolol</t>
        </is>
      </c>
      <c r="E41" s="0" t="inlineStr">
        <is>
          <t>Metoprolol</t>
        </is>
      </c>
      <c r="F41" s="0" t="inlineStr">
        <is>
          <t>Amlodipine</t>
        </is>
      </c>
      <c r="G41" s="0" t="inlineStr">
        <is>
          <t>Manidipine</t>
        </is>
      </c>
      <c r="H41" s="0" t="inlineStr">
        <is>
          <t>Hydrochlorothiazide (HCTZ)</t>
        </is>
      </c>
      <c r="I41" s="0" t="n">
        <v>5</v>
      </c>
      <c r="J41" s="0"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0" t="inlineStr"/>
      <c r="L41" s="0" t="inlineStr">
        <is>
          <t>Gout</t>
        </is>
      </c>
      <c r="M41" s="0" t="inlineStr">
        <is>
          <t>Clinic</t>
        </is>
      </c>
      <c r="N41" s="0" t="inlineStr">
        <is>
          <t>Gout Drug Caution: HCTZ และ Thiazide diuretics แย่งขับกรดยูริกที่ท่อไต ทำให้กรดยูริกสูงขึ้น</t>
        </is>
      </c>
      <c r="O41" s="0" t="inlineStr">
        <is>
          <t>ข้อสอบจริง</t>
        </is>
      </c>
      <c r="P41" s="0" t="inlineStr">
        <is>
          <t>2563</t>
        </is>
      </c>
    </row>
    <row r="42">
      <c r="A42" s="0" t="n">
        <v>40</v>
      </c>
      <c r="B42" s="0"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 ผู้ป่วยชายไทย อายุ 60 ปี น้ำหนัก 90 กิโลกรัม มีอาการปวดข้อเข่าซ้ายเรื้อรังมานานประมาณ 6 เดือน ตรวจเข่าพบเสียงกรอบแกรบ (Crepitus) เวลาเคลื่อนไหว และหลังตื่นนอนตอนเช้ามีอาการข้อติดบริเวณข้อเข่าขวา (Morning stiffness) นานประมาณ 20 นาที ในช่วงเดือนที่ผ่านมาผู้ป่วยมีอาการปวดข้อเข่ามากขึ้น โดยมีอาการปวดเมื่ออยู่นิ่ง ๆ และดีขึ้นเมื่อเดินขยับตัวไปมา ตรวจผิวข้อไม่พบความร้อนหรืออาการแดงร้อน ไม่มีตุ่มนูนตามผิวหนัง ผู้ป่วยมีโรคประจำตัวคือโรคไตเรื้อรังระยะสุดท้าย (Chronic Kidney Disease) ที่ต้องได้รับการฟอกไต ปัจจุบันกินพาราเซตามอลเพื่อควบคุมอาการปวดแต่คุมไม่ได้ แพทย์สั่งจ่ายยา Celecoxib 1 x 1 pc, Diacerein 1 x 2 pc, Tramadol prn, Paracetamol prn, Diclofenac emulgel ทาเฉพาะที่ 1-2 ครั้ง เช้า-เย็น</t>
        </is>
      </c>
      <c r="C42" s="0" t="inlineStr"/>
      <c r="D42" s="0" t="inlineStr">
        <is>
          <t>Azathioprine</t>
        </is>
      </c>
      <c r="E42" s="0" t="inlineStr">
        <is>
          <t>Benzbromarone</t>
        </is>
      </c>
      <c r="F42" s="0" t="inlineStr">
        <is>
          <t>Cyclosporin</t>
        </is>
      </c>
      <c r="G42" s="0" t="inlineStr">
        <is>
          <t>Febuxostat</t>
        </is>
      </c>
      <c r="H42" s="0" t="inlineStr">
        <is>
          <t>Leflunomide</t>
        </is>
      </c>
      <c r="I42" s="0" t="n">
        <v>2</v>
      </c>
      <c r="J42" s="0"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0" t="inlineStr"/>
      <c r="L42" s="0" t="inlineStr">
        <is>
          <t>Gout</t>
        </is>
      </c>
      <c r="M42" s="0" t="inlineStr">
        <is>
          <t>Clinic</t>
        </is>
      </c>
      <c r="N42" s="0" t="inlineStr">
        <is>
          <t>Gout Add-on ULT: หากใช้ Allopurinol เต็มขนาดแล้วยังไม่ถึงเป้า แนะนำ Add-on Uricosuric (Benzbromarone)</t>
        </is>
      </c>
      <c r="O42" s="0" t="inlineStr">
        <is>
          <t>ข้อสอบจริง</t>
        </is>
      </c>
      <c r="P42" s="0" t="inlineStr">
        <is>
          <t>2563</t>
        </is>
      </c>
    </row>
    <row r="43">
      <c r="A43" s="0" t="n">
        <v>41</v>
      </c>
      <c r="B43" s="0" t="inlineStr">
        <is>
          <t>จากกรณีศึกษาข้างต้น ผู้ป่วยรายนี้คาดว่าเป็นอาการแสดงของโรคในข้อใดมากที่สุด</t>
        </is>
      </c>
      <c r="C43" s="0" t="inlineStr"/>
      <c r="D43" s="0" t="inlineStr">
        <is>
          <t>Osteoarthritis</t>
        </is>
      </c>
      <c r="E43" s="0" t="inlineStr">
        <is>
          <t>Osteoporosis</t>
        </is>
      </c>
      <c r="F43" s="0" t="inlineStr">
        <is>
          <t>Osteomalacia</t>
        </is>
      </c>
      <c r="G43" s="0" t="inlineStr">
        <is>
          <t>Rheumatoid Arthritis</t>
        </is>
      </c>
      <c r="H43" s="0" t="inlineStr">
        <is>
          <t>Ligament injury</t>
        </is>
      </c>
      <c r="I43" s="0" t="n">
        <v>1</v>
      </c>
      <c r="J43" s="0"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0" t="inlineStr"/>
      <c r="L43" s="0" t="inlineStr">
        <is>
          <t>Osteoarthritis</t>
        </is>
      </c>
      <c r="M43" s="0" t="inlineStr">
        <is>
          <t>Clinic</t>
        </is>
      </c>
      <c r="N43" s="0" t="inlineStr">
        <is>
          <t>OA Diagnosis: ปวดเข่า, ขยับมีเสียง Crepitus, ข้อติดตอนเช้า &lt; 30 นาที, ไม่มีอาการอักเสบร้อนแดง</t>
        </is>
      </c>
      <c r="O43" s="0" t="inlineStr">
        <is>
          <t>ข้อสอบจริง</t>
        </is>
      </c>
      <c r="P43" s="0" t="inlineStr">
        <is>
          <t>2562</t>
        </is>
      </c>
    </row>
    <row r="44">
      <c r="A44" s="0" t="n">
        <v>42</v>
      </c>
      <c r="B44" s="0"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0" t="inlineStr"/>
      <c r="D44" s="0" t="inlineStr">
        <is>
          <t>Celecoxib</t>
        </is>
      </c>
      <c r="E44" s="0" t="inlineStr">
        <is>
          <t>Diacerein</t>
        </is>
      </c>
      <c r="F44" s="0" t="inlineStr">
        <is>
          <t>Tramadol</t>
        </is>
      </c>
      <c r="G44" s="0" t="inlineStr">
        <is>
          <t>Paracetamol</t>
        </is>
      </c>
      <c r="H44" s="0" t="inlineStr">
        <is>
          <t>Diclofenac emulgel</t>
        </is>
      </c>
      <c r="I44" s="0" t="n">
        <v>1</v>
      </c>
      <c r="J44" s="0"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0" t="inlineStr"/>
      <c r="L44" s="0" t="inlineStr">
        <is>
          <t>Osteoarthritis</t>
        </is>
      </c>
      <c r="M44" s="0" t="inlineStr">
        <is>
          <t>Clinic</t>
        </is>
      </c>
      <c r="N44" s="0" t="inlineStr">
        <is>
          <t>OA CKD Caution: ห้ามใช้ Oral NSAIDs ในผู้ป่วย ESRD หรือ Severe CKD (eGFR &lt; 30 mL/min)</t>
        </is>
      </c>
      <c r="O44" s="0" t="inlineStr">
        <is>
          <t>ข้อสอบจริง</t>
        </is>
      </c>
      <c r="P44" s="0" t="inlineStr">
        <is>
          <t>2562</t>
        </is>
      </c>
    </row>
    <row r="45">
      <c r="A45" s="0" t="n">
        <v>43</v>
      </c>
      <c r="B45" s="0" t="inlineStr">
        <is>
          <t>ข้อใดต่อไปนี้เป็นแนวทางการปฏิบัติตัวและดูแลรักษาที่ ไม่แนะนำ สำหรับผู้ป่วยรายนี้ ผู้ป่วยหญิงไทย อายุ 69 ปี น้ำหนัก 72 กิโลกรัม ส่วนสูง 150 เซนติเมตร มาโรงพยาบาลเนื่องจากประสบอุบัติเหตุหกล้มในบ้านและมีกระดูกต้นขาหัก (Fracture of femur) ไม่มีโรคประจำตัว แพทย์วินิจฉัยมวลกระดูกพบภาวะกระดูกพรุนรุนแรง (T-score ของความหนาแน่นมวลกระดูกสะโพกมีค่าน้อยกว่าหรือเท่ากับ -2.5)</t>
        </is>
      </c>
      <c r="C45" s="0" t="inlineStr"/>
      <c r="D45" s="0" t="inlineStr">
        <is>
          <t>ลดน้ำหนักตัวเพื่อลดแรงกดทับข้อเข่า</t>
        </is>
      </c>
      <c r="E45" s="0" t="inlineStr">
        <is>
          <t>ออกกำลังกายเบา ๆ ที่ไม่มีแรงกระแทก</t>
        </is>
      </c>
      <c r="F45" s="0" t="inlineStr">
        <is>
          <t>บริหารกล้ามเนื้อรอบบริเวณหัวเข่า</t>
        </is>
      </c>
      <c r="G45" s="0" t="inlineStr">
        <is>
          <t>รับประทาน Glucosamine sulfate เพื่อป้องกันและรักษาอาการ</t>
        </is>
      </c>
      <c r="H45" s="0" t="inlineStr">
        <is>
          <t>สวมรองเท้าส้นเตี้ยที่มีส้นหนานุ่มรับแรงกระแทก</t>
        </is>
      </c>
      <c r="I45" s="0" t="n">
        <v>4</v>
      </c>
      <c r="J45" s="0"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0" t="inlineStr"/>
      <c r="L45" s="0" t="inlineStr">
        <is>
          <t>Osteoarthritis</t>
        </is>
      </c>
      <c r="M45" s="0" t="inlineStr">
        <is>
          <t>Clinic</t>
        </is>
      </c>
      <c r="N45" s="0" t="inlineStr">
        <is>
          <t>OA Management: ลดน้ำหนัก, กายภาพบำบัดเพิ่มความแข็งแรงของกล้ามเนื้อรอบข้อเข่า Quadriceps</t>
        </is>
      </c>
      <c r="O45" s="0" t="inlineStr">
        <is>
          <t>ข้อสอบจริง</t>
        </is>
      </c>
      <c r="P45" s="0" t="inlineStr">
        <is>
          <t>2562</t>
        </is>
      </c>
    </row>
    <row r="46">
      <c r="A46" s="0" t="n">
        <v>44</v>
      </c>
      <c r="B46" s="0" t="inlineStr">
        <is>
          <t>ยาต้านการสลายกระดูกในข้อใดจัดเป็นยาทางเลือกแรกที่ควรเลือกใช้รักษาอาการกระดูกพรุนในผู้ป่วยรายนี้</t>
        </is>
      </c>
      <c r="C46" s="0" t="inlineStr"/>
      <c r="D46" s="0" t="inlineStr">
        <is>
          <t>Strontium ranelate</t>
        </is>
      </c>
      <c r="E46" s="0" t="inlineStr">
        <is>
          <t>Teriparatide</t>
        </is>
      </c>
      <c r="F46" s="0" t="inlineStr">
        <is>
          <t>Alendronate (หรือยากลุ่ม Bisphosphonates)</t>
        </is>
      </c>
      <c r="G46" s="0" t="inlineStr">
        <is>
          <t>Raloxifene</t>
        </is>
      </c>
      <c r="H46" s="0" t="inlineStr">
        <is>
          <t>Nasal salmon calcitonin</t>
        </is>
      </c>
      <c r="I46" s="0" t="n">
        <v>3</v>
      </c>
      <c r="J46" s="0"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0" t="inlineStr"/>
      <c r="L46" s="0" t="inlineStr">
        <is>
          <t>Osteoporosis</t>
        </is>
      </c>
      <c r="M46" s="0" t="inlineStr">
        <is>
          <t>Clinic</t>
        </is>
      </c>
      <c r="N46" s="0" t="inlineStr">
        <is>
          <t>Osteoporosis First-line: Alendronate เพิ่ม BMD และลดอุบัติการณ์กระดูกหักได้อย่างมีนัยสำคัญ</t>
        </is>
      </c>
      <c r="O46" s="0" t="inlineStr">
        <is>
          <t>ข้อสอบจริง</t>
        </is>
      </c>
      <c r="P46" s="0" t="inlineStr">
        <is>
          <t>2562</t>
        </is>
      </c>
    </row>
    <row r="47">
      <c r="A47" s="0" t="n">
        <v>45</v>
      </c>
      <c r="B47" s="0"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0" t="inlineStr"/>
      <c r="D47" s="0" t="inlineStr">
        <is>
          <t>Psychosis</t>
        </is>
      </c>
      <c r="E47" s="0" t="inlineStr">
        <is>
          <t>Osteonecrosis of the jaw (กระดูกขากรรไกรเน่าเสีย)</t>
        </is>
      </c>
      <c r="F47" s="0" t="inlineStr">
        <is>
          <t>Epistaxis</t>
        </is>
      </c>
      <c r="G47" s="0" t="inlineStr">
        <is>
          <t>Transient flu-like syndrome</t>
        </is>
      </c>
      <c r="H47" s="0" t="inlineStr">
        <is>
          <t>Cardiac rhythm interruption</t>
        </is>
      </c>
      <c r="I47" s="0" t="n">
        <v>2</v>
      </c>
      <c r="J47" s="0"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0" t="inlineStr"/>
      <c r="L47" s="0" t="inlineStr">
        <is>
          <t>Osteoporosis</t>
        </is>
      </c>
      <c r="M47" s="0" t="inlineStr">
        <is>
          <t>Clinic</t>
        </is>
      </c>
      <c r="N47" s="0" t="inlineStr">
        <is>
          <t>Bisphosphonates ADR: Osteonecrosis of the Jaw (ONJ) ต้องตรวจและทำหัตถการทันตกรรมก่อนเริ่มยา</t>
        </is>
      </c>
      <c r="O47" s="0" t="inlineStr">
        <is>
          <t>ข้อสอบจริง</t>
        </is>
      </c>
      <c r="P47" s="0" t="inlineStr">
        <is>
          <t>2562</t>
        </is>
      </c>
    </row>
    <row r="48">
      <c r="A48" s="0" t="n">
        <v>46</v>
      </c>
      <c r="B48" s="0" t="inlineStr">
        <is>
          <t>ข้อใดคือกลไกการออกฤทธิ์ทางเภสัชวิทยาในการต้านการอักเสบของยากลุ่ม Corticosteroids ในร่างกาย</t>
        </is>
      </c>
      <c r="C48" s="0" t="inlineStr"/>
      <c r="D48" s="0" t="inlineStr">
        <is>
          <t>รบกวนการจำลองตัวของดีเอ็นเอ (DNA synthesis)</t>
        </is>
      </c>
      <c r="E48" s="0" t="inlineStr">
        <is>
          <t>ยับยั้งการหลั่งสาร Cytokine IL-2</t>
        </is>
      </c>
      <c r="F48" s="0" t="inlineStr">
        <is>
          <t>ยับยั้งการสังเคราะห์และหลั่งสาร Melatonin</t>
        </is>
      </c>
      <c r="G48" s="0" t="inlineStr">
        <is>
          <t>ยับยั้งการสังเคราะห์สาร Ergosterol ที่ผนังเซลล์</t>
        </is>
      </c>
      <c r="H48" s="0" t="inlineStr">
        <is>
          <t>ยับยั้งการทำงานของเอนไซม์ Phospholipase A2</t>
        </is>
      </c>
      <c r="I48" s="0" t="n">
        <v>5</v>
      </c>
      <c r="J48" s="0"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0" t="inlineStr"/>
      <c r="L48" s="0" t="inlineStr">
        <is>
          <t>Osteoarthritis</t>
        </is>
      </c>
      <c r="M48" s="0" t="inlineStr">
        <is>
          <t>Clinic</t>
        </is>
      </c>
      <c r="N48" s="0" t="inlineStr">
        <is>
          <t>Steroids Mechanism: จับกับ Glucocorticoid receptor ยับยั้ง NF-kB และลดการสร้าง Pro-inflammatory cytokines</t>
        </is>
      </c>
      <c r="O48" s="0" t="inlineStr">
        <is>
          <t>ข้อสอบจริง</t>
        </is>
      </c>
      <c r="P48" s="0" t="inlineStr">
        <is>
          <t>2562</t>
        </is>
      </c>
    </row>
    <row r="49">
      <c r="A49" s="0" t="n">
        <v>47</v>
      </c>
      <c r="B49" s="0"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0" t="inlineStr"/>
      <c r="D49" s="0" t="inlineStr">
        <is>
          <t>มากกว่า 2.5</t>
        </is>
      </c>
      <c r="E49" s="0" t="inlineStr">
        <is>
          <t>ระหว่าง 1.0 ถึง 2.5</t>
        </is>
      </c>
      <c r="F49" s="0" t="inlineStr">
        <is>
          <t>ระหว่าง -1.0 ถึง 1.0</t>
        </is>
      </c>
      <c r="G49" s="0" t="inlineStr">
        <is>
          <t>ระหว่าง -2.5 ถึง -1.0</t>
        </is>
      </c>
      <c r="H49" s="0" t="inlineStr">
        <is>
          <t>น้อยกว่าหรือเท่ากับ -2.5</t>
        </is>
      </c>
      <c r="I49" s="0" t="n">
        <v>5</v>
      </c>
      <c r="J49" s="0" t="inlineStr">
        <is>
          <t>✅ คำตอบที่ถูกต้อง: ข้อ จ. น้อยกว่าหรือเท่ากับ -2.5
💡 Background:
โรคกระดูกพรุน (T-score ≤ -2.5) ทำให้กระดูกเปราะ เสี่ยงต่อ fragility fracture การรักษาเน้นยับยั้ง bone resorption ด้วย antiresorptive agents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0" t="inlineStr"/>
      <c r="L49" s="0" t="inlineStr">
        <is>
          <t>Osteoporosis</t>
        </is>
      </c>
      <c r="M49" s="0" t="inlineStr">
        <is>
          <t>Clinic</t>
        </is>
      </c>
      <c r="N49" s="0" t="inlineStr">
        <is>
          <t>BMD Criteria: WHO เกณฑ์ Osteoporosis คือ T-score ≤ -2.5 SD</t>
        </is>
      </c>
      <c r="O49" s="0" t="inlineStr">
        <is>
          <t>ข้อสอบจริง</t>
        </is>
      </c>
      <c r="P49" s="0" t="inlineStr">
        <is>
          <t>2562</t>
        </is>
      </c>
    </row>
    <row r="50">
      <c r="A50" s="0" t="n">
        <v>48</v>
      </c>
      <c r="B50" s="0" t="inlineStr">
        <is>
          <t>จากข้อมูลกรณีศึกษาข้างต้น ผู้ป่วยรายนี้ควรได้รับการวินิจฉัยว่าเป็นโรคในข้อใดต่อไปนี้</t>
        </is>
      </c>
      <c r="C50" s="0" t="inlineStr"/>
      <c r="D50" s="0" t="inlineStr">
        <is>
          <t>Osteoporosis</t>
        </is>
      </c>
      <c r="E50" s="0" t="inlineStr">
        <is>
          <t>Osteopenia</t>
        </is>
      </c>
      <c r="F50" s="0" t="inlineStr">
        <is>
          <t>Osteoarthritis</t>
        </is>
      </c>
      <c r="G50" s="0" t="inlineStr">
        <is>
          <t>Osteosarcoma</t>
        </is>
      </c>
      <c r="H50" s="0" t="inlineStr">
        <is>
          <t>Osteomyelitis</t>
        </is>
      </c>
      <c r="I50" s="0" t="n">
        <v>1</v>
      </c>
      <c r="J50" s="0" t="inlineStr">
        <is>
          <t>✅ คำตอบที่ถูกต้อง: ข้อ ก. Osteoporosis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0" t="inlineStr"/>
      <c r="L50" s="0" t="inlineStr">
        <is>
          <t>Osteoarthritis</t>
        </is>
      </c>
      <c r="M50" s="0" t="inlineStr">
        <is>
          <t>Clinic</t>
        </is>
      </c>
      <c r="N50" s="0" t="inlineStr">
        <is>
          <t>Osteoporosis Fragility Fracture: ผู้สูงอายุหกล้มกระดูกข้อมือหัก ร่วมกับ T-score ≤ -2.5 วินิจฉัย Osteoporosis</t>
        </is>
      </c>
      <c r="O50" s="0" t="inlineStr">
        <is>
          <t>ข้อสอบจริง</t>
        </is>
      </c>
      <c r="P50" s="0" t="inlineStr">
        <is>
          <t>2561</t>
        </is>
      </c>
    </row>
    <row r="51">
      <c r="A51" s="0" t="n">
        <v>49</v>
      </c>
      <c r="B51" s="0" t="inlineStr">
        <is>
          <t>ข้อใดต่อไปนี้จัดเป็นปัจจัยเสี่ยงของการเกิดโรคกระดูกพรุนของผู้ป่วยรายนี้</t>
        </is>
      </c>
      <c r="C51" s="0" t="inlineStr"/>
      <c r="D51" s="0" t="inlineStr">
        <is>
          <t>เพศหญิงและอายุที่มากขึ้น (วัยหมดประจำเดือน)</t>
        </is>
      </c>
      <c r="E51" s="0" t="inlineStr">
        <is>
          <t>การใช้ยากลุ่มขับปัสสาวะ Hydrochlorothiazide (HCTZ)</t>
        </is>
      </c>
      <c r="F51" s="0" t="inlineStr">
        <is>
          <t>การใช้ยากลุ่ม Calcium channel blockers (เช่น Nifedipine)</t>
        </is>
      </c>
      <c r="G51" s="0" t="inlineStr">
        <is>
          <t>การมีโรคประจำตัวเป็นความดันโลหิตสูง</t>
        </is>
      </c>
      <c r="H51" s="0" t="inlineStr">
        <is>
          <t>ประวัติครอบครัวที่คุณป้าเป็นโรคข้อเสื่อม</t>
        </is>
      </c>
      <c r="I51" s="0" t="n">
        <v>1</v>
      </c>
      <c r="J51" s="0" t="inlineStr">
        <is>
          <t>✅ คำตอบที่ถูกต้อง: ข้อ ก. เพศหญิงและอายุที่มากขึ้น (วัยหมดประจำเดือน)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0" t="inlineStr"/>
      <c r="L51" s="0" t="inlineStr">
        <is>
          <t>Osteoarthritis</t>
        </is>
      </c>
      <c r="M51" s="0" t="inlineStr">
        <is>
          <t>Clinic</t>
        </is>
      </c>
      <c r="N51" s="0" t="inlineStr">
        <is>
          <t>Osteoporosis Risk Factors: วัยหมดประจำเดือน ขาดฮอร์โมน Estrogen ทำให้ Osteoclast สลายกระดูกเด่น</t>
        </is>
      </c>
      <c r="O51" s="0" t="inlineStr">
        <is>
          <t>ข้อสอบจริง</t>
        </is>
      </c>
      <c r="P51" s="0" t="inlineStr">
        <is>
          <t>2561</t>
        </is>
      </c>
    </row>
    <row r="52">
      <c r="A52" s="0" t="n">
        <v>50</v>
      </c>
      <c r="B52" s="0"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0" t="inlineStr"/>
      <c r="D52" s="0" t="inlineStr">
        <is>
          <t>Cystitis</t>
        </is>
      </c>
      <c r="E52" s="0" t="inlineStr">
        <is>
          <t>Diabetes</t>
        </is>
      </c>
      <c r="F52" s="0" t="inlineStr">
        <is>
          <t>Psoriasis</t>
        </is>
      </c>
      <c r="G52" s="0" t="inlineStr">
        <is>
          <t>Epilepsy</t>
        </is>
      </c>
      <c r="H52" s="0" t="inlineStr">
        <is>
          <t>Peptic ulcer</t>
        </is>
      </c>
      <c r="I52" s="0" t="n">
        <v>5</v>
      </c>
      <c r="J52" s="0"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0" t="inlineStr"/>
      <c r="L52" s="0" t="inlineStr">
        <is>
          <t>Osteoarthritis</t>
        </is>
      </c>
      <c r="M52" s="0" t="inlineStr">
        <is>
          <t>Clinic</t>
        </is>
      </c>
      <c r="N52" s="0" t="inlineStr">
        <is>
          <t>Derris scandens Caution: เถาวัลย์เปรียงยับยั้ง COX มีฤทธิ์ระคายเคืองกระเพาะอาหาร ระวังใน Peptic ulcer</t>
        </is>
      </c>
      <c r="O52" s="0" t="inlineStr">
        <is>
          <t>ข้อสอบจริง</t>
        </is>
      </c>
      <c r="P52" s="0" t="inlineStr">
        <is>
          <t>2561</t>
        </is>
      </c>
    </row>
    <row r="53">
      <c r="A53" s="0" t="n">
        <v>51</v>
      </c>
      <c r="B53" s="0"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0" t="inlineStr"/>
      <c r="D53" s="0" t="inlineStr">
        <is>
          <t>Raloxifene</t>
        </is>
      </c>
      <c r="E53" s="0" t="inlineStr">
        <is>
          <t>Calcitonin</t>
        </is>
      </c>
      <c r="F53" s="0" t="inlineStr">
        <is>
          <t>Denosumab</t>
        </is>
      </c>
      <c r="G53" s="0" t="inlineStr">
        <is>
          <t>Teriparatide</t>
        </is>
      </c>
      <c r="H53" s="0" t="inlineStr">
        <is>
          <t>Alendronate</t>
        </is>
      </c>
      <c r="I53" s="0" t="n">
        <v>5</v>
      </c>
      <c r="J53" s="0" t="inlineStr">
        <is>
          <t>✅ คำตอบที่ถูกต้อง: ข้อ จ. Alendronate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0" t="inlineStr"/>
      <c r="L53" s="0" t="inlineStr">
        <is>
          <t>Osteoarthritis</t>
        </is>
      </c>
      <c r="M53" s="0" t="inlineStr">
        <is>
          <t>Clinic</t>
        </is>
      </c>
      <c r="N53" s="0" t="inlineStr">
        <is>
          <t>Osteoporosis Secondary Prevention: Alendronate เป็นยาทางเลือกแรกในการป้องกันกระดูกหักซ้ำ</t>
        </is>
      </c>
      <c r="O53" s="0" t="inlineStr">
        <is>
          <t>ข้อสอบจริง</t>
        </is>
      </c>
      <c r="P53" s="0" t="inlineStr">
        <is>
          <t>2561</t>
        </is>
      </c>
    </row>
    <row r="54">
      <c r="A54" s="0" t="n">
        <v>52</v>
      </c>
      <c r="B54" s="0"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0" t="inlineStr"/>
      <c r="D54" s="0" t="inlineStr">
        <is>
          <t>Hyponatremia</t>
        </is>
      </c>
      <c r="E54" s="0" t="inlineStr">
        <is>
          <t>Hypercalcemia</t>
        </is>
      </c>
      <c r="F54" s="0" t="inlineStr">
        <is>
          <t>Ketoacidosis</t>
        </is>
      </c>
      <c r="G54" s="0" t="inlineStr">
        <is>
          <t>Respiratory acidosis</t>
        </is>
      </c>
      <c r="H54" s="0" t="inlineStr">
        <is>
          <t>Osteonecrosis of the jaw (กระดูกขากรรไกรเน่าเสีย)</t>
        </is>
      </c>
      <c r="I54" s="0" t="n">
        <v>5</v>
      </c>
      <c r="J54" s="0" t="inlineStr">
        <is>
          <t>✅ คำตอบที่ถูกต้อง: ข้อ จ. Osteonecrosis of the jaw (กระดูกขากรรไกรเน่าเสีย)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0" t="inlineStr"/>
      <c r="L54" s="0" t="inlineStr">
        <is>
          <t>Osteoarthritis</t>
        </is>
      </c>
      <c r="M54" s="0" t="inlineStr">
        <is>
          <t>Clinic</t>
        </is>
      </c>
      <c r="N54" s="0" t="inlineStr">
        <is>
          <t>Bisphosphonates Rare ADR: ONJ และ Atypical femoral fracture (AFF) สัมพันธ์กับการใช้ยาระยะยาว</t>
        </is>
      </c>
      <c r="O54" s="0" t="inlineStr">
        <is>
          <t>ข้อสอบจริง</t>
        </is>
      </c>
      <c r="P54" s="0" t="inlineStr">
        <is>
          <t>2561</t>
        </is>
      </c>
    </row>
    <row r="55">
      <c r="A55" s="0" t="n">
        <v>53</v>
      </c>
      <c r="B55" s="0" t="inlineStr">
        <is>
          <t>จากกรณีศึกษา ยาตัวใดในรายการยาที่ผู้ป่วยได้รับที่มีความเป็นพิษต่อไตสูงสุดหากใช้อย่างต่อเนื่องเป็นเวลานาน</t>
        </is>
      </c>
      <c r="C55" s="0" t="inlineStr"/>
      <c r="D55" s="0" t="inlineStr">
        <is>
          <t>Risedronate</t>
        </is>
      </c>
      <c r="E55" s="0" t="inlineStr">
        <is>
          <t>Diclofenac</t>
        </is>
      </c>
      <c r="F55" s="0" t="inlineStr">
        <is>
          <t>Glucosamine</t>
        </is>
      </c>
      <c r="G55" s="0" t="inlineStr">
        <is>
          <t>Vitamin B complex</t>
        </is>
      </c>
      <c r="H55" s="0" t="inlineStr">
        <is>
          <t>Calcium carbonate</t>
        </is>
      </c>
      <c r="I55" s="0" t="n">
        <v>2</v>
      </c>
      <c r="J55" s="0"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0" t="inlineStr"/>
      <c r="L55" s="0" t="inlineStr">
        <is>
          <t>Osteoarthritis</t>
        </is>
      </c>
      <c r="M55" s="0" t="inlineStr">
        <is>
          <t>Clinic</t>
        </is>
      </c>
      <c r="N55" s="0" t="inlineStr">
        <is>
          <t>NSAIDs Renal Safety: ยับยั้ง Prostaglandins ลดเลือดไปเลี้ยงไต ส่งผลให้ Scr สูงขึ้นและเกิดไตวาย</t>
        </is>
      </c>
      <c r="O55" s="0" t="inlineStr">
        <is>
          <t>ข้อสอบจริง</t>
        </is>
      </c>
      <c r="P55" s="0" t="inlineStr">
        <is>
          <t>2559</t>
        </is>
      </c>
    </row>
    <row r="56">
      <c r="A56" s="0" t="n">
        <v>54</v>
      </c>
      <c r="B56" s="0" t="inlineStr">
        <is>
          <t>ข้อความใดต่อไปนี้อธิบายคำแนะนำในการรับประทานยา Risedronate ที่ ไม่ถูกต้อง</t>
        </is>
      </c>
      <c r="C56" s="0" t="inlineStr"/>
      <c r="D56" s="0" t="inlineStr">
        <is>
          <t>ควรรับประทานยาวันเดียวกันในแต่ละสัปดาห์</t>
        </is>
      </c>
      <c r="E56" s="0" t="inlineStr">
        <is>
          <t>ยาอาจทำให้เกิดการระคายเคืองและมีแผลที่หลอดอาหารได้</t>
        </is>
      </c>
      <c r="F56" s="0" t="inlineStr">
        <is>
          <t>หลังรับประทานยาแล้ว ต้องนั่งหรือยืนตัวตรงอย่างน้อย 30 นาที</t>
        </is>
      </c>
      <c r="G56" s="0" t="inlineStr">
        <is>
          <t>ควรรับประทานยาก่อนอาหารอย่างน้อย 1 ชั่วโมง</t>
        </is>
      </c>
      <c r="H56" s="0" t="inlineStr">
        <is>
          <t>ควรรับประทานยาร่วมกับนมหรือยาลดกรดเพื่อเพิ่มประสิทธิภาพการดูดซึมยา</t>
        </is>
      </c>
      <c r="I56" s="0" t="n">
        <v>5</v>
      </c>
      <c r="J56" s="0" t="inlineStr">
        <is>
          <t>✅ คำตอบที่ถูกต้อง: ข้อ จ. ควรรับประทานยาร่วมกับนมหรือยาลดกรดเพื่อเพิ่มประสิทธิภาพการดูดซึมยา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ควรรับประทานยาร่วมกับนมหรือยาลดกรดเพื่อเพิ่มประสิทธิภาพการดูดซึมยา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คำแนะนำที่ ไม่ถูกต้อง คือข้อ จ. เนื่องจากนม ผลิตภัณฑ์จากนม และยาลดกรดทั่วไปมีส่วนประกอบของไอออนโลหะประจุบวกที่มีวาเลนซีสองและสาม (เช่น $Ca^{2+}$, $Mg^{2+}$, $Al^{3+}$) ซึ่งจะจับสารประกอบเชิงซ้อนกับยา Risedronate ในระบบทางเดินอาหารและลดการดูดซึมของยากลุ่ม Bisphosphonates ลงเกือบทั้งหมด เภสัชกรต้องเน้นย้ำให้คนไข้ดื่มน้ำเปล่าสะอาดเท่านั้นในการกลืนยา
🔍 ข้ออื่นผิดเพราะอะไร:
• ข้อ ก. (ควรรับประทานยาวันเดียวกันในแต่ละสัปดาห์): เป็นคำแนะนำที่ถูกต้องเพื่อให้ระดับยาในเลือดคงที่และสร้างความสม่ำเสมอในการรับประทานยารูปแบบสัปดาห์ละครั้ง
• ข้อ ข. (ยาอาจทำให้เกิดการระคายเคืองและมีแผลที่หลอดอาหารได้): เป็นคำเตือนที่ถูกต้อง เนื่องจากยา Bisphosphonates มีฤทธิ์กัดกร่อนและสามารถเหนี่ยวนำให้เกิดหลอดอาหารอักเสบได้สูง
• ข้อ ค. (หลังรับประทานยาแล้ว ต้องนั่งหรือยืนตัวตรงอย่างน้อย 30 นาที): เป็นวิธีปฏิบัติที่ถูกต้องเพื่ออาศัยแรงโน้มถ่วงป้องกันไม่ให้ยาไหลย้อนกลับขึ้นไประคายเคืองหลอดอาหาร
• ข้อ ง. (ควรรับประทานยาก่อนอาหารอย่างน้อย 1 ชั่วโมง): เป็นคำแนะนำที่ถูกต้อง เนื่องจากยาถูกดูดซึมได้น้อยมาก อาหารจะไปรบกวนการดูดซึมยาในทางเดินอาหารอย่างรุนแรง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6" s="0" t="inlineStr"/>
      <c r="L56" s="0" t="inlineStr">
        <is>
          <t>Osteoarthritis</t>
        </is>
      </c>
      <c r="M56" s="0" t="inlineStr">
        <is>
          <t>Clinic</t>
        </is>
      </c>
      <c r="N56" s="0" t="inlineStr">
        <is>
          <t>Bisphosphonates Administration: ทานตอนเช้าก่อนอาหาร 30 นาที ดื่มน้ำเปล่าเต็มแก้ว และห้ามนอนราบ 30 นาที</t>
        </is>
      </c>
      <c r="O56" s="0" t="inlineStr">
        <is>
          <t>ข้อสอบจริง</t>
        </is>
      </c>
      <c r="P56" s="0" t="inlineStr">
        <is>
          <t>2559</t>
        </is>
      </c>
    </row>
    <row r="57">
      <c r="A57" s="0" t="n">
        <v>55</v>
      </c>
      <c r="B57" s="0"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0" t="inlineStr"/>
      <c r="D57" s="0" t="inlineStr">
        <is>
          <t>Risedronate</t>
        </is>
      </c>
      <c r="E57" s="0" t="inlineStr">
        <is>
          <t>Diclofenac</t>
        </is>
      </c>
      <c r="F57" s="0" t="inlineStr">
        <is>
          <t>Calcium carbonate</t>
        </is>
      </c>
      <c r="G57" s="0" t="inlineStr">
        <is>
          <t>Glucosamine</t>
        </is>
      </c>
      <c r="H57" s="0" t="inlineStr">
        <is>
          <t>พฤติกรรมการไม่ชอบออกกำลังกาย</t>
        </is>
      </c>
      <c r="I57" s="0" t="n">
        <v>2</v>
      </c>
      <c r="J57" s="0"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0" t="inlineStr"/>
      <c r="L57" s="0" t="inlineStr">
        <is>
          <t>Osteoarthritis</t>
        </is>
      </c>
      <c r="M57" s="0" t="inlineStr">
        <is>
          <t>Clinic</t>
        </is>
      </c>
      <c r="N57" s="0" t="inlineStr">
        <is>
          <t>NSAIDs Blood Pressure: NSAIDs ยับยั้ง Renal PG ทำให้เกิดการคั่งของโซเดียมและน้ำ ส่งผลให้ความดันโลหิตสูงขึ้น</t>
        </is>
      </c>
      <c r="O57" s="0" t="inlineStr">
        <is>
          <t>ข้อสอบจริง</t>
        </is>
      </c>
      <c r="P57" s="0" t="inlineStr">
        <is>
          <t>2559</t>
        </is>
      </c>
    </row>
    <row r="58">
      <c r="A58" s="0" t="n">
        <v>56</v>
      </c>
      <c r="B58" s="0"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0" t="inlineStr"/>
      <c r="D58" s="0" t="inlineStr">
        <is>
          <t>Ibuprofen</t>
        </is>
      </c>
      <c r="E58" s="0" t="inlineStr">
        <is>
          <t>Diclofenac</t>
        </is>
      </c>
      <c r="F58" s="0" t="inlineStr">
        <is>
          <t>Naproxen</t>
        </is>
      </c>
      <c r="G58" s="0" t="inlineStr">
        <is>
          <t>Celecoxib</t>
        </is>
      </c>
      <c r="H58" s="0" t="inlineStr">
        <is>
          <t>Piroxicam</t>
        </is>
      </c>
      <c r="I58" s="0" t="n">
        <v>3</v>
      </c>
      <c r="J58" s="0"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0" t="inlineStr"/>
      <c r="L58" s="0" t="inlineStr">
        <is>
          <t>Osteoarthritis</t>
        </is>
      </c>
      <c r="M58" s="0" t="inlineStr">
        <is>
          <t>Clinic</t>
        </is>
      </c>
      <c r="N58" s="0" t="inlineStr">
        <is>
          <t>ACR 2019 Knee OA: Strongly recommend Topical NSAIDs over oral NSAIDs; Exercise &amp; weight management are core non-pharmacologic interventions.</t>
        </is>
      </c>
      <c r="O58" s="0" t="inlineStr">
        <is>
          <t>ข้อสอบจริง</t>
        </is>
      </c>
      <c r="P58" s="0" t="inlineStr">
        <is>
          <t>2559</t>
        </is>
      </c>
    </row>
    <row r="59">
      <c r="A59" s="0" t="n">
        <v>57</v>
      </c>
      <c r="B59" s="0" t="inlineStr">
        <is>
          <t>ผู้ป่วยรายนี้ควรได้รับยาในข้อใดเป็นทางเลือกแรก (First-line) สำหรับการบรรเทาอาการปวดตามแนวทางเวชปฏิบัติ</t>
        </is>
      </c>
      <c r="C59" s="0" t="inlineStr"/>
      <c r="D59" s="0" t="inlineStr">
        <is>
          <t>Tramadol</t>
        </is>
      </c>
      <c r="E59" s="0" t="inlineStr">
        <is>
          <t>Piroxicam</t>
        </is>
      </c>
      <c r="F59" s="0" t="inlineStr">
        <is>
          <t>Colchicine</t>
        </is>
      </c>
      <c r="G59" s="0" t="inlineStr">
        <is>
          <t>Acetaminophen</t>
        </is>
      </c>
      <c r="H59" s="0" t="inlineStr">
        <is>
          <t>Orphenadrine + Paracetamol</t>
        </is>
      </c>
      <c r="I59" s="0" t="n">
        <v>4</v>
      </c>
      <c r="J59" s="0"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0" t="inlineStr"/>
      <c r="L59" s="0" t="inlineStr">
        <is>
          <t>Gout</t>
        </is>
      </c>
      <c r="M59" s="0" t="inlineStr">
        <is>
          <t>Clinic</t>
        </is>
      </c>
      <c r="N59" s="0" t="inlineStr">
        <is>
          <t>OA Treatment Hierarchy: Paracetamol หรือ Topical NSAIDs เป็นตัวเลือกลำดับแรกในข้อเข่าเสื่อม</t>
        </is>
      </c>
      <c r="O59" s="0" t="inlineStr">
        <is>
          <t>ข้อสอบจริง</t>
        </is>
      </c>
      <c r="P59" s="0" t="inlineStr">
        <is>
          <t>2559</t>
        </is>
      </c>
    </row>
    <row r="60">
      <c r="A60" s="0" t="n">
        <v>58</v>
      </c>
      <c r="B60" s="0" t="inlineStr">
        <is>
          <t>ยา Naproxen มีกลไกการออกฤทธิ์ทางเภสัชวิทยาต้านการอักเสบอย่างไร</t>
        </is>
      </c>
      <c r="C60" s="0" t="inlineStr"/>
      <c r="D60" s="0" t="inlineStr">
        <is>
          <t>ลดการสร้างสาร Leukotriene</t>
        </is>
      </c>
      <c r="E60" s="0" t="inlineStr">
        <is>
          <t>ลดการสร้างสาร Thromboxane A2</t>
        </is>
      </c>
      <c r="F60" s="0" t="inlineStr">
        <is>
          <t>ยับยั้งการทำงานของ Prostaglandin receptor</t>
        </is>
      </c>
      <c r="G60" s="0" t="inlineStr">
        <is>
          <t>ยับยั้งการทำงานของเอนไซม์ Lipo-oxygenase</t>
        </is>
      </c>
      <c r="H60" s="0" t="inlineStr">
        <is>
          <t>ยับยั้งการทำงานของเอนไซม์ Cyclo-oxygenase</t>
        </is>
      </c>
      <c r="I60" s="0" t="n">
        <v>5</v>
      </c>
      <c r="J60" s="0"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0" t="inlineStr"/>
      <c r="L60" s="0" t="inlineStr">
        <is>
          <t>Gout</t>
        </is>
      </c>
      <c r="M60" s="0" t="inlineStr">
        <is>
          <t>Clinic</t>
        </is>
      </c>
      <c r="N60" s="0" t="inlineStr">
        <is>
          <t>NSAIDs Mechanism: ยับยั้งเอนไซม์ Cyclooxygenase (COX) ลดการสร้าง Prostaglandins บรรเทาปวดอักเสบ</t>
        </is>
      </c>
      <c r="O60" s="0" t="inlineStr">
        <is>
          <t>ข้อสอบจริง</t>
        </is>
      </c>
      <c r="P60" s="0" t="inlineStr">
        <is>
          <t>2559</t>
        </is>
      </c>
    </row>
    <row r="61">
      <c r="A61" s="0" t="n">
        <v>59</v>
      </c>
      <c r="B61" s="0"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0" t="inlineStr"/>
      <c r="D61" s="0" t="inlineStr">
        <is>
          <t>เปลี่ยนเป็นยา Celecoxib</t>
        </is>
      </c>
      <c r="E61" s="0" t="inlineStr">
        <is>
          <t>เปลี่ยนเป็นยา Tramadol</t>
        </is>
      </c>
      <c r="F61" s="0" t="inlineStr">
        <is>
          <t>เปลี่ยนเป็นยา Methotrexate</t>
        </is>
      </c>
      <c r="G61" s="0" t="inlineStr">
        <is>
          <t>รับประทาน Naproxen 250 mg ร่วมกับ Antacid</t>
        </is>
      </c>
      <c r="H61" s="0" t="inlineStr">
        <is>
          <t>รับประทาน Naproxen 500 mg ร่วมกับ Omeprazole</t>
        </is>
      </c>
      <c r="I61" s="0" t="n">
        <v>5</v>
      </c>
      <c r="J61" s="0"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0" t="inlineStr"/>
      <c r="L61" s="0" t="inlineStr">
        <is>
          <t>Gout</t>
        </is>
      </c>
      <c r="M61" s="0" t="inlineStr">
        <is>
          <t>Clinic</t>
        </is>
      </c>
      <c r="N61" s="0" t="inlineStr">
        <is>
          <t>NSAIDs GI Prevention: ให้ PPI (เช่น Omeprazole) ร่วมกับ NSAID ช่วยป้องกันการเกิด Gastric &amp; Duodenal ulcers</t>
        </is>
      </c>
      <c r="O61" s="0" t="inlineStr">
        <is>
          <t>ข้อสอบจริง</t>
        </is>
      </c>
      <c r="P61" s="0" t="inlineStr">
        <is>
          <t>2559</t>
        </is>
      </c>
    </row>
    <row r="62">
      <c r="A62" s="0" t="n">
        <v>60</v>
      </c>
      <c r="B62" s="0"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0" t="inlineStr"/>
      <c r="D62" s="0" t="inlineStr">
        <is>
          <t>Renal toxicity</t>
        </is>
      </c>
      <c r="E62" s="0" t="inlineStr">
        <is>
          <t>Hepatotoxicity</t>
        </is>
      </c>
      <c r="F62" s="0" t="inlineStr">
        <is>
          <t>Retinal toxicity (พิษต่อจอประสาทตา)</t>
        </is>
      </c>
      <c r="G62" s="0" t="inlineStr">
        <is>
          <t>Hematologic toxicity</t>
        </is>
      </c>
      <c r="H62" s="0" t="inlineStr">
        <is>
          <t>Gastrointestinal toxicity</t>
        </is>
      </c>
      <c r="I62" s="0" t="n">
        <v>3</v>
      </c>
      <c r="J62" s="0"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0" t="inlineStr"/>
      <c r="L62" s="0" t="inlineStr">
        <is>
          <t>Gout</t>
        </is>
      </c>
      <c r="M62" s="0" t="inlineStr">
        <is>
          <t>Clinic</t>
        </is>
      </c>
      <c r="N62" s="0" t="inlineStr">
        <is>
          <t>Hydroxychloroquine Ocular Toxicity: ตกตะกอนที่ Retinal pigment epithelium ต้องตรวจลานสายตาและจอประสาทตาทุกปี</t>
        </is>
      </c>
      <c r="O62" s="0" t="inlineStr">
        <is>
          <t>ข้อสอบจริง</t>
        </is>
      </c>
      <c r="P62" s="0" t="inlineStr">
        <is>
          <t>2559</t>
        </is>
      </c>
    </row>
    <row r="63">
      <c r="A63" s="0" t="n">
        <v>61</v>
      </c>
      <c r="B63" s="0" t="inlineStr">
        <is>
          <t>สารสำคัญทางธรรมชาติที่มีผลต่อนวัตกรรมหรือการบำบัดสรรพคุณลดปวดอักเสบที่ผสมอยู่ในเจลพริกคือสารใด</t>
        </is>
      </c>
      <c r="C63" s="0" t="inlineStr"/>
      <c r="D63" s="0" t="inlineStr">
        <is>
          <t>Eugenol</t>
        </is>
      </c>
      <c r="E63" s="0" t="inlineStr">
        <is>
          <t>Capsaicin</t>
        </is>
      </c>
      <c r="F63" s="0" t="inlineStr">
        <is>
          <t>Piperazine</t>
        </is>
      </c>
      <c r="G63" s="0" t="inlineStr">
        <is>
          <t>Volatile oil</t>
        </is>
      </c>
      <c r="H63" s="0" t="inlineStr">
        <is>
          <t>Curcuminoid</t>
        </is>
      </c>
      <c r="I63" s="0" t="n">
        <v>2</v>
      </c>
      <c r="J63" s="0"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0" t="inlineStr"/>
      <c r="L63" s="0" t="inlineStr">
        <is>
          <t>Gout</t>
        </is>
      </c>
      <c r="M63" s="0" t="inlineStr">
        <is>
          <t>Clinic</t>
        </is>
      </c>
      <c r="N63" s="0" t="inlineStr">
        <is>
          <t>Capsaicin Gel: สารสกัดจากพริก ยับยั้งการหลั่ง Substance P จากปลายประสาทรับความรู้สึกปวด</t>
        </is>
      </c>
      <c r="O63" s="0" t="inlineStr">
        <is>
          <t>ข้อสอบจริง</t>
        </is>
      </c>
      <c r="P63" s="0" t="inlineStr">
        <is>
          <t>2559</t>
        </is>
      </c>
    </row>
    <row r="64">
      <c r="A64" s="0" t="n">
        <v>62</v>
      </c>
      <c r="B64" s="0"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0" t="inlineStr"/>
      <c r="D64" s="0" t="inlineStr">
        <is>
          <t>อายุของผู้ป่วย</t>
        </is>
      </c>
      <c r="E64" s="0" t="inlineStr">
        <is>
          <t>การเกิดพยาธิสภาพที่ข้อเข่าทั้งสองข้างพร้อมกัน</t>
        </is>
      </c>
      <c r="F64" s="0" t="inlineStr">
        <is>
          <t>ตรวจคลำดูแล้วบวมเล็กน้อย ไม่มีปวดแดงร้อนรุนแรง</t>
        </is>
      </c>
      <c r="G64" s="0" t="inlineStr">
        <is>
          <t>มีอาการข้อฝืดขัดหลังตื่นนอนตอนเช้านานน้อยกว่า 30 นาที</t>
        </is>
      </c>
      <c r="H64" s="0" t="inlineStr">
        <is>
          <t>มีเสียงกรอบแกรบในข้อเข่าขณะขยับเคลื่อนไหว</t>
        </is>
      </c>
      <c r="I64" s="0" t="n">
        <v>2</v>
      </c>
      <c r="J64" s="0"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0" t="inlineStr"/>
      <c r="L64" s="0" t="inlineStr">
        <is>
          <t>Osteoarthritis</t>
        </is>
      </c>
      <c r="M64" s="0" t="inlineStr">
        <is>
          <t>Clinic</t>
        </is>
      </c>
      <c r="N64" s="0" t="inlineStr">
        <is>
          <t>OA Diagnostic Criteria: Morning stiffness นานเกิน 1 ชั่วโมง เป็นลักษณะของ RA ไม่ใช่ OA (OA &lt; 30 นาที)</t>
        </is>
      </c>
      <c r="O64" s="0" t="inlineStr">
        <is>
          <t>ข้อสอบจริง</t>
        </is>
      </c>
      <c r="P64" s="0" t="inlineStr">
        <is>
          <t>2558</t>
        </is>
      </c>
    </row>
    <row r="65">
      <c r="A65" s="0" t="n">
        <v>63</v>
      </c>
      <c r="B65" s="0"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0" t="inlineStr"/>
      <c r="D65" s="0" t="inlineStr">
        <is>
          <t>Paracetamol (Acetaminophen)</t>
        </is>
      </c>
      <c r="E65" s="0" t="inlineStr">
        <is>
          <t>Glucosamine sulfate</t>
        </is>
      </c>
      <c r="F65" s="0" t="inlineStr">
        <is>
          <t>Diclofenac sodium</t>
        </is>
      </c>
      <c r="G65" s="0" t="inlineStr">
        <is>
          <t>Tramadol</t>
        </is>
      </c>
      <c r="H65" s="0" t="inlineStr">
        <is>
          <t>Naproxen</t>
        </is>
      </c>
      <c r="I65" s="0" t="n">
        <v>1</v>
      </c>
      <c r="J65" s="0"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0" t="inlineStr"/>
      <c r="L65" s="0" t="inlineStr">
        <is>
          <t>Osteoarthritis</t>
        </is>
      </c>
      <c r="M65" s="0" t="inlineStr">
        <is>
          <t>Clinic</t>
        </is>
      </c>
      <c r="N65" s="0" t="inlineStr">
        <is>
          <t>OA First-line Analgesic: Paracetamol ขนาดไม่เกิน 3,000-4,000 mg/day เหมาะสำหรับ Mild-to-moderate OA pain</t>
        </is>
      </c>
      <c r="O65" s="0" t="inlineStr">
        <is>
          <t>ข้อสอบจริง</t>
        </is>
      </c>
      <c r="P65" s="0" t="inlineStr">
        <is>
          <t>2558</t>
        </is>
      </c>
    </row>
    <row r="66">
      <c r="A66" s="0" t="n">
        <v>64</v>
      </c>
      <c r="B66" s="0"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0" t="inlineStr"/>
      <c r="D66" s="0" t="inlineStr">
        <is>
          <t>ขมิ้นชัน</t>
        </is>
      </c>
      <c r="E66" s="0" t="inlineStr">
        <is>
          <t>ใบฝรั่ง</t>
        </is>
      </c>
      <c r="F66" s="0" t="inlineStr">
        <is>
          <t>เมล็ดน้อยหน่า</t>
        </is>
      </c>
      <c r="G66" s="0" t="inlineStr">
        <is>
          <t>เถาวัลย์เปรียง</t>
        </is>
      </c>
      <c r="H66" s="0" t="inlineStr">
        <is>
          <t>เจลพริก</t>
        </is>
      </c>
      <c r="I66" s="0" t="n">
        <v>1</v>
      </c>
      <c r="J66" s="0"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0" t="inlineStr"/>
      <c r="L66" s="0" t="inlineStr">
        <is>
          <t>Osteoarthritis</t>
        </is>
      </c>
      <c r="M66" s="0" t="inlineStr">
        <is>
          <t>Clinic</t>
        </is>
      </c>
      <c r="N66" s="0" t="inlineStr">
        <is>
          <t>Curcumin in Knee OA: สารสกัดขมิ้นชัน มีฤทธิ์ลดปวดข้อเข่าเสื่อมได้ดีเทียบเท่า Ibuprofen และ GI safety สูงกว่า</t>
        </is>
      </c>
      <c r="O66" s="0" t="inlineStr">
        <is>
          <t>ข้อสอบจริง</t>
        </is>
      </c>
      <c r="P66" s="0" t="inlineStr">
        <is>
          <t>2558</t>
        </is>
      </c>
    </row>
    <row r="67">
      <c r="A67" s="0" t="n">
        <v>65</v>
      </c>
      <c r="B67" s="0"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0" t="inlineStr"/>
      <c r="D67" s="0" t="inlineStr">
        <is>
          <t>Cimetidine</t>
        </is>
      </c>
      <c r="E67" s="0" t="inlineStr">
        <is>
          <t>Omeprazole</t>
        </is>
      </c>
      <c r="F67" s="0" t="inlineStr">
        <is>
          <t>Sucralfate</t>
        </is>
      </c>
      <c r="G67" s="0" t="inlineStr">
        <is>
          <t>Antacid</t>
        </is>
      </c>
      <c r="H67" s="0" t="inlineStr">
        <is>
          <t>Misoprostol</t>
        </is>
      </c>
      <c r="I67" s="0" t="n">
        <v>2</v>
      </c>
      <c r="J67" s="0"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0" t="inlineStr"/>
      <c r="L67" s="0" t="inlineStr">
        <is>
          <t>Osteoarthritis</t>
        </is>
      </c>
      <c r="M67" s="0" t="inlineStr">
        <is>
          <t>Clinic</t>
        </is>
      </c>
      <c r="N67" s="0" t="inlineStr">
        <is>
          <t>PPI Co-prescription: Omeprazole เป็นยาทางเลือกมาตรฐานในการป้องกัน NSAID-induced ulcer</t>
        </is>
      </c>
      <c r="O67" s="0" t="inlineStr">
        <is>
          <t>ข้อสอบจริง</t>
        </is>
      </c>
      <c r="P67" s="0" t="inlineStr">
        <is>
          <t>2558</t>
        </is>
      </c>
    </row>
    <row r="68">
      <c r="A68" s="0" t="n">
        <v>66</v>
      </c>
      <c r="B68" s="0" t="inlineStr">
        <is>
          <t>ยากลุ่ม NSAIDs ตัวใดต่อไปนี้ที่มีความปลอดภัยและส่งผลกระทบต่อระบบหัวใจและหลอดเลือด (Cardiovascular safety) ต่ำที่สุด</t>
        </is>
      </c>
      <c r="C68" s="0" t="inlineStr"/>
      <c r="D68" s="0" t="inlineStr">
        <is>
          <t>Ibuprofen</t>
        </is>
      </c>
      <c r="E68" s="0" t="inlineStr">
        <is>
          <t>Diclofenac</t>
        </is>
      </c>
      <c r="F68" s="0" t="inlineStr">
        <is>
          <t>Naproxen</t>
        </is>
      </c>
      <c r="G68" s="0" t="inlineStr">
        <is>
          <t>Sulindac</t>
        </is>
      </c>
      <c r="H68" s="0" t="inlineStr">
        <is>
          <t>Parecoxib</t>
        </is>
      </c>
      <c r="I68" s="0" t="n">
        <v>5</v>
      </c>
      <c r="J68" s="0"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0" t="inlineStr"/>
      <c r="L68" s="0" t="inlineStr">
        <is>
          <t>Osteoarthritis</t>
        </is>
      </c>
      <c r="M68" s="0" t="inlineStr">
        <is>
          <t>Clinic</t>
        </is>
      </c>
      <c r="N68" s="0" t="inlineStr">
        <is>
          <t>NSAIDs CV Risk: Parecoxib / Selective COX-2 inhibitors มีความเสี่ยงต่อ CV events สูงสุด</t>
        </is>
      </c>
      <c r="O68" s="0" t="inlineStr">
        <is>
          <t>ข้อสอบจริง</t>
        </is>
      </c>
      <c r="P68" s="0" t="inlineStr">
        <is>
          <t>2558</t>
        </is>
      </c>
    </row>
    <row r="69">
      <c r="A69" s="0" t="n">
        <v>67</v>
      </c>
      <c r="B69" s="0" t="inlineStr">
        <is>
          <t>ปฏิกิริยาการแพ้ยาในผู้ป่วยรายนี้ (Toxic Epidermal Necrolysis: TEN) จัดอยู่ในการแพ้ยาประเภทใดตามสากล (Coombs and Gell classification)</t>
        </is>
      </c>
      <c r="C69" s="0" t="inlineStr"/>
      <c r="D69" s="0" t="inlineStr">
        <is>
          <t>Type I</t>
        </is>
      </c>
      <c r="E69" s="0" t="inlineStr">
        <is>
          <t>Type II</t>
        </is>
      </c>
      <c r="F69" s="0" t="inlineStr">
        <is>
          <t>Type III</t>
        </is>
      </c>
      <c r="G69" s="0" t="inlineStr">
        <is>
          <t>Type IV</t>
        </is>
      </c>
      <c r="H69" s="0" t="inlineStr">
        <is>
          <t>Mixed type</t>
        </is>
      </c>
      <c r="I69" s="0" t="n">
        <v>4</v>
      </c>
      <c r="J69" s="0"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0" t="inlineStr"/>
      <c r="L69" s="0" t="inlineStr">
        <is>
          <t>Gout</t>
        </is>
      </c>
      <c r="M69" s="0" t="inlineStr">
        <is>
          <t>Clinic</t>
        </is>
      </c>
      <c r="N69" s="0" t="inlineStr">
        <is>
          <t>TEN Hypersensitivity: จัดเป็น Type IV (Delayed cell-mediated) hypersensitivity กระตุ้นโดย CD8+ T cells</t>
        </is>
      </c>
      <c r="O69" s="0" t="inlineStr">
        <is>
          <t>ข้อสอบจริง</t>
        </is>
      </c>
      <c r="P69" s="0" t="inlineStr">
        <is>
          <t>2558</t>
        </is>
      </c>
    </row>
    <row r="70">
      <c r="A70" s="0" t="n">
        <v>68</v>
      </c>
      <c r="B70" s="0" t="inlineStr">
        <is>
          <t>ยาในข้อใดต่อไปนี้ที่เป็นสาเหตุหรือตัวกระตุ้นหลักที่มีโอกาสทำให้เกิดการแพ้ยารุนแรงชนิด TEN ในผู้ป่วยรายนี้มากที่สุด</t>
        </is>
      </c>
      <c r="C70" s="0" t="inlineStr"/>
      <c r="D70" s="0" t="inlineStr">
        <is>
          <t>การรับประทานยา Paracetamol</t>
        </is>
      </c>
      <c r="E70" s="0" t="inlineStr">
        <is>
          <t>การรับประทานยา Allopurinol</t>
        </is>
      </c>
      <c r="F70" s="0" t="inlineStr">
        <is>
          <t>ประวัติการเจ็บป่วยเป็นเบาหวานและไขมันในเลือดสูง</t>
        </is>
      </c>
      <c r="G70" s="0" t="inlineStr">
        <is>
          <t>เพศหญิงและสถานะการแต่งงานของผู้ป่วย</t>
        </is>
      </c>
      <c r="H70" s="0" t="inlineStr">
        <is>
          <t>สภาพแวดล้อมหรือโรคความดันโลหิตสูงที่เป็นอยู่</t>
        </is>
      </c>
      <c r="I70" s="0" t="n">
        <v>2</v>
      </c>
      <c r="J70" s="0"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0" t="inlineStr"/>
      <c r="L70" s="0" t="inlineStr">
        <is>
          <t>Gout</t>
        </is>
      </c>
      <c r="M70" s="0" t="inlineStr">
        <is>
          <t>Clinic</t>
        </is>
      </c>
      <c r="N70" s="0" t="inlineStr">
        <is>
          <t>Allopurinol-induced TEN: Allopurinol เป็นสาเหตุพบบ่อยอันดับต้น ๆ ของ SJS/TEN ในประเทศไทย</t>
        </is>
      </c>
      <c r="O70" s="0" t="inlineStr">
        <is>
          <t>ข้อสอบจริง</t>
        </is>
      </c>
      <c r="P70" s="0" t="inlineStr">
        <is>
          <t>2558</t>
        </is>
      </c>
    </row>
    <row r="71">
      <c r="A71" s="0" t="n">
        <v>69</v>
      </c>
      <c r="B71" s="0" t="inlineStr">
        <is>
          <t>ข้อใดต่อไปนี้ ไม่เกี่ยวข้อง หรือไม่ได้ใช้เป็นเกณฑ์การวินิจฉัยและการประเมินความรุนแรงของโรค Toxic Epidermal Necrolysis (TEN)</t>
        </is>
      </c>
      <c r="C71" s="0" t="inlineStr"/>
      <c r="D71" s="0" t="inlineStr">
        <is>
          <t>มีผื่นผิวหนังลอกไหม้มากกว่าร้อยละ 30 ของร่างกาย</t>
        </is>
      </c>
      <c r="E71" s="0" t="inlineStr">
        <is>
          <t>อาการนำเริ่มต้น เช่น มีไข้ เจ็บคอ และมีผื่นแดงเกิดขึ้น</t>
        </is>
      </c>
      <c r="F71" s="0" t="inlineStr">
        <is>
          <t>ประวัติได้รับยากลุ่มที่มีความถี่การแพ้สูง (High incidence drug)</t>
        </is>
      </c>
      <c r="G71" s="0" t="inlineStr">
        <is>
          <t>การเกิดแผลและผดพุพองตามเยื่อบุอวัยวะต่าง ๆ</t>
        </is>
      </c>
      <c r="H71" s="0" t="inlineStr">
        <is>
          <t>ระยะเวลาการเป็นโรคประจำตัวเรื้อรังนานกว่า 2 สัปดาห์ขึ้นไป</t>
        </is>
      </c>
      <c r="I71" s="0" t="n">
        <v>5</v>
      </c>
      <c r="J71" s="0"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0" t="inlineStr"/>
      <c r="L71" s="0" t="inlineStr">
        <is>
          <t>Gout</t>
        </is>
      </c>
      <c r="M71" s="0" t="inlineStr">
        <is>
          <t>Clinic</t>
        </is>
      </c>
      <c r="N71" s="0" t="inlineStr">
        <is>
          <t>TEN Diagnosis: เกณฑ์การวินิจฉัยประเมินจาก Skin detachment &gt; 30% BSA, Mucosal involvement, และ SCORTEN</t>
        </is>
      </c>
      <c r="O71" s="0" t="inlineStr">
        <is>
          <t>ข้อสอบจริง</t>
        </is>
      </c>
      <c r="P71" s="0" t="inlineStr">
        <is>
          <t>2558</t>
        </is>
      </c>
    </row>
    <row r="72">
      <c r="A72" s="0" t="n">
        <v>70</v>
      </c>
      <c r="B72" s="0"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0" t="inlineStr"/>
      <c r="D72" s="0" t="inlineStr">
        <is>
          <t>Mild severity</t>
        </is>
      </c>
      <c r="E72" s="0" t="inlineStr">
        <is>
          <t>Moderate severity</t>
        </is>
      </c>
      <c r="F72" s="0" t="inlineStr">
        <is>
          <t>Severe severity (หรือ Life-threatening)</t>
        </is>
      </c>
      <c r="G72" s="0" t="inlineStr">
        <is>
          <t>Minor severity</t>
        </is>
      </c>
      <c r="H72" s="0" t="inlineStr">
        <is>
          <t>Chronic severity</t>
        </is>
      </c>
      <c r="I72" s="0" t="n">
        <v>3</v>
      </c>
      <c r="J72" s="0"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0" t="inlineStr"/>
      <c r="L72" s="0" t="inlineStr">
        <is>
          <t>Gout</t>
        </is>
      </c>
      <c r="M72" s="0" t="inlineStr">
        <is>
          <t>Clinic</t>
        </is>
      </c>
      <c r="N72" s="0" t="inlineStr">
        <is>
          <t>TEN Severity Level: SJS/TEN เป็นอาการไม่พึงประสงค์ระดับ Life-threatening ที่มีอัตราการเสียชีวิตสูง</t>
        </is>
      </c>
      <c r="O72" s="0" t="inlineStr">
        <is>
          <t>ข้อสอบจริง</t>
        </is>
      </c>
      <c r="P72" s="0" t="inlineStr">
        <is>
          <t>2558</t>
        </is>
      </c>
    </row>
    <row r="73">
      <c r="A73" s="0" t="n">
        <v>71</v>
      </c>
      <c r="B73" s="0"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0" t="inlineStr"/>
      <c r="D73" s="0" t="inlineStr">
        <is>
          <t>Rheumatoid arthritis</t>
        </is>
      </c>
      <c r="E73" s="0" t="inlineStr">
        <is>
          <t>Osteoarthritis</t>
        </is>
      </c>
      <c r="F73" s="0" t="inlineStr">
        <is>
          <t>Osteoporosis</t>
        </is>
      </c>
      <c r="G73" s="0" t="inlineStr">
        <is>
          <t>Acute gout</t>
        </is>
      </c>
      <c r="H73" s="0" t="inlineStr">
        <is>
          <t>Osteomalacia</t>
        </is>
      </c>
      <c r="I73" s="0" t="n">
        <v>4</v>
      </c>
      <c r="J73" s="0"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0" t="inlineStr"/>
      <c r="L73" s="0" t="inlineStr">
        <is>
          <t>Gout</t>
        </is>
      </c>
      <c r="M73" s="0" t="inlineStr">
        <is>
          <t>Clinic</t>
        </is>
      </c>
      <c r="N73" s="0" t="inlineStr">
        <is>
          <t>ข้อ 1 ชุด 1 (เฉลยข้อ ง)</t>
        </is>
      </c>
      <c r="O73" s="0" t="inlineStr">
        <is>
          <t>ข้อสอบจริง</t>
        </is>
      </c>
      <c r="P73" s="0" t="inlineStr">
        <is>
          <t>ชุด 1</t>
        </is>
      </c>
    </row>
    <row r="74">
      <c r="A74" s="0" t="n">
        <v>72</v>
      </c>
      <c r="B74" s="0"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0" t="inlineStr"/>
      <c r="D74" s="0" t="inlineStr">
        <is>
          <t>Paracetamol</t>
        </is>
      </c>
      <c r="E74" s="0" t="inlineStr">
        <is>
          <t>Probenecid</t>
        </is>
      </c>
      <c r="F74" s="0" t="inlineStr">
        <is>
          <t>Colchicine</t>
        </is>
      </c>
      <c r="G74" s="0" t="inlineStr">
        <is>
          <t>Tramadol</t>
        </is>
      </c>
      <c r="H74" s="0" t="inlineStr">
        <is>
          <t>Allopurinol</t>
        </is>
      </c>
      <c r="I74" s="0" t="n">
        <v>3</v>
      </c>
      <c r="J74" s="0"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0" t="inlineStr"/>
      <c r="L74" s="0" t="inlineStr">
        <is>
          <t>Gout</t>
        </is>
      </c>
      <c r="M74" s="0" t="inlineStr">
        <is>
          <t>Clinic</t>
        </is>
      </c>
      <c r="N74" s="0" t="inlineStr">
        <is>
          <t>ข้อ 2 ชุด 1 (เฉลยข้อ ค)</t>
        </is>
      </c>
      <c r="O74" s="0" t="inlineStr">
        <is>
          <t>ข้อสอบจริง</t>
        </is>
      </c>
      <c r="P74" s="0" t="inlineStr">
        <is>
          <t>ชุด 1</t>
        </is>
      </c>
    </row>
    <row r="75">
      <c r="A75" s="0" t="n">
        <v>73</v>
      </c>
      <c r="B75" s="0"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0" t="inlineStr"/>
      <c r="D75" s="0" t="inlineStr">
        <is>
          <t>Prednisolone</t>
        </is>
      </c>
      <c r="E75" s="0" t="inlineStr">
        <is>
          <t>Indomethacin</t>
        </is>
      </c>
      <c r="F75" s="0" t="inlineStr">
        <is>
          <t>Allopurinol</t>
        </is>
      </c>
      <c r="G75" s="0" t="inlineStr">
        <is>
          <t>Paracetamol</t>
        </is>
      </c>
      <c r="H75" s="0" t="inlineStr">
        <is>
          <t>Tramadol</t>
        </is>
      </c>
      <c r="I75" s="0" t="n">
        <v>3</v>
      </c>
      <c r="J75" s="0"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0" t="inlineStr"/>
      <c r="L75" s="0" t="inlineStr">
        <is>
          <t>Gout</t>
        </is>
      </c>
      <c r="M75" s="0" t="inlineStr">
        <is>
          <t>Clinic</t>
        </is>
      </c>
      <c r="N75" s="0" t="inlineStr">
        <is>
          <t>ข้อ 3 ชุด 1 (เฉลยข้อ ค)</t>
        </is>
      </c>
      <c r="O75" s="0" t="inlineStr">
        <is>
          <t>ข้อสอบจริง</t>
        </is>
      </c>
      <c r="P75" s="0" t="inlineStr">
        <is>
          <t>ชุด 1</t>
        </is>
      </c>
    </row>
    <row r="76">
      <c r="A76" s="0" t="n">
        <v>74</v>
      </c>
      <c r="B76" s="0"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0" t="inlineStr"/>
      <c r="D76" s="0" t="inlineStr">
        <is>
          <t>Corticosteroid</t>
        </is>
      </c>
      <c r="E76" s="0" t="inlineStr">
        <is>
          <t>Xanthine oxidase inhibitor</t>
        </is>
      </c>
      <c r="F76" s="0" t="inlineStr">
        <is>
          <t>Uricosuric agent</t>
        </is>
      </c>
      <c r="G76" s="0" t="inlineStr">
        <is>
          <t>NSAID</t>
        </is>
      </c>
      <c r="H76" s="0" t="inlineStr">
        <is>
          <t>Para-aminophenol derivatives</t>
        </is>
      </c>
      <c r="I76" s="0" t="n">
        <v>5</v>
      </c>
      <c r="J76" s="0" t="inlineStr">
        <is>
          <t>✅ คำตอบที่ถูกต้อง: ข้อ จ. Para-aminophenol derivatives
💡 Background:
Paracetamol (หรือ Acetaminophen) มีชื่อทางเคมีว่า N-(4-hydroxyphenyl)acetamide หรือ para-acetylaminophenol เป็นสารอนุพันธ์ในกลุ่ม Para-aminophenol derivatives ออกฤทธิ์บรรเทาอาการปวดและลดไข้โดยยับยั้งการสังเคราะห์ Prostaglandins ในระบบประสาทส่วนกลาง (Central COX inhibition / COX-3 variant) แต่ไม่มีผลต้านการอักเสบในเนื้อเยื่อส่วนปลายอย่างมีนัยสำคัญ
🎯 ทำไมข้อนี้ถึงถูก:
ผู้ป่วยต้องการซื้อยา Paracetamol ซึ่งโครงสร้างทางเคมีและกลุ่มทางเภสัชวิทยาของ Paracetamol จัดอยู่ในกลุ่ม "Para-aminophenol derivatives" ตรงตามทฤษฎีเคมีเภสัชกรรม
🔍 ข้ออื่นผิดเพราะอะไร:
• ข้อ ก. (Corticosteroid): เป็นกลุ่มฮอร์โมนสเตียรอยด์ต้านการอักเสบ เช่น Prednisolone, Dexamethasone
• ข้อ ข. (Xanthine oxidase inhibitor): เป็นยาลดการสร้างกรดยูริก เช่น Allopurinol, Febuxostat
• ข้อ ค. (Uricosuric agent): เป็นยาขับกรดยูริกออกทางไต เช่น Probenecid, Benzbromarone
• ข้อ ง. (NSAID): ยากลุ่ม NSAIDs คลาสสิกออกฤทธิ์ยับยั้งเอนไซม์ COX ทั้งในส่วนกลางและส่วนปลาย จึงมีฤทธิ์ต้านการอักเสบเด่นชัด (เช่น Ibuprofen, Naproxen, Indomethacin) ซึ่งต่างจาก Paracetamol
📖 Guideline อ้างอิง:
Foye's Principles of Medicinal Chemistry &amp; Wilson and Gisvold's Textbook of Organic Medicinal and Pharmaceutical Chemistry
📌 จุดจำก่อนสอบ:
• Chemical Classification: Paracetamol = Para-aminophenol derivative, Aspirin = Salicylate, Ibuprofen/Naproxen = Propionic acid derivative
• Toxic Metabolite: Paracetamol ถูก metabolized ผ่าน CYP2E1 ได้สารพิษ NAPQI ซึ่งทำลายตับหาก Glutathione หมด</t>
        </is>
      </c>
      <c r="K76" s="0" t="inlineStr"/>
      <c r="L76" s="0" t="inlineStr">
        <is>
          <t>Gout</t>
        </is>
      </c>
      <c r="M76" s="0" t="inlineStr">
        <is>
          <t>Clinic</t>
        </is>
      </c>
      <c r="N76" s="0" t="inlineStr">
        <is>
          <t>ข้อ 4 ชุด 1 (เฉลยข้อ จ)</t>
        </is>
      </c>
      <c r="O76" s="0" t="inlineStr">
        <is>
          <t>ข้อสอบจริง</t>
        </is>
      </c>
      <c r="P76" s="0" t="inlineStr">
        <is>
          <t>ชุด 1</t>
        </is>
      </c>
    </row>
    <row r="77">
      <c r="A77" s="0" t="n">
        <v>75</v>
      </c>
      <c r="B77" s="0"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0" t="inlineStr"/>
      <c r="D77" s="0" t="inlineStr">
        <is>
          <t>Glucosamine sulfate</t>
        </is>
      </c>
      <c r="E77" s="0" t="inlineStr">
        <is>
          <t>Hydroxychloroquine</t>
        </is>
      </c>
      <c r="F77" s="0" t="inlineStr">
        <is>
          <t>Auranofin</t>
        </is>
      </c>
      <c r="G77" s="0" t="inlineStr">
        <is>
          <t>Prednisolone</t>
        </is>
      </c>
      <c r="H77" s="0" t="inlineStr">
        <is>
          <t>Methotrexate</t>
        </is>
      </c>
      <c r="I77" s="0" t="n">
        <v>1</v>
      </c>
      <c r="J77" s="0"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0" t="inlineStr"/>
      <c r="L77" s="0" t="inlineStr">
        <is>
          <t>Osteoarthritis</t>
        </is>
      </c>
      <c r="M77" s="0" t="inlineStr">
        <is>
          <t>Clinic</t>
        </is>
      </c>
      <c r="N77" s="0" t="inlineStr">
        <is>
          <t>ข้อ 5 ชุด 1 (เฉลยข้อ ก)</t>
        </is>
      </c>
      <c r="O77" s="0" t="inlineStr">
        <is>
          <t>ข้อสอบจริง</t>
        </is>
      </c>
      <c r="P77" s="0" t="inlineStr">
        <is>
          <t>ชุด 1</t>
        </is>
      </c>
    </row>
    <row r="78">
      <c r="A78" s="0" t="n">
        <v>76</v>
      </c>
      <c r="B78" s="0" t="inlineStr">
        <is>
          <t>ข้อใดเป็นข้อแนะนำที่ไม่เหมาะสมสำหรับผู้ป่วย</t>
        </is>
      </c>
      <c r="C78" s="0" t="inlineStr"/>
      <c r="D78" s="0" t="inlineStr">
        <is>
          <t>ลดน้ำหนัก</t>
        </is>
      </c>
      <c r="E78" s="0" t="inlineStr">
        <is>
          <t>ให้ออกกำลังกาย</t>
        </is>
      </c>
      <c r="F78" s="0" t="inlineStr">
        <is>
          <t>โรคนี้สามารถรักษาให้หายขาดได้</t>
        </is>
      </c>
      <c r="G78" s="0" t="inlineStr">
        <is>
          <t>หลีกเลี่ยงการฉีดยาเข้าข้อในและติดต่อกัน</t>
        </is>
      </c>
      <c r="H78" s="0" t="inlineStr">
        <is>
          <t>รับประทานยา codeine เมื่อมีอาการปวดทันที</t>
        </is>
      </c>
      <c r="I78" s="0" t="n">
        <v>5</v>
      </c>
      <c r="J78" s="0" t="inlineStr">
        <is>
          <t>✅ คำตอบที่ถูกต้อง: ข้อ จ. รับประทานยา codeine เมื่อมีอาการปวดทันที
💡 Background:
แนวทางการรักษาโรคข้อเข่าเสื่อม (Knee OA) ให้ความสำคัญกับการปรับเปลี่ยนพฤติกรรม (Non-pharmacological measures) เป็นรากฐานสำคัญ ได้แก่ การลดน้ำหนักตัวในผู้ที่มีน้ำหนักเกิน (การลดน้ำหนักลง 5-10% ช่วยลดแรงกดบนข้อเข่าได้มหาศาล), การออกกำลังกายเสริมความแข็งแรงของกล้ามเนื้อต้นขา (Quadriceps strengthening exercise), และหลีกเลี่ยงการนั่งงอเข่า ส่วนการรักษาด้วยยาจะเริ่มจากยาทาเฉพาะที่ (Topical NSAIDs) หรือ Paracetamol/Oral NSAIDs ระยะสั้น การใช้ยากลุ่ม Opioids (เช่น Codeine, Tramadol) ถือเป็นทางเลือกท้ายๆ และไม่แนะนำให้ใช้เป็นยาบรรเทาอาการปวดทั่วไปเนื่องจากมีความเสี่ยงสูงต่อการติดยา อาการง่วงซึม มึนงง และเพิ่มความเสี่ยงต่อการหกล้ม
🎯 ทำไมข้อนี้ถึงถูก:
โจทย์ถามข้อแนะนำที่ไม่เหมาะสม: การแนะนำให้ผู้ป่วยรับประทานยาเสพติดระงับปวด Codeine ทันทีที่มีอาการปวดข้อเข่าเสื่อม เป็นการปฏิบัติที่ไม่เหมาะสมและอันตรายอย่างยิ่ง เนื่องจาก Opioid ไม่ใช่ยาบรรเทาอาการปวดอันดับแรกของโรคข้อเสื่อม
🔍 ข้ออื่นผิดเพราะอะไร:
• ข้อ ก. (ลดน้ำหนัก): เป็นคำแนะนำหลักที่สำคัญที่สุดและมีหลักฐานสนับสนุนเข้มแข็งในการลดแรงกระแทกต่อข้อเข่า
• ข้อ ข. (ให้ออกกำลังกาย): การออกกำลังกายแบบ Low-impact เช่น ว่ายน้ำ ขี่จักรยาน หรือบริหารกล้ามเนื้อรอบเข่า ช่วยพยุงข้อและลดอาการปวดได้ดี
• ข้อ ค. (โรคนี้สามารถรักษาให้หายขาดได้): แม้โรคข้อเสื่อมจะไม่สามารถรักษาโครงสร้างกระดูกอ่อนให้หายขาดได้ 100% แต่ข้อความเชิงคำแนะนำการรักษายังมุ่งเน้นการคุมอาการและชะลอความเสื่อม
• ข้อ ง. (หลีกเลี่ยงการฉีดยาเข้าข้อติดต่อกัน): ถูกต้อง การฉีดคอร์ติโคสเตียรอยด์เข้าข้อ (Intra-articular steroid injection) บ่อยเกินไป (เกิน 3-4 ครั้งต่อปี) จะเร่งการทำลายกระดูกอ่อนผิวข้อ
📖 Guideline อ้างอิง:
2019 American College of Rheumatology (ACR) / Arthritis Foundation Guideline for the Management of Osteoarthritis &amp; OARSI Guidelines for Knee OA
📌 จุดจำก่อนสอบ:
• Core Non-Pharm in OA: ลดน้ำหนัก (Weight loss) + ออกกำลังกายเสริมกล้ามเนื้อต้นขา (Exercise) คือ First-line ที่ต้องทำในผู้ป่วยข้อเข่าเสื่อมทุกราย
• Avoid Routine Opioids: ห้ามใช้ยาแก้ปวดกลุ่ม Opioids เป็นประจำในโรคข้อเสื่อม เพราะประโยชน์น้อยกว่าความเสี่ยงต่อการติดยาและการหกล้มกระดูกหัก</t>
        </is>
      </c>
      <c r="K78" s="0" t="inlineStr"/>
      <c r="L78" s="0" t="inlineStr">
        <is>
          <t>Osteoarthritis</t>
        </is>
      </c>
      <c r="M78" s="0" t="inlineStr">
        <is>
          <t>Clinic</t>
        </is>
      </c>
      <c r="N78" s="0" t="inlineStr">
        <is>
          <t>ข้อ 6 ชุด 1 (เฉลยข้อ จ)</t>
        </is>
      </c>
      <c r="O78" s="0" t="inlineStr">
        <is>
          <t>ข้อสอบจริง</t>
        </is>
      </c>
      <c r="P78" s="0" t="inlineStr">
        <is>
          <t>ชุด 1</t>
        </is>
      </c>
    </row>
    <row r="79">
      <c r="A79" s="0" t="n">
        <v>77</v>
      </c>
      <c r="B79" s="0" t="inlineStr">
        <is>
          <t>ท่านคิดว่าผลิตภัณฑ์จากสมุนไพรข้อใด มีข้อบ่งใช้ใกล้เคียงกับ diclofenac emulsion gel มากที่สุด</t>
        </is>
      </c>
      <c r="C79" s="0" t="inlineStr"/>
      <c r="D79" s="0" t="inlineStr">
        <is>
          <t>เจลพพลู</t>
        </is>
      </c>
      <c r="E79" s="0" t="inlineStr">
        <is>
          <t>ครีมชุมเห็ดเทศ</t>
        </is>
      </c>
      <c r="F79" s="0" t="inlineStr">
        <is>
          <t>เจลว่านหางจระเข้</t>
        </is>
      </c>
      <c r="G79" s="0" t="inlineStr">
        <is>
          <t>ครีมไพล</t>
        </is>
      </c>
      <c r="H79" s="0" t="inlineStr">
        <is>
          <t>ครีมพญายอ</t>
        </is>
      </c>
      <c r="I79" s="0" t="n">
        <v>4</v>
      </c>
      <c r="J79" s="0"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0" t="inlineStr"/>
      <c r="L79" s="0" t="inlineStr">
        <is>
          <t>Herbal Medicine</t>
        </is>
      </c>
      <c r="M79" s="0" t="inlineStr">
        <is>
          <t>Clinic</t>
        </is>
      </c>
      <c r="N79" s="0" t="inlineStr">
        <is>
          <t>ข้อ 7 ชุด 1 (เฉลยข้อ ง)</t>
        </is>
      </c>
      <c r="O79" s="0" t="inlineStr">
        <is>
          <t>ข้อสอบจริง</t>
        </is>
      </c>
      <c r="P79" s="0" t="inlineStr">
        <is>
          <t>ชุด 1</t>
        </is>
      </c>
    </row>
    <row r="80">
      <c r="A80" s="0" t="n">
        <v>78</v>
      </c>
      <c r="B80" s="0" t="inlineStr">
        <is>
          <t>ข้อใดถูกต้อง</t>
        </is>
      </c>
      <c r="C80" s="0" t="inlineStr"/>
      <c r="D80" s="0" t="inlineStr">
        <is>
          <t>เมื่อโรคข้อเสื่อมเกิดการอักเสบร่วมด้วยควรเลือกใช้ยา opioid analgesic จะเหมาะสมกว่ากลุ่ม NSAIDs</t>
        </is>
      </c>
      <c r="E80" s="0" t="inlineStr">
        <is>
          <t>Opioid analgesic ไม่ควรใช้ติดต่อกันนานเพราะจะทำให้เกิดการติดยา</t>
        </is>
      </c>
      <c r="F80" s="0" t="inlineStr">
        <is>
          <t>การใช้ยา NSAIDs ควรเริ่มในขนาดที่สูงก่อนเพื่อบรรเทาอาการเจ็บปวดทันทีก่อน</t>
        </is>
      </c>
      <c r="G80" s="0" t="inlineStr">
        <is>
          <t>ผลข้างเคียงของการใช้ยากลุ่ม opioid analgesic ที่พบบ่อย คือ ท้องเสีย</t>
        </is>
      </c>
      <c r="H80" s="0" t="inlineStr">
        <is>
          <t>ยากลุ่ม cox-1 มีผลต่อการเกาะกลุ่มของเกล็ดเลือดมากกว่ายากลุ่ม cox-2</t>
        </is>
      </c>
      <c r="I80" s="0" t="n">
        <v>2</v>
      </c>
      <c r="J80" s="0"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0" t="inlineStr"/>
      <c r="L80" s="0" t="inlineStr">
        <is>
          <t>Osteoarthritis</t>
        </is>
      </c>
      <c r="M80" s="0" t="inlineStr">
        <is>
          <t>Clinic</t>
        </is>
      </c>
      <c r="N80" s="0" t="inlineStr">
        <is>
          <t>ข้อ 8 ชุด 1 (เฉลยข้อ ข)</t>
        </is>
      </c>
      <c r="O80" s="0" t="inlineStr">
        <is>
          <t>ข้อสอบจริง</t>
        </is>
      </c>
      <c r="P80" s="0" t="inlineStr">
        <is>
          <t>ชุด 1</t>
        </is>
      </c>
    </row>
    <row r="81">
      <c r="A81" s="0" t="n">
        <v>79</v>
      </c>
      <c r="B81" s="0" t="inlineStr">
        <is>
          <t>เมื่อแพทย์พิจารณาแล้วจึงจ่ายยากลุ่ม cox-2 selective inhibitor ข้อใดถูกต้องเกี่ยวกับ cox-2 selective inhibitor</t>
        </is>
      </c>
      <c r="C81" s="0" t="inlineStr"/>
      <c r="D81" s="0" t="inlineStr">
        <is>
          <t>ในโครงสร้างของยากลุ่ม Cox-2 inhibitor มี Carboxyl group เป็นส่วนสำคัญที่ใช้ในการจับกับของ enzyme cox-2</t>
        </is>
      </c>
      <c r="E81" s="0" t="inlineStr">
        <is>
          <t>ยากลุ่ม cox-2 inhibitor ไม่มีผลข้างเคียงต่อกระเพาะอาหาร เนื่องจากยับยั้งเอนไซม์ cox-2 ที่กระเพาะอาหาร</t>
        </is>
      </c>
      <c r="F81" s="0" t="inlineStr">
        <is>
          <t>ยากลุ่ม cox-2 inhibitor แต่ละตัวมี cox-2/cox-1 Selective ratio ที่แตกต่างกัน</t>
        </is>
      </c>
      <c r="G81" s="0" t="inlineStr">
        <is>
          <t>ยากลุ่ม cox-2 inhibitor ทุกตัวไม่สามารถให้ในผู้ป่วยที่แพ้ยากลุ่ม sulfonamide ได้</t>
        </is>
      </c>
      <c r="H81" s="0" t="inlineStr">
        <is>
          <t>ยากลุ่ม cox-2 inhibitor ออกฤทธิ์จับกับ Cox-2 เท่านั้น โดยไม่สามารถจับกับเอนไซม์ cox-1 ได้</t>
        </is>
      </c>
      <c r="I81" s="0" t="n">
        <v>3</v>
      </c>
      <c r="J81" s="0"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0" t="inlineStr"/>
      <c r="L81" s="0" t="inlineStr">
        <is>
          <t>Osteoarthritis</t>
        </is>
      </c>
      <c r="M81" s="0" t="inlineStr">
        <is>
          <t>Clinic</t>
        </is>
      </c>
      <c r="N81" s="0" t="inlineStr">
        <is>
          <t>ข้อ 9 ชุด 1 (เฉลยข้อ ค)</t>
        </is>
      </c>
      <c r="O81" s="0" t="inlineStr">
        <is>
          <t>ข้อสอบจริง</t>
        </is>
      </c>
      <c r="P81" s="0" t="inlineStr">
        <is>
          <t>ชุด 1</t>
        </is>
      </c>
    </row>
    <row r="82">
      <c r="A82" s="0" t="n">
        <v>80</v>
      </c>
      <c r="B82" s="0"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0" t="inlineStr"/>
      <c r="D82" s="0" t="inlineStr">
        <is>
          <t>ปวดบวมข้อที่นิ้วมือและเท้า</t>
        </is>
      </c>
      <c r="E82" s="0" t="inlineStr">
        <is>
          <t>ปวดบวมแดงร้อน</t>
        </is>
      </c>
      <c r="F82" s="0" t="inlineStr">
        <is>
          <t>Uric acid</t>
        </is>
      </c>
      <c r="G82" s="0" t="inlineStr">
        <is>
          <t>Scr</t>
        </is>
      </c>
      <c r="H82" s="0" t="inlineStr">
        <is>
          <t>Synovial crystal</t>
        </is>
      </c>
      <c r="I82" s="0" t="n">
        <v>5</v>
      </c>
      <c r="J82" s="0"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0" t="inlineStr"/>
      <c r="L82" s="0" t="inlineStr">
        <is>
          <t>Gout</t>
        </is>
      </c>
      <c r="M82" s="0" t="inlineStr">
        <is>
          <t>Clinic</t>
        </is>
      </c>
      <c r="N82" s="0" t="inlineStr">
        <is>
          <t>ข้อ 10 ชุด 1 (เฉลยข้อ จ)</t>
        </is>
      </c>
      <c r="O82" s="0" t="inlineStr">
        <is>
          <t>ข้อสอบจริง</t>
        </is>
      </c>
      <c r="P82" s="0" t="inlineStr">
        <is>
          <t>ชุด 1</t>
        </is>
      </c>
    </row>
    <row r="83">
      <c r="A83" s="0" t="n">
        <v>81</v>
      </c>
      <c r="B83" s="0"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0" t="inlineStr"/>
      <c r="D83" s="0" t="inlineStr">
        <is>
          <t>Allopurinol</t>
        </is>
      </c>
      <c r="E83" s="0" t="inlineStr">
        <is>
          <t>Aspirin</t>
        </is>
      </c>
      <c r="F83" s="0" t="inlineStr">
        <is>
          <t>Colchicine</t>
        </is>
      </c>
      <c r="G83" s="0" t="inlineStr">
        <is>
          <t>Prednisolone</t>
        </is>
      </c>
      <c r="H83" s="0" t="inlineStr">
        <is>
          <t>Probenecid</t>
        </is>
      </c>
      <c r="I83" s="0" t="n">
        <v>3</v>
      </c>
      <c r="J83" s="0"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0" t="inlineStr"/>
      <c r="L83" s="0" t="inlineStr">
        <is>
          <t>Gout</t>
        </is>
      </c>
      <c r="M83" s="0" t="inlineStr">
        <is>
          <t>Clinic</t>
        </is>
      </c>
      <c r="N83" s="0" t="inlineStr">
        <is>
          <t>ข้อ 11 ชุด 1 (เฉลยข้อ ค)</t>
        </is>
      </c>
      <c r="O83" s="0" t="inlineStr">
        <is>
          <t>ข้อสอบจริง</t>
        </is>
      </c>
      <c r="P83" s="0" t="inlineStr">
        <is>
          <t>ชุด 1</t>
        </is>
      </c>
    </row>
    <row r="84">
      <c r="A84" s="0" t="n">
        <v>82</v>
      </c>
      <c r="B84" s="0"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0" t="inlineStr"/>
      <c r="D84" s="0" t="inlineStr">
        <is>
          <t>CaCO3</t>
        </is>
      </c>
      <c r="E84" s="0" t="inlineStr">
        <is>
          <t>HCTZ</t>
        </is>
      </c>
      <c r="F84" s="0" t="inlineStr">
        <is>
          <t>Ibuprofen</t>
        </is>
      </c>
      <c r="G84" s="0" t="inlineStr">
        <is>
          <t>MFM</t>
        </is>
      </c>
      <c r="H84" s="0" t="inlineStr">
        <is>
          <t>Simvastatin</t>
        </is>
      </c>
      <c r="I84" s="0" t="n">
        <v>4</v>
      </c>
      <c r="J84" s="0"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0" t="inlineStr"/>
      <c r="L84" s="0" t="inlineStr">
        <is>
          <t>Gout</t>
        </is>
      </c>
      <c r="M84" s="0" t="inlineStr">
        <is>
          <t>Clinic</t>
        </is>
      </c>
      <c r="N84" s="0" t="inlineStr">
        <is>
          <t>ข้อ 12 ชุด 1 (เฉลยข้อ ง)</t>
        </is>
      </c>
      <c r="O84" s="0" t="inlineStr">
        <is>
          <t>ข้อสอบจริง</t>
        </is>
      </c>
      <c r="P84" s="0" t="inlineStr">
        <is>
          <t>ชุด 1</t>
        </is>
      </c>
    </row>
    <row r="85">
      <c r="A85" s="0" t="n">
        <v>83</v>
      </c>
      <c r="B85" s="0" t="inlineStr">
        <is>
          <t>ยาใดควรระวังในกลุ่ม sulfonamide</t>
        </is>
      </c>
      <c r="C85" s="0" t="inlineStr"/>
      <c r="D85" s="0" t="inlineStr">
        <is>
          <t>Allopurinol</t>
        </is>
      </c>
      <c r="E85" s="0" t="inlineStr">
        <is>
          <t>Colchicine</t>
        </is>
      </c>
      <c r="F85" s="0" t="inlineStr">
        <is>
          <t>HCTZ</t>
        </is>
      </c>
      <c r="G85" s="0" t="inlineStr">
        <is>
          <t>Ibuprofen</t>
        </is>
      </c>
      <c r="H85" s="0" t="inlineStr">
        <is>
          <t>Naproxen</t>
        </is>
      </c>
      <c r="I85" s="0" t="n">
        <v>3</v>
      </c>
      <c r="J85" s="0"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0" t="inlineStr"/>
      <c r="L85" s="0" t="inlineStr">
        <is>
          <t>Gout</t>
        </is>
      </c>
      <c r="M85" s="0" t="inlineStr">
        <is>
          <t>Clinic</t>
        </is>
      </c>
      <c r="N85" s="0" t="inlineStr">
        <is>
          <t>ข้อ 13 ชุด 1 (เฉลยข้อ ค)</t>
        </is>
      </c>
      <c r="O85" s="0" t="inlineStr">
        <is>
          <t>ข้อสอบจริง</t>
        </is>
      </c>
      <c r="P85" s="0" t="inlineStr">
        <is>
          <t>ชุด 1</t>
        </is>
      </c>
    </row>
    <row r="86">
      <c r="A86" s="0" t="n">
        <v>84</v>
      </c>
      <c r="B86" s="0" t="inlineStr">
        <is>
          <t>NSAID ที่มีฤทธิ์เปลี่ยนแปลงระดับ uric acid ในเลือด</t>
        </is>
      </c>
      <c r="C86" s="0" t="inlineStr"/>
      <c r="D86" s="0" t="inlineStr">
        <is>
          <t>Aspirin</t>
        </is>
      </c>
      <c r="E86" s="0" t="inlineStr">
        <is>
          <t>Celecoxib</t>
        </is>
      </c>
      <c r="F86" s="0" t="inlineStr">
        <is>
          <t>Ibuprofen</t>
        </is>
      </c>
      <c r="G86" s="0" t="inlineStr">
        <is>
          <t>Nimesulide</t>
        </is>
      </c>
      <c r="H86" s="0" t="inlineStr">
        <is>
          <t>Piroxicam</t>
        </is>
      </c>
      <c r="I86" s="0" t="n">
        <v>1</v>
      </c>
      <c r="J86" s="0"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0" t="inlineStr"/>
      <c r="L86" s="0" t="inlineStr">
        <is>
          <t>Gout</t>
        </is>
      </c>
      <c r="M86" s="0" t="inlineStr">
        <is>
          <t>Clinic</t>
        </is>
      </c>
      <c r="N86" s="0" t="inlineStr">
        <is>
          <t>ข้อ 14 ชุด 1 (เฉลยข้อ ก)</t>
        </is>
      </c>
      <c r="O86" s="0" t="inlineStr">
        <is>
          <t>ข้อสอบจริง</t>
        </is>
      </c>
      <c r="P86" s="0" t="inlineStr">
        <is>
          <t>ชุด 1</t>
        </is>
      </c>
    </row>
    <row r="87">
      <c r="A87" s="0" t="n">
        <v>85</v>
      </c>
      <c r="B87" s="0"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0" t="inlineStr"/>
      <c r="D87" s="0" t="inlineStr">
        <is>
          <t>เกิดจากการสร้าง uric acid มากเกินไป</t>
        </is>
      </c>
      <c r="E87" s="0" t="inlineStr">
        <is>
          <t>เกิดจากการที่ขับ uric acid ได้น้อยลง</t>
        </is>
      </c>
      <c r="F87" s="0" t="inlineStr">
        <is>
          <t>อาการจะค่อยๆปวด มากขึ้นเรื่อย ๆ</t>
        </is>
      </c>
      <c r="G87" s="0" t="inlineStr">
        <is>
          <t>อาการมักจะเกิดตอนกลางคืนหรือเช้ามืด</t>
        </is>
      </c>
      <c r="H87" s="0" t="inlineStr">
        <is>
          <t>อาจพบนิ่วตกตะกอนที่ไตได้</t>
        </is>
      </c>
      <c r="I87" s="0" t="n">
        <v>3</v>
      </c>
      <c r="J87" s="0"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0" t="inlineStr"/>
      <c r="L87" s="0" t="inlineStr">
        <is>
          <t>Gout</t>
        </is>
      </c>
      <c r="M87" s="0" t="inlineStr">
        <is>
          <t>Clinic</t>
        </is>
      </c>
      <c r="N87" s="0" t="inlineStr">
        <is>
          <t>ข้อ 15 ชุด 1 (เฉลยข้อ ค)</t>
        </is>
      </c>
      <c r="O87" s="0" t="inlineStr">
        <is>
          <t>ข้อสอบจริง</t>
        </is>
      </c>
      <c r="P87" s="0" t="inlineStr">
        <is>
          <t>ชุด 1</t>
        </is>
      </c>
    </row>
    <row r="88">
      <c r="A88" s="0" t="n">
        <v>86</v>
      </c>
      <c r="B88" s="0"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0" t="inlineStr"/>
      <c r="D88" s="0" t="inlineStr">
        <is>
          <t>โรคที่อาจมีผลทำให้ระดับ uric acid สูงขึ้น ได้แก่ เบาหวาน ความดันโลหิตสูง</t>
        </is>
      </c>
      <c r="E88" s="0" t="inlineStr">
        <is>
          <t>หากผู้ป่วยมีอาการปวดข้อ ข้อบวมควรรีบให้ยาลดระดับ uric acid ในเลือด</t>
        </is>
      </c>
      <c r="F88" s="0" t="inlineStr">
        <is>
          <t>การให้ยา aspirin ในขนาด 3 g ต่อวัน มีผลให้ระดับ uric acid ลดลง</t>
        </is>
      </c>
      <c r="G88" s="0" t="inlineStr">
        <is>
          <t>ยา colchicine จะให้ผลการรักษาที่ดีใน 2 วันแรกของ gout attack</t>
        </is>
      </c>
      <c r="H88" s="0" t="inlineStr">
        <is>
          <t>พันธุกรรม มีผลต่อการเกิดโรค</t>
        </is>
      </c>
      <c r="I88" s="0" t="n">
        <v>2</v>
      </c>
      <c r="J88" s="0"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0" t="inlineStr"/>
      <c r="L88" s="0" t="inlineStr">
        <is>
          <t>Gout</t>
        </is>
      </c>
      <c r="M88" s="0" t="inlineStr">
        <is>
          <t>Clinic</t>
        </is>
      </c>
      <c r="N88" s="0" t="inlineStr">
        <is>
          <t>ข้อ 16 ชุด 1 (เฉลยข้อ ข)</t>
        </is>
      </c>
      <c r="O88" s="0" t="inlineStr">
        <is>
          <t>ข้อสอบจริง</t>
        </is>
      </c>
      <c r="P88" s="0" t="inlineStr">
        <is>
          <t>ชุด 1</t>
        </is>
      </c>
    </row>
    <row r="89">
      <c r="A89" s="0" t="n">
        <v>87</v>
      </c>
      <c r="B89" s="0"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0" t="inlineStr"/>
      <c r="D89" s="0" t="inlineStr">
        <is>
          <t>Indomethacin</t>
        </is>
      </c>
      <c r="E89" s="0" t="inlineStr">
        <is>
          <t>Colchicine</t>
        </is>
      </c>
      <c r="F89" s="0" t="inlineStr">
        <is>
          <t>Indomethacin + colchicine</t>
        </is>
      </c>
      <c r="G89" s="0" t="inlineStr">
        <is>
          <t>Colchicine + allopurinol</t>
        </is>
      </c>
      <c r="H89" s="0" t="inlineStr">
        <is>
          <t>Indomethacin + colchicine + allopurinol</t>
        </is>
      </c>
      <c r="I89" s="0" t="n">
        <v>1</v>
      </c>
      <c r="J89" s="0"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0" t="inlineStr"/>
      <c r="L89" s="0" t="inlineStr">
        <is>
          <t>Gout</t>
        </is>
      </c>
      <c r="M89" s="0" t="inlineStr">
        <is>
          <t>Clinic</t>
        </is>
      </c>
      <c r="N89" s="0" t="inlineStr">
        <is>
          <t>ข้อ 17 ชุด 1 (เฉลยข้อ ก)</t>
        </is>
      </c>
      <c r="O89" s="0" t="inlineStr">
        <is>
          <t>ข้อสอบจริง</t>
        </is>
      </c>
      <c r="P89" s="0" t="inlineStr">
        <is>
          <t>ชุด 1</t>
        </is>
      </c>
    </row>
    <row r="90">
      <c r="A90" s="0" t="n">
        <v>88</v>
      </c>
      <c r="B90" s="0"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0" t="inlineStr"/>
      <c r="D90" s="0" t="inlineStr">
        <is>
          <t>Rheumatoid arthritis</t>
        </is>
      </c>
      <c r="E90" s="0" t="inlineStr">
        <is>
          <t>Osteoarthritis</t>
        </is>
      </c>
      <c r="F90" s="0" t="inlineStr">
        <is>
          <t>Acute Gout</t>
        </is>
      </c>
      <c r="G90" s="0" t="inlineStr">
        <is>
          <t>Osteoporosis</t>
        </is>
      </c>
      <c r="H90" s="0" t="inlineStr">
        <is>
          <t>Osteomalacia</t>
        </is>
      </c>
      <c r="I90" s="0" t="n">
        <v>3</v>
      </c>
      <c r="J90" s="0"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0" t="inlineStr"/>
      <c r="L90" s="0" t="inlineStr">
        <is>
          <t>Gout</t>
        </is>
      </c>
      <c r="M90" s="0" t="inlineStr">
        <is>
          <t>Clinic</t>
        </is>
      </c>
      <c r="N90" s="0" t="inlineStr">
        <is>
          <t>ข้อ 18 ชุด 1 (เฉลยข้อ ค)</t>
        </is>
      </c>
      <c r="O90" s="0" t="inlineStr">
        <is>
          <t>ข้อสอบจริง</t>
        </is>
      </c>
      <c r="P90" s="0" t="inlineStr">
        <is>
          <t>ชุด 1</t>
        </is>
      </c>
    </row>
    <row r="91">
      <c r="A91" s="0" t="n">
        <v>89</v>
      </c>
      <c r="B91" s="0"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0" t="inlineStr"/>
      <c r="D91" s="0" t="inlineStr">
        <is>
          <t>เกิดจากการมีภาวะกรดยูริกในเลือดสูง และมีผลึก monosodium glutamate ตกตะกอนในข้อ</t>
        </is>
      </c>
      <c r="E91" s="0" t="inlineStr">
        <is>
          <t>เกิดจากการเสื่อมสภาพของกระดูกอ่อน โดยถูกทำลายจนเกิดการผิดรูปร่างไป</t>
        </is>
      </c>
      <c r="F91" s="0" t="inlineStr">
        <is>
          <t>เกิดจากการอักเสบเรื้อรังของเนื้อเยื่อไขกระดูกและกระดูกอ่อนถูกทำลาย</t>
        </is>
      </c>
      <c r="G91" s="0" t="inlineStr">
        <is>
          <t>เกิดจากโรค autoimmune ทำให้มีปุ่ม tophi เกิดขึ้นบริเวณข้ออักเสบ</t>
        </is>
      </c>
      <c r="H91" s="0" t="inlineStr">
        <is>
          <t>ไม่มีข้อใดถูก</t>
        </is>
      </c>
      <c r="I91" s="0" t="n">
        <v>5</v>
      </c>
      <c r="J91" s="0"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0" t="inlineStr"/>
      <c r="L91" s="0" t="inlineStr">
        <is>
          <t>Gout</t>
        </is>
      </c>
      <c r="M91" s="0" t="inlineStr">
        <is>
          <t>Clinic</t>
        </is>
      </c>
      <c r="N91" s="0" t="inlineStr">
        <is>
          <t>ข้อ 19 ชุด 1 (เฉลยข้อ จ)</t>
        </is>
      </c>
      <c r="O91" s="0" t="inlineStr">
        <is>
          <t>ข้อสอบจริง</t>
        </is>
      </c>
      <c r="P91" s="0" t="inlineStr">
        <is>
          <t>ชุด 1</t>
        </is>
      </c>
    </row>
    <row r="92">
      <c r="A92" s="0" t="n">
        <v>90</v>
      </c>
      <c r="B92" s="0"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0" t="inlineStr"/>
      <c r="D92" s="0" t="inlineStr">
        <is>
          <t>Diuretic</t>
        </is>
      </c>
      <c r="E92" s="0" t="inlineStr">
        <is>
          <t>Salicylates low dose</t>
        </is>
      </c>
      <c r="F92" s="0" t="inlineStr">
        <is>
          <t>Pyrazinamide</t>
        </is>
      </c>
      <c r="G92" s="0" t="inlineStr">
        <is>
          <t>Ethambutol</t>
        </is>
      </c>
      <c r="H92" s="0" t="inlineStr">
        <is>
          <t>ไม่มีข้อใดถูก</t>
        </is>
      </c>
      <c r="I92" s="0" t="n">
        <v>5</v>
      </c>
      <c r="J92" s="0"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0" t="inlineStr"/>
      <c r="L92" s="0" t="inlineStr">
        <is>
          <t>Gout</t>
        </is>
      </c>
      <c r="M92" s="0" t="inlineStr">
        <is>
          <t>Clinic</t>
        </is>
      </c>
      <c r="N92" s="0" t="inlineStr">
        <is>
          <t>ข้อ 20 ชุด 1 (เฉลยข้อ จ)</t>
        </is>
      </c>
      <c r="O92" s="0" t="inlineStr">
        <is>
          <t>ข้อสอบจริง</t>
        </is>
      </c>
      <c r="P92" s="0" t="inlineStr">
        <is>
          <t>ชุด 1</t>
        </is>
      </c>
    </row>
    <row r="93">
      <c r="A93" s="0" t="n">
        <v>91</v>
      </c>
      <c r="B93" s="0"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0" t="inlineStr"/>
      <c r="D93" s="0" t="inlineStr">
        <is>
          <t>Aspirin</t>
        </is>
      </c>
      <c r="E93" s="0" t="inlineStr">
        <is>
          <t>Colchicine</t>
        </is>
      </c>
      <c r="F93" s="0" t="inlineStr">
        <is>
          <t>Indomethacin + colchicine</t>
        </is>
      </c>
      <c r="G93" s="0" t="inlineStr">
        <is>
          <t>Colchicine + allopurinol</t>
        </is>
      </c>
      <c r="H93" s="0" t="inlineStr">
        <is>
          <t>Indomethacin + colchicine+ allopurinol</t>
        </is>
      </c>
      <c r="I93" s="0" t="n">
        <v>2</v>
      </c>
      <c r="J93" s="0"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0" t="inlineStr"/>
      <c r="L93" s="0" t="inlineStr">
        <is>
          <t>Gout</t>
        </is>
      </c>
      <c r="M93" s="0" t="inlineStr">
        <is>
          <t>Clinic</t>
        </is>
      </c>
      <c r="N93" s="0" t="inlineStr">
        <is>
          <t>ข้อ 21 ชุด 1 (เฉลยข้อ ข)</t>
        </is>
      </c>
      <c r="O93" s="0" t="inlineStr">
        <is>
          <t>ข้อสอบจริง</t>
        </is>
      </c>
      <c r="P93" s="0" t="inlineStr">
        <is>
          <t>ชุด 1</t>
        </is>
      </c>
    </row>
    <row r="94">
      <c r="A94" s="0" t="n">
        <v>92</v>
      </c>
      <c r="B94" s="0"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0" t="inlineStr"/>
      <c r="D94" s="0" t="inlineStr">
        <is>
          <t>ตับอักเสบ</t>
        </is>
      </c>
      <c r="E94" s="0" t="inlineStr">
        <is>
          <t>ท้องเสีย</t>
        </is>
      </c>
      <c r="F94" s="0" t="inlineStr">
        <is>
          <t>ปัสสาวะเป็นสีโค้ก</t>
        </is>
      </c>
      <c r="G94" s="0" t="inlineStr">
        <is>
          <t>กดการทำงานของไขกระดูก</t>
        </is>
      </c>
      <c r="H94" s="0" t="inlineStr">
        <is>
          <t>ถูกทุกข้อ</t>
        </is>
      </c>
      <c r="I94" s="0" t="n">
        <v>5</v>
      </c>
      <c r="J94" s="0"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0" t="inlineStr"/>
      <c r="L94" s="0" t="inlineStr">
        <is>
          <t>Gout</t>
        </is>
      </c>
      <c r="M94" s="0" t="inlineStr">
        <is>
          <t>Clinic</t>
        </is>
      </c>
      <c r="N94" s="0" t="inlineStr">
        <is>
          <t>ข้อ 22 ชุด 1 (เฉลยข้อ จ)</t>
        </is>
      </c>
      <c r="O94" s="0" t="inlineStr">
        <is>
          <t>ข้อสอบจริง</t>
        </is>
      </c>
      <c r="P94" s="0" t="inlineStr">
        <is>
          <t>ชุด 1</t>
        </is>
      </c>
    </row>
    <row r="95">
      <c r="A95" s="0" t="n">
        <v>93</v>
      </c>
      <c r="B95" s="0"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0" t="inlineStr"/>
      <c r="D95" s="0" t="inlineStr">
        <is>
          <t>Corticosteroid</t>
        </is>
      </c>
      <c r="E95" s="0" t="inlineStr">
        <is>
          <t>NSAIDs</t>
        </is>
      </c>
      <c r="F95" s="0" t="inlineStr">
        <is>
          <t>Xanthine oxidase inhibitors</t>
        </is>
      </c>
      <c r="G95" s="0" t="inlineStr">
        <is>
          <t>Uricosuric agent</t>
        </is>
      </c>
      <c r="H95" s="0" t="inlineStr">
        <is>
          <t>ถูกทั้งข้อ ค. และ ง.</t>
        </is>
      </c>
      <c r="I95" s="0" t="n">
        <v>5</v>
      </c>
      <c r="J95" s="0"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0" t="inlineStr"/>
      <c r="L95" s="0" t="inlineStr">
        <is>
          <t>Gout</t>
        </is>
      </c>
      <c r="M95" s="0" t="inlineStr">
        <is>
          <t>Clinic</t>
        </is>
      </c>
      <c r="N95" s="0" t="inlineStr">
        <is>
          <t>ข้อ 23 ชุด 1 (เฉลยข้อ จ)</t>
        </is>
      </c>
      <c r="O95" s="0" t="inlineStr">
        <is>
          <t>ข้อสอบจริง</t>
        </is>
      </c>
      <c r="P95" s="0" t="inlineStr">
        <is>
          <t>ชุด 1</t>
        </is>
      </c>
    </row>
    <row r="96">
      <c r="A96" s="0" t="n">
        <v>94</v>
      </c>
      <c r="B96" s="0" t="inlineStr">
        <is>
          <t>ข้อใดกล่าวผิด</t>
        </is>
      </c>
      <c r="C96" s="0" t="inlineStr"/>
      <c r="D96" s="0" t="inlineStr">
        <is>
          <t>Colchicine ออกฤทธิ์ลดการอักเสบของข้อ แต่ไม่มีฤทธิ์ analgesic</t>
        </is>
      </c>
      <c r="E96" s="0" t="inlineStr">
        <is>
          <t>Allopurinol ออกฤทธิ์ลดการสร้างกรดยูริก โดยยับยั้งเอนไซม์ xanthine oxidase</t>
        </is>
      </c>
      <c r="F96" s="0" t="inlineStr">
        <is>
          <t>Probenecid ออกฤทธิ์ยับยั้งการดูดกลับของกรดยูริกที่ท่อไต และเพิ่มการขับออกของกรดยูริกทางไตด้วย</t>
        </is>
      </c>
      <c r="G96" s="0" t="inlineStr">
        <is>
          <t>ข้อ ก. และข้อ ค. กล่าวผิด</t>
        </is>
      </c>
      <c r="H96" s="0" t="inlineStr">
        <is>
          <t>กล่าวถูกทุกข้อ</t>
        </is>
      </c>
      <c r="I96" s="0" t="n">
        <v>1</v>
      </c>
      <c r="J96" s="0"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0" t="inlineStr"/>
      <c r="L96" s="0" t="inlineStr">
        <is>
          <t>Gout</t>
        </is>
      </c>
      <c r="M96" s="0" t="inlineStr">
        <is>
          <t>Clinic</t>
        </is>
      </c>
      <c r="N96" s="0" t="inlineStr">
        <is>
          <t>ข้อ 24 ชุด 1 (เฉลยข้อ ก)</t>
        </is>
      </c>
      <c r="O96" s="0" t="inlineStr">
        <is>
          <t>Mock</t>
        </is>
      </c>
      <c r="P96" s="0" t="inlineStr">
        <is>
          <t>ชุด 1</t>
        </is>
      </c>
    </row>
    <row r="97">
      <c r="A97" s="0" t="n">
        <v>95</v>
      </c>
      <c r="B97" s="0" t="inlineStr">
        <is>
          <t>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เภสัชกรที่ร้านขายยาไม่สามารถจ่ายยาใดต่อไปนี้ให้ผู้ป่วยรายนี้ได้</t>
        </is>
      </c>
      <c r="C97" s="0" t="inlineStr"/>
      <c r="D97" s="0" t="inlineStr">
        <is>
          <t>ยา allopurinol เนื่องจากเป็นยาอันตราย</t>
        </is>
      </c>
      <c r="E97" s="0" t="inlineStr">
        <is>
          <t>ยา colchicine เนื่องจากเป็นยาอันตราย</t>
        </is>
      </c>
      <c r="F97" s="0" t="inlineStr">
        <is>
          <t>ยา etoricoxib เนื่องจากเป็นยาควบคุมพิเศษ</t>
        </is>
      </c>
      <c r="G97" s="0" t="inlineStr">
        <is>
          <t>ยา prednisolone เนื่องจากเป็นยาควบคุมพิเศษ</t>
        </is>
      </c>
      <c r="H97" s="0" t="inlineStr">
        <is>
          <t>เภสัชกรสามารถจ่ายยาได้ทุกข้อ</t>
        </is>
      </c>
      <c r="I97" s="0" t="n">
        <v>4</v>
      </c>
      <c r="J97" s="0"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0" t="inlineStr"/>
      <c r="L97" s="0" t="inlineStr">
        <is>
          <t>Pharmacy Laws &amp; Ethics</t>
        </is>
      </c>
      <c r="M97" s="0" t="inlineStr">
        <is>
          <t>Clinic</t>
        </is>
      </c>
      <c r="N97" s="0" t="inlineStr">
        <is>
          <t>ข้อ 25 ชุด 1 (เฉลยข้อ ง)</t>
        </is>
      </c>
      <c r="O97" s="0" t="inlineStr">
        <is>
          <t>Mock</t>
        </is>
      </c>
      <c r="P97" s="0" t="inlineStr">
        <is>
          <t>ชุด 1</t>
        </is>
      </c>
    </row>
    <row r="98">
      <c r="A98" s="0" t="n">
        <v>96</v>
      </c>
      <c r="B98" s="0"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0" t="inlineStr"/>
      <c r="D98" s="0" t="inlineStr">
        <is>
          <t>SLE</t>
        </is>
      </c>
      <c r="E98" s="0" t="inlineStr">
        <is>
          <t>Gout</t>
        </is>
      </c>
      <c r="F98" s="0" t="inlineStr">
        <is>
          <t>Tendonitis</t>
        </is>
      </c>
      <c r="G98" s="0" t="inlineStr">
        <is>
          <t>Osteoarthritis</t>
        </is>
      </c>
      <c r="H98" s="0" t="inlineStr">
        <is>
          <t>Rheumatoid arthritis</t>
        </is>
      </c>
      <c r="I98" s="0" t="n">
        <v>2</v>
      </c>
      <c r="J98" s="0"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0" t="inlineStr"/>
      <c r="L98" s="0" t="inlineStr">
        <is>
          <t>Gout</t>
        </is>
      </c>
      <c r="M98" s="0" t="inlineStr">
        <is>
          <t>Clinic</t>
        </is>
      </c>
      <c r="N98" s="0" t="inlineStr">
        <is>
          <t>ข้อ 26 ชุด 1 (เฉลยข้อ ข)</t>
        </is>
      </c>
      <c r="O98" s="0" t="inlineStr">
        <is>
          <t>Mock</t>
        </is>
      </c>
      <c r="P98" s="0" t="inlineStr">
        <is>
          <t>ชุด 1</t>
        </is>
      </c>
    </row>
    <row r="99">
      <c r="A99" s="0" t="n">
        <v>97</v>
      </c>
      <c r="B99" s="0"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0" t="inlineStr"/>
      <c r="D99" s="0" t="inlineStr">
        <is>
          <t>ALT (SGPT)</t>
        </is>
      </c>
      <c r="E99" s="0" t="inlineStr">
        <is>
          <t>FBS</t>
        </is>
      </c>
      <c r="F99" s="0" t="inlineStr">
        <is>
          <t>Hct</t>
        </is>
      </c>
      <c r="G99" s="0" t="inlineStr">
        <is>
          <t>BUN</t>
        </is>
      </c>
      <c r="H99" s="0" t="inlineStr">
        <is>
          <t>Uric acid</t>
        </is>
      </c>
      <c r="I99" s="0" t="n">
        <v>5</v>
      </c>
      <c r="J99" s="0"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0" t="inlineStr"/>
      <c r="L99" s="0" t="inlineStr">
        <is>
          <t>Gout</t>
        </is>
      </c>
      <c r="M99" s="0" t="inlineStr">
        <is>
          <t>Clinic</t>
        </is>
      </c>
      <c r="N99" s="0" t="inlineStr">
        <is>
          <t>ข้อ 27 ชุด 1 (เฉลยข้อ จ)</t>
        </is>
      </c>
      <c r="O99" s="0" t="inlineStr">
        <is>
          <t>Mock</t>
        </is>
      </c>
      <c r="P99" s="0" t="inlineStr">
        <is>
          <t>ชุด 1</t>
        </is>
      </c>
    </row>
    <row r="100">
      <c r="A100" s="0" t="n">
        <v>98</v>
      </c>
      <c r="B100" s="0"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0" t="inlineStr"/>
      <c r="D100" s="0" t="inlineStr">
        <is>
          <t>ASA</t>
        </is>
      </c>
      <c r="E100" s="0" t="inlineStr">
        <is>
          <t>Allopurinol</t>
        </is>
      </c>
      <c r="F100" s="0" t="inlineStr">
        <is>
          <t>Colchicine</t>
        </is>
      </c>
      <c r="G100" s="0" t="inlineStr">
        <is>
          <t>Tramadol</t>
        </is>
      </c>
      <c r="H100" s="0" t="inlineStr">
        <is>
          <t>Paracetamol</t>
        </is>
      </c>
      <c r="I100" s="0" t="n">
        <v>1</v>
      </c>
      <c r="J100" s="0"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0" t="inlineStr"/>
      <c r="L100" s="0" t="inlineStr">
        <is>
          <t>Gout</t>
        </is>
      </c>
      <c r="M100" s="0" t="inlineStr">
        <is>
          <t>Clinic</t>
        </is>
      </c>
      <c r="N100" s="0" t="inlineStr">
        <is>
          <t>ข้อ 28 ชุด 1 (เฉลยข้อ ก ข)</t>
        </is>
      </c>
      <c r="O100" s="0" t="inlineStr">
        <is>
          <t>Mock</t>
        </is>
      </c>
      <c r="P100" s="0" t="inlineStr">
        <is>
          <t>ชุด 1</t>
        </is>
      </c>
    </row>
    <row r="101">
      <c r="A101" s="0" t="n">
        <v>99</v>
      </c>
      <c r="B101" s="0"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0" t="inlineStr"/>
      <c r="D101" s="0" t="inlineStr">
        <is>
          <t>ควบคุมน้ำหนัก</t>
        </is>
      </c>
      <c r="E101" s="0" t="inlineStr">
        <is>
          <t>ออกกำลังกายอย่างสม่ำเสมอ</t>
        </is>
      </c>
      <c r="F101" s="0" t="inlineStr">
        <is>
          <t>ควบคุมระดับน้ำตาลในเลือด</t>
        </is>
      </c>
      <c r="G101" s="0" t="inlineStr">
        <is>
          <t>รับประทานสัตว์ปีกแทนสัตว์ใหญ่</t>
        </is>
      </c>
      <c r="H101" s="0" t="inlineStr">
        <is>
          <t>หยุดรับประทานเครื่องในอย่างเคร่งครัด</t>
        </is>
      </c>
      <c r="I101" s="0" t="n">
        <v>5</v>
      </c>
      <c r="J101" s="0"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0" t="inlineStr"/>
      <c r="L101" s="0" t="inlineStr">
        <is>
          <t>Gout</t>
        </is>
      </c>
      <c r="M101" s="0" t="inlineStr">
        <is>
          <t>Clinic</t>
        </is>
      </c>
      <c r="N101" s="0" t="inlineStr">
        <is>
          <t>ข้อ 29 ชุด 1 (เฉลยข้อ จ)</t>
        </is>
      </c>
      <c r="O101" s="0" t="inlineStr">
        <is>
          <t>Mock</t>
        </is>
      </c>
      <c r="P101" s="0" t="inlineStr">
        <is>
          <t>ชุด 1</t>
        </is>
      </c>
    </row>
    <row r="102">
      <c r="A102" s="0" t="n">
        <v>100</v>
      </c>
      <c r="B102" s="0"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0" t="inlineStr"/>
      <c r="D102" s="0" t="inlineStr">
        <is>
          <t>Indomethacin 25 mg 1x3 pc</t>
        </is>
      </c>
      <c r="E102" s="0" t="inlineStr">
        <is>
          <t>Piroxicam 10 mg 1x2 pc</t>
        </is>
      </c>
      <c r="F102" s="0" t="inlineStr">
        <is>
          <t>Naproxen 500 mg 1x2 pc</t>
        </is>
      </c>
      <c r="G102" s="0" t="inlineStr">
        <is>
          <t>Ibuprofen 800 mg 1x4 pc</t>
        </is>
      </c>
      <c r="H102" s="0" t="inlineStr">
        <is>
          <t>Aspirin 500 mg 1x3 pc</t>
        </is>
      </c>
      <c r="I102" s="0" t="n">
        <v>5</v>
      </c>
      <c r="J102" s="0"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0" t="inlineStr"/>
      <c r="L102" s="0" t="inlineStr">
        <is>
          <t>Gout</t>
        </is>
      </c>
      <c r="M102" s="0" t="inlineStr">
        <is>
          <t>Clinic</t>
        </is>
      </c>
      <c r="N102" s="0" t="inlineStr">
        <is>
          <t>ข้อ 30 ชุด 1 (เฉลยข้อ จ)</t>
        </is>
      </c>
      <c r="O102" s="0" t="inlineStr">
        <is>
          <t>Mock</t>
        </is>
      </c>
      <c r="P102" s="0" t="inlineStr">
        <is>
          <t>ชุด 1</t>
        </is>
      </c>
    </row>
    <row r="103">
      <c r="A103" s="0" t="n">
        <v>101</v>
      </c>
      <c r="B103" s="0"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0" t="inlineStr"/>
      <c r="D103" s="0" t="inlineStr">
        <is>
          <t>ยับยั้ง norciceptin</t>
        </is>
      </c>
      <c r="E103" s="0" t="inlineStr">
        <is>
          <t>Inhibit PG</t>
        </is>
      </c>
      <c r="F103" s="0" t="inlineStr">
        <is>
          <t>IL-1 receptor antagonists</t>
        </is>
      </c>
      <c r="G103" s="0" t="inlineStr">
        <is>
          <t>Inhibit INF</t>
        </is>
      </c>
      <c r="H103" s="0" t="inlineStr">
        <is>
          <t>กด PMN ทำให้ไม่สามารถหลั่งสารอักเสบ</t>
        </is>
      </c>
      <c r="I103" s="0" t="n">
        <v>5</v>
      </c>
      <c r="J103" s="0"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0" t="inlineStr"/>
      <c r="L103" s="0" t="inlineStr">
        <is>
          <t>Gout</t>
        </is>
      </c>
      <c r="M103" s="0" t="inlineStr">
        <is>
          <t>Clinic</t>
        </is>
      </c>
      <c r="N103" s="0" t="inlineStr">
        <is>
          <t>ข้อ 31 ชุด 1 (เฉลยข้อ จ)</t>
        </is>
      </c>
      <c r="O103" s="0" t="inlineStr">
        <is>
          <t>Mock</t>
        </is>
      </c>
      <c r="P103" s="0" t="inlineStr">
        <is>
          <t>ชุด 1</t>
        </is>
      </c>
    </row>
    <row r="104">
      <c r="A104" s="0" t="n">
        <v>102</v>
      </c>
      <c r="B104" s="0"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0" t="inlineStr"/>
      <c r="D104" s="0" t="inlineStr">
        <is>
          <t>HMG-CoA reductase inhibitors</t>
        </is>
      </c>
      <c r="E104" s="0" t="inlineStr">
        <is>
          <t>Integrase inhibitors</t>
        </is>
      </c>
      <c r="F104" s="0" t="inlineStr">
        <is>
          <t>Xanthine oxidase inhibitors</t>
        </is>
      </c>
      <c r="G104" s="0" t="inlineStr">
        <is>
          <t>DNA gyrase inhibitors</t>
        </is>
      </c>
      <c r="H104" s="0" t="inlineStr">
        <is>
          <t>Cholinesterase inhibitors</t>
        </is>
      </c>
      <c r="I104" s="0" t="n">
        <v>3</v>
      </c>
      <c r="J104" s="0"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0" t="inlineStr"/>
      <c r="L104" s="0" t="inlineStr">
        <is>
          <t>Gout</t>
        </is>
      </c>
      <c r="M104" s="0" t="inlineStr">
        <is>
          <t>Clinic</t>
        </is>
      </c>
      <c r="N104" s="0" t="inlineStr">
        <is>
          <t>ข้อ 32 ชุด 1 (เฉลยข้อ ค)</t>
        </is>
      </c>
      <c r="O104" s="0" t="inlineStr">
        <is>
          <t>Mock</t>
        </is>
      </c>
      <c r="P104" s="0" t="inlineStr">
        <is>
          <t>ชุด 1</t>
        </is>
      </c>
    </row>
    <row r="105">
      <c r="A105" s="0" t="n">
        <v>103</v>
      </c>
      <c r="B105" s="0"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0" t="inlineStr"/>
      <c r="D105" s="0" t="inlineStr">
        <is>
          <t>รางจืด</t>
        </is>
      </c>
      <c r="E105" s="0" t="inlineStr">
        <is>
          <t>ขมิ้นชัน</t>
        </is>
      </c>
      <c r="F105" s="0" t="inlineStr">
        <is>
          <t>ตรีผลา</t>
        </is>
      </c>
      <c r="G105" s="0" t="inlineStr">
        <is>
          <t>ฟ้าทลายโจร</t>
        </is>
      </c>
      <c r="H105" s="0" t="inlineStr">
        <is>
          <t>เถาวัลย์เปรียง</t>
        </is>
      </c>
      <c r="I105" s="0" t="n">
        <v>5</v>
      </c>
      <c r="J105" s="0"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0" t="inlineStr"/>
      <c r="L105" s="0" t="inlineStr">
        <is>
          <t>Herbal Medicine</t>
        </is>
      </c>
      <c r="M105" s="0" t="inlineStr">
        <is>
          <t>Clinic</t>
        </is>
      </c>
      <c r="N105" s="0" t="inlineStr">
        <is>
          <t>ข้อ 33 ชุด 1 (เฉลยข้อ จ)</t>
        </is>
      </c>
      <c r="O105" s="0" t="inlineStr">
        <is>
          <t>Mock</t>
        </is>
      </c>
      <c r="P105" s="0" t="inlineStr">
        <is>
          <t>ชุด 1</t>
        </is>
      </c>
    </row>
    <row r="106">
      <c r="A106" s="0" t="n">
        <v>104</v>
      </c>
      <c r="B106" s="0"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0" t="inlineStr"/>
      <c r="D106" s="0" t="inlineStr">
        <is>
          <t>Hydrochlorothiazide induced hyponatremia</t>
        </is>
      </c>
      <c r="E106" s="0" t="inlineStr">
        <is>
          <t>ระดับยา colchicine ลดลงเนื่องจากเกิดปฏิกิริยากับ hydrochlorothiazide</t>
        </is>
      </c>
      <c r="F106" s="0" t="inlineStr">
        <is>
          <t>ภาวะแทรกซ้อนจากโรคความดันโลหิตสูง</t>
        </is>
      </c>
      <c r="G106" s="0" t="inlineStr">
        <is>
          <t>การได้รับยา hydrochlorothiazide</t>
        </is>
      </c>
      <c r="H106" s="0" t="inlineStr">
        <is>
          <t>การได้รับยา amiloride</t>
        </is>
      </c>
      <c r="I106" s="0" t="n">
        <v>4</v>
      </c>
      <c r="J106" s="0"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0" t="inlineStr"/>
      <c r="L106" s="0" t="inlineStr">
        <is>
          <t>Gout</t>
        </is>
      </c>
      <c r="M106" s="0" t="inlineStr">
        <is>
          <t>Clinic</t>
        </is>
      </c>
      <c r="N106" s="0" t="inlineStr">
        <is>
          <t>ข้อ 34 ชุด 1 (เฉลยข้อ ง)</t>
        </is>
      </c>
      <c r="O106" s="0" t="inlineStr">
        <is>
          <t>Mock</t>
        </is>
      </c>
      <c r="P106" s="0" t="inlineStr">
        <is>
          <t>ชุด 1</t>
        </is>
      </c>
    </row>
    <row r="107">
      <c r="A107" s="0" t="n">
        <v>105</v>
      </c>
      <c r="B107" s="0" t="inlineStr">
        <is>
          <t>ข้อใดเป็นอาหารที่ผู้ป่วยไม่ควรได้รับมากที่สุด</t>
        </is>
      </c>
      <c r="C107" s="0" t="inlineStr"/>
      <c r="D107" s="0" t="inlineStr">
        <is>
          <t>ต้มยำปลาช่อน</t>
        </is>
      </c>
      <c r="E107" s="0" t="inlineStr">
        <is>
          <t>หมูแดดเดียว</t>
        </is>
      </c>
      <c r="F107" s="0" t="inlineStr">
        <is>
          <t>ตับหวาน</t>
        </is>
      </c>
      <c r="G107" s="0" t="inlineStr">
        <is>
          <t>แกงบวชฟักทอง</t>
        </is>
      </c>
      <c r="H107" s="0" t="inlineStr">
        <is>
          <t>ปลาหมึกย่าง</t>
        </is>
      </c>
      <c r="I107" s="0" t="n">
        <v>3</v>
      </c>
      <c r="J107" s="0"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0" t="inlineStr"/>
      <c r="L107" s="0" t="inlineStr">
        <is>
          <t>Gout</t>
        </is>
      </c>
      <c r="M107" s="0" t="inlineStr">
        <is>
          <t>Clinic</t>
        </is>
      </c>
      <c r="N107" s="0" t="inlineStr">
        <is>
          <t>ข้อ 35 ชุด 1 (เฉลยข้อ ค)</t>
        </is>
      </c>
      <c r="O107" s="0" t="inlineStr">
        <is>
          <t>Mock</t>
        </is>
      </c>
      <c r="P107" s="0" t="inlineStr">
        <is>
          <t>ชุด 1</t>
        </is>
      </c>
    </row>
    <row r="108">
      <c r="A108" s="0" t="n">
        <v>106</v>
      </c>
      <c r="B108" s="0" t="inlineStr">
        <is>
          <t>ข้อใดกล่าวถึง colchicine ถูกต้อง</t>
        </is>
      </c>
      <c r="C108" s="0" t="inlineStr"/>
      <c r="D108" s="0" t="inlineStr">
        <is>
          <t>เป็นยาตัวเลือกรองที่ใช้ในการรักษาโรคเกาท์</t>
        </is>
      </c>
      <c r="E108" s="0" t="inlineStr">
        <is>
          <t>ต้องมีการจำกัดการรับประทานน้ำ</t>
        </is>
      </c>
      <c r="F108" s="0" t="inlineStr">
        <is>
          <t>ห้ามใช้ในสตรีมีครรภ์เด็ดขาด</t>
        </is>
      </c>
      <c r="G108" s="0" t="inlineStr">
        <is>
          <t>มีอันตรกิริยากับยากลุ่ม macrolide</t>
        </is>
      </c>
      <c r="H108" s="0" t="inlineStr">
        <is>
          <t>ไม่ต้องปรับขนาดยาในผู้ป่วยโรคไต</t>
        </is>
      </c>
      <c r="I108" s="0" t="n">
        <v>4</v>
      </c>
      <c r="J108" s="0"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0" t="inlineStr"/>
      <c r="L108" s="0" t="inlineStr">
        <is>
          <t>Gout</t>
        </is>
      </c>
      <c r="M108" s="0" t="inlineStr">
        <is>
          <t>Clinic</t>
        </is>
      </c>
      <c r="N108" s="0" t="inlineStr">
        <is>
          <t>ข้อ 36 ชุด 1 (เฉลยข้อ ง)</t>
        </is>
      </c>
      <c r="O108" s="0" t="inlineStr">
        <is>
          <t>Mock</t>
        </is>
      </c>
      <c r="P108" s="0" t="inlineStr">
        <is>
          <t>ชุด 1</t>
        </is>
      </c>
    </row>
    <row r="109">
      <c r="A109" s="0" t="n">
        <v>107</v>
      </c>
      <c r="B109" s="0" t="inlineStr">
        <is>
          <t>ข้อใดเป็นอาการไม่พึงประสงค์จากยา colchicine ที่พบบ่อยที่สุด</t>
        </is>
      </c>
      <c r="C109" s="0" t="inlineStr"/>
      <c r="D109" s="0" t="inlineStr">
        <is>
          <t>Ototoxicity</t>
        </is>
      </c>
      <c r="E109" s="0" t="inlineStr">
        <is>
          <t>Diarrhea</t>
        </is>
      </c>
      <c r="F109" s="0" t="inlineStr">
        <is>
          <t>Retinopathy</t>
        </is>
      </c>
      <c r="G109" s="0" t="inlineStr">
        <is>
          <t>Peripheral neuritis</t>
        </is>
      </c>
      <c r="H109" s="0" t="inlineStr">
        <is>
          <t>Hepatic impairment</t>
        </is>
      </c>
      <c r="I109" s="0" t="n">
        <v>2</v>
      </c>
      <c r="J109" s="0"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0" t="inlineStr"/>
      <c r="L109" s="0" t="inlineStr">
        <is>
          <t>Gout</t>
        </is>
      </c>
      <c r="M109" s="0" t="inlineStr">
        <is>
          <t>Clinic</t>
        </is>
      </c>
      <c r="N109" s="0" t="inlineStr">
        <is>
          <t>ข้อ 37 ชุด 1 (เฉลยข้อ ข)</t>
        </is>
      </c>
      <c r="O109" s="0" t="inlineStr">
        <is>
          <t>Mock</t>
        </is>
      </c>
      <c r="P109" s="0" t="inlineStr">
        <is>
          <t>ชุด 1</t>
        </is>
      </c>
    </row>
    <row r="110">
      <c r="A110" s="0" t="n">
        <v>108</v>
      </c>
      <c r="B110" s="0" t="inlineStr">
        <is>
          <t>ข้อใดเป็นกลไกทางเภสัชวิทยาของยา allopurinol</t>
        </is>
      </c>
      <c r="C110" s="0" t="inlineStr"/>
      <c r="D110" s="0" t="inlineStr">
        <is>
          <t>ลดการอักเสบ</t>
        </is>
      </c>
      <c r="E110" s="0" t="inlineStr">
        <is>
          <t>เพิ่มการหลั่ง uric acid</t>
        </is>
      </c>
      <c r="F110" s="0" t="inlineStr">
        <is>
          <t>ยับยั้ง xanthine oxidase</t>
        </is>
      </c>
      <c r="G110" s="0" t="inlineStr">
        <is>
          <t>ยับยั้ง macrophage มาบริเวณที่มีการอักเสบ</t>
        </is>
      </c>
      <c r="H110" s="0" t="inlineStr">
        <is>
          <t>เพิ่มการขับ uric acid</t>
        </is>
      </c>
      <c r="I110" s="0" t="n">
        <v>3</v>
      </c>
      <c r="J110" s="0"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0" t="inlineStr"/>
      <c r="L110" s="0" t="inlineStr">
        <is>
          <t>Gout</t>
        </is>
      </c>
      <c r="M110" s="0" t="inlineStr">
        <is>
          <t>Clinic</t>
        </is>
      </c>
      <c r="N110" s="0" t="inlineStr">
        <is>
          <t>ข้อ 38 ชุด 1 (เฉลยข้อ ค)</t>
        </is>
      </c>
      <c r="O110" s="0" t="inlineStr">
        <is>
          <t>Mock</t>
        </is>
      </c>
      <c r="P110" s="0" t="inlineStr">
        <is>
          <t>ชุด 1</t>
        </is>
      </c>
    </row>
    <row r="111">
      <c r="A111" s="0" t="n">
        <v>109</v>
      </c>
      <c r="B111" s="0"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0" t="inlineStr"/>
      <c r="D111" s="0" t="inlineStr">
        <is>
          <t>Ibuprofen</t>
        </is>
      </c>
      <c r="E111" s="0" t="inlineStr">
        <is>
          <t>Diclofenac</t>
        </is>
      </c>
      <c r="F111" s="0" t="inlineStr">
        <is>
          <t>Nimesulide</t>
        </is>
      </c>
      <c r="G111" s="0" t="inlineStr">
        <is>
          <t>Paracetamol</t>
        </is>
      </c>
      <c r="H111" s="0" t="inlineStr">
        <is>
          <t>Aspirin</t>
        </is>
      </c>
      <c r="I111" s="0" t="n">
        <v>3</v>
      </c>
      <c r="J111" s="0"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0" t="inlineStr"/>
      <c r="L111" s="0" t="inlineStr">
        <is>
          <t>Osteoarthritis</t>
        </is>
      </c>
      <c r="M111" s="0" t="inlineStr">
        <is>
          <t>Clinic</t>
        </is>
      </c>
      <c r="N111" s="0" t="inlineStr">
        <is>
          <t>ข้อ 39 ชุด 1 (เฉลยข้อ ค)</t>
        </is>
      </c>
      <c r="O111" s="0" t="inlineStr">
        <is>
          <t>Mock</t>
        </is>
      </c>
      <c r="P111" s="0" t="inlineStr">
        <is>
          <t>ชุด 1</t>
        </is>
      </c>
    </row>
    <row r="112">
      <c r="A112" s="0" t="n">
        <v>110</v>
      </c>
      <c r="B112" s="0"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0" t="inlineStr"/>
      <c r="D112" s="0" t="inlineStr">
        <is>
          <t>รับประทาน paracetamol 3 เม็ด ทุก 4 ชั่วโมง</t>
        </is>
      </c>
      <c r="E112" s="0" t="inlineStr">
        <is>
          <t>เพิ่มยา muscle relaxant ให้แก่ผู้ป่วย</t>
        </is>
      </c>
      <c r="F112" s="0" t="inlineStr">
        <is>
          <t>รับประทาน glucosamine ครั้งละ 2 เม็ด วันละ 3 ครั้ง</t>
        </is>
      </c>
      <c r="G112" s="0" t="inlineStr">
        <is>
          <t>รับประทาน calcium carbonate (1 g) 2 เม็ด ก่อนอาหารเช้า</t>
        </is>
      </c>
      <c r="H112" s="0" t="inlineStr">
        <is>
          <t>ถูวดเจลพริกบริเวณปวด เพื่อให้ยาดูดซึมได้เยอะ</t>
        </is>
      </c>
      <c r="I112" s="0" t="n">
        <v>3</v>
      </c>
      <c r="J112" s="0"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0" t="inlineStr"/>
      <c r="L112" s="0" t="inlineStr">
        <is>
          <t>Osteoarthritis</t>
        </is>
      </c>
      <c r="M112" s="0" t="inlineStr">
        <is>
          <t>Clinic</t>
        </is>
      </c>
      <c r="N112" s="0" t="inlineStr">
        <is>
          <t>ข้อ 40 ชุด 1 (เฉลยข้อ ค)</t>
        </is>
      </c>
      <c r="O112" s="0" t="inlineStr">
        <is>
          <t>Mock</t>
        </is>
      </c>
      <c r="P112" s="0" t="inlineStr">
        <is>
          <t>ชุด 1</t>
        </is>
      </c>
    </row>
    <row r="113">
      <c r="A113" s="0" t="n">
        <v>111</v>
      </c>
      <c r="B113" s="0" t="inlineStr">
        <is>
          <t>ข้อใดที่เภสัชกรไม่ต้องให้คำแนะนำเรื่องการปฏิบัติตัวเกี่ยวกับโรค osteoarthritis</t>
        </is>
      </c>
      <c r="C113" s="0" t="inlineStr"/>
      <c r="D113" s="0" t="inlineStr">
        <is>
          <t>หลีกเลี่ยงนั่งพับเพียบ</t>
        </is>
      </c>
      <c r="E113" s="0" t="inlineStr">
        <is>
          <t>ลดน้ำหนักตัว</t>
        </is>
      </c>
      <c r="F113" s="0" t="inlineStr">
        <is>
          <t>หลีกเลี่ยงการยกของหนัก</t>
        </is>
      </c>
      <c r="G113" s="0" t="inlineStr">
        <is>
          <t>ออกกำลังกายในน้ำ</t>
        </is>
      </c>
      <c r="H113" s="0" t="inlineStr">
        <is>
          <t>หลีกเลี่ยงการรับประทานยอดผัก</t>
        </is>
      </c>
      <c r="I113" s="0" t="n">
        <v>5</v>
      </c>
      <c r="J113" s="0"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0" t="inlineStr"/>
      <c r="L113" s="0" t="inlineStr">
        <is>
          <t>Osteoarthritis</t>
        </is>
      </c>
      <c r="M113" s="0" t="inlineStr">
        <is>
          <t>Clinic</t>
        </is>
      </c>
      <c r="N113" s="0" t="inlineStr">
        <is>
          <t>ข้อ 41 ชุด 1 (เฉลยข้อ จ)</t>
        </is>
      </c>
      <c r="O113" s="0" t="inlineStr">
        <is>
          <t>Mock</t>
        </is>
      </c>
      <c r="P113" s="0" t="inlineStr">
        <is>
          <t>ชุด 1</t>
        </is>
      </c>
    </row>
    <row r="114">
      <c r="A114" s="0" t="n">
        <v>112</v>
      </c>
      <c r="B114" s="0" t="inlineStr">
        <is>
          <t>คำนวณปริมาณ Ca2+ ที่ผู้ป่วยได้รับต่อวัน</t>
        </is>
      </c>
      <c r="C114" s="0" t="inlineStr"/>
      <c r="D114" s="0" t="inlineStr">
        <is>
          <t>40 mg</t>
        </is>
      </c>
      <c r="E114" s="0" t="inlineStr">
        <is>
          <t>80 mg</t>
        </is>
      </c>
      <c r="F114" s="0" t="inlineStr">
        <is>
          <t>400 mg</t>
        </is>
      </c>
      <c r="G114" s="0" t="inlineStr">
        <is>
          <t>800 mg</t>
        </is>
      </c>
      <c r="H114" s="0" t="inlineStr">
        <is>
          <t>2000 mg</t>
        </is>
      </c>
      <c r="I114" s="0" t="n">
        <v>4</v>
      </c>
      <c r="J114" s="0"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0" t="inlineStr"/>
      <c r="L114" s="0" t="inlineStr">
        <is>
          <t>Pharmaceutical Calculations</t>
        </is>
      </c>
      <c r="M114" s="0" t="inlineStr">
        <is>
          <t>Clinic</t>
        </is>
      </c>
      <c r="N114" s="0" t="inlineStr">
        <is>
          <t>ข้อ 42 ชุด 1 (เฉลยข้อ ง)</t>
        </is>
      </c>
      <c r="O114" s="0" t="inlineStr">
        <is>
          <t>Mock</t>
        </is>
      </c>
      <c r="P114" s="0" t="inlineStr">
        <is>
          <t>ชุด 1</t>
        </is>
      </c>
    </row>
    <row r="115">
      <c r="A115" s="0" t="n">
        <v>113</v>
      </c>
      <c r="B115" s="0"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0" t="inlineStr"/>
      <c r="D115" s="0" t="inlineStr">
        <is>
          <t>ข้อฝืดยามเช้า (morning stiffness) อย่างน้อย 1 ชม.</t>
        </is>
      </c>
      <c r="E115" s="0" t="inlineStr">
        <is>
          <t>มี nodule ขึ้นบริเวณข้อที่อักเสบ</t>
        </is>
      </c>
      <c r="F115" s="0" t="inlineStr">
        <is>
          <t>มักเกิดกับข้อใหญ่ๆที่รับน้ำหนักมาก</t>
        </is>
      </c>
      <c r="G115" s="0" t="inlineStr">
        <is>
          <t>อาจพบนิวตตะกอนที่ไตได้ มีข้อเท้าบวม</t>
        </is>
      </c>
      <c r="H115" s="0" t="inlineStr">
        <is>
          <t>อาการปวดเกิดขึ้นที่ข้อเดียวกันทั้งสองข้างของร่างกาย</t>
        </is>
      </c>
      <c r="I115" s="0" t="n">
        <v>2</v>
      </c>
      <c r="J115" s="0"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0" t="inlineStr"/>
      <c r="L115" s="0" t="inlineStr">
        <is>
          <t>Gout</t>
        </is>
      </c>
      <c r="M115" s="0" t="inlineStr">
        <is>
          <t>Clinic</t>
        </is>
      </c>
      <c r="N115" s="0" t="inlineStr">
        <is>
          <t>ข้อ 43 ชุด 1 (เฉลยข้อ ข)</t>
        </is>
      </c>
      <c r="O115" s="0" t="inlineStr">
        <is>
          <t>Mock</t>
        </is>
      </c>
      <c r="P115" s="0" t="inlineStr">
        <is>
          <t>ชุด 1</t>
        </is>
      </c>
    </row>
    <row r="116">
      <c r="A116" s="0" t="n">
        <v>114</v>
      </c>
      <c r="B116" s="0"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0" t="inlineStr"/>
      <c r="D116" s="0" t="inlineStr">
        <is>
          <t>Indomethacin</t>
        </is>
      </c>
      <c r="E116" s="0" t="inlineStr">
        <is>
          <t>Colchicine</t>
        </is>
      </c>
      <c r="F116" s="0" t="inlineStr">
        <is>
          <t>Indomethacin + colchicine</t>
        </is>
      </c>
      <c r="G116" s="0" t="inlineStr">
        <is>
          <t>Colchicine + allopurinol</t>
        </is>
      </c>
      <c r="H116" s="0" t="inlineStr">
        <is>
          <t>Indomethacin + colchicine + allopurinol</t>
        </is>
      </c>
      <c r="I116" s="0" t="n">
        <v>1</v>
      </c>
      <c r="J116" s="0"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0" t="inlineStr"/>
      <c r="L116" s="0" t="inlineStr">
        <is>
          <t>Gout</t>
        </is>
      </c>
      <c r="M116" s="0" t="inlineStr">
        <is>
          <t>Clinic</t>
        </is>
      </c>
      <c r="N116" s="0" t="inlineStr">
        <is>
          <t>ข้อ 44 ชุด 1 (เฉลยข้อ ก ข)</t>
        </is>
      </c>
      <c r="O116" s="0" t="inlineStr">
        <is>
          <t>Mock</t>
        </is>
      </c>
      <c r="P116" s="0" t="inlineStr">
        <is>
          <t>ชุด 1</t>
        </is>
      </c>
    </row>
    <row r="117">
      <c r="A117" s="0" t="n">
        <v>115</v>
      </c>
      <c r="B117" s="0"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0" t="inlineStr"/>
      <c r="D117" s="0" t="inlineStr">
        <is>
          <t>Meloxicam</t>
        </is>
      </c>
      <c r="E117" s="0" t="inlineStr">
        <is>
          <t>Nabumetone</t>
        </is>
      </c>
      <c r="F117" s="0" t="inlineStr">
        <is>
          <t>Loxoprofen</t>
        </is>
      </c>
      <c r="G117" s="0" t="inlineStr">
        <is>
          <t>Celecoxib</t>
        </is>
      </c>
      <c r="H117" s="0" t="inlineStr">
        <is>
          <t>Sulindac</t>
        </is>
      </c>
      <c r="I117" s="0" t="n">
        <v>4</v>
      </c>
      <c r="J117" s="0"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0" t="inlineStr"/>
      <c r="L117" s="0" t="inlineStr">
        <is>
          <t>Gout</t>
        </is>
      </c>
      <c r="M117" s="0" t="inlineStr">
        <is>
          <t>Clinic</t>
        </is>
      </c>
      <c r="N117" s="0" t="inlineStr">
        <is>
          <t>ข้อ 45 ชุด 1 (เฉลยข้อ ง)</t>
        </is>
      </c>
      <c r="O117" s="0" t="inlineStr">
        <is>
          <t>Mock</t>
        </is>
      </c>
      <c r="P117" s="0" t="inlineStr">
        <is>
          <t>ชุด 1</t>
        </is>
      </c>
    </row>
    <row r="118">
      <c r="A118" s="0" t="n">
        <v>116</v>
      </c>
      <c r="B118" s="0" t="inlineStr">
        <is>
          <t>การออกกำลังกายประเภทใดที่เหมาะสมสำหรับผู้ป่วยรายนี้</t>
        </is>
      </c>
      <c r="C118" s="0" t="inlineStr"/>
      <c r="D118" s="0" t="inlineStr">
        <is>
          <t>เทนนิส</t>
        </is>
      </c>
      <c r="E118" s="0" t="inlineStr">
        <is>
          <t>รักบี้</t>
        </is>
      </c>
      <c r="F118" s="0" t="inlineStr">
        <is>
          <t>จ็อกกิ้ง</t>
        </is>
      </c>
      <c r="G118" s="0" t="inlineStr">
        <is>
          <t>บาสเกตบอล</t>
        </is>
      </c>
      <c r="H118" s="0" t="inlineStr">
        <is>
          <t>ยิมนาสติก</t>
        </is>
      </c>
      <c r="I118" s="0" t="n">
        <v>1</v>
      </c>
      <c r="J118" s="0"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0" t="inlineStr"/>
      <c r="L118" s="0" t="inlineStr">
        <is>
          <t>Gout</t>
        </is>
      </c>
      <c r="M118" s="0" t="inlineStr">
        <is>
          <t>Clinic</t>
        </is>
      </c>
      <c r="N118" s="0" t="inlineStr">
        <is>
          <t>ข้อ 46 ชุด 1 (เฉลยข้อ )</t>
        </is>
      </c>
      <c r="O118" s="0" t="inlineStr">
        <is>
          <t>Mock</t>
        </is>
      </c>
      <c r="P118" s="0" t="inlineStr">
        <is>
          <t>ชุด 1</t>
        </is>
      </c>
    </row>
    <row r="119">
      <c r="A119" s="0" t="n">
        <v>117</v>
      </c>
      <c r="B119" s="0" t="inlineStr">
        <is>
          <t>อาหารประเภทใดที่เหมาะแก่ผู้ป่วยรายนี้</t>
        </is>
      </c>
      <c r="C119" s="0" t="inlineStr"/>
      <c r="D119" s="0" t="inlineStr">
        <is>
          <t>ปีกไก่เหล้าแดง</t>
        </is>
      </c>
      <c r="E119" s="0" t="inlineStr">
        <is>
          <t>ยอดมะพร้าวผัดกุ้ง</t>
        </is>
      </c>
      <c r="F119" s="0" t="inlineStr">
        <is>
          <t>ซุปหน่อไม้</t>
        </is>
      </c>
      <c r="G119" s="0" t="inlineStr">
        <is>
          <t>แกงจืดเต้าหู้หมูสับ</t>
        </is>
      </c>
      <c r="H119" s="0" t="inlineStr">
        <is>
          <t>เกาเหลาเครื่องในหมู</t>
        </is>
      </c>
      <c r="I119" s="0" t="n">
        <v>4</v>
      </c>
      <c r="J119" s="0"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0" t="inlineStr"/>
      <c r="L119" s="0" t="inlineStr">
        <is>
          <t>Gout</t>
        </is>
      </c>
      <c r="M119" s="0" t="inlineStr">
        <is>
          <t>Clinic</t>
        </is>
      </c>
      <c r="N119" s="0" t="inlineStr">
        <is>
          <t>ข้อ 47 ชุด 1 (เฉลยข้อ ง)</t>
        </is>
      </c>
      <c r="O119" s="0" t="inlineStr">
        <is>
          <t>Mock</t>
        </is>
      </c>
      <c r="P119" s="0" t="inlineStr">
        <is>
          <t>ชุด 1</t>
        </is>
      </c>
    </row>
    <row r="120">
      <c r="A120" s="0" t="n">
        <v>118</v>
      </c>
      <c r="B120" s="0"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0" t="inlineStr"/>
      <c r="D120" s="0" t="inlineStr">
        <is>
          <t>Gouty arthritis</t>
        </is>
      </c>
      <c r="E120" s="0" t="inlineStr">
        <is>
          <t>Rheumatoid arthritis</t>
        </is>
      </c>
      <c r="F120" s="0" t="inlineStr">
        <is>
          <t>Osteoarthritis</t>
        </is>
      </c>
      <c r="G120" s="0" t="inlineStr">
        <is>
          <t>Osteoporosis</t>
        </is>
      </c>
      <c r="H120" s="0" t="inlineStr">
        <is>
          <t>Osteopenia</t>
        </is>
      </c>
      <c r="I120" s="0" t="n">
        <v>2</v>
      </c>
      <c r="J120" s="0"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0" t="inlineStr"/>
      <c r="L120" s="0" t="inlineStr">
        <is>
          <t>Rheumatoid Arthritis</t>
        </is>
      </c>
      <c r="M120" s="0" t="inlineStr">
        <is>
          <t>Clinic</t>
        </is>
      </c>
      <c r="N120" s="0" t="inlineStr">
        <is>
          <t>ข้อ 48 ชุด 1 (เฉลยข้อ ค)</t>
        </is>
      </c>
      <c r="O120" s="0" t="inlineStr">
        <is>
          <t>Mock</t>
        </is>
      </c>
      <c r="P120" s="0" t="inlineStr">
        <is>
          <t>ชุด 1</t>
        </is>
      </c>
    </row>
    <row r="121">
      <c r="A121" s="0" t="n">
        <v>119</v>
      </c>
      <c r="B121" s="0"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0" t="inlineStr"/>
      <c r="D121" s="0" t="inlineStr">
        <is>
          <t>Paracetamol</t>
        </is>
      </c>
      <c r="E121" s="0" t="inlineStr">
        <is>
          <t>Colchicine</t>
        </is>
      </c>
      <c r="F121" s="0" t="inlineStr">
        <is>
          <t>Prednisolone</t>
        </is>
      </c>
      <c r="G121" s="0" t="inlineStr">
        <is>
          <t>Ibuprofen</t>
        </is>
      </c>
      <c r="H121" s="0" t="inlineStr">
        <is>
          <t>Methotrexate</t>
        </is>
      </c>
      <c r="I121" s="0" t="n">
        <v>5</v>
      </c>
      <c r="J121" s="0"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0" t="inlineStr"/>
      <c r="L121" s="0" t="inlineStr">
        <is>
          <t>Rheumatoid Arthritis</t>
        </is>
      </c>
      <c r="M121" s="0" t="inlineStr">
        <is>
          <t>Clinic</t>
        </is>
      </c>
      <c r="N121" s="0" t="inlineStr">
        <is>
          <t>ข้อ 49 ชุด 1 (เฉลยข้อ ก)</t>
        </is>
      </c>
      <c r="O121" s="0" t="inlineStr">
        <is>
          <t>Mock</t>
        </is>
      </c>
      <c r="P121" s="0" t="inlineStr">
        <is>
          <t>ชุด 1</t>
        </is>
      </c>
    </row>
    <row r="122">
      <c r="A122" s="0" t="n">
        <v>120</v>
      </c>
      <c r="B122" s="0"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0" t="inlineStr"/>
      <c r="D122" s="0" t="inlineStr">
        <is>
          <t>Sulfasalazine</t>
        </is>
      </c>
      <c r="E122" s="0" t="inlineStr">
        <is>
          <t>Auranofin</t>
        </is>
      </c>
      <c r="F122" s="0" t="inlineStr">
        <is>
          <t>Celecoxib</t>
        </is>
      </c>
      <c r="G122" s="0" t="inlineStr">
        <is>
          <t>Glucosamine</t>
        </is>
      </c>
      <c r="H122" s="0" t="inlineStr">
        <is>
          <t>Allopurinol</t>
        </is>
      </c>
      <c r="I122" s="0" t="n">
        <v>1</v>
      </c>
      <c r="J122" s="0"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0" t="inlineStr"/>
      <c r="L122" s="0" t="inlineStr">
        <is>
          <t>Rheumatoid Arthritis</t>
        </is>
      </c>
      <c r="M122" s="0" t="inlineStr">
        <is>
          <t>Clinic</t>
        </is>
      </c>
      <c r="N122" s="0" t="inlineStr">
        <is>
          <t>ข้อ 50 ชุด 1 (เฉลยข้อ ค)</t>
        </is>
      </c>
      <c r="O122" s="0" t="inlineStr">
        <is>
          <t>Mock</t>
        </is>
      </c>
      <c r="P122" s="0" t="inlineStr">
        <is>
          <t>ชุด 1</t>
        </is>
      </c>
    </row>
    <row r="123">
      <c r="A123" s="0" t="n">
        <v>121</v>
      </c>
      <c r="B123" s="0" t="inlineStr">
        <is>
          <t>ยาในข้อใดใช้ชะลอการเสื่อมของกระดูกและข้อ</t>
        </is>
      </c>
      <c r="C123" s="0" t="inlineStr"/>
      <c r="D123" s="0" t="inlineStr">
        <is>
          <t>Estrogen</t>
        </is>
      </c>
      <c r="E123" s="0" t="inlineStr">
        <is>
          <t>Methotrexate</t>
        </is>
      </c>
      <c r="F123" s="0" t="inlineStr">
        <is>
          <t>Paracetamol</t>
        </is>
      </c>
      <c r="G123" s="0" t="inlineStr">
        <is>
          <t>Glucosamine</t>
        </is>
      </c>
      <c r="H123" s="0" t="inlineStr">
        <is>
          <t>Probenecid</t>
        </is>
      </c>
      <c r="I123" s="0" t="n">
        <v>4</v>
      </c>
      <c r="J123" s="0"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0" t="inlineStr"/>
      <c r="L123" s="0" t="inlineStr">
        <is>
          <t>Osteoarthritis</t>
        </is>
      </c>
      <c r="M123" s="0" t="inlineStr">
        <is>
          <t>Clinic</t>
        </is>
      </c>
      <c r="N123" s="0" t="inlineStr">
        <is>
          <t>ข้อ 51 ชุด 1 (เฉลยข้อ ง)</t>
        </is>
      </c>
      <c r="O123" s="0" t="inlineStr">
        <is>
          <t>Mock</t>
        </is>
      </c>
      <c r="P123" s="0" t="inlineStr">
        <is>
          <t>ชุด 1</t>
        </is>
      </c>
    </row>
    <row r="124">
      <c r="A124" s="0" t="n">
        <v>122</v>
      </c>
      <c r="B124" s="0"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0" t="inlineStr"/>
      <c r="D124" s="0" t="inlineStr">
        <is>
          <t>Ibuprofen</t>
        </is>
      </c>
      <c r="E124" s="0" t="inlineStr">
        <is>
          <t>Diclofenac</t>
        </is>
      </c>
      <c r="F124" s="0" t="inlineStr">
        <is>
          <t>Nimesulide</t>
        </is>
      </c>
      <c r="G124" s="0" t="inlineStr">
        <is>
          <t>Paracetamol</t>
        </is>
      </c>
      <c r="H124" s="0" t="inlineStr">
        <is>
          <t>Aspirin</t>
        </is>
      </c>
      <c r="I124" s="0" t="n">
        <v>3</v>
      </c>
      <c r="J124" s="0"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0" t="inlineStr"/>
      <c r="L124" s="0" t="inlineStr">
        <is>
          <t>Osteoarthritis</t>
        </is>
      </c>
      <c r="M124" s="0" t="inlineStr">
        <is>
          <t>Clinic</t>
        </is>
      </c>
      <c r="N124" s="0" t="inlineStr">
        <is>
          <t>ข้อ 52 ชุด 1 (เฉลยข้อ ค)</t>
        </is>
      </c>
      <c r="O124" s="0" t="inlineStr">
        <is>
          <t>Mock</t>
        </is>
      </c>
      <c r="P124" s="0" t="inlineStr">
        <is>
          <t>ชุด 1</t>
        </is>
      </c>
    </row>
    <row r="125">
      <c r="A125" s="0" t="n">
        <v>123</v>
      </c>
      <c r="B125" s="0"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0" t="inlineStr"/>
      <c r="D125" s="0" t="inlineStr">
        <is>
          <t>รับประทาน Paracetamol 3 เม็ด ทุก 4 ชั่วโมง</t>
        </is>
      </c>
      <c r="E125" s="0" t="inlineStr">
        <is>
          <t>เพิ่มยา muscle relaxant ให้แก่ผู้ป่วย</t>
        </is>
      </c>
      <c r="F125" s="0" t="inlineStr">
        <is>
          <t>รับประทาน Glucosamine ครั้งละ 2 เม็ด วันละ 3 ครั้ง</t>
        </is>
      </c>
      <c r="G125" s="0" t="inlineStr">
        <is>
          <t>รับประทาน Calcium carbonate (1 g) 2 เม็ด ก่อนอาหารเช้า</t>
        </is>
      </c>
      <c r="H125" s="0" t="inlineStr">
        <is>
          <t>ถูนวดเจลพริกบริเวณปวด เพื่อให้ยาดูดซึมได้เยอะ</t>
        </is>
      </c>
      <c r="I125" s="0" t="n">
        <v>3</v>
      </c>
      <c r="J125" s="0"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0" t="inlineStr"/>
      <c r="L125" s="0" t="inlineStr">
        <is>
          <t>Osteoarthritis</t>
        </is>
      </c>
      <c r="M125" s="0" t="inlineStr">
        <is>
          <t>Clinic</t>
        </is>
      </c>
      <c r="N125" s="0" t="inlineStr">
        <is>
          <t>ข้อ 53 ชุด 1 (เฉลยข้อ ค)</t>
        </is>
      </c>
      <c r="O125" s="0" t="inlineStr">
        <is>
          <t>Mock</t>
        </is>
      </c>
      <c r="P125" s="0" t="inlineStr">
        <is>
          <t>ชุด 1</t>
        </is>
      </c>
    </row>
    <row r="126">
      <c r="A126" s="0" t="n">
        <v>124</v>
      </c>
      <c r="B126" s="0" t="inlineStr">
        <is>
          <t>ข้อใดที่เภสัชกรไม่ต้องให้คำแนะนำเรื่องการปฏิบัติตัวเกี่ยวกับโรค osteoarthritis</t>
        </is>
      </c>
      <c r="C126" s="0" t="inlineStr"/>
      <c r="D126" s="0" t="inlineStr">
        <is>
          <t>หลีกเลี่ยงนั่งพับเพียบ</t>
        </is>
      </c>
      <c r="E126" s="0" t="inlineStr">
        <is>
          <t>ลดน้ำหนักตัว</t>
        </is>
      </c>
      <c r="F126" s="0" t="inlineStr">
        <is>
          <t>หลีกเลี่ยงการยกของหนัก</t>
        </is>
      </c>
      <c r="G126" s="0" t="inlineStr">
        <is>
          <t>ออกกำลังกายในน้ำ</t>
        </is>
      </c>
      <c r="H126" s="0" t="inlineStr">
        <is>
          <t>หลีกเลี่ยงการรับประทานยอดผัก</t>
        </is>
      </c>
      <c r="I126" s="0" t="n">
        <v>5</v>
      </c>
      <c r="J126" s="0"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0" t="inlineStr"/>
      <c r="L126" s="0" t="inlineStr">
        <is>
          <t>Osteoarthritis</t>
        </is>
      </c>
      <c r="M126" s="0" t="inlineStr">
        <is>
          <t>Clinic</t>
        </is>
      </c>
      <c r="N126" s="0" t="inlineStr">
        <is>
          <t>ข้อ 54 ชุด 1 (เฉลยข้อ จ)</t>
        </is>
      </c>
      <c r="O126" s="0" t="inlineStr">
        <is>
          <t>Mock</t>
        </is>
      </c>
      <c r="P126" s="0" t="inlineStr">
        <is>
          <t>ชุด 1</t>
        </is>
      </c>
    </row>
    <row r="127">
      <c r="A127" s="0" t="n">
        <v>125</v>
      </c>
      <c r="B127" s="0"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0" t="inlineStr"/>
      <c r="D127" s="0" t="inlineStr">
        <is>
          <t>Etoricoxib</t>
        </is>
      </c>
      <c r="E127" s="0" t="inlineStr">
        <is>
          <t>Ibuprofen</t>
        </is>
      </c>
      <c r="F127" s="0" t="inlineStr">
        <is>
          <t>Diclofenac</t>
        </is>
      </c>
      <c r="G127" s="0" t="inlineStr">
        <is>
          <t>Aspirin</t>
        </is>
      </c>
      <c r="H127" s="0" t="inlineStr">
        <is>
          <t>Piroxicam</t>
        </is>
      </c>
      <c r="I127" s="0" t="n">
        <v>1</v>
      </c>
      <c r="J127" s="0"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0" t="inlineStr"/>
      <c r="L127" s="0" t="inlineStr">
        <is>
          <t>Osteoarthritis</t>
        </is>
      </c>
      <c r="M127" s="0" t="inlineStr">
        <is>
          <t>Clinic</t>
        </is>
      </c>
      <c r="N127" s="0" t="inlineStr">
        <is>
          <t>ข้อ 55 ชุด 1 (เฉลยข้อ ก)</t>
        </is>
      </c>
      <c r="O127" s="0" t="inlineStr">
        <is>
          <t>Mock</t>
        </is>
      </c>
      <c r="P127" s="0" t="inlineStr">
        <is>
          <t>ชุด 1</t>
        </is>
      </c>
    </row>
    <row r="128">
      <c r="A128" s="0" t="n">
        <v>126</v>
      </c>
      <c r="B128" s="0" t="inlineStr">
        <is>
          <t>ข้อใดจัดเป็นยาหรือผลิตภัณฑ์เสริมอาหารในกลุ่มชะลอความเสื่อมสลายของกระดูกอ่อน</t>
        </is>
      </c>
      <c r="C128" s="0" t="inlineStr"/>
      <c r="D128" s="0" t="inlineStr">
        <is>
          <t>Glucosamine sulfate</t>
        </is>
      </c>
      <c r="E128" s="0" t="inlineStr">
        <is>
          <t>Hydroxychloroquine</t>
        </is>
      </c>
      <c r="F128" s="0" t="inlineStr">
        <is>
          <t>Auranofin</t>
        </is>
      </c>
      <c r="G128" s="0" t="inlineStr">
        <is>
          <t>Prednisolone</t>
        </is>
      </c>
      <c r="H128" s="0" t="inlineStr">
        <is>
          <t>Methotrexate</t>
        </is>
      </c>
      <c r="I128" s="0" t="n">
        <v>1</v>
      </c>
      <c r="J128" s="0"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0" t="inlineStr"/>
      <c r="L128" s="0" t="inlineStr">
        <is>
          <t>Osteoarthritis</t>
        </is>
      </c>
      <c r="M128" s="0" t="inlineStr">
        <is>
          <t>Clinic</t>
        </is>
      </c>
      <c r="N128" s="0" t="inlineStr">
        <is>
          <t>ข้อ 56 ชุด 1 (เฉลยข้อ ก)</t>
        </is>
      </c>
      <c r="O128" s="0" t="inlineStr">
        <is>
          <t>Mock</t>
        </is>
      </c>
      <c r="P128" s="0" t="inlineStr">
        <is>
          <t>ชุด 1</t>
        </is>
      </c>
    </row>
    <row r="129">
      <c r="A129" s="0" t="n">
        <v>127</v>
      </c>
      <c r="B129" s="0"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0" t="inlineStr"/>
      <c r="D129" s="0" t="inlineStr">
        <is>
          <t>Raloxifene จัดเป็นยากลุ่ม pure estrogen antagonist ชนิด 2nd generation</t>
        </is>
      </c>
      <c r="E129" s="0" t="inlineStr">
        <is>
          <t>Raloxifene มีฤทธิ์ estrogenic ที่กระดูก และเมแทบอลิซึมของไขมัน</t>
        </is>
      </c>
      <c r="F129" s="0" t="inlineStr">
        <is>
          <t>ฤทธิ์ antiestrogenic ของ raloxifene พบที่เต้านมและเยื่อบุโพรงมดลูก</t>
        </is>
      </c>
      <c r="G129" s="0" t="inlineStr">
        <is>
          <t>Tamoxifen มีฤทธิ์กระตุ้นการเจริญเติบโตของเยื่อบุโพรงมดลูกแตกต่างกับ raloxifene ที่ไม่มีฤทธิ์นี้</t>
        </is>
      </c>
      <c r="H129" s="0" t="inlineStr">
        <is>
          <t>ไม่ควรใช้ raloxifene ในสตรีที่ยังไม่หมดประจำเดือน</t>
        </is>
      </c>
      <c r="I129" s="0" t="n">
        <v>1</v>
      </c>
      <c r="J129" s="0"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0" t="inlineStr"/>
      <c r="L129" s="0" t="inlineStr">
        <is>
          <t>Osteoporosis</t>
        </is>
      </c>
      <c r="M129" s="0" t="inlineStr">
        <is>
          <t>Clinic</t>
        </is>
      </c>
      <c r="N129" s="0" t="inlineStr">
        <is>
          <t>ข้อ 57 ชุด 1 (เฉลยข้อ ก)</t>
        </is>
      </c>
      <c r="O129" s="0" t="inlineStr">
        <is>
          <t>Mock</t>
        </is>
      </c>
      <c r="P129" s="0" t="inlineStr">
        <is>
          <t>ชุด 1</t>
        </is>
      </c>
    </row>
    <row r="130">
      <c r="A130" s="0" t="n">
        <v>128</v>
      </c>
      <c r="B130" s="0" t="inlineStr">
        <is>
          <t>ข้อใดต่อไปนี้ไม่ได้อธิบายกลไกการออกฤทธิ์ของ raloxifene ต่อกระดูก</t>
        </is>
      </c>
      <c r="C130" s="0" t="inlineStr"/>
      <c r="D130" s="0" t="inlineStr">
        <is>
          <t>Raloxifene มีกลไการออกฤทธิ์ต่อกระดูกคล้าย estrogen</t>
        </is>
      </c>
      <c r="E130" s="0" t="inlineStr">
        <is>
          <t>เข้าใจว่า raloxifene ออกฤทธิ์โดยเพิ่มการแสดงออกของยีน TGF-3 ซึ่งมีผลต่อจำนวนของเซลล์สลายกระดูก</t>
        </is>
      </c>
      <c r="F130" s="0"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0" t="inlineStr">
        <is>
          <t>Raloxifene ออกฤทธิ์โดยการจับกับ estrogen receptor แล้วมีผลต่อการแสดงออกของยีน</t>
        </is>
      </c>
      <c r="H130" s="0" t="inlineStr">
        <is>
          <t>AP-1 pathway เป็น pathway หนึ่งที่ใช้อธิบายการออกฤทธิ์แบบ estrogen agonist ของ raloxifene</t>
        </is>
      </c>
      <c r="I130" s="0" t="n">
        <v>3</v>
      </c>
      <c r="J130" s="0"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0" t="inlineStr"/>
      <c r="L130" s="0" t="inlineStr">
        <is>
          <t>Osteoporosis</t>
        </is>
      </c>
      <c r="M130" s="0" t="inlineStr">
        <is>
          <t>Clinic</t>
        </is>
      </c>
      <c r="N130" s="0" t="inlineStr">
        <is>
          <t>ข้อ 58 ชุด 1 (เฉลยข้อ ข)</t>
        </is>
      </c>
      <c r="O130" s="0" t="inlineStr">
        <is>
          <t>Mock</t>
        </is>
      </c>
      <c r="P130" s="0" t="inlineStr">
        <is>
          <t>ชุด 1</t>
        </is>
      </c>
    </row>
    <row r="131">
      <c r="A131" s="0" t="n">
        <v>129</v>
      </c>
      <c r="B131" s="0" t="inlineStr">
        <is>
          <t>ข้อใดต่อไปนี้ถูกต้อง</t>
        </is>
      </c>
      <c r="C131" s="0" t="inlineStr"/>
      <c r="D131" s="0" t="inlineStr">
        <is>
          <t>ข้อดีของ raloxifene เมื่อเปรียบเทียบกับการใช้ HRT คือ raloxifene ใช้ในคนไข้ที่มีประวัติเป็น/กำลังเป็นโรคหลอดเลือดอุดตันได้</t>
        </is>
      </c>
      <c r="E131" s="0" t="inlineStr">
        <is>
          <t>ฤทธิ์ข้างเคียงที่อาจพบได้จากการใช้ raloxifene คือ อาการร้อนวูบวาบ เป็นตะคริวที่ขา</t>
        </is>
      </c>
      <c r="F131" s="0"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0" t="inlineStr">
        <is>
          <t>ให้รับประทาน raloxifene ตอนท้องว่าง เพื่อไม่ให้การดูดซึมถูกรบกวนจากอาหาร</t>
        </is>
      </c>
      <c r="H131" s="0" t="inlineStr">
        <is>
          <t>Raloxifene มีผลเพิ่ม BMD และลดอุบัติการณ์ของการเกิด vertebral &amp; hip fractures ได้อย่างชัดเจนคล้ายกับ estrogen</t>
        </is>
      </c>
      <c r="I131" s="0" t="n">
        <v>2</v>
      </c>
      <c r="J131" s="0"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0" t="inlineStr"/>
      <c r="L131" s="0" t="inlineStr">
        <is>
          <t>Osteoporosis</t>
        </is>
      </c>
      <c r="M131" s="0" t="inlineStr">
        <is>
          <t>Clinic</t>
        </is>
      </c>
      <c r="N131" s="0" t="inlineStr">
        <is>
          <t>ข้อ 59 ชุด 1 (เฉลยข้อ ข)</t>
        </is>
      </c>
      <c r="O131" s="0" t="inlineStr">
        <is>
          <t>Mock</t>
        </is>
      </c>
      <c r="P131" s="0" t="inlineStr">
        <is>
          <t>ชุด 1</t>
        </is>
      </c>
    </row>
    <row r="132">
      <c r="A132" s="0" t="n">
        <v>130</v>
      </c>
      <c r="B132" s="0"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0" t="inlineStr"/>
      <c r="D132" s="0"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0" t="inlineStr">
        <is>
          <t>รับประทานกับน้ำเปล่าเท่านั้น ห้ามรับประทานร่วมกับผลไม้ นม หรือ เครื่องดื่ม ใดๆนอกจากน้ำเปล่า</t>
        </is>
      </c>
      <c r="F132" s="0" t="inlineStr">
        <is>
          <t>ไม่เอนตัวหรือนอนขณะรับประทานยา หรือหลังรับประทานยาไม่เกิน 30 นาที</t>
        </is>
      </c>
      <c r="G132" s="0" t="inlineStr">
        <is>
          <t>ให้รับประทาน alendronate และยาเม็ดแคลเซียมพร้อม ๆ กัน</t>
        </is>
      </c>
      <c r="H132" s="0" t="inlineStr">
        <is>
          <t>ถ้ามีอาการกลืนอาหารลำบาก ปวดท้อง ให้กลับไปพบแพทย์</t>
        </is>
      </c>
      <c r="I132" s="0" t="n">
        <v>4</v>
      </c>
      <c r="J132" s="0"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0" t="inlineStr"/>
      <c r="L132" s="0" t="inlineStr">
        <is>
          <t>Osteoporosis</t>
        </is>
      </c>
      <c r="M132" s="0" t="inlineStr">
        <is>
          <t>Clinic</t>
        </is>
      </c>
      <c r="N132" s="0" t="inlineStr">
        <is>
          <t>ข้อ 60 ชุด 1 (เฉลยข้อ ง)</t>
        </is>
      </c>
      <c r="O132" s="0" t="inlineStr">
        <is>
          <t>Mock</t>
        </is>
      </c>
      <c r="P132" s="0" t="inlineStr">
        <is>
          <t>ชุด 1</t>
        </is>
      </c>
    </row>
    <row r="133">
      <c r="A133" s="0" t="n">
        <v>131</v>
      </c>
      <c r="B133" s="0" t="inlineStr">
        <is>
          <t>ข้อใดต่อไปนี้ไม่ถูกต้อง</t>
        </is>
      </c>
      <c r="C133" s="0" t="inlineStr"/>
      <c r="D133" s="0" t="inlineStr">
        <is>
          <t>Alendronate จัดเป็นกลุ่มยาในกลุ่ม 2nd generation bisphosphonates ที่มีความแรงน้อยกว่า risedronate ซึ่งเป็น 3rd generation bisphosphonates</t>
        </is>
      </c>
      <c r="E133" s="0" t="inlineStr">
        <is>
          <t>ในรายที่มี severe osteoporosis เมื่อใช้ HRT แล้ว BMD เพิ่มขึ้นน้อยมาก อาจให้ร่วมกับ bisphosphonates ตัวใดตัวหนึ่ง จะช่วยเพิ่ม BMD เพิ่มมากขึ้น</t>
        </is>
      </c>
      <c r="F133" s="0" t="inlineStr">
        <is>
          <t>ยาในกลุ่ม bisphosphonates ที่มีข้อบ่งใช้ในการป้องกันและรักษา osteoporosis ปัจจุบันที่ใช้อยู่มี 2 ตัว คือ alendronate และ risedronate</t>
        </is>
      </c>
      <c r="G133" s="0"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0" t="inlineStr">
        <is>
          <t>bisphosphonates มีกลไกการออกฤทธิ์คล้ายกับ estrogen คือ เพิ่ม apoptosis ของ Osteoclast โดยการเพิ่ม transcription ของ TGF-β3</t>
        </is>
      </c>
      <c r="I133" s="0" t="n">
        <v>5</v>
      </c>
      <c r="J133" s="0"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0" t="inlineStr"/>
      <c r="L133" s="0" t="inlineStr">
        <is>
          <t>Osteoporosis</t>
        </is>
      </c>
      <c r="M133" s="0" t="inlineStr">
        <is>
          <t>Clinic</t>
        </is>
      </c>
      <c r="N133" s="0" t="inlineStr">
        <is>
          <t>ข้อ 61 ชุด 1 (เฉลยข้อ ก)</t>
        </is>
      </c>
      <c r="O133" s="0" t="inlineStr">
        <is>
          <t>Mock</t>
        </is>
      </c>
      <c r="P133" s="0" t="inlineStr">
        <is>
          <t>ชุด 1</t>
        </is>
      </c>
    </row>
    <row r="134">
      <c r="A134" s="0" t="n">
        <v>132</v>
      </c>
      <c r="B134" s="0"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0" t="inlineStr"/>
      <c r="D134" s="0" t="inlineStr">
        <is>
          <t>Ibuprofen</t>
        </is>
      </c>
      <c r="E134" s="0" t="inlineStr">
        <is>
          <t>Diclofenac</t>
        </is>
      </c>
      <c r="F134" s="0" t="inlineStr">
        <is>
          <t>Celecoxib</t>
        </is>
      </c>
      <c r="G134" s="0" t="inlineStr">
        <is>
          <t>Tolperisone</t>
        </is>
      </c>
      <c r="H134" s="0" t="inlineStr">
        <is>
          <t>Naproxen</t>
        </is>
      </c>
      <c r="I134" s="0" t="n">
        <v>4</v>
      </c>
      <c r="J134" s="0"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0" t="inlineStr"/>
      <c r="L134" s="0" t="inlineStr">
        <is>
          <t>Myofascial Pain Syndrome</t>
        </is>
      </c>
      <c r="M134" s="0" t="inlineStr">
        <is>
          <t>Clinic</t>
        </is>
      </c>
      <c r="N134" s="0" t="inlineStr">
        <is>
          <t>ข้อ 1 Mock Musculo RxCU84</t>
        </is>
      </c>
      <c r="O134" s="0" t="inlineStr">
        <is>
          <t>Mock</t>
        </is>
      </c>
      <c r="P134" s="0" t="inlineStr">
        <is>
          <t>Mock RxCU84</t>
        </is>
      </c>
    </row>
    <row r="135">
      <c r="A135" s="0" t="n">
        <v>133</v>
      </c>
      <c r="B135" s="0"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0" t="inlineStr"/>
      <c r="D135" s="0" t="inlineStr">
        <is>
          <t>Aspirin</t>
        </is>
      </c>
      <c r="E135" s="0" t="inlineStr">
        <is>
          <t>Candesartan</t>
        </is>
      </c>
      <c r="F135" s="0" t="inlineStr">
        <is>
          <t>HCTZ</t>
        </is>
      </c>
      <c r="G135" s="0" t="inlineStr">
        <is>
          <t>Atorvastatin</t>
        </is>
      </c>
      <c r="H135" s="0" t="inlineStr">
        <is>
          <t>Ticagrelor</t>
        </is>
      </c>
      <c r="I135" s="0" t="n">
        <v>1</v>
      </c>
      <c r="J135" s="0"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0" t="inlineStr"/>
      <c r="L135" s="0" t="inlineStr">
        <is>
          <t>Myofascial Pain Syndrome</t>
        </is>
      </c>
      <c r="M135" s="0" t="inlineStr">
        <is>
          <t>Clinic</t>
        </is>
      </c>
      <c r="N135" s="0" t="inlineStr">
        <is>
          <t>ข้อ 2 Mock Musculo RxCU84</t>
        </is>
      </c>
      <c r="O135" s="0" t="inlineStr">
        <is>
          <t>Mock</t>
        </is>
      </c>
      <c r="P135" s="0" t="inlineStr">
        <is>
          <t>Mock RxCU84</t>
        </is>
      </c>
    </row>
    <row r="136">
      <c r="A136" s="0" t="n">
        <v>134</v>
      </c>
      <c r="B136" s="0"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0" t="inlineStr"/>
      <c r="D136" s="0" t="inlineStr">
        <is>
          <t>Aspirin</t>
        </is>
      </c>
      <c r="E136" s="0" t="inlineStr">
        <is>
          <t>Ticagrelor</t>
        </is>
      </c>
      <c r="F136" s="0" t="inlineStr">
        <is>
          <t>Candesartan</t>
        </is>
      </c>
      <c r="G136" s="0" t="inlineStr">
        <is>
          <t>HCTZ</t>
        </is>
      </c>
      <c r="H136" s="0" t="inlineStr">
        <is>
          <t>Atorvastatin</t>
        </is>
      </c>
      <c r="I136" s="0" t="n">
        <v>4</v>
      </c>
      <c r="J136" s="0"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0" t="inlineStr"/>
      <c r="L136" s="0" t="inlineStr">
        <is>
          <t>Myofascial Pain Syndrome</t>
        </is>
      </c>
      <c r="M136" s="0" t="inlineStr">
        <is>
          <t>Clinic</t>
        </is>
      </c>
      <c r="N136" s="0" t="inlineStr">
        <is>
          <t>ข้อ 3 Mock Musculo RxCU84</t>
        </is>
      </c>
      <c r="O136" s="0" t="inlineStr">
        <is>
          <t>Mock</t>
        </is>
      </c>
      <c r="P136" s="0" t="inlineStr">
        <is>
          <t>Mock RxCU84</t>
        </is>
      </c>
    </row>
    <row r="137">
      <c r="A137" s="0" t="n">
        <v>135</v>
      </c>
      <c r="B137" s="0"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0" t="inlineStr"/>
      <c r="D137" s="0" t="inlineStr">
        <is>
          <t>การฝังเข็ม</t>
        </is>
      </c>
      <c r="E137" s="0" t="inlineStr">
        <is>
          <t>การประคบเย็น</t>
        </is>
      </c>
      <c r="F137" s="0" t="inlineStr">
        <is>
          <t>การยกของหนัก</t>
        </is>
      </c>
      <c r="G137" s="0" t="inlineStr">
        <is>
          <t>การลดน้ำหนัก</t>
        </is>
      </c>
      <c r="H137" s="0" t="inlineStr">
        <is>
          <t>การใช้ไม้เท้า</t>
        </is>
      </c>
      <c r="I137" s="0" t="n">
        <v>1</v>
      </c>
      <c r="J137" s="0"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0" t="inlineStr"/>
      <c r="L137" s="0" t="inlineStr">
        <is>
          <t>Myofascial Pain Syndrome</t>
        </is>
      </c>
      <c r="M137" s="0" t="inlineStr">
        <is>
          <t>Clinic</t>
        </is>
      </c>
      <c r="N137" s="0" t="inlineStr">
        <is>
          <t>ข้อ 4 Mock Musculo RxCU84</t>
        </is>
      </c>
      <c r="O137" s="0" t="inlineStr">
        <is>
          <t>Mock</t>
        </is>
      </c>
      <c r="P137" s="0" t="inlineStr">
        <is>
          <t>Mock RxCU84</t>
        </is>
      </c>
    </row>
    <row r="138">
      <c r="A138" s="0" t="n">
        <v>136</v>
      </c>
      <c r="B138" s="0"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0" t="inlineStr"/>
      <c r="D138" s="0" t="inlineStr">
        <is>
          <t>Celecoxib</t>
        </is>
      </c>
      <c r="E138" s="0" t="inlineStr">
        <is>
          <t>Diclofenac</t>
        </is>
      </c>
      <c r="F138" s="0" t="inlineStr">
        <is>
          <t>Naproxen</t>
        </is>
      </c>
      <c r="G138" s="0" t="inlineStr">
        <is>
          <t>Meloxicam</t>
        </is>
      </c>
      <c r="H138" s="0" t="inlineStr">
        <is>
          <t>Etoricoxib</t>
        </is>
      </c>
      <c r="I138" s="0" t="n">
        <v>3</v>
      </c>
      <c r="J138" s="0"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0" t="inlineStr"/>
      <c r="L138" s="0" t="inlineStr">
        <is>
          <t>Myofascial Pain Syndrome</t>
        </is>
      </c>
      <c r="M138" s="0" t="inlineStr">
        <is>
          <t>Clinic</t>
        </is>
      </c>
      <c r="N138" s="0" t="inlineStr">
        <is>
          <t>ข้อ 5 Mock Musculo RxCU84</t>
        </is>
      </c>
      <c r="O138" s="0" t="inlineStr">
        <is>
          <t>Mock</t>
        </is>
      </c>
      <c r="P138" s="0" t="inlineStr">
        <is>
          <t>Mock RxCU84</t>
        </is>
      </c>
    </row>
    <row r="139">
      <c r="A139" s="0" t="n">
        <v>137</v>
      </c>
      <c r="B139" s="0"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0" t="inlineStr"/>
      <c r="D139" s="0" t="inlineStr">
        <is>
          <t>Naproxen</t>
        </is>
      </c>
      <c r="E139" s="0" t="inlineStr">
        <is>
          <t>Celecoxib</t>
        </is>
      </c>
      <c r="F139" s="0" t="inlineStr">
        <is>
          <t>Diclofenac</t>
        </is>
      </c>
      <c r="G139" s="0" t="inlineStr">
        <is>
          <t>Paracetamol</t>
        </is>
      </c>
      <c r="H139" s="0" t="inlineStr">
        <is>
          <t>Etoricoxib</t>
        </is>
      </c>
      <c r="I139" s="0" t="n">
        <v>4</v>
      </c>
      <c r="J139" s="0"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0" t="inlineStr"/>
      <c r="L139" s="0" t="inlineStr">
        <is>
          <t>Myofascial Pain Syndrome</t>
        </is>
      </c>
      <c r="M139" s="0" t="inlineStr">
        <is>
          <t>Clinic</t>
        </is>
      </c>
      <c r="N139" s="0" t="inlineStr">
        <is>
          <t>ข้อ 6 Mock Musculo RxCU84</t>
        </is>
      </c>
      <c r="O139" s="0" t="inlineStr">
        <is>
          <t>Mock</t>
        </is>
      </c>
      <c r="P139" s="0" t="inlineStr">
        <is>
          <t>Mock RxCU84</t>
        </is>
      </c>
    </row>
    <row r="140">
      <c r="A140" s="0" t="n">
        <v>138</v>
      </c>
      <c r="B140" s="0"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0" t="inlineStr"/>
      <c r="D140" s="0" t="inlineStr">
        <is>
          <t>Ibuprofen เสริมฤทธิ์ต้านเกล็ดเลือดของ aspirin</t>
        </is>
      </c>
      <c r="E140" s="0" t="inlineStr">
        <is>
          <t>Ibuprofen บดบังฤทธิ์ต้านเกล็ดเลือดของ aspirin</t>
        </is>
      </c>
      <c r="F140" s="0" t="inlineStr">
        <is>
          <t>ไม่มีอันตรกิริยาต่อกัน</t>
        </is>
      </c>
      <c r="G140" s="0" t="inlineStr">
        <is>
          <t>ควรให้ ibuprofen ก่อน aspirin 30 นาที</t>
        </is>
      </c>
      <c r="H140" s="0" t="inlineStr">
        <is>
          <t>ทำให้ต้องลดขนาด ticagrelor</t>
        </is>
      </c>
      <c r="I140" s="0" t="n">
        <v>2</v>
      </c>
      <c r="J140" s="0"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0" t="inlineStr"/>
      <c r="L140" s="0" t="inlineStr">
        <is>
          <t>Myofascial Pain Syndrome</t>
        </is>
      </c>
      <c r="M140" s="0" t="inlineStr">
        <is>
          <t>Clinic</t>
        </is>
      </c>
      <c r="N140" s="0" t="inlineStr">
        <is>
          <t>ข้อ 7 Mock Musculo RxCU84</t>
        </is>
      </c>
      <c r="O140" s="0" t="inlineStr">
        <is>
          <t>Mock</t>
        </is>
      </c>
      <c r="P140" s="0" t="inlineStr">
        <is>
          <t>Mock RxCU84</t>
        </is>
      </c>
    </row>
    <row r="141">
      <c r="A141" s="0" t="n">
        <v>139</v>
      </c>
      <c r="B141" s="0"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0" t="inlineStr"/>
      <c r="D141" s="0" t="inlineStr">
        <is>
          <t>เพิ่มขนาด hydrochlorothiazide</t>
        </is>
      </c>
      <c r="E141" s="0" t="inlineStr">
        <is>
          <t>เพิ่ม low-dose aspirin เพื่อขับกรดยูริก</t>
        </is>
      </c>
      <c r="F141" s="0" t="inlineStr">
        <is>
          <t>เปลี่ยน hydrochlorothiazide เป็น losartan</t>
        </is>
      </c>
      <c r="G141" s="0" t="inlineStr">
        <is>
          <t>หยุด candesartan</t>
        </is>
      </c>
      <c r="H141" s="0" t="inlineStr">
        <is>
          <t>หยุด atorvastatin</t>
        </is>
      </c>
      <c r="I141" s="0" t="n">
        <v>3</v>
      </c>
      <c r="J141" s="0"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0" t="inlineStr"/>
      <c r="L141" s="0" t="inlineStr">
        <is>
          <t>Myofascial Pain Syndrome</t>
        </is>
      </c>
      <c r="M141" s="0" t="inlineStr">
        <is>
          <t>Clinic</t>
        </is>
      </c>
      <c r="N141" s="0" t="inlineStr">
        <is>
          <t>ข้อ 8 Mock Musculo RxCU84</t>
        </is>
      </c>
      <c r="O141" s="0" t="inlineStr">
        <is>
          <t>Mock</t>
        </is>
      </c>
      <c r="P141" s="0" t="inlineStr">
        <is>
          <t>Mock RxCU84</t>
        </is>
      </c>
    </row>
    <row r="142">
      <c r="A142" s="0" t="n">
        <v>140</v>
      </c>
      <c r="B142" s="0"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0" t="inlineStr"/>
      <c r="D142" s="0" t="inlineStr">
        <is>
          <t>เป็น full μ-opioid agonist ล้วน</t>
        </is>
      </c>
      <c r="E142" s="0" t="inlineStr">
        <is>
          <t>ไม่ทำให้ท้องผูก</t>
        </is>
      </c>
      <c r="F142" s="0" t="inlineStr">
        <is>
          <t>ปลอดภัยในผู้ป่วยลมชัก</t>
        </is>
      </c>
      <c r="G142" s="0" t="inlineStr">
        <is>
          <t>เป็น weak μ-agonist และยับยั้ง reuptake ของ NE/serotonin</t>
        </is>
      </c>
      <c r="H142" s="0" t="inlineStr">
        <is>
          <t>ต้องเพิ่มขนาดในผู้ป่วยไตเสื่อม</t>
        </is>
      </c>
      <c r="I142" s="0" t="n">
        <v>4</v>
      </c>
      <c r="J142" s="0"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0" t="inlineStr"/>
      <c r="L142" s="0" t="inlineStr">
        <is>
          <t>Myofascial Pain Syndrome</t>
        </is>
      </c>
      <c r="M142" s="0" t="inlineStr">
        <is>
          <t>Clinic</t>
        </is>
      </c>
      <c r="N142" s="0" t="inlineStr">
        <is>
          <t>ข้อ 9 Mock Musculo RxCU84</t>
        </is>
      </c>
      <c r="O142" s="0" t="inlineStr">
        <is>
          <t>Mock</t>
        </is>
      </c>
      <c r="P142" s="0" t="inlineStr">
        <is>
          <t>Mock RxCU84</t>
        </is>
      </c>
    </row>
    <row r="143">
      <c r="A143" s="0" t="n">
        <v>141</v>
      </c>
      <c r="B143" s="0"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0" t="inlineStr"/>
      <c r="D143" s="0" t="inlineStr">
        <is>
          <t>เพิ่มความเสี่ยงลิ่มเลือดอุดตันหลอดเลือดหัวใจ</t>
        </is>
      </c>
      <c r="E143" s="0" t="inlineStr">
        <is>
          <t>ทำให้กรดยูริกในเลือดต่ำลง</t>
        </is>
      </c>
      <c r="F143" s="0" t="inlineStr">
        <is>
          <t>เสริมฤทธิ์ต้านเกล็ดเลือดจนเลือดออกแน่นอน</t>
        </is>
      </c>
      <c r="G143" s="0" t="inlineStr">
        <is>
          <t>ลดประสิทธิภาพของ statin</t>
        </is>
      </c>
      <c r="H143" s="0" t="inlineStr">
        <is>
          <t>ทำให้ ticagrelor เป็นพิษต่อตับ</t>
        </is>
      </c>
      <c r="I143" s="0" t="n">
        <v>1</v>
      </c>
      <c r="J143" s="0"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0" t="inlineStr"/>
      <c r="L143" s="0" t="inlineStr">
        <is>
          <t>Myofascial Pain Syndrome</t>
        </is>
      </c>
      <c r="M143" s="0" t="inlineStr">
        <is>
          <t>Clinic</t>
        </is>
      </c>
      <c r="N143" s="0" t="inlineStr">
        <is>
          <t>ข้อ 10 Mock Musculo RxCU84</t>
        </is>
      </c>
      <c r="O143" s="0" t="inlineStr">
        <is>
          <t>Mock</t>
        </is>
      </c>
      <c r="P143" s="0" t="inlineStr">
        <is>
          <t>Mock RxCU84</t>
        </is>
      </c>
    </row>
    <row r="144">
      <c r="A144" s="0" t="n">
        <v>142</v>
      </c>
      <c r="B144"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0" t="inlineStr"/>
      <c r="D144" s="0" t="inlineStr">
        <is>
          <t>Prednisolone 5 mg OD</t>
        </is>
      </c>
      <c r="E144" s="0" t="inlineStr">
        <is>
          <t>Naproxen 250 mg TID</t>
        </is>
      </c>
      <c r="F144" s="0" t="inlineStr">
        <is>
          <t>Tramadol 50 mg hs</t>
        </is>
      </c>
      <c r="G144" s="0" t="inlineStr">
        <is>
          <t>Etorocoxib 120 mg OD</t>
        </is>
      </c>
      <c r="H144" s="0" t="inlineStr">
        <is>
          <t>Tolperisone 50 mg TID</t>
        </is>
      </c>
      <c r="I144" s="0" t="n">
        <v>1</v>
      </c>
      <c r="J144" s="0"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0" t="inlineStr"/>
      <c r="L144" s="0" t="inlineStr">
        <is>
          <t>Rheumatoid Arthritis</t>
        </is>
      </c>
      <c r="M144" s="0" t="inlineStr">
        <is>
          <t>Clinic</t>
        </is>
      </c>
      <c r="N144" s="0" t="inlineStr">
        <is>
          <t>ข้อ 11 Mock Musculo RxCU84</t>
        </is>
      </c>
      <c r="O144" s="0" t="inlineStr">
        <is>
          <t>Mock</t>
        </is>
      </c>
      <c r="P144" s="0" t="inlineStr">
        <is>
          <t>Mock RxCU84</t>
        </is>
      </c>
    </row>
    <row r="145">
      <c r="A145" s="0" t="n">
        <v>143</v>
      </c>
      <c r="B145"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0" t="inlineStr"/>
      <c r="D145" s="0" t="inlineStr">
        <is>
          <t>Methotrexate</t>
        </is>
      </c>
      <c r="E145" s="0" t="inlineStr">
        <is>
          <t>Leflunomide</t>
        </is>
      </c>
      <c r="F145" s="0" t="inlineStr">
        <is>
          <t>Hydroxychloroquine</t>
        </is>
      </c>
      <c r="G145" s="0" t="inlineStr">
        <is>
          <t>Cyclophosphamide</t>
        </is>
      </c>
      <c r="H145" s="0" t="inlineStr">
        <is>
          <t>Mycophenolate</t>
        </is>
      </c>
      <c r="I145" s="0" t="n">
        <v>3</v>
      </c>
      <c r="J145" s="0"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0" t="inlineStr"/>
      <c r="L145" s="0" t="inlineStr">
        <is>
          <t>Rheumatoid Arthritis</t>
        </is>
      </c>
      <c r="M145" s="0" t="inlineStr">
        <is>
          <t>Clinic</t>
        </is>
      </c>
      <c r="N145" s="0" t="inlineStr">
        <is>
          <t>ข้อ 12 Mock Musculo RxCU84</t>
        </is>
      </c>
      <c r="O145" s="0" t="inlineStr">
        <is>
          <t>Mock</t>
        </is>
      </c>
      <c r="P145" s="0" t="inlineStr">
        <is>
          <t>Mock RxCU84</t>
        </is>
      </c>
    </row>
    <row r="146">
      <c r="A146" s="0" t="n">
        <v>144</v>
      </c>
      <c r="B146"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0" t="inlineStr"/>
      <c r="D146" s="0" t="inlineStr">
        <is>
          <t>Hydroxychloroquine</t>
        </is>
      </c>
      <c r="E146" s="0" t="inlineStr">
        <is>
          <t>Sulfasalazine</t>
        </is>
      </c>
      <c r="F146" s="0" t="inlineStr">
        <is>
          <t>Methotrexate</t>
        </is>
      </c>
      <c r="G146" s="0" t="inlineStr">
        <is>
          <t>Cyclosporine</t>
        </is>
      </c>
      <c r="H146" s="0" t="inlineStr">
        <is>
          <t>Azathioprine</t>
        </is>
      </c>
      <c r="I146" s="0" t="n">
        <v>3</v>
      </c>
      <c r="J146" s="0"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0" t="inlineStr"/>
      <c r="L146" s="0" t="inlineStr">
        <is>
          <t>Rheumatoid Arthritis</t>
        </is>
      </c>
      <c r="M146" s="0" t="inlineStr">
        <is>
          <t>Clinic</t>
        </is>
      </c>
      <c r="N146" s="0" t="inlineStr">
        <is>
          <t>ข้อ 13 Mock Musculo RxCU84</t>
        </is>
      </c>
      <c r="O146" s="0" t="inlineStr">
        <is>
          <t>Mock</t>
        </is>
      </c>
      <c r="P146" s="0" t="inlineStr">
        <is>
          <t>Mock RxCU84</t>
        </is>
      </c>
    </row>
    <row r="147">
      <c r="A147" s="0" t="n">
        <v>145</v>
      </c>
      <c r="B147"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0" t="inlineStr"/>
      <c r="D147" s="0" t="inlineStr">
        <is>
          <t>Activated charcoal</t>
        </is>
      </c>
      <c r="E147" s="0" t="inlineStr">
        <is>
          <t>Cholestyramine</t>
        </is>
      </c>
      <c r="F147" s="0" t="inlineStr">
        <is>
          <t>N-acetylcysteine</t>
        </is>
      </c>
      <c r="G147" s="0" t="inlineStr">
        <is>
          <t>Leucovorin</t>
        </is>
      </c>
      <c r="H147" s="0" t="inlineStr">
        <is>
          <t>Folic acid</t>
        </is>
      </c>
      <c r="I147" s="0" t="n">
        <v>2</v>
      </c>
      <c r="J147" s="0"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0" t="inlineStr"/>
      <c r="L147" s="0" t="inlineStr">
        <is>
          <t>Rheumatoid Arthritis</t>
        </is>
      </c>
      <c r="M147" s="0" t="inlineStr">
        <is>
          <t>Clinic</t>
        </is>
      </c>
      <c r="N147" s="0" t="inlineStr">
        <is>
          <t>ข้อ 14 Mock Musculo RxCU84</t>
        </is>
      </c>
      <c r="O147" s="0" t="inlineStr">
        <is>
          <t>Mock</t>
        </is>
      </c>
      <c r="P147" s="0" t="inlineStr">
        <is>
          <t>Mock RxCU84</t>
        </is>
      </c>
    </row>
    <row r="148">
      <c r="A148" s="0" t="n">
        <v>146</v>
      </c>
      <c r="B148"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0" t="inlineStr"/>
      <c r="D148" s="0" t="inlineStr">
        <is>
          <t>&lt; 15 นาที</t>
        </is>
      </c>
      <c r="E148" s="0" t="inlineStr">
        <is>
          <t>&lt; 30 นาที</t>
        </is>
      </c>
      <c r="F148" s="0" t="inlineStr">
        <is>
          <t>&gt; 1 ชั่วโมง</t>
        </is>
      </c>
      <c r="G148" s="0" t="inlineStr">
        <is>
          <t>เป็นเฉพาะตอนเย็น</t>
        </is>
      </c>
      <c r="H148" s="0" t="inlineStr">
        <is>
          <t>ดีขึ้นเมื่ออยู่นิ่งๆ</t>
        </is>
      </c>
      <c r="I148" s="0" t="n">
        <v>3</v>
      </c>
      <c r="J148" s="0"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0" t="inlineStr"/>
      <c r="L148" s="0" t="inlineStr">
        <is>
          <t>Rheumatoid Arthritis</t>
        </is>
      </c>
      <c r="M148" s="0" t="inlineStr">
        <is>
          <t>Clinic</t>
        </is>
      </c>
      <c r="N148" s="0" t="inlineStr">
        <is>
          <t>ข้อ 15 Mock Musculo RxCU84</t>
        </is>
      </c>
      <c r="O148" s="0" t="inlineStr">
        <is>
          <t>Mock</t>
        </is>
      </c>
      <c r="P148" s="0" t="inlineStr">
        <is>
          <t>Mock RxCU84</t>
        </is>
      </c>
    </row>
    <row r="149">
      <c r="A149" s="0" t="n">
        <v>147</v>
      </c>
      <c r="B149"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0" t="inlineStr"/>
      <c r="D149" s="0" t="inlineStr">
        <is>
          <t>Liver function</t>
        </is>
      </c>
      <c r="E149" s="0" t="inlineStr">
        <is>
          <t>Kidney function</t>
        </is>
      </c>
      <c r="F149" s="0" t="inlineStr">
        <is>
          <t>Eye examination (Retinopathy)</t>
        </is>
      </c>
      <c r="G149" s="0" t="inlineStr">
        <is>
          <t>Hearing test</t>
        </is>
      </c>
      <c r="H149" s="0" t="inlineStr">
        <is>
          <t>Pulmonary function</t>
        </is>
      </c>
      <c r="I149" s="0" t="n">
        <v>3</v>
      </c>
      <c r="J149" s="0"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0" t="inlineStr"/>
      <c r="L149" s="0" t="inlineStr">
        <is>
          <t>Rheumatoid Arthritis</t>
        </is>
      </c>
      <c r="M149" s="0" t="inlineStr">
        <is>
          <t>Clinic</t>
        </is>
      </c>
      <c r="N149" s="0" t="inlineStr">
        <is>
          <t>ข้อ 16 Mock Musculo RxCU84</t>
        </is>
      </c>
      <c r="O149" s="0" t="inlineStr">
        <is>
          <t>Mock</t>
        </is>
      </c>
      <c r="P149" s="0" t="inlineStr">
        <is>
          <t>Mock RxCU84</t>
        </is>
      </c>
    </row>
    <row r="150">
      <c r="A150" s="0" t="n">
        <v>148</v>
      </c>
      <c r="B150"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0" t="inlineStr"/>
      <c r="D150" s="0" t="inlineStr">
        <is>
          <t>RA เป็นอสมมาตร (Asymmetric)</t>
        </is>
      </c>
      <c r="E150" s="0" t="inlineStr">
        <is>
          <t>RA มักโดนข้อ DIP</t>
        </is>
      </c>
      <c r="F150" s="0" t="inlineStr">
        <is>
          <t>RA เป็นแบบสมมาตร (Symmetric)</t>
        </is>
      </c>
      <c r="G150" s="0" t="inlineStr">
        <is>
          <t>OA มีอาการทั่วร่างกาย (Systemic)</t>
        </is>
      </c>
      <c r="H150" s="0" t="inlineStr">
        <is>
          <t>OA ตรวจพบ Rheumatoid factor</t>
        </is>
      </c>
      <c r="I150" s="0" t="n">
        <v>3</v>
      </c>
      <c r="J150" s="0"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0" t="inlineStr"/>
      <c r="L150" s="0" t="inlineStr">
        <is>
          <t>Rheumatoid Arthritis</t>
        </is>
      </c>
      <c r="M150" s="0" t="inlineStr">
        <is>
          <t>Clinic</t>
        </is>
      </c>
      <c r="N150" s="0" t="inlineStr">
        <is>
          <t>ข้อ 17 Mock Musculo RxCU84</t>
        </is>
      </c>
      <c r="O150" s="0" t="inlineStr">
        <is>
          <t>Mock</t>
        </is>
      </c>
      <c r="P150" s="0" t="inlineStr">
        <is>
          <t>Mock RxCU84</t>
        </is>
      </c>
    </row>
    <row r="151">
      <c r="A151" s="0" t="n">
        <v>149</v>
      </c>
      <c r="B151"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0" t="inlineStr"/>
      <c r="D151" s="0" t="inlineStr">
        <is>
          <t>เน้นย้ำให้รับประทาน Ferrous Fumarate เพื่อป้องกันผลข้างเคียงเรื่องของโลหิตจาง</t>
        </is>
      </c>
      <c r="E151" s="0" t="inlineStr">
        <is>
          <t>เน้นย้ำให้รับประทานยา Mecobalamin 5 mg ควบคู่กันทุกวัน เพื่อลดผลข้างเคียงทางระบบทางเดินอาหารและแผลในปาก</t>
        </is>
      </c>
      <c r="F151" s="0" t="inlineStr">
        <is>
          <t>หากมีสารคัดหลั่งหรือปัสสาวะสีส้มให้หยุดยาทันทีแล้วพบแพทย์</t>
        </is>
      </c>
      <c r="G151" s="0" t="inlineStr">
        <is>
          <t>หากมีสารคัดหลั่งหรือปัสสาวะสีส้มให้รับประทานต่อไป เนื่องจากเป็นผลข้างเคียงจากยาตามปกติที่ไม่มีอันตรายอะไร</t>
        </is>
      </c>
      <c r="H151" s="0" t="inlineStr">
        <is>
          <t>หากอาการข้อนิ้วบวมและ Morning Stiffness หายแล้วสามารถหยุดยาเองได้เลยทันทีเพื่อป้องกันผลข้างเคียงในระยะยาว</t>
        </is>
      </c>
      <c r="I151" s="0" t="n">
        <v>4</v>
      </c>
      <c r="J151" s="0"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0" t="inlineStr"/>
      <c r="L151" s="0" t="inlineStr">
        <is>
          <t>Rheumatoid Arthritis</t>
        </is>
      </c>
      <c r="M151" s="0" t="inlineStr">
        <is>
          <t>Clinic</t>
        </is>
      </c>
      <c r="N151" s="0" t="inlineStr">
        <is>
          <t>ข้อ 18 Mock Musculo RxCU84</t>
        </is>
      </c>
      <c r="O151" s="0" t="inlineStr">
        <is>
          <t>Mock</t>
        </is>
      </c>
      <c r="P151" s="0" t="inlineStr">
        <is>
          <t>Mock RxCU84</t>
        </is>
      </c>
    </row>
    <row r="152">
      <c r="A152" s="0" t="n">
        <v>150</v>
      </c>
      <c r="B152"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0" t="inlineStr"/>
      <c r="D152" s="0" t="inlineStr">
        <is>
          <t>Naproxen</t>
        </is>
      </c>
      <c r="E152" s="0" t="inlineStr">
        <is>
          <t>Paracetamol</t>
        </is>
      </c>
      <c r="F152" s="0" t="inlineStr">
        <is>
          <t>Celecoxib</t>
        </is>
      </c>
      <c r="G152" s="0" t="inlineStr">
        <is>
          <t>Aspirin ขนาดสูง</t>
        </is>
      </c>
      <c r="H152" s="0" t="inlineStr">
        <is>
          <t>Indomethacin</t>
        </is>
      </c>
      <c r="I152" s="0" t="n">
        <v>2</v>
      </c>
      <c r="J152" s="0"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0" t="inlineStr"/>
      <c r="L152" s="0" t="inlineStr">
        <is>
          <t>Rheumatoid Arthritis</t>
        </is>
      </c>
      <c r="M152" s="0" t="inlineStr">
        <is>
          <t>Clinic</t>
        </is>
      </c>
      <c r="N152" s="0" t="inlineStr">
        <is>
          <t>ข้อ 19 Mock Musculo RxCU84</t>
        </is>
      </c>
      <c r="O152" s="0" t="inlineStr">
        <is>
          <t>Mock</t>
        </is>
      </c>
      <c r="P152" s="0" t="inlineStr">
        <is>
          <t>Mock RxCU84</t>
        </is>
      </c>
    </row>
    <row r="153">
      <c r="A153" s="0" t="n">
        <v>151</v>
      </c>
      <c r="B153"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0" t="inlineStr"/>
      <c r="D153" s="0" t="inlineStr">
        <is>
          <t>ปากแหว่งเพดานโหว่</t>
        </is>
      </c>
      <c r="E153" s="0" t="inlineStr">
        <is>
          <t>น้ำตาลในเลือดต่ำในทารก</t>
        </is>
      </c>
      <c r="F153" s="0" t="inlineStr">
        <is>
          <t>ductus arteriosus ปิดก่อนกำหนด และน้ำคร่ำน้อย</t>
        </is>
      </c>
      <c r="G153" s="0" t="inlineStr">
        <is>
          <t>หัวใจพิการแต่กำเนิด</t>
        </is>
      </c>
      <c r="H153" s="0" t="inlineStr">
        <is>
          <t>ภาวะตัวเหลืองในทารก</t>
        </is>
      </c>
      <c r="I153" s="0" t="n">
        <v>3</v>
      </c>
      <c r="J153" s="0"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0" t="inlineStr"/>
      <c r="L153" s="0" t="inlineStr">
        <is>
          <t>Rheumatoid Arthritis</t>
        </is>
      </c>
      <c r="M153" s="0" t="inlineStr">
        <is>
          <t>Clinic</t>
        </is>
      </c>
      <c r="N153" s="0" t="inlineStr">
        <is>
          <t>ข้อ 20 Mock Musculo RxCU84</t>
        </is>
      </c>
      <c r="O153" s="0" t="inlineStr">
        <is>
          <t>Mock</t>
        </is>
      </c>
      <c r="P153" s="0" t="inlineStr">
        <is>
          <t>Mock RxCU84</t>
        </is>
      </c>
    </row>
    <row r="154">
      <c r="A154" s="0" t="n">
        <v>152</v>
      </c>
      <c r="B154"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0" t="inlineStr"/>
      <c r="D154" s="0" t="inlineStr">
        <is>
          <t>Methotrexate</t>
        </is>
      </c>
      <c r="E154" s="0" t="inlineStr">
        <is>
          <t>Leflunomide</t>
        </is>
      </c>
      <c r="F154" s="0" t="inlineStr">
        <is>
          <t>Cyclophosphamide</t>
        </is>
      </c>
      <c r="G154" s="0" t="inlineStr">
        <is>
          <t>Hydroxychloroquine</t>
        </is>
      </c>
      <c r="H154" s="0" t="inlineStr">
        <is>
          <t>Tofacitinib</t>
        </is>
      </c>
      <c r="I154" s="0" t="n">
        <v>4</v>
      </c>
      <c r="J154" s="0"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0" t="inlineStr"/>
      <c r="L154" s="0" t="inlineStr">
        <is>
          <t>Rheumatoid Arthritis</t>
        </is>
      </c>
      <c r="M154" s="0" t="inlineStr">
        <is>
          <t>Clinic</t>
        </is>
      </c>
      <c r="N154" s="0" t="inlineStr">
        <is>
          <t>ข้อ 21 Mock Musculo RxCU84</t>
        </is>
      </c>
      <c r="O154" s="0" t="inlineStr">
        <is>
          <t>Mock</t>
        </is>
      </c>
      <c r="P154" s="0" t="inlineStr">
        <is>
          <t>Mock RxCU84</t>
        </is>
      </c>
    </row>
    <row r="155">
      <c r="A155" s="0" t="n">
        <v>153</v>
      </c>
      <c r="B155"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0" t="inlineStr"/>
      <c r="D155" s="0" t="inlineStr">
        <is>
          <t>เป็นสารก่อวิรูป ห้ามใช้ในครรภ์</t>
        </is>
      </c>
      <c r="E155" s="0" t="inlineStr">
        <is>
          <t>ปลอดภัยในไตรมาส 2–3</t>
        </is>
      </c>
      <c r="F155" s="0" t="inlineStr">
        <is>
          <t>ใช้ต่อได้หากให้ folic acid สูง</t>
        </is>
      </c>
      <c r="G155" s="0" t="inlineStr">
        <is>
          <t>เป็นยาหลักในหญิงตั้งครรภ์</t>
        </is>
      </c>
      <c r="H155" s="0" t="inlineStr">
        <is>
          <t>ไม่ผ่านรก</t>
        </is>
      </c>
      <c r="I155" s="0" t="n">
        <v>1</v>
      </c>
      <c r="J155" s="0"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0" t="inlineStr"/>
      <c r="L155" s="0" t="inlineStr">
        <is>
          <t>Rheumatoid Arthritis</t>
        </is>
      </c>
      <c r="M155" s="0" t="inlineStr">
        <is>
          <t>Clinic</t>
        </is>
      </c>
      <c r="N155" s="0" t="inlineStr">
        <is>
          <t>ข้อ 22 Mock Musculo RxCU84</t>
        </is>
      </c>
      <c r="O155" s="0" t="inlineStr">
        <is>
          <t>Mock</t>
        </is>
      </c>
      <c r="P155" s="0" t="inlineStr">
        <is>
          <t>Mock RxCU84</t>
        </is>
      </c>
    </row>
    <row r="156">
      <c r="A156" s="0" t="n">
        <v>154</v>
      </c>
      <c r="B156" s="0"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0" t="inlineStr"/>
      <c r="D156" s="0" t="inlineStr">
        <is>
          <t>ปวดเมื่อใช้งาน ดีขึ้นเมื่อพัก</t>
        </is>
      </c>
      <c r="E156" s="0" t="inlineStr">
        <is>
          <t>ข้อฝืดตอนเช้าน้อยกว่า 30 นาที</t>
        </is>
      </c>
      <c r="F156" s="0" t="inlineStr">
        <is>
          <t>คลำได้เสียงกรอบแกรบในข้อ</t>
        </is>
      </c>
      <c r="G156" s="0" t="inlineStr">
        <is>
          <t>มักเกิดที่ข้อปลายนิ้ว (DIP)</t>
        </is>
      </c>
      <c r="H156" s="0" t="inlineStr">
        <is>
          <t>ข้อฝืดตอนเช้ามากกว่า 1 ชั่วโมง ร่วมกับข้ออักเสบสมมาตร</t>
        </is>
      </c>
      <c r="I156" s="0" t="n">
        <v>5</v>
      </c>
      <c r="J156" s="0"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0" t="inlineStr"/>
      <c r="L156" s="0" t="inlineStr">
        <is>
          <t>Rheumatoid Arthritis</t>
        </is>
      </c>
      <c r="M156" s="0" t="inlineStr">
        <is>
          <t>Clinic</t>
        </is>
      </c>
      <c r="N156" s="0" t="inlineStr">
        <is>
          <t>ข้อ 23 Mock Musculo RxCU84</t>
        </is>
      </c>
      <c r="O156" s="0" t="inlineStr">
        <is>
          <t>Mock</t>
        </is>
      </c>
      <c r="P156" s="0" t="inlineStr">
        <is>
          <t>Mock RxCU84</t>
        </is>
      </c>
    </row>
    <row r="157">
      <c r="A157" s="0" t="n">
        <v>155</v>
      </c>
      <c r="B157"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0" t="inlineStr"/>
      <c r="D157" s="0" t="inlineStr">
        <is>
          <t>Allopurinol</t>
        </is>
      </c>
      <c r="E157" s="0" t="inlineStr">
        <is>
          <t>Febuxostat</t>
        </is>
      </c>
      <c r="F157" s="0" t="inlineStr">
        <is>
          <t>Colchicine</t>
        </is>
      </c>
      <c r="G157" s="0" t="inlineStr">
        <is>
          <t>Probenecid</t>
        </is>
      </c>
      <c r="H157" s="0" t="inlineStr">
        <is>
          <t>Sulfinpyrazone</t>
        </is>
      </c>
      <c r="I157" s="0" t="n">
        <v>3</v>
      </c>
      <c r="J157" s="0"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0" t="inlineStr"/>
      <c r="L157" s="0" t="inlineStr">
        <is>
          <t>Gout &amp; Hyperuricemia</t>
        </is>
      </c>
      <c r="M157" s="0" t="inlineStr">
        <is>
          <t>Clinic</t>
        </is>
      </c>
      <c r="N157" s="0" t="inlineStr">
        <is>
          <t>ข้อ 24 Mock Musculo RxCU84</t>
        </is>
      </c>
      <c r="O157" s="0" t="inlineStr">
        <is>
          <t>Mock</t>
        </is>
      </c>
      <c r="P157" s="0" t="inlineStr">
        <is>
          <t>Mock RxCU84</t>
        </is>
      </c>
    </row>
    <row r="158">
      <c r="A158" s="0" t="n">
        <v>156</v>
      </c>
      <c r="B158"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0" t="inlineStr"/>
      <c r="D158" s="0" t="inlineStr">
        <is>
          <t>1.2 mg OD</t>
        </is>
      </c>
      <c r="E158" s="0" t="inlineStr">
        <is>
          <t>0.6 mg tid</t>
        </is>
      </c>
      <c r="F158" s="0" t="inlineStr">
        <is>
          <t>1.2 mg ทันที ตามด้วย 0.6 mg ใน 1 ชม.</t>
        </is>
      </c>
      <c r="G158" s="0" t="inlineStr">
        <is>
          <t>0.6 mg ทุก 2 ชม. จนกว่าจะท้องเสีย</t>
        </is>
      </c>
      <c r="H158" s="0" t="inlineStr">
        <is>
          <t>1.2 mg ทันที ตามด้วย 1.2 mg ใน 1 ชม. เฉลย</t>
        </is>
      </c>
      <c r="I158" s="0" t="n">
        <v>3</v>
      </c>
      <c r="J158" s="0"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0" t="inlineStr"/>
      <c r="L158" s="0" t="inlineStr">
        <is>
          <t>Gout &amp; Hyperuricemia</t>
        </is>
      </c>
      <c r="M158" s="0" t="inlineStr">
        <is>
          <t>Clinic</t>
        </is>
      </c>
      <c r="N158" s="0" t="inlineStr">
        <is>
          <t>ข้อ 25 Mock Musculo RxCU84</t>
        </is>
      </c>
      <c r="O158" s="0" t="inlineStr">
        <is>
          <t>Mock</t>
        </is>
      </c>
      <c r="P158" s="0" t="inlineStr">
        <is>
          <t>Mock RxCU84</t>
        </is>
      </c>
    </row>
    <row r="159">
      <c r="A159" s="0" t="n">
        <v>157</v>
      </c>
      <c r="B159"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0" t="inlineStr"/>
      <c r="D159" s="0" t="inlineStr">
        <is>
          <t>Bisoprolol</t>
        </is>
      </c>
      <c r="E159" s="0" t="inlineStr">
        <is>
          <t>Losartan</t>
        </is>
      </c>
      <c r="F159" s="0" t="inlineStr">
        <is>
          <t>Amlodipine</t>
        </is>
      </c>
      <c r="G159" s="0" t="inlineStr">
        <is>
          <t>Enalapril</t>
        </is>
      </c>
      <c r="H159" s="0" t="inlineStr">
        <is>
          <t>Diltiazem</t>
        </is>
      </c>
      <c r="I159" s="0" t="n">
        <v>2</v>
      </c>
      <c r="J159" s="0"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0" t="inlineStr"/>
      <c r="L159" s="0" t="inlineStr">
        <is>
          <t>Gout &amp; Hyperuricemia</t>
        </is>
      </c>
      <c r="M159" s="0" t="inlineStr">
        <is>
          <t>Clinic</t>
        </is>
      </c>
      <c r="N159" s="0" t="inlineStr">
        <is>
          <t>ข้อ 26 Mock Musculo RxCU84</t>
        </is>
      </c>
      <c r="O159" s="0" t="inlineStr">
        <is>
          <t>Mock</t>
        </is>
      </c>
      <c r="P159" s="0" t="inlineStr">
        <is>
          <t>Mock RxCU84</t>
        </is>
      </c>
    </row>
    <row r="160">
      <c r="A160" s="0" t="n">
        <v>158</v>
      </c>
      <c r="B160"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0" t="inlineStr"/>
      <c r="D160" s="0" t="inlineStr">
        <is>
          <t>ข้าวสวย</t>
        </is>
      </c>
      <c r="E160" s="0" t="inlineStr">
        <is>
          <t>ไข่ไก่</t>
        </is>
      </c>
      <c r="F160" s="0" t="inlineStr">
        <is>
          <t>เครื่องในสัตว์และเบียร์</t>
        </is>
      </c>
      <c r="G160" s="0" t="inlineStr">
        <is>
          <t>นมวัว</t>
        </is>
      </c>
      <c r="H160" s="0" t="inlineStr">
        <is>
          <t>ผลไม้</t>
        </is>
      </c>
      <c r="I160" s="0" t="n">
        <v>3</v>
      </c>
      <c r="J160" s="0"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0" t="inlineStr"/>
      <c r="L160" s="0" t="inlineStr">
        <is>
          <t>Gout &amp; Hyperuricemia</t>
        </is>
      </c>
      <c r="M160" s="0" t="inlineStr">
        <is>
          <t>Clinic</t>
        </is>
      </c>
      <c r="N160" s="0" t="inlineStr">
        <is>
          <t>ข้อ 27 Mock Musculo RxCU84</t>
        </is>
      </c>
      <c r="O160" s="0" t="inlineStr">
        <is>
          <t>Mock</t>
        </is>
      </c>
      <c r="P160" s="0" t="inlineStr">
        <is>
          <t>Mock RxCU84</t>
        </is>
      </c>
    </row>
    <row r="161">
      <c r="A161" s="0" t="n">
        <v>159</v>
      </c>
      <c r="B161"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0" t="inlineStr"/>
      <c r="D161" s="0" t="inlineStr">
        <is>
          <t>&lt; 4 mg/dL</t>
        </is>
      </c>
      <c r="E161" s="0" t="inlineStr">
        <is>
          <t>&lt; 5 mg/dL</t>
        </is>
      </c>
      <c r="F161" s="0" t="inlineStr">
        <is>
          <t>&lt; 6 mg/dL</t>
        </is>
      </c>
      <c r="G161" s="0" t="inlineStr">
        <is>
          <t>&lt; 7 mg/dL</t>
        </is>
      </c>
      <c r="H161" s="0" t="inlineStr">
        <is>
          <t>&lt; 8 mg/dL</t>
        </is>
      </c>
      <c r="I161" s="0" t="n">
        <v>3</v>
      </c>
      <c r="J161" s="0"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0" t="inlineStr"/>
      <c r="L161" s="0" t="inlineStr">
        <is>
          <t>Gout &amp; Hyperuricemia</t>
        </is>
      </c>
      <c r="M161" s="0" t="inlineStr">
        <is>
          <t>Clinic</t>
        </is>
      </c>
      <c r="N161" s="0" t="inlineStr">
        <is>
          <t>ข้อ 28 Mock Musculo RxCU84</t>
        </is>
      </c>
      <c r="O161" s="0" t="inlineStr">
        <is>
          <t>Mock</t>
        </is>
      </c>
      <c r="P161" s="0" t="inlineStr">
        <is>
          <t>Mock RxCU84</t>
        </is>
      </c>
    </row>
    <row r="162">
      <c r="A162" s="0" t="n">
        <v>160</v>
      </c>
      <c r="B162"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0" t="inlineStr"/>
      <c r="D162" s="0" t="inlineStr">
        <is>
          <t>HLA-B15:02</t>
        </is>
      </c>
      <c r="E162" s="0" t="inlineStr">
        <is>
          <t>HLA-B58:01</t>
        </is>
      </c>
      <c r="F162" s="0" t="inlineStr">
        <is>
          <t>HLA-B57:01</t>
        </is>
      </c>
      <c r="G162" s="0" t="inlineStr">
        <is>
          <t>CYP2C9</t>
        </is>
      </c>
      <c r="H162" s="0" t="inlineStr">
        <is>
          <t>DPYD</t>
        </is>
      </c>
      <c r="I162" s="0" t="n">
        <v>2</v>
      </c>
      <c r="J162" s="0"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0" t="inlineStr"/>
      <c r="L162" s="0" t="inlineStr">
        <is>
          <t>Gout &amp; Hyperuricemia</t>
        </is>
      </c>
      <c r="M162" s="0" t="inlineStr">
        <is>
          <t>Clinic</t>
        </is>
      </c>
      <c r="N162" s="0" t="inlineStr">
        <is>
          <t>ข้อ 29 Mock Musculo RxCU84</t>
        </is>
      </c>
      <c r="O162" s="0" t="inlineStr">
        <is>
          <t>Mock</t>
        </is>
      </c>
      <c r="P162" s="0" t="inlineStr">
        <is>
          <t>Mock RxCU84</t>
        </is>
      </c>
    </row>
    <row r="163">
      <c r="A163" s="0" t="n">
        <v>161</v>
      </c>
      <c r="B163"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0" t="inlineStr"/>
      <c r="D163" s="0" t="inlineStr">
        <is>
          <t>Metformin</t>
        </is>
      </c>
      <c r="E163" s="0" t="inlineStr">
        <is>
          <t>Bisoprolol</t>
        </is>
      </c>
      <c r="F163" s="0" t="inlineStr">
        <is>
          <t>Azathioprine</t>
        </is>
      </c>
      <c r="G163" s="0" t="inlineStr">
        <is>
          <t>Atorvastatin</t>
        </is>
      </c>
      <c r="H163" s="0" t="inlineStr">
        <is>
          <t>Losartan</t>
        </is>
      </c>
      <c r="I163" s="0" t="n">
        <v>3</v>
      </c>
      <c r="J163" s="0"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0" t="inlineStr"/>
      <c r="L163" s="0" t="inlineStr">
        <is>
          <t>Gout &amp; Hyperuricemia</t>
        </is>
      </c>
      <c r="M163" s="0" t="inlineStr">
        <is>
          <t>Clinic</t>
        </is>
      </c>
      <c r="N163" s="0" t="inlineStr">
        <is>
          <t>ข้อ 30 Mock Musculo RxCU84</t>
        </is>
      </c>
      <c r="O163" s="0" t="inlineStr">
        <is>
          <t>Mock</t>
        </is>
      </c>
      <c r="P163" s="0" t="inlineStr">
        <is>
          <t>Mock RxCU84</t>
        </is>
      </c>
    </row>
    <row r="164">
      <c r="A164" s="0" t="n">
        <v>162</v>
      </c>
      <c r="B164"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0" t="inlineStr"/>
      <c r="D164" s="0" t="inlineStr">
        <is>
          <t>Colchicine 0.6 mg/day นาน 3-6 เดือน</t>
        </is>
      </c>
      <c r="E164" s="0" t="inlineStr">
        <is>
          <t>Prednisolone นาน 1 ปี</t>
        </is>
      </c>
      <c r="F164" s="0" t="inlineStr">
        <is>
          <t>Aspirin 81 mg</t>
        </is>
      </c>
      <c r="G164" s="0" t="inlineStr">
        <is>
          <t>Probenecid</t>
        </is>
      </c>
      <c r="H164" s="0" t="inlineStr">
        <is>
          <t>Paracetamol</t>
        </is>
      </c>
      <c r="I164" s="0" t="n">
        <v>1</v>
      </c>
      <c r="J164" s="0"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0" t="inlineStr"/>
      <c r="L164" s="0" t="inlineStr">
        <is>
          <t>Gout &amp; Hyperuricemia</t>
        </is>
      </c>
      <c r="M164" s="0" t="inlineStr">
        <is>
          <t>Clinic</t>
        </is>
      </c>
      <c r="N164" s="0" t="inlineStr">
        <is>
          <t>ข้อ 31 Mock Musculo RxCU84</t>
        </is>
      </c>
      <c r="O164" s="0" t="inlineStr">
        <is>
          <t>Mock</t>
        </is>
      </c>
      <c r="P164" s="0" t="inlineStr">
        <is>
          <t>Mock RxCU84</t>
        </is>
      </c>
    </row>
    <row r="165">
      <c r="A165" s="0" t="n">
        <v>163</v>
      </c>
      <c r="B165"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0" t="inlineStr"/>
      <c r="D165" s="0" t="inlineStr">
        <is>
          <t>ยับยั้ง COX-2</t>
        </is>
      </c>
      <c r="E165" s="0" t="inlineStr">
        <is>
          <t>ยับยั้ง Xanthine oxidase</t>
        </is>
      </c>
      <c r="F165" s="0" t="inlineStr">
        <is>
          <t>ขัดขวาง Microtubule polymerization ลดการเคลื่อนที่ของ Neutrophil</t>
        </is>
      </c>
      <c r="G165" s="0" t="inlineStr">
        <is>
          <t>เพิ่มการขับ Uric acid</t>
        </is>
      </c>
      <c r="H165" s="0" t="inlineStr">
        <is>
          <t>ยับยั้ง URAT1</t>
        </is>
      </c>
      <c r="I165" s="0" t="n">
        <v>3</v>
      </c>
      <c r="J165" s="0"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0" t="inlineStr"/>
      <c r="L165" s="0" t="inlineStr">
        <is>
          <t>Gout &amp; Hyperuricemia</t>
        </is>
      </c>
      <c r="M165" s="0" t="inlineStr">
        <is>
          <t>Clinic</t>
        </is>
      </c>
      <c r="N165" s="0" t="inlineStr">
        <is>
          <t>ข้อ 32 Mock Musculo RxCU84</t>
        </is>
      </c>
      <c r="O165" s="0" t="inlineStr">
        <is>
          <t>Mock</t>
        </is>
      </c>
      <c r="P165" s="0" t="inlineStr">
        <is>
          <t>Mock RxCU84</t>
        </is>
      </c>
    </row>
    <row r="166">
      <c r="A166" s="0" t="n">
        <v>164</v>
      </c>
      <c r="B166"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0" t="inlineStr"/>
      <c r="D166" s="0" t="inlineStr">
        <is>
          <t>Simvastatin</t>
        </is>
      </c>
      <c r="E166" s="0" t="inlineStr">
        <is>
          <t>Atorvastatin</t>
        </is>
      </c>
      <c r="F166" s="0" t="inlineStr">
        <is>
          <t>Fenofibrate</t>
        </is>
      </c>
      <c r="G166" s="0" t="inlineStr">
        <is>
          <t>Gemfibrozil</t>
        </is>
      </c>
      <c r="H166" s="0" t="inlineStr">
        <is>
          <t>Ezetimibe</t>
        </is>
      </c>
      <c r="I166" s="0" t="n">
        <v>3</v>
      </c>
      <c r="J166" s="0"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0" t="inlineStr"/>
      <c r="L166" s="0" t="inlineStr">
        <is>
          <t>Gout &amp; Hyperuricemia</t>
        </is>
      </c>
      <c r="M166" s="0" t="inlineStr">
        <is>
          <t>Clinic</t>
        </is>
      </c>
      <c r="N166" s="0" t="inlineStr">
        <is>
          <t>ข้อ 33 Mock Musculo RxCU84</t>
        </is>
      </c>
      <c r="O166" s="0" t="inlineStr">
        <is>
          <t>Mock</t>
        </is>
      </c>
      <c r="P166" s="0" t="inlineStr">
        <is>
          <t>Mock RxCU84</t>
        </is>
      </c>
    </row>
    <row r="167">
      <c r="A167" s="0" t="n">
        <v>165</v>
      </c>
      <c r="B167"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0" t="inlineStr"/>
      <c r="D167" s="0" t="inlineStr">
        <is>
          <t>ควบคุมอาหารและออกกำลังกายเพื่อลดน้ำหนักตัว โดยตั้งเป้าหมายให้ดัชนีมวลกาย (BMI) ลดลงต่ำกว่า 30 kg/m2</t>
        </is>
      </c>
      <c r="E167" s="0" t="inlineStr">
        <is>
          <t>ลดหรือหลีกเลี่ยงการดื่มเครื่องดื่มแอลกอฮอล์ทุกชนิด</t>
        </is>
      </c>
      <c r="F167" s="0" t="inlineStr">
        <is>
          <t>หลีกเลี่ยงการรับประทานอาหารที่มีสารพิวรีนสูง เช่น สัตว์ปีก เครื่องในสัตว์ และยอดผัก</t>
        </is>
      </c>
      <c r="G167" s="0" t="inlineStr">
        <is>
          <t>ดื่มน้ำสะอาดในปริมาณที่เหมาะสมอย่างน้อย 2–3 ลิตรต่อวัน เพื่อช่วยขับกรดยูริกออกทางไต</t>
        </is>
      </c>
      <c r="H167" s="0" t="inlineStr">
        <is>
          <t>ถูกต้องทุกข้อที่กล่าวมา</t>
        </is>
      </c>
      <c r="I167" s="0" t="n">
        <v>5</v>
      </c>
      <c r="J167" s="0"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0" t="inlineStr"/>
      <c r="L167" s="0" t="inlineStr">
        <is>
          <t>Gout &amp; Hyperuricemia</t>
        </is>
      </c>
      <c r="M167" s="0" t="inlineStr">
        <is>
          <t>Clinic</t>
        </is>
      </c>
      <c r="N167" s="0" t="inlineStr">
        <is>
          <t>ข้อ 34 Mock Musculo RxCU84</t>
        </is>
      </c>
      <c r="O167" s="0" t="inlineStr">
        <is>
          <t>Mock</t>
        </is>
      </c>
      <c r="P167" s="0" t="inlineStr">
        <is>
          <t>Mock RxCU84</t>
        </is>
      </c>
    </row>
    <row r="168">
      <c r="A168" s="0" t="n">
        <v>166</v>
      </c>
      <c r="B168"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0" t="inlineStr"/>
      <c r="D168" s="0" t="inlineStr">
        <is>
          <t>เริ่ม allopurinol ทันที</t>
        </is>
      </c>
      <c r="E168" s="0" t="inlineStr">
        <is>
          <t>ให้ probenecid เร่งขับกรดยูริก</t>
        </is>
      </c>
      <c r="F168" s="0" t="inlineStr">
        <is>
          <t>ให้ colchicine/NSAIDs/steroid ยังไม่เริ่มยาลดกรดยูริก</t>
        </is>
      </c>
      <c r="G168" s="0" t="inlineStr">
        <is>
          <t>ให้ paracetamol เดี่ยว ๆ</t>
        </is>
      </c>
      <c r="H168" s="0" t="inlineStr">
        <is>
          <t>งดยาทุกชนิดรอหายเอง</t>
        </is>
      </c>
      <c r="I168" s="0" t="n">
        <v>3</v>
      </c>
      <c r="J168" s="0"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0" t="inlineStr"/>
      <c r="L168" s="0" t="inlineStr">
        <is>
          <t>Gout &amp; Hyperuricemia</t>
        </is>
      </c>
      <c r="M168" s="0" t="inlineStr">
        <is>
          <t>Clinic</t>
        </is>
      </c>
      <c r="N168" s="0" t="inlineStr">
        <is>
          <t>ข้อ 35 Mock Musculo RxCU84</t>
        </is>
      </c>
      <c r="O168" s="0" t="inlineStr">
        <is>
          <t>Mock</t>
        </is>
      </c>
      <c r="P168" s="0" t="inlineStr">
        <is>
          <t>Mock RxCU84</t>
        </is>
      </c>
    </row>
    <row r="169">
      <c r="A169" s="0" t="n">
        <v>167</v>
      </c>
      <c r="B169"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0" t="inlineStr"/>
      <c r="D169" s="0" t="inlineStr">
        <is>
          <t>0.6 mg วันละครั้งเท่านั้น</t>
        </is>
      </c>
      <c r="E169" s="0" t="inlineStr">
        <is>
          <t>1.0 mg แล้ว 0.5 mg ทุกชั่วโมงจนท้องเสีย</t>
        </is>
      </c>
      <c r="F169" s="0" t="inlineStr">
        <is>
          <t>2.4 mg ครั้งเดียว</t>
        </is>
      </c>
      <c r="G169" s="0" t="inlineStr">
        <is>
          <t>1.2 mg ทันที แล้ว 0.6 mg อีก 1 ชม. ต่อด้วย 0.5–0.6 mg ทุก 8–12 ชม.</t>
        </is>
      </c>
      <c r="H169" s="0" t="inlineStr">
        <is>
          <t>1.2 mg ทุก 2 ชม. รวม 6 ครั้ง</t>
        </is>
      </c>
      <c r="I169" s="0" t="n">
        <v>4</v>
      </c>
      <c r="J169" s="0"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0" t="inlineStr"/>
      <c r="L169" s="0" t="inlineStr">
        <is>
          <t>Gout &amp; Hyperuricemia</t>
        </is>
      </c>
      <c r="M169" s="0" t="inlineStr">
        <is>
          <t>Clinic</t>
        </is>
      </c>
      <c r="N169" s="0" t="inlineStr">
        <is>
          <t>ข้อ 36 Mock Musculo RxCU84</t>
        </is>
      </c>
      <c r="O169" s="0" t="inlineStr">
        <is>
          <t>Mock</t>
        </is>
      </c>
      <c r="P169" s="0" t="inlineStr">
        <is>
          <t>Mock RxCU84</t>
        </is>
      </c>
    </row>
    <row r="170">
      <c r="A170" s="0" t="n">
        <v>168</v>
      </c>
      <c r="B170"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0" t="inlineStr"/>
      <c r="D170" s="0" t="inlineStr">
        <is>
          <t>คง losartan ไว้เพราะช่วยขับกรดยูริก</t>
        </is>
      </c>
      <c r="E170" s="0" t="inlineStr">
        <is>
          <t>เปลี่ยน losartan เป็น hydrochlorothiazide</t>
        </is>
      </c>
      <c r="F170" s="0" t="inlineStr">
        <is>
          <t>เพิ่ม bisoprolol เพื่อลดกรดยูริก</t>
        </is>
      </c>
      <c r="G170" s="0" t="inlineStr">
        <is>
          <t>เพิ่ม low-dose aspirin</t>
        </is>
      </c>
      <c r="H170" s="0" t="inlineStr">
        <is>
          <t>หยุด losartan เพราะเพิ่มกรดยูริก</t>
        </is>
      </c>
      <c r="I170" s="0" t="n">
        <v>1</v>
      </c>
      <c r="J170" s="0"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0" t="inlineStr"/>
      <c r="L170" s="0" t="inlineStr">
        <is>
          <t>Gout &amp; Hyperuricemia</t>
        </is>
      </c>
      <c r="M170" s="0" t="inlineStr">
        <is>
          <t>Clinic</t>
        </is>
      </c>
      <c r="N170" s="0" t="inlineStr">
        <is>
          <t>ข้อ 37 Mock Musculo RxCU84</t>
        </is>
      </c>
      <c r="O170" s="0" t="inlineStr">
        <is>
          <t>Mock</t>
        </is>
      </c>
      <c r="P170" s="0" t="inlineStr">
        <is>
          <t>Mock RxCU84</t>
        </is>
      </c>
    </row>
    <row r="171">
      <c r="A171" s="0" t="n">
        <v>169</v>
      </c>
      <c r="B171"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0" t="inlineStr"/>
      <c r="D171" s="0" t="inlineStr">
        <is>
          <t>HLA-B15:02</t>
        </is>
      </c>
      <c r="E171" s="0" t="inlineStr">
        <is>
          <t>HLA-B58:01</t>
        </is>
      </c>
      <c r="F171" s="0" t="inlineStr">
        <is>
          <t>HLA-B57:01</t>
        </is>
      </c>
      <c r="G171" s="0" t="inlineStr">
        <is>
          <t>CYP2C9</t>
        </is>
      </c>
      <c r="H171" s="0" t="inlineStr">
        <is>
          <t>G6PD</t>
        </is>
      </c>
      <c r="I171" s="0" t="n">
        <v>2</v>
      </c>
      <c r="J171" s="0"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0" t="inlineStr"/>
      <c r="L171" s="0" t="inlineStr">
        <is>
          <t>Gout &amp; Hyperuricemia</t>
        </is>
      </c>
      <c r="M171" s="0" t="inlineStr">
        <is>
          <t>Clinic</t>
        </is>
      </c>
      <c r="N171" s="0" t="inlineStr">
        <is>
          <t>ข้อ 38 Mock Musculo RxCU84</t>
        </is>
      </c>
      <c r="O171" s="0" t="inlineStr">
        <is>
          <t>Mock</t>
        </is>
      </c>
      <c r="P171" s="0" t="inlineStr">
        <is>
          <t>Mock RxCU84</t>
        </is>
      </c>
    </row>
    <row r="172">
      <c r="A172" s="0" t="n">
        <v>170</v>
      </c>
      <c r="B172" s="0"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0" t="inlineStr"/>
      <c r="D172" s="0" t="inlineStr">
        <is>
          <t>น้อยกว่า 4 mg/dL</t>
        </is>
      </c>
      <c r="E172" s="0" t="inlineStr">
        <is>
          <t>น้อยกว่า 5 mg/dL</t>
        </is>
      </c>
      <c r="F172" s="0" t="inlineStr">
        <is>
          <t>น้อยกว่า 6 mg/dL</t>
        </is>
      </c>
      <c r="G172" s="0" t="inlineStr">
        <is>
          <t>น้อยกว่า 7 mg/dL</t>
        </is>
      </c>
      <c r="H172" s="0" t="inlineStr">
        <is>
          <t>น้อยกว่า 8 mg/dL</t>
        </is>
      </c>
      <c r="I172" s="0" t="n">
        <v>3</v>
      </c>
      <c r="J172" s="0"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0" t="inlineStr"/>
      <c r="L172" s="0" t="inlineStr">
        <is>
          <t>Gout &amp; Hyperuricemia</t>
        </is>
      </c>
      <c r="M172" s="0" t="inlineStr">
        <is>
          <t>Clinic</t>
        </is>
      </c>
      <c r="N172" s="0" t="inlineStr">
        <is>
          <t>ข้อ 39 Mock Musculo RxCU84</t>
        </is>
      </c>
      <c r="O172" s="0" t="inlineStr">
        <is>
          <t>Mock</t>
        </is>
      </c>
      <c r="P172" s="0" t="inlineStr">
        <is>
          <t>Mock RxCU84</t>
        </is>
      </c>
    </row>
    <row r="173">
      <c r="A173" s="0" t="n">
        <v>171</v>
      </c>
      <c r="B173"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0" t="inlineStr"/>
      <c r="D173" s="0" t="inlineStr">
        <is>
          <t>Oral Paracetamol</t>
        </is>
      </c>
      <c r="E173" s="0" t="inlineStr">
        <is>
          <t>Topical NSAIDs</t>
        </is>
      </c>
      <c r="F173" s="0" t="inlineStr">
        <is>
          <t>Oral Glucosamine</t>
        </is>
      </c>
      <c r="G173" s="0" t="inlineStr">
        <is>
          <t>IA Steroid</t>
        </is>
      </c>
      <c r="H173" s="0" t="inlineStr">
        <is>
          <t>Tramadol</t>
        </is>
      </c>
      <c r="I173" s="0" t="n">
        <v>2</v>
      </c>
      <c r="J173" s="0"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0" t="inlineStr"/>
      <c r="L173" s="0" t="inlineStr">
        <is>
          <t>Osteoarthritis</t>
        </is>
      </c>
      <c r="M173" s="0" t="inlineStr">
        <is>
          <t>Clinic</t>
        </is>
      </c>
      <c r="N173" s="0" t="inlineStr">
        <is>
          <t>ข้อ 40 Mock Musculo RxCU84</t>
        </is>
      </c>
      <c r="O173" s="0" t="inlineStr">
        <is>
          <t>Mock</t>
        </is>
      </c>
      <c r="P173" s="0" t="inlineStr">
        <is>
          <t>Mock RxCU84</t>
        </is>
      </c>
    </row>
    <row r="174">
      <c r="A174" s="0" t="n">
        <v>172</v>
      </c>
      <c r="B174"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0" t="inlineStr"/>
      <c r="D174" s="0" t="inlineStr">
        <is>
          <t>OA เป็น Autoimmune</t>
        </is>
      </c>
      <c r="E174" s="0" t="inlineStr">
        <is>
          <t>OA เกิดจากการสึกหรอของกระดูกอ่อน (Cartilage degradation)</t>
        </is>
      </c>
      <c r="F174" s="0" t="inlineStr">
        <is>
          <t>OA มี Systemic symptom</t>
        </is>
      </c>
      <c r="G174" s="0" t="inlineStr">
        <is>
          <t>OA ค่า ESR พุ่งสูง</t>
        </is>
      </c>
      <c r="H174" s="0" t="inlineStr">
        <is>
          <t>OA มักโดนข้อข้อมือ</t>
        </is>
      </c>
      <c r="I174" s="0" t="n">
        <v>2</v>
      </c>
      <c r="J174" s="0"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0" t="inlineStr"/>
      <c r="L174" s="0" t="inlineStr">
        <is>
          <t>Osteoarthritis</t>
        </is>
      </c>
      <c r="M174" s="0" t="inlineStr">
        <is>
          <t>Clinic</t>
        </is>
      </c>
      <c r="N174" s="0" t="inlineStr">
        <is>
          <t>ข้อ 41 Mock Musculo RxCU84</t>
        </is>
      </c>
      <c r="O174" s="0" t="inlineStr">
        <is>
          <t>Mock</t>
        </is>
      </c>
      <c r="P174" s="0" t="inlineStr">
        <is>
          <t>Mock RxCU84</t>
        </is>
      </c>
    </row>
    <row r="175">
      <c r="A175" s="0" t="n">
        <v>173</v>
      </c>
      <c r="B175"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0" t="inlineStr"/>
      <c r="D175" s="0" t="inlineStr">
        <is>
          <t>ว่ายน้ำและลดน้ำหนัก</t>
        </is>
      </c>
      <c r="E175" s="0" t="inlineStr">
        <is>
          <t>วิ่งมาราธอน</t>
        </is>
      </c>
      <c r="F175" s="0" t="inlineStr">
        <is>
          <t>การฝังเข็ม</t>
        </is>
      </c>
      <c r="G175" s="0" t="inlineStr">
        <is>
          <t>การใส่สนับเข่าตลอดเวลา</t>
        </is>
      </c>
      <c r="H175" s="0" t="inlineStr">
        <is>
          <t>การทานคอลลาเจน</t>
        </is>
      </c>
      <c r="I175" s="0" t="n">
        <v>1</v>
      </c>
      <c r="J175" s="0"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0" t="inlineStr"/>
      <c r="L175" s="0" t="inlineStr">
        <is>
          <t>Osteoarthritis</t>
        </is>
      </c>
      <c r="M175" s="0" t="inlineStr">
        <is>
          <t>Clinic</t>
        </is>
      </c>
      <c r="N175" s="0" t="inlineStr">
        <is>
          <t>ข้อ 42 Mock Musculo RxCU84</t>
        </is>
      </c>
      <c r="O175" s="0" t="inlineStr">
        <is>
          <t>Mock</t>
        </is>
      </c>
      <c r="P175" s="0" t="inlineStr">
        <is>
          <t>Mock RxCU84</t>
        </is>
      </c>
    </row>
    <row r="176">
      <c r="A176" s="0" t="n">
        <v>174</v>
      </c>
      <c r="B176"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0" t="inlineStr"/>
      <c r="D176" s="0" t="inlineStr">
        <is>
          <t>ข้อบวมแดง</t>
        </is>
      </c>
      <c r="E176" s="0" t="inlineStr">
        <is>
          <t>ข้อผิดรูปเบี้ยว</t>
        </is>
      </c>
      <c r="F176" s="0" t="inlineStr">
        <is>
          <t>เสียงดังกรอบแกรบขณะขยับข้อ</t>
        </is>
      </c>
      <c r="G176" s="0" t="inlineStr">
        <is>
          <t>การขยับข้อไม่ได้เลย</t>
        </is>
      </c>
      <c r="H176" s="0" t="inlineStr">
        <is>
          <t>กล้ามเนื้อลีบ</t>
        </is>
      </c>
      <c r="I176" s="0" t="n">
        <v>3</v>
      </c>
      <c r="J176" s="0"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0" t="inlineStr"/>
      <c r="L176" s="0" t="inlineStr">
        <is>
          <t>Osteoarthritis</t>
        </is>
      </c>
      <c r="M176" s="0" t="inlineStr">
        <is>
          <t>Clinic</t>
        </is>
      </c>
      <c r="N176" s="0" t="inlineStr">
        <is>
          <t>ข้อ 43 Mock Musculo RxCU84</t>
        </is>
      </c>
      <c r="O176" s="0" t="inlineStr">
        <is>
          <t>Mock</t>
        </is>
      </c>
      <c r="P176" s="0" t="inlineStr">
        <is>
          <t>Mock RxCU84</t>
        </is>
      </c>
    </row>
    <row r="177">
      <c r="A177" s="0" t="n">
        <v>175</v>
      </c>
      <c r="B177"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0" t="inlineStr"/>
      <c r="D177" s="0" t="inlineStr">
        <is>
          <t>Piroxicam</t>
        </is>
      </c>
      <c r="E177" s="0" t="inlineStr">
        <is>
          <t>Ibuprofen dose สูง</t>
        </is>
      </c>
      <c r="F177" s="0" t="inlineStr">
        <is>
          <t>COX-2 inhibitor + PPI</t>
        </is>
      </c>
      <c r="G177" s="0" t="inlineStr">
        <is>
          <t>Indomethacin</t>
        </is>
      </c>
      <c r="H177" s="0" t="inlineStr">
        <is>
          <t>Naproxen เดี่ยวๆ</t>
        </is>
      </c>
      <c r="I177" s="0" t="n">
        <v>3</v>
      </c>
      <c r="J177" s="0"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0" t="inlineStr"/>
      <c r="L177" s="0" t="inlineStr">
        <is>
          <t>Osteoarthritis</t>
        </is>
      </c>
      <c r="M177" s="0" t="inlineStr">
        <is>
          <t>Clinic</t>
        </is>
      </c>
      <c r="N177" s="0" t="inlineStr">
        <is>
          <t>ข้อ 44 Mock Musculo RxCU84</t>
        </is>
      </c>
      <c r="O177" s="0" t="inlineStr">
        <is>
          <t>Mock</t>
        </is>
      </c>
      <c r="P177" s="0" t="inlineStr">
        <is>
          <t>Mock RxCU84</t>
        </is>
      </c>
    </row>
    <row r="178">
      <c r="A178" s="0" t="n">
        <v>176</v>
      </c>
      <c r="B178"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0" t="inlineStr"/>
      <c r="D178" s="0" t="inlineStr">
        <is>
          <t>ยับยั้ง COX</t>
        </is>
      </c>
      <c r="E178" s="0" t="inlineStr">
        <is>
          <t>Depletion ของ Substance P จากปลายประสาท</t>
        </is>
      </c>
      <c r="F178" s="0" t="inlineStr">
        <is>
          <t>ยับยั้ง Mu-receptor</t>
        </is>
      </c>
      <c r="G178" s="0" t="inlineStr">
        <is>
          <t>ขยายหลอดเลือดลดอักเสบ</t>
        </is>
      </c>
      <c r="H178" s="0" t="inlineStr">
        <is>
          <t>ให้ความเย็นชา</t>
        </is>
      </c>
      <c r="I178" s="0" t="n">
        <v>2</v>
      </c>
      <c r="J178" s="0"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0" t="inlineStr"/>
      <c r="L178" s="0" t="inlineStr">
        <is>
          <t>Osteoarthritis</t>
        </is>
      </c>
      <c r="M178" s="0" t="inlineStr">
        <is>
          <t>Clinic</t>
        </is>
      </c>
      <c r="N178" s="0" t="inlineStr">
        <is>
          <t>ข้อ 45 Mock Musculo RxCU84</t>
        </is>
      </c>
      <c r="O178" s="0" t="inlineStr">
        <is>
          <t>Mock</t>
        </is>
      </c>
      <c r="P178" s="0" t="inlineStr">
        <is>
          <t>Mock RxCU84</t>
        </is>
      </c>
    </row>
    <row r="179">
      <c r="A179" s="0" t="n">
        <v>177</v>
      </c>
      <c r="B179"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0" t="inlineStr"/>
      <c r="D179" s="0" t="inlineStr">
        <is>
          <t>Hyaluronic acid และ Proteoglycan</t>
        </is>
      </c>
      <c r="E179" s="0" t="inlineStr">
        <is>
          <t>Calcium</t>
        </is>
      </c>
      <c r="F179" s="0" t="inlineStr">
        <is>
          <t>Vitamin D</t>
        </is>
      </c>
      <c r="G179" s="0" t="inlineStr">
        <is>
          <t>Uric acid</t>
        </is>
      </c>
      <c r="H179" s="0" t="inlineStr">
        <is>
          <t>Fibrin</t>
        </is>
      </c>
      <c r="I179" s="0" t="n">
        <v>1</v>
      </c>
      <c r="J179" s="0"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0" t="inlineStr"/>
      <c r="L179" s="0" t="inlineStr">
        <is>
          <t>Osteoarthritis</t>
        </is>
      </c>
      <c r="M179" s="0" t="inlineStr">
        <is>
          <t>Clinic</t>
        </is>
      </c>
      <c r="N179" s="0" t="inlineStr">
        <is>
          <t>ข้อ 46 Mock Musculo RxCU84</t>
        </is>
      </c>
      <c r="O179" s="0" t="inlineStr">
        <is>
          <t>Mock</t>
        </is>
      </c>
      <c r="P179" s="0" t="inlineStr">
        <is>
          <t>Mock RxCU84</t>
        </is>
      </c>
    </row>
    <row r="180">
      <c r="A180" s="0" t="n">
        <v>178</v>
      </c>
      <c r="B180"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0" t="inlineStr"/>
      <c r="D180" s="0" t="inlineStr">
        <is>
          <t>ห้ามฉีดเกินปีละ 1 ครั้ง</t>
        </is>
      </c>
      <c r="E180" s="0" t="inlineStr">
        <is>
          <t>ให้ผลลดปวดเพียงระยะสั้น (Short-term) ไม่ชะลอโรค</t>
        </is>
      </c>
      <c r="F180" s="0" t="inlineStr">
        <is>
          <t>ทำให้กระดูกงอก</t>
        </is>
      </c>
      <c r="G180" s="0" t="inlineStr">
        <is>
          <t>ลดปวดถาวร</t>
        </is>
      </c>
      <c r="H180" s="0" t="inlineStr">
        <is>
          <t>ใช้เป็น First-line เสมอ</t>
        </is>
      </c>
      <c r="I180" s="0" t="n">
        <v>2</v>
      </c>
      <c r="J180" s="0"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0" t="inlineStr"/>
      <c r="L180" s="0" t="inlineStr">
        <is>
          <t>Osteoarthritis</t>
        </is>
      </c>
      <c r="M180" s="0" t="inlineStr">
        <is>
          <t>Clinic</t>
        </is>
      </c>
      <c r="N180" s="0" t="inlineStr">
        <is>
          <t>ข้อ 47 Mock Musculo RxCU84</t>
        </is>
      </c>
      <c r="O180" s="0" t="inlineStr">
        <is>
          <t>Mock</t>
        </is>
      </c>
      <c r="P180" s="0" t="inlineStr">
        <is>
          <t>Mock RxCU84</t>
        </is>
      </c>
    </row>
    <row r="181">
      <c r="A181" s="0" t="n">
        <v>179</v>
      </c>
      <c r="B181"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0" t="inlineStr"/>
      <c r="D181" s="0" t="inlineStr">
        <is>
          <t>Duloxetine หรือ Tramadol</t>
        </is>
      </c>
      <c r="E181" s="0" t="inlineStr">
        <is>
          <t>Colchicine</t>
        </is>
      </c>
      <c r="F181" s="0" t="inlineStr">
        <is>
          <t>Allopurinol</t>
        </is>
      </c>
      <c r="G181" s="0" t="inlineStr">
        <is>
          <t>Methotrexate</t>
        </is>
      </c>
      <c r="H181" s="0" t="inlineStr">
        <is>
          <t>Prednisolone</t>
        </is>
      </c>
      <c r="I181" s="0" t="n">
        <v>1</v>
      </c>
      <c r="J181" s="0"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0" t="inlineStr"/>
      <c r="L181" s="0" t="inlineStr">
        <is>
          <t>Osteoarthritis</t>
        </is>
      </c>
      <c r="M181" s="0" t="inlineStr">
        <is>
          <t>Clinic</t>
        </is>
      </c>
      <c r="N181" s="0" t="inlineStr">
        <is>
          <t>ข้อ 48 Mock Musculo RxCU84</t>
        </is>
      </c>
      <c r="O181" s="0" t="inlineStr">
        <is>
          <t>Mock</t>
        </is>
      </c>
      <c r="P181" s="0" t="inlineStr">
        <is>
          <t>Mock RxCU84</t>
        </is>
      </c>
    </row>
    <row r="182">
      <c r="A182" s="0" t="n">
        <v>180</v>
      </c>
      <c r="B182"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0" t="inlineStr"/>
      <c r="D182" s="0" t="inlineStr">
        <is>
          <t>แนะนำอย่างยิ่งให้ใช้ทุกราย</t>
        </is>
      </c>
      <c r="E182" s="0" t="inlineStr">
        <is>
          <t>ไม่แนะนำให้ใช้ (Strongly against) หรือแนะนำอย่างมีเงื่อนไขว่าอาจใช้ใน OA Knee</t>
        </is>
      </c>
      <c r="F182" s="0" t="inlineStr">
        <is>
          <t>แทนที่ NSAID ได้เลย</t>
        </is>
      </c>
      <c r="G182" s="0" t="inlineStr">
        <is>
          <t>ใช้รักษา RA ได้</t>
        </is>
      </c>
      <c r="H182" s="0" t="inlineStr">
        <is>
          <t>ใช้ป้องกันกระดูกหัก</t>
        </is>
      </c>
      <c r="I182" s="0" t="n">
        <v>2</v>
      </c>
      <c r="J182" s="0"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0" t="inlineStr"/>
      <c r="L182" s="0" t="inlineStr">
        <is>
          <t>Osteoarthritis</t>
        </is>
      </c>
      <c r="M182" s="0" t="inlineStr">
        <is>
          <t>Clinic</t>
        </is>
      </c>
      <c r="N182" s="0" t="inlineStr">
        <is>
          <t>ข้อ 49 Mock Musculo RxCU84</t>
        </is>
      </c>
      <c r="O182" s="0" t="inlineStr">
        <is>
          <t>Mock</t>
        </is>
      </c>
      <c r="P182" s="0" t="inlineStr">
        <is>
          <t>Mock RxCU84</t>
        </is>
      </c>
    </row>
    <row r="183">
      <c r="A183" s="0" t="n">
        <v>181</v>
      </c>
      <c r="B183"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0" t="inlineStr"/>
      <c r="D183" s="0" t="inlineStr">
        <is>
          <t>Paracetamol</t>
        </is>
      </c>
      <c r="E183" s="0" t="inlineStr">
        <is>
          <t>Tramadol</t>
        </is>
      </c>
      <c r="F183" s="0" t="inlineStr">
        <is>
          <t>Topical NSAIDs</t>
        </is>
      </c>
      <c r="G183" s="0" t="inlineStr">
        <is>
          <t>Intra-articular hyaluronic acid</t>
        </is>
      </c>
      <c r="H183" s="0" t="inlineStr">
        <is>
          <t>Glucosamine</t>
        </is>
      </c>
      <c r="I183" s="0" t="n">
        <v>3</v>
      </c>
      <c r="J183" s="0"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0" t="inlineStr"/>
      <c r="L183" s="0" t="inlineStr">
        <is>
          <t>Osteoarthritis</t>
        </is>
      </c>
      <c r="M183" s="0" t="inlineStr">
        <is>
          <t>Clinic</t>
        </is>
      </c>
      <c r="N183" s="0" t="inlineStr">
        <is>
          <t>ข้อ 50 Mock Musculo RxCU84</t>
        </is>
      </c>
      <c r="O183" s="0" t="inlineStr">
        <is>
          <t>Mock</t>
        </is>
      </c>
      <c r="P183" s="0" t="inlineStr">
        <is>
          <t>Mock RxCU84</t>
        </is>
      </c>
    </row>
    <row r="184">
      <c r="A184" s="0" t="n">
        <v>182</v>
      </c>
      <c r="B184"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0" t="inlineStr"/>
      <c r="D184" s="0" t="inlineStr">
        <is>
          <t>Naloxone</t>
        </is>
      </c>
      <c r="E184" s="0" t="inlineStr">
        <is>
          <t>Flumazenil</t>
        </is>
      </c>
      <c r="F184" s="0" t="inlineStr">
        <is>
          <t>Vitamin K</t>
        </is>
      </c>
      <c r="G184" s="0" t="inlineStr">
        <is>
          <t>N-acetylcysteine</t>
        </is>
      </c>
      <c r="H184" s="0" t="inlineStr">
        <is>
          <t>Leucovorin</t>
        </is>
      </c>
      <c r="I184" s="0" t="n">
        <v>4</v>
      </c>
      <c r="J184" s="0"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0" t="inlineStr"/>
      <c r="L184" s="0" t="inlineStr">
        <is>
          <t>Osteoarthritis</t>
        </is>
      </c>
      <c r="M184" s="0" t="inlineStr">
        <is>
          <t>Clinic</t>
        </is>
      </c>
      <c r="N184" s="0" t="inlineStr">
        <is>
          <t>ข้อ 51 Mock Musculo RxCU84</t>
        </is>
      </c>
      <c r="O184" s="0" t="inlineStr">
        <is>
          <t>Mock</t>
        </is>
      </c>
      <c r="P184" s="0" t="inlineStr">
        <is>
          <t>Mock RxCU84</t>
        </is>
      </c>
    </row>
    <row r="185">
      <c r="A185" s="0" t="n">
        <v>183</v>
      </c>
      <c r="B185"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0" t="inlineStr"/>
      <c r="D185" s="0" t="inlineStr">
        <is>
          <t>Duloxetine</t>
        </is>
      </c>
      <c r="E185" s="0" t="inlineStr">
        <is>
          <t>Colchicine</t>
        </is>
      </c>
      <c r="F185" s="0" t="inlineStr">
        <is>
          <t>Allopurinol</t>
        </is>
      </c>
      <c r="G185" s="0" t="inlineStr">
        <is>
          <t>Prednisolone ระยะยาว</t>
        </is>
      </c>
      <c r="H185" s="0" t="inlineStr">
        <is>
          <t>Aspirin ขนาดสูง</t>
        </is>
      </c>
      <c r="I185" s="0" t="n">
        <v>1</v>
      </c>
      <c r="J185" s="0"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0" t="inlineStr"/>
      <c r="L185" s="0" t="inlineStr">
        <is>
          <t>Osteoarthritis</t>
        </is>
      </c>
      <c r="M185" s="0" t="inlineStr">
        <is>
          <t>Clinic</t>
        </is>
      </c>
      <c r="N185" s="0" t="inlineStr">
        <is>
          <t>ข้อ 52 Mock Musculo RxCU84</t>
        </is>
      </c>
      <c r="O185" s="0" t="inlineStr">
        <is>
          <t>Mock</t>
        </is>
      </c>
      <c r="P185" s="0" t="inlineStr">
        <is>
          <t>Mock RxCU84</t>
        </is>
      </c>
    </row>
    <row r="186">
      <c r="A186" s="0" t="n">
        <v>184</v>
      </c>
      <c r="B186"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0" t="inlineStr"/>
      <c r="D186" s="0" t="inlineStr">
        <is>
          <t>ยับยั้งเอนไซม์ cyclooxygenase</t>
        </is>
      </c>
      <c r="E186" s="0" t="inlineStr">
        <is>
          <t>กระตุ้น TRPV1 ทำให้ substance P พร่องลง</t>
        </is>
      </c>
      <c r="F186" s="0" t="inlineStr">
        <is>
          <t>ต้านตัวรับ μ-opioid</t>
        </is>
      </c>
      <c r="G186" s="0" t="inlineStr">
        <is>
          <t>ยับยั้ง xanthine oxidase</t>
        </is>
      </c>
      <c r="H186" s="0" t="inlineStr">
        <is>
          <t>ยับยั้งการเก็บกลับ serotonin</t>
        </is>
      </c>
      <c r="I186" s="0" t="n">
        <v>2</v>
      </c>
      <c r="J186" s="0"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0" t="inlineStr"/>
      <c r="L186" s="0" t="inlineStr">
        <is>
          <t>Osteoarthritis</t>
        </is>
      </c>
      <c r="M186" s="0" t="inlineStr">
        <is>
          <t>Clinic</t>
        </is>
      </c>
      <c r="N186" s="0" t="inlineStr">
        <is>
          <t>ข้อ 53 Mock Musculo RxCU84</t>
        </is>
      </c>
      <c r="O186" s="0" t="inlineStr">
        <is>
          <t>Mock</t>
        </is>
      </c>
      <c r="P186" s="0" t="inlineStr">
        <is>
          <t>Mock RxCU84</t>
        </is>
      </c>
    </row>
    <row r="187">
      <c r="A187" s="0" t="n">
        <v>185</v>
      </c>
      <c r="B187" s="0"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0" t="inlineStr"/>
      <c r="D187" s="0" t="inlineStr">
        <is>
          <t>แนะนำอย่างยิ่งให้ใช้ทุกราย</t>
        </is>
      </c>
      <c r="E187" s="0" t="inlineStr">
        <is>
          <t>ใช้แทน NSAIDs ได้</t>
        </is>
      </c>
      <c r="F187" s="0" t="inlineStr">
        <is>
          <t>ใช้รักษา RA</t>
        </is>
      </c>
      <c r="G187" s="0" t="inlineStr">
        <is>
          <t>ใช้ป้องกันกระดูกหัก</t>
        </is>
      </c>
      <c r="H187" s="0" t="inlineStr">
        <is>
          <t>ไม่แนะนำให้ใช้</t>
        </is>
      </c>
      <c r="I187" s="0" t="n">
        <v>5</v>
      </c>
      <c r="J187" s="0"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0" t="inlineStr"/>
      <c r="L187" s="0" t="inlineStr">
        <is>
          <t>Osteoarthritis</t>
        </is>
      </c>
      <c r="M187" s="0" t="inlineStr">
        <is>
          <t>Clinic</t>
        </is>
      </c>
      <c r="N187" s="0" t="inlineStr">
        <is>
          <t>ข้อ 54 Mock Musculo RxCU84</t>
        </is>
      </c>
      <c r="O187" s="0" t="inlineStr">
        <is>
          <t>Mock</t>
        </is>
      </c>
      <c r="P187" s="0" t="inlineStr">
        <is>
          <t>Mock RxCU84</t>
        </is>
      </c>
    </row>
    <row r="188">
      <c r="A188" s="0" t="n">
        <v>186</v>
      </c>
      <c r="B188"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0" t="inlineStr"/>
      <c r="D188" s="0" t="inlineStr">
        <is>
          <t>Alendronate</t>
        </is>
      </c>
      <c r="E188" s="0" t="inlineStr">
        <is>
          <t>Raloxifene</t>
        </is>
      </c>
      <c r="F188" s="0" t="inlineStr">
        <is>
          <t>Estrogen</t>
        </is>
      </c>
      <c r="G188" s="0" t="inlineStr">
        <is>
          <t>Calcitonin</t>
        </is>
      </c>
      <c r="H188" s="0" t="inlineStr">
        <is>
          <t>Calcium</t>
        </is>
      </c>
      <c r="I188" s="0" t="n">
        <v>1</v>
      </c>
      <c r="J188" s="0"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0" t="inlineStr"/>
      <c r="L188" s="0" t="inlineStr">
        <is>
          <t>Osteoporosis</t>
        </is>
      </c>
      <c r="M188" s="0" t="inlineStr">
        <is>
          <t>Clinic</t>
        </is>
      </c>
      <c r="N188" s="0" t="inlineStr">
        <is>
          <t>ข้อ 55 Mock Musculo RxCU84</t>
        </is>
      </c>
      <c r="O188" s="0" t="inlineStr">
        <is>
          <t>Mock</t>
        </is>
      </c>
      <c r="P188" s="0" t="inlineStr">
        <is>
          <t>Mock RxCU84</t>
        </is>
      </c>
    </row>
    <row r="189">
      <c r="A189" s="0" t="n">
        <v>187</v>
      </c>
      <c r="B189"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0" t="inlineStr"/>
      <c r="D189" s="0" t="inlineStr">
        <is>
          <t>กินหลังอาหารทันที</t>
        </is>
      </c>
      <c r="E189" s="0" t="inlineStr">
        <is>
          <t>กินก่อนนอน</t>
        </is>
      </c>
      <c r="F189" s="0" t="inlineStr">
        <is>
          <t>กินตอนเช้าขณะท้องว่าง ดื่มน้ำเปล่าเต็มแก้ว และตั้งตรง 30 นาที</t>
        </is>
      </c>
      <c r="G189" s="0" t="inlineStr">
        <is>
          <t>เคี้ยวให้ละเอียดก่อนกลืน</t>
        </is>
      </c>
      <c r="H189" s="0" t="inlineStr">
        <is>
          <t>กินพร้อมนม</t>
        </is>
      </c>
      <c r="I189" s="0" t="n">
        <v>3</v>
      </c>
      <c r="J189" s="0"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0" t="inlineStr"/>
      <c r="L189" s="0" t="inlineStr">
        <is>
          <t>Osteoporosis</t>
        </is>
      </c>
      <c r="M189" s="0" t="inlineStr">
        <is>
          <t>Clinic</t>
        </is>
      </c>
      <c r="N189" s="0" t="inlineStr">
        <is>
          <t>ข้อ 56 Mock Musculo RxCU84</t>
        </is>
      </c>
      <c r="O189" s="0" t="inlineStr">
        <is>
          <t>Mock</t>
        </is>
      </c>
      <c r="P189" s="0" t="inlineStr">
        <is>
          <t>Mock RxCU84</t>
        </is>
      </c>
    </row>
    <row r="190">
      <c r="A190" s="0" t="n">
        <v>188</v>
      </c>
      <c r="B190"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0" t="inlineStr"/>
      <c r="D190" s="0" t="inlineStr">
        <is>
          <t>Ca 500 mg, Vit D 400 IU</t>
        </is>
      </c>
      <c r="E190" s="0" t="inlineStr">
        <is>
          <t>Ca 1200 mg, Vit D 800-1000 IU</t>
        </is>
      </c>
      <c r="F190" s="0" t="inlineStr">
        <is>
          <t>Ca 2000 mg, Vit D 2000 IU</t>
        </is>
      </c>
      <c r="G190" s="0" t="inlineStr">
        <is>
          <t>Ca 800 mg, Vit D 400 IU</t>
        </is>
      </c>
      <c r="H190" s="0" t="inlineStr">
        <is>
          <t>Ca 1500 mg, Vit D 400 IU</t>
        </is>
      </c>
      <c r="I190" s="0" t="n">
        <v>2</v>
      </c>
      <c r="J190" s="0"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0" t="inlineStr"/>
      <c r="L190" s="0" t="inlineStr">
        <is>
          <t>Osteoporosis</t>
        </is>
      </c>
      <c r="M190" s="0" t="inlineStr">
        <is>
          <t>Clinic</t>
        </is>
      </c>
      <c r="N190" s="0" t="inlineStr">
        <is>
          <t>ข้อ 57 Mock Musculo RxCU84</t>
        </is>
      </c>
      <c r="O190" s="0" t="inlineStr">
        <is>
          <t>Mock</t>
        </is>
      </c>
      <c r="P190" s="0" t="inlineStr">
        <is>
          <t>Mock RxCU84</t>
        </is>
      </c>
    </row>
    <row r="191">
      <c r="A191" s="0" t="n">
        <v>189</v>
      </c>
      <c r="B191"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0" t="inlineStr"/>
      <c r="D191" s="0" t="inlineStr">
        <is>
          <t>กระตุ้น Osteoblast</t>
        </is>
      </c>
      <c r="E191" s="0" t="inlineStr">
        <is>
          <t>ยับยั้ง RANKL</t>
        </is>
      </c>
      <c r="F191" s="0" t="inlineStr">
        <is>
          <t>ยับยั้งการทำงานของ Osteoclast ชักนำให้เกิด Apoptosis</t>
        </is>
      </c>
      <c r="G191" s="0" t="inlineStr">
        <is>
          <t>เป็นฮอร์โมนทดแทน</t>
        </is>
      </c>
      <c r="H191" s="0" t="inlineStr">
        <is>
          <t>จับกับแคลเซียมในลำไส้ เฉลย</t>
        </is>
      </c>
      <c r="I191" s="0" t="n">
        <v>3</v>
      </c>
      <c r="J191" s="0"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0" t="inlineStr"/>
      <c r="L191" s="0" t="inlineStr">
        <is>
          <t>Osteoporosis</t>
        </is>
      </c>
      <c r="M191" s="0" t="inlineStr">
        <is>
          <t>Clinic</t>
        </is>
      </c>
      <c r="N191" s="0" t="inlineStr">
        <is>
          <t>ข้อ 58 Mock Musculo RxCU84</t>
        </is>
      </c>
      <c r="O191" s="0" t="inlineStr">
        <is>
          <t>Mock</t>
        </is>
      </c>
      <c r="P191" s="0" t="inlineStr">
        <is>
          <t>Mock RxCU84</t>
        </is>
      </c>
    </row>
    <row r="192">
      <c r="A192" s="0" t="n">
        <v>190</v>
      </c>
      <c r="B192"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0" t="inlineStr"/>
      <c r="D192" s="0" t="inlineStr">
        <is>
          <t>ยับยั้ง Osteoclast โดยตรง</t>
        </is>
      </c>
      <c r="E192" s="0" t="inlineStr">
        <is>
          <t>เป็น Monoclonal antibody ต่อ RANKL</t>
        </is>
      </c>
      <c r="F192" s="0" t="inlineStr">
        <is>
          <t>กระตุ้น PTH receptor</t>
        </is>
      </c>
      <c r="G192" s="0" t="inlineStr">
        <is>
          <t>SERM</t>
        </is>
      </c>
      <c r="H192" s="0" t="inlineStr">
        <is>
          <t>แคลเซียมสังเคราะห์</t>
        </is>
      </c>
      <c r="I192" s="0" t="n">
        <v>2</v>
      </c>
      <c r="J192" s="0"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0" t="inlineStr"/>
      <c r="L192" s="0" t="inlineStr">
        <is>
          <t>Osteoporosis</t>
        </is>
      </c>
      <c r="M192" s="0" t="inlineStr">
        <is>
          <t>Clinic</t>
        </is>
      </c>
      <c r="N192" s="0" t="inlineStr">
        <is>
          <t>ข้อ 59 Mock Musculo RxCU84</t>
        </is>
      </c>
      <c r="O192" s="0" t="inlineStr">
        <is>
          <t>Mock</t>
        </is>
      </c>
      <c r="P192" s="0" t="inlineStr">
        <is>
          <t>Mock RxCU84</t>
        </is>
      </c>
    </row>
    <row r="193">
      <c r="A193" s="0" t="n">
        <v>191</v>
      </c>
      <c r="B193"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0" t="inlineStr"/>
      <c r="D193" s="0" t="inlineStr">
        <is>
          <t>ผู้ป่วยมีภาวะความดันสูง</t>
        </is>
      </c>
      <c r="E193" s="0" t="inlineStr">
        <is>
          <t>ผู้ป่วยมีประวัติมะเร็ง (NSCLC) อาจเสี่ยงต่อ Osteosarcoma หรือ Bone mets</t>
        </is>
      </c>
      <c r="F193" s="0" t="inlineStr">
        <is>
          <t>ผู้ป่วยเป็นเบาหวาน</t>
        </is>
      </c>
      <c r="G193" s="0" t="inlineStr">
        <is>
          <t>ผู้ป่วยไม่มีกระดูกหัก</t>
        </is>
      </c>
      <c r="H193" s="0" t="inlineStr">
        <is>
          <t>ยาราคาแพง</t>
        </is>
      </c>
      <c r="I193" s="0" t="n">
        <v>2</v>
      </c>
      <c r="J193" s="0"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0" t="inlineStr"/>
      <c r="L193" s="0" t="inlineStr">
        <is>
          <t>Osteoporosis</t>
        </is>
      </c>
      <c r="M193" s="0" t="inlineStr">
        <is>
          <t>Clinic</t>
        </is>
      </c>
      <c r="N193" s="0" t="inlineStr">
        <is>
          <t>ข้อ 60 Mock Musculo RxCU84</t>
        </is>
      </c>
      <c r="O193" s="0" t="inlineStr">
        <is>
          <t>Mock</t>
        </is>
      </c>
      <c r="P193" s="0" t="inlineStr">
        <is>
          <t>Mock RxCU84</t>
        </is>
      </c>
    </row>
    <row r="194">
      <c r="A194" s="0" t="n">
        <v>192</v>
      </c>
      <c r="B194"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0" t="inlineStr"/>
      <c r="D194" s="0" t="inlineStr">
        <is>
          <t>ป้องกันได้เฉพาะ Vertebral fracture และมีประวัติมะเร็ง/อาจเสี่ยง VTE</t>
        </is>
      </c>
      <c r="E194" s="0" t="inlineStr">
        <is>
          <t>ทำให้มวลกระดูกลดลง</t>
        </is>
      </c>
      <c r="F194" s="0" t="inlineStr">
        <is>
          <t>ระคายเคืองกระเพาะอาหาร</t>
        </is>
      </c>
      <c r="G194" s="0" t="inlineStr">
        <is>
          <t>ต้องฉีดเข้าเส้น</t>
        </is>
      </c>
      <c r="H194" s="0" t="inlineStr">
        <is>
          <t>ห้ามใช้ในคนแก่</t>
        </is>
      </c>
      <c r="I194" s="0" t="n">
        <v>1</v>
      </c>
      <c r="J194" s="0"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0" t="inlineStr"/>
      <c r="L194" s="0" t="inlineStr">
        <is>
          <t>Osteoporosis</t>
        </is>
      </c>
      <c r="M194" s="0" t="inlineStr">
        <is>
          <t>Clinic</t>
        </is>
      </c>
      <c r="N194" s="0" t="inlineStr">
        <is>
          <t>ข้อ 61 Mock Musculo RxCU84</t>
        </is>
      </c>
      <c r="O194" s="0" t="inlineStr">
        <is>
          <t>Mock</t>
        </is>
      </c>
      <c r="P194" s="0" t="inlineStr">
        <is>
          <t>Mock RxCU84</t>
        </is>
      </c>
    </row>
    <row r="195">
      <c r="A195" s="0" t="n">
        <v>193</v>
      </c>
      <c r="B195"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0" t="inlineStr"/>
      <c r="D195" s="0" t="inlineStr">
        <is>
          <t>1 ปี</t>
        </is>
      </c>
      <c r="E195" s="0" t="inlineStr">
        <is>
          <t>3-5 ปี</t>
        </is>
      </c>
      <c r="F195" s="0" t="inlineStr">
        <is>
          <t>10 ปี</t>
        </is>
      </c>
      <c r="G195" s="0" t="inlineStr">
        <is>
          <t>ตลอดชีวิต</t>
        </is>
      </c>
      <c r="H195" s="0" t="inlineStr">
        <is>
          <t>6 เดือน</t>
        </is>
      </c>
      <c r="I195" s="0" t="n">
        <v>2</v>
      </c>
      <c r="J195" s="0"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0" t="inlineStr"/>
      <c r="L195" s="0" t="inlineStr">
        <is>
          <t>Osteoporosis</t>
        </is>
      </c>
      <c r="M195" s="0" t="inlineStr">
        <is>
          <t>Clinic</t>
        </is>
      </c>
      <c r="N195" s="0" t="inlineStr">
        <is>
          <t>ข้อ 62 Mock Musculo RxCU84</t>
        </is>
      </c>
      <c r="O195" s="0" t="inlineStr">
        <is>
          <t>Mock</t>
        </is>
      </c>
      <c r="P195" s="0" t="inlineStr">
        <is>
          <t>Mock RxCU84</t>
        </is>
      </c>
    </row>
    <row r="196">
      <c r="A196" s="0" t="n">
        <v>194</v>
      </c>
      <c r="B196"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0" t="inlineStr"/>
      <c r="D196" s="0" t="inlineStr">
        <is>
          <t>T-score ≤ -1.0</t>
        </is>
      </c>
      <c r="E196" s="0" t="inlineStr">
        <is>
          <t>T-score ≤ -2.0</t>
        </is>
      </c>
      <c r="F196" s="0" t="inlineStr">
        <is>
          <t>T-score ≤ -2.5</t>
        </is>
      </c>
      <c r="G196" s="0" t="inlineStr">
        <is>
          <t>T-score &gt; -1.0</t>
        </is>
      </c>
      <c r="H196" s="0" t="inlineStr">
        <is>
          <t>T-score = 0</t>
        </is>
      </c>
      <c r="I196" s="0" t="n">
        <v>3</v>
      </c>
      <c r="J196" s="0"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0" t="inlineStr"/>
      <c r="L196" s="0" t="inlineStr">
        <is>
          <t>Osteoporosis</t>
        </is>
      </c>
      <c r="M196" s="0" t="inlineStr">
        <is>
          <t>Clinic</t>
        </is>
      </c>
      <c r="N196" s="0" t="inlineStr">
        <is>
          <t>ข้อ 63 Mock Musculo RxCU84</t>
        </is>
      </c>
      <c r="O196" s="0" t="inlineStr">
        <is>
          <t>Mock</t>
        </is>
      </c>
      <c r="P196" s="0" t="inlineStr">
        <is>
          <t>Mock RxCU84</t>
        </is>
      </c>
    </row>
    <row r="197">
      <c r="A197" s="0" t="n">
        <v>195</v>
      </c>
      <c r="B197"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0" t="inlineStr"/>
      <c r="D197" s="0" t="inlineStr">
        <is>
          <t>SJS/TEN</t>
        </is>
      </c>
      <c r="E197" s="0" t="inlineStr">
        <is>
          <t>Osteonecrosis of the jaw (ONJ) และ Atypical femur fracture (AFF)</t>
        </is>
      </c>
      <c r="F197" s="0" t="inlineStr">
        <is>
          <t>รังไข่ฝ่อ</t>
        </is>
      </c>
      <c r="G197" s="0" t="inlineStr">
        <is>
          <t>เลือดออกในสมอง</t>
        </is>
      </c>
      <c r="H197" s="0" t="inlineStr">
        <is>
          <t>ไตวายเฉียบพลัน</t>
        </is>
      </c>
      <c r="I197" s="0" t="n">
        <v>2</v>
      </c>
      <c r="J197" s="0"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0" t="inlineStr"/>
      <c r="L197" s="0" t="inlineStr">
        <is>
          <t>Osteoporosis</t>
        </is>
      </c>
      <c r="M197" s="0" t="inlineStr">
        <is>
          <t>Clinic</t>
        </is>
      </c>
      <c r="N197" s="0" t="inlineStr">
        <is>
          <t>ข้อ 64 Mock Musculo RxCU84</t>
        </is>
      </c>
      <c r="O197" s="0" t="inlineStr">
        <is>
          <t>Mock</t>
        </is>
      </c>
      <c r="P197" s="0" t="inlineStr">
        <is>
          <t>Mock RxCU84</t>
        </is>
      </c>
    </row>
    <row r="198">
      <c r="A198" s="0" t="n">
        <v>196</v>
      </c>
      <c r="B198"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0" t="inlineStr"/>
      <c r="D198" s="0" t="inlineStr">
        <is>
          <t>Raloxifene</t>
        </is>
      </c>
      <c r="E198" s="0" t="inlineStr">
        <is>
          <t>Alendronate</t>
        </is>
      </c>
      <c r="F198" s="0" t="inlineStr">
        <is>
          <t>Calcium เดี่ยว ๆ</t>
        </is>
      </c>
      <c r="G198" s="0" t="inlineStr">
        <is>
          <t>Estrogen</t>
        </is>
      </c>
      <c r="H198" s="0" t="inlineStr">
        <is>
          <t>Teriparatide</t>
        </is>
      </c>
      <c r="I198" s="0" t="n">
        <v>2</v>
      </c>
      <c r="J198" s="0"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0" t="inlineStr"/>
      <c r="L198" s="0" t="inlineStr">
        <is>
          <t>Osteoporosis</t>
        </is>
      </c>
      <c r="M198" s="0" t="inlineStr">
        <is>
          <t>Clinic</t>
        </is>
      </c>
      <c r="N198" s="0" t="inlineStr">
        <is>
          <t>ข้อ 65 Mock Musculo RxCU84</t>
        </is>
      </c>
      <c r="O198" s="0" t="inlineStr">
        <is>
          <t>Mock</t>
        </is>
      </c>
      <c r="P198" s="0" t="inlineStr">
        <is>
          <t>Mock RxCU84</t>
        </is>
      </c>
    </row>
    <row r="199">
      <c r="A199" s="0" t="n">
        <v>197</v>
      </c>
      <c r="B199"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0" t="inlineStr"/>
      <c r="D199" s="0" t="inlineStr">
        <is>
          <t>มีประวัติมะเร็ง เสี่ยง osteosarcoma</t>
        </is>
      </c>
      <c r="E199" s="0" t="inlineStr">
        <is>
          <t>ผู้ป่วยเป็นเบาหวาน</t>
        </is>
      </c>
      <c r="F199" s="0" t="inlineStr">
        <is>
          <t>ยาราคาถูก</t>
        </is>
      </c>
      <c r="G199" s="0" t="inlineStr">
        <is>
          <t>การทำงานของไตปกติ</t>
        </is>
      </c>
      <c r="H199" s="0" t="inlineStr">
        <is>
          <t>ไม่มีกระดูกหัก</t>
        </is>
      </c>
      <c r="I199" s="0" t="n">
        <v>1</v>
      </c>
      <c r="J199" s="0"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0" t="inlineStr"/>
      <c r="L199" s="0" t="inlineStr">
        <is>
          <t>Osteoporosis</t>
        </is>
      </c>
      <c r="M199" s="0" t="inlineStr">
        <is>
          <t>Clinic</t>
        </is>
      </c>
      <c r="N199" s="0" t="inlineStr">
        <is>
          <t>ข้อ 66 Mock Musculo RxCU84</t>
        </is>
      </c>
      <c r="O199" s="0" t="inlineStr">
        <is>
          <t>Mock</t>
        </is>
      </c>
      <c r="P199" s="0" t="inlineStr">
        <is>
          <t>Mock RxCU84</t>
        </is>
      </c>
    </row>
    <row r="200">
      <c r="A200" s="0" t="n">
        <v>198</v>
      </c>
      <c r="B200"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0" t="inlineStr"/>
      <c r="D200" s="0" t="inlineStr">
        <is>
          <t>NSAIDs ขนาดสูงต่อเนื่องเป็นหลัก</t>
        </is>
      </c>
      <c r="E200" s="0" t="inlineStr">
        <is>
          <t>Colchicine</t>
        </is>
      </c>
      <c r="F200" s="0" t="inlineStr">
        <is>
          <t>Opioid ตามบันได WHO ร่วมกับ paracetamol เลี่ยง NSAIDs</t>
        </is>
      </c>
      <c r="G200" s="0" t="inlineStr">
        <is>
          <t>Allopurinol</t>
        </is>
      </c>
      <c r="H200" s="0" t="inlineStr">
        <is>
          <t>งดยาแก้ปวดทุกชนิด</t>
        </is>
      </c>
      <c r="I200" s="0" t="n">
        <v>3</v>
      </c>
      <c r="J200" s="0"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0" t="inlineStr"/>
      <c r="L200" s="0" t="inlineStr">
        <is>
          <t>Osteoporosis</t>
        </is>
      </c>
      <c r="M200" s="0" t="inlineStr">
        <is>
          <t>Clinic</t>
        </is>
      </c>
      <c r="N200" s="0" t="inlineStr">
        <is>
          <t>ข้อ 67 Mock Musculo RxCU84</t>
        </is>
      </c>
      <c r="O200" s="0" t="inlineStr">
        <is>
          <t>Mock</t>
        </is>
      </c>
      <c r="P200" s="0" t="inlineStr">
        <is>
          <t>Mock RxCU84</t>
        </is>
      </c>
    </row>
    <row r="201">
      <c r="A201" s="0" t="n">
        <v>199</v>
      </c>
      <c r="B201"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0" t="inlineStr"/>
      <c r="D201" s="0" t="inlineStr">
        <is>
          <t>เพิ่มระดับแคลเซียมในเลือด</t>
        </is>
      </c>
      <c r="E201" s="0" t="inlineStr">
        <is>
          <t>กระตุ้นการทำงานของ osteoclast</t>
        </is>
      </c>
      <c r="F201" s="0" t="inlineStr">
        <is>
          <t>เป็นยาหลักระยะยาวแทน bisphosphonate</t>
        </is>
      </c>
      <c r="G201" s="0" t="inlineStr">
        <is>
          <t>ไม่มีฤทธิ์ลดปวด</t>
        </is>
      </c>
      <c r="H201" s="0" t="inlineStr">
        <is>
          <t>ช่วยลดปวดระยะสั้นจากกระดูกสันหลังยุบ</t>
        </is>
      </c>
      <c r="I201" s="0" t="n">
        <v>5</v>
      </c>
      <c r="J201" s="0"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0" t="inlineStr"/>
      <c r="L201" s="0" t="inlineStr">
        <is>
          <t>Osteoporosis</t>
        </is>
      </c>
      <c r="M201" s="0" t="inlineStr">
        <is>
          <t>Clinic</t>
        </is>
      </c>
      <c r="N201" s="0" t="inlineStr">
        <is>
          <t>ข้อ 68 Mock Musculo RxCU84</t>
        </is>
      </c>
      <c r="O201" s="0" t="inlineStr">
        <is>
          <t>Mock</t>
        </is>
      </c>
      <c r="P201" s="0" t="inlineStr">
        <is>
          <t>Mock RxCU84</t>
        </is>
      </c>
    </row>
    <row r="202">
      <c r="A202" s="0" t="n">
        <v>200</v>
      </c>
      <c r="B202" s="0"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0" t="inlineStr"/>
      <c r="D202" s="0" t="inlineStr">
        <is>
          <t>SJS/TEN</t>
        </is>
      </c>
      <c r="E202" s="0" t="inlineStr">
        <is>
          <t>ไตวายเฉียบพลัน</t>
        </is>
      </c>
      <c r="F202" s="0" t="inlineStr">
        <is>
          <t>หัวใจเต้นผิดจังหวะ</t>
        </is>
      </c>
      <c r="G202" s="0" t="inlineStr">
        <is>
          <t>Osteonecrosis of the jaw และ atypical femur fracture</t>
        </is>
      </c>
      <c r="H202" s="0" t="inlineStr">
        <is>
          <t>ต้อกระจก</t>
        </is>
      </c>
      <c r="I202" s="0" t="n">
        <v>4</v>
      </c>
      <c r="J202" s="0"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0" t="inlineStr"/>
      <c r="L202" s="0" t="inlineStr">
        <is>
          <t>Osteoporosis</t>
        </is>
      </c>
      <c r="M202" s="0" t="inlineStr">
        <is>
          <t>Clinic</t>
        </is>
      </c>
      <c r="N202" s="0" t="inlineStr">
        <is>
          <t>ข้อ 69 Mock Musculo RxCU84</t>
        </is>
      </c>
      <c r="O202" s="0" t="inlineStr">
        <is>
          <t>Mock</t>
        </is>
      </c>
      <c r="P202" s="0" t="inlineStr">
        <is>
          <t>Mock RxCU84</t>
        </is>
      </c>
    </row>
    <row r="203">
      <c r="A203" s="0" t="n">
        <v>201</v>
      </c>
      <c r="B203"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0" t="inlineStr"/>
      <c r="D203" s="0" t="inlineStr">
        <is>
          <t>การคำนวณยา Infliximab ต่อน้ำหนักตัวผิดพลาด</t>
        </is>
      </c>
      <c r="E203" s="0" t="inlineStr">
        <is>
          <t>สั่ง MTX กินทุกวันแทนที่จะเป็นสัปดาห์ละครั้ง</t>
        </is>
      </c>
      <c r="F203" s="0" t="inlineStr">
        <is>
          <t>ให้ Folic acid ที่มีขนาดน้อยเกินไป</t>
        </is>
      </c>
      <c r="G203" s="0" t="inlineStr">
        <is>
          <t>การที่ Prednisolone ให้รับประทานหลังอาหารทำให้ยาดูดซึมไม่ดี</t>
        </is>
      </c>
      <c r="H203" s="0" t="inlineStr">
        <is>
          <t>การบริหาร NSS 0.9% มีอัตราเร็วจนเกินไป ก่อให้เกิดอาการบวมน้ำ</t>
        </is>
      </c>
      <c r="I203" s="0" t="n">
        <v>2</v>
      </c>
      <c r="J203" s="0"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0" t="inlineStr"/>
      <c r="L203" s="0" t="inlineStr">
        <is>
          <t>Rheumatoid Arthritis</t>
        </is>
      </c>
      <c r="M203" s="0" t="inlineStr">
        <is>
          <t>Clinic</t>
        </is>
      </c>
      <c r="N203" s="0" t="inlineStr">
        <is>
          <t>ข้อ 70 Mock Musculo RxCU84</t>
        </is>
      </c>
      <c r="O203" s="0" t="inlineStr">
        <is>
          <t>Mock</t>
        </is>
      </c>
      <c r="P203" s="0" t="inlineStr">
        <is>
          <t>Mock RxCU84</t>
        </is>
      </c>
    </row>
    <row r="204">
      <c r="A204" s="0" t="n">
        <v>202</v>
      </c>
      <c r="B204"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0" t="inlineStr"/>
      <c r="D204" s="0" t="inlineStr">
        <is>
          <t>CBC ที่ต่ำเกินไป</t>
        </is>
      </c>
      <c r="E204" s="0" t="inlineStr">
        <is>
          <t>WBC ที่สูงเกินไป</t>
        </is>
      </c>
      <c r="F204" s="0" t="inlineStr">
        <is>
          <t>ค่า LDL-C ที่สูงขึ้น</t>
        </is>
      </c>
      <c r="G204" s="0" t="inlineStr">
        <is>
          <t>อาการเวียนศรีษะและหมดสติ</t>
        </is>
      </c>
      <c r="H204" s="0" t="inlineStr">
        <is>
          <t>ไม่มีข้อใดถูกต้อง</t>
        </is>
      </c>
      <c r="I204" s="0" t="n">
        <v>1</v>
      </c>
      <c r="J204" s="0"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0" t="inlineStr"/>
      <c r="L204" s="0" t="inlineStr">
        <is>
          <t>Rheumatoid Arthritis</t>
        </is>
      </c>
      <c r="M204" s="0" t="inlineStr">
        <is>
          <t>Clinic</t>
        </is>
      </c>
      <c r="N204" s="0" t="inlineStr">
        <is>
          <t>ข้อ 71 Mock Musculo RxCU84</t>
        </is>
      </c>
      <c r="O204" s="0" t="inlineStr">
        <is>
          <t>Mock</t>
        </is>
      </c>
      <c r="P204" s="0" t="inlineStr">
        <is>
          <t>Mock RxCU84</t>
        </is>
      </c>
    </row>
    <row r="205">
      <c r="A205" s="0" t="n">
        <v>203</v>
      </c>
      <c r="B205"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0" t="inlineStr"/>
      <c r="D205" s="0" t="inlineStr">
        <is>
          <t>Retinopathy</t>
        </is>
      </c>
      <c r="E205" s="0" t="inlineStr">
        <is>
          <t>ไขกระดูกฝ่อ (Bone marrow suppression)</t>
        </is>
      </c>
      <c r="F205" s="0" t="inlineStr">
        <is>
          <t>SJS/TEN</t>
        </is>
      </c>
      <c r="G205" s="0" t="inlineStr">
        <is>
          <t>QT Prolongation</t>
        </is>
      </c>
      <c r="H205" s="0" t="inlineStr">
        <is>
          <t>ผมร่วงอย่างรุนแรง</t>
        </is>
      </c>
      <c r="I205" s="0" t="n">
        <v>2</v>
      </c>
      <c r="J205" s="0"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0" t="inlineStr"/>
      <c r="L205" s="0" t="inlineStr">
        <is>
          <t>Rheumatoid Arthritis</t>
        </is>
      </c>
      <c r="M205" s="0" t="inlineStr">
        <is>
          <t>Clinic</t>
        </is>
      </c>
      <c r="N205" s="0" t="inlineStr">
        <is>
          <t>ข้อ 72 Mock Musculo RxCU84</t>
        </is>
      </c>
      <c r="O205" s="0" t="inlineStr">
        <is>
          <t>Mock</t>
        </is>
      </c>
      <c r="P205" s="0" t="inlineStr">
        <is>
          <t>Mock RxCU84</t>
        </is>
      </c>
    </row>
    <row r="206">
      <c r="A206" s="0" t="n">
        <v>204</v>
      </c>
      <c r="B206"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0" t="inlineStr"/>
      <c r="D206" s="0" t="inlineStr">
        <is>
          <t>N-acetylcysteine</t>
        </is>
      </c>
      <c r="E206" s="0" t="inlineStr">
        <is>
          <t>Flumazenil</t>
        </is>
      </c>
      <c r="F206" s="0" t="inlineStr">
        <is>
          <t>Leucovorin (Folinic acid)</t>
        </is>
      </c>
      <c r="G206" s="0" t="inlineStr">
        <is>
          <t>Vitamin K</t>
        </is>
      </c>
      <c r="H206" s="0" t="inlineStr">
        <is>
          <t>Protamine sulfate</t>
        </is>
      </c>
      <c r="I206" s="0" t="n">
        <v>3</v>
      </c>
      <c r="J206" s="0"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0" t="inlineStr"/>
      <c r="L206" s="0" t="inlineStr">
        <is>
          <t>Rheumatoid Arthritis</t>
        </is>
      </c>
      <c r="M206" s="0" t="inlineStr">
        <is>
          <t>Clinic</t>
        </is>
      </c>
      <c r="N206" s="0" t="inlineStr">
        <is>
          <t>ข้อ 73 Mock Musculo RxCU84</t>
        </is>
      </c>
      <c r="O206" s="0" t="inlineStr">
        <is>
          <t>Mock</t>
        </is>
      </c>
      <c r="P206" s="0" t="inlineStr">
        <is>
          <t>Mock RxCU84</t>
        </is>
      </c>
    </row>
    <row r="207">
      <c r="A207" s="0" t="n">
        <v>205</v>
      </c>
      <c r="B207"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0" t="inlineStr"/>
      <c r="D207" s="0" t="inlineStr">
        <is>
          <t>เพิ่มฤทธิ์ยา MTX</t>
        </is>
      </c>
      <c r="E207" s="0" t="inlineStr">
        <is>
          <t>ลดการเกิดไขกระดูกฝ่อ</t>
        </is>
      </c>
      <c r="F207" s="0" t="inlineStr">
        <is>
          <t>ลดผลข้างเคียงทางระบบทางเดินอาหารและแผลในปาก (GI/Mucositis)</t>
        </is>
      </c>
      <c r="G207" s="0" t="inlineStr">
        <is>
          <t>บำรุงครรภ์</t>
        </is>
      </c>
      <c r="H207" s="0" t="inlineStr">
        <is>
          <t>ป้องกันตับวาย</t>
        </is>
      </c>
      <c r="I207" s="0" t="n">
        <v>3</v>
      </c>
      <c r="J207" s="0"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0" t="inlineStr"/>
      <c r="L207" s="0" t="inlineStr">
        <is>
          <t>Rheumatoid Arthritis</t>
        </is>
      </c>
      <c r="M207" s="0" t="inlineStr">
        <is>
          <t>Clinic</t>
        </is>
      </c>
      <c r="N207" s="0" t="inlineStr">
        <is>
          <t>ข้อ 74 Mock Musculo RxCU84</t>
        </is>
      </c>
      <c r="O207" s="0" t="inlineStr">
        <is>
          <t>Mock</t>
        </is>
      </c>
      <c r="P207" s="0" t="inlineStr">
        <is>
          <t>Mock RxCU84</t>
        </is>
      </c>
    </row>
    <row r="208">
      <c r="A208" s="0" t="n">
        <v>206</v>
      </c>
      <c r="B208"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0" t="inlineStr"/>
      <c r="D208" s="0" t="inlineStr">
        <is>
          <t>ยับยั้ง COX-2</t>
        </is>
      </c>
      <c r="E208" s="0" t="inlineStr">
        <is>
          <t>ยับยั้ง Xanthine oxidase</t>
        </is>
      </c>
      <c r="F208" s="0" t="inlineStr">
        <is>
          <t>ยับยั้ง Dihydrofolate reductase (DHFR)</t>
        </is>
      </c>
      <c r="G208" s="0" t="inlineStr">
        <is>
          <t>ยับยั้ง TNF-alpha</t>
        </is>
      </c>
      <c r="H208" s="0" t="inlineStr">
        <is>
          <t>ยับยั้ง CD20</t>
        </is>
      </c>
      <c r="I208" s="0" t="n">
        <v>3</v>
      </c>
      <c r="J208" s="0"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0" t="inlineStr"/>
      <c r="L208" s="0" t="inlineStr">
        <is>
          <t>Rheumatoid Arthritis</t>
        </is>
      </c>
      <c r="M208" s="0" t="inlineStr">
        <is>
          <t>Clinic</t>
        </is>
      </c>
      <c r="N208" s="0" t="inlineStr">
        <is>
          <t>ข้อ 75 Mock Musculo RxCU84</t>
        </is>
      </c>
      <c r="O208" s="0" t="inlineStr">
        <is>
          <t>Mock</t>
        </is>
      </c>
      <c r="P208" s="0" t="inlineStr">
        <is>
          <t>Mock RxCU84</t>
        </is>
      </c>
    </row>
    <row r="209">
      <c r="A209" s="0" t="n">
        <v>207</v>
      </c>
      <c r="B209"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0" t="inlineStr"/>
      <c r="D209" s="0" t="inlineStr">
        <is>
          <t>HIV</t>
        </is>
      </c>
      <c r="E209" s="0" t="inlineStr">
        <is>
          <t>Syphilis</t>
        </is>
      </c>
      <c r="F209" s="0" t="inlineStr">
        <is>
          <t>Tuberculosis (TB) และ Hepatitis B/C</t>
        </is>
      </c>
      <c r="G209" s="0" t="inlineStr">
        <is>
          <t>Malaria</t>
        </is>
      </c>
      <c r="H209" s="0" t="inlineStr">
        <is>
          <t>COVID-19</t>
        </is>
      </c>
      <c r="I209" s="0" t="n">
        <v>3</v>
      </c>
      <c r="J209" s="0"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0" t="inlineStr"/>
      <c r="L209" s="0" t="inlineStr">
        <is>
          <t>Rheumatoid Arthritis</t>
        </is>
      </c>
      <c r="M209" s="0" t="inlineStr">
        <is>
          <t>Clinic</t>
        </is>
      </c>
      <c r="N209" s="0" t="inlineStr">
        <is>
          <t>ข้อ 76 Mock Musculo RxCU84</t>
        </is>
      </c>
      <c r="O209" s="0" t="inlineStr">
        <is>
          <t>Mock</t>
        </is>
      </c>
      <c r="P209" s="0" t="inlineStr">
        <is>
          <t>Mock RxCU84</t>
        </is>
      </c>
    </row>
    <row r="210">
      <c r="A210" s="0" t="n">
        <v>208</v>
      </c>
      <c r="B210"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0" t="inlineStr"/>
      <c r="D210" s="0" t="inlineStr">
        <is>
          <t>Chimeric Monoclonal Antibody ต่อยับยั้ง TNF-alpha</t>
        </is>
      </c>
      <c r="E210" s="0" t="inlineStr">
        <is>
          <t>Fully human MAb ต่อ TNF-alpha</t>
        </is>
      </c>
      <c r="F210" s="0" t="inlineStr">
        <is>
          <t>IL-6 inhibitor</t>
        </is>
      </c>
      <c r="G210" s="0" t="inlineStr">
        <is>
          <t>CD20 inhibitor</t>
        </is>
      </c>
      <c r="H210" s="0" t="inlineStr">
        <is>
          <t>JAK inhibitor</t>
        </is>
      </c>
      <c r="I210" s="0" t="n">
        <v>1</v>
      </c>
      <c r="J210" s="0"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0" t="inlineStr"/>
      <c r="L210" s="0" t="inlineStr">
        <is>
          <t>Rheumatoid Arthritis</t>
        </is>
      </c>
      <c r="M210" s="0" t="inlineStr">
        <is>
          <t>Clinic</t>
        </is>
      </c>
      <c r="N210" s="0" t="inlineStr">
        <is>
          <t>ข้อ 77 Mock Musculo RxCU84</t>
        </is>
      </c>
      <c r="O210" s="0" t="inlineStr">
        <is>
          <t>Mock</t>
        </is>
      </c>
      <c r="P210" s="0" t="inlineStr">
        <is>
          <t>Mock RxCU84</t>
        </is>
      </c>
    </row>
    <row r="211">
      <c r="A211" s="0" t="n">
        <v>209</v>
      </c>
      <c r="B211"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0" t="inlineStr"/>
      <c r="D211" s="0" t="inlineStr">
        <is>
          <t>Hypertension crisis</t>
        </is>
      </c>
      <c r="E211" s="0" t="inlineStr">
        <is>
          <t>Infusion-related reaction (ไข้ หนาวสั่น ความดันตก)</t>
        </is>
      </c>
      <c r="F211" s="0" t="inlineStr">
        <is>
          <t>น้ำท่วมปอด</t>
        </is>
      </c>
      <c r="G211" s="0" t="inlineStr">
        <is>
          <t>ไตวายเฉียบพลัน</t>
        </is>
      </c>
      <c r="H211" s="0" t="inlineStr">
        <is>
          <t>หัวใจเต้นผิดจังหวะ</t>
        </is>
      </c>
      <c r="I211" s="0" t="n">
        <v>2</v>
      </c>
      <c r="J211" s="0"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0" t="inlineStr"/>
      <c r="L211" s="0" t="inlineStr">
        <is>
          <t>Rheumatoid Arthritis</t>
        </is>
      </c>
      <c r="M211" s="0" t="inlineStr">
        <is>
          <t>Clinic</t>
        </is>
      </c>
      <c r="N211" s="0" t="inlineStr">
        <is>
          <t>ข้อ 78 Mock Musculo RxCU84</t>
        </is>
      </c>
      <c r="O211" s="0" t="inlineStr">
        <is>
          <t>Mock</t>
        </is>
      </c>
      <c r="P211" s="0" t="inlineStr">
        <is>
          <t>Mock RxCU84</t>
        </is>
      </c>
    </row>
    <row r="212">
      <c r="A212" s="0" t="n">
        <v>210</v>
      </c>
      <c r="B212"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0" t="inlineStr"/>
      <c r="D212" s="0" t="inlineStr">
        <is>
          <t>วัคซีนเชื้อตาย (Killed vaccine)</t>
        </is>
      </c>
      <c r="E212" s="0" t="inlineStr">
        <is>
          <t>วัคซีน mRNA</t>
        </is>
      </c>
      <c r="F212" s="0" t="inlineStr">
        <is>
          <t>วัคซีนเชื้อเป็นอ่อนฤทธิ์ (Live-attenuated vaccines เช่น MMR, Varicella)</t>
        </is>
      </c>
      <c r="G212" s="0" t="inlineStr">
        <is>
          <t>วัคซีนไวรัสตับอักเสบบี</t>
        </is>
      </c>
      <c r="H212" s="0" t="inlineStr">
        <is>
          <t>Toxoid</t>
        </is>
      </c>
      <c r="I212" s="0" t="n">
        <v>3</v>
      </c>
      <c r="J212" s="0"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0" t="inlineStr"/>
      <c r="L212" s="0" t="inlineStr">
        <is>
          <t>Rheumatoid Arthritis</t>
        </is>
      </c>
      <c r="M212" s="0" t="inlineStr">
        <is>
          <t>Clinic</t>
        </is>
      </c>
      <c r="N212" s="0" t="inlineStr">
        <is>
          <t>ข้อ 79 Mock Musculo RxCU84</t>
        </is>
      </c>
      <c r="O212" s="0" t="inlineStr">
        <is>
          <t>Mock</t>
        </is>
      </c>
      <c r="P212" s="0" t="inlineStr">
        <is>
          <t>Mock RxCU84</t>
        </is>
      </c>
    </row>
    <row r="213">
      <c r="A213" s="0" t="n">
        <v>211</v>
      </c>
      <c r="B213"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0" t="inlineStr"/>
      <c r="D213" s="0" t="inlineStr">
        <is>
          <t>Osteoarthritis</t>
        </is>
      </c>
      <c r="E213" s="0" t="inlineStr">
        <is>
          <t>Osteoporosis, Hyperglycemia, และ Cushing's syndrome</t>
        </is>
      </c>
      <c r="F213" s="0" t="inlineStr">
        <is>
          <t>Rheumatoid arthritis รุนแรงขึ้น</t>
        </is>
      </c>
      <c r="G213" s="0" t="inlineStr">
        <is>
          <t>Asthma</t>
        </is>
      </c>
      <c r="H213" s="0" t="inlineStr"/>
      <c r="I213" s="0" t="n">
        <v>2</v>
      </c>
      <c r="J213" s="0"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0" t="inlineStr"/>
      <c r="L213" s="0" t="inlineStr">
        <is>
          <t>Rheumatoid Arthritis</t>
        </is>
      </c>
      <c r="M213" s="0" t="inlineStr">
        <is>
          <t>Clinic</t>
        </is>
      </c>
      <c r="N213" s="0" t="inlineStr">
        <is>
          <t>ข้อ 80 Mock Musculo RxCU84</t>
        </is>
      </c>
      <c r="O213" s="0" t="inlineStr">
        <is>
          <t>Mock</t>
        </is>
      </c>
      <c r="P213" s="0" t="inlineStr">
        <is>
          <t>Mock RxCU84</t>
        </is>
      </c>
    </row>
    <row r="214">
      <c r="A214" s="0" t="n">
        <v>212</v>
      </c>
      <c r="B214"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0" t="inlineStr"/>
      <c r="D214" s="0" t="inlineStr">
        <is>
          <t>Prednisolone ไปเกิดอัตรกิริยากับ Inflixumab ทำให้ยา Inflixumab ออกฤทธิ์ได้ไม่เต็มที่</t>
        </is>
      </c>
      <c r="E214" s="0" t="inlineStr">
        <is>
          <t>Prednisolone เป็นยาลดอักเสบซึ่งออกฤทธิ์เร็ว เพื่อบรรเทาอาการปวดระหว่างรอ MTX ออกฤทธิ์</t>
        </is>
      </c>
      <c r="F214" s="0"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0" t="inlineStr">
        <is>
          <t>Prednisolone อาจทำให้ผู้ป่วยมีอาการ Orthostatic hypotension</t>
        </is>
      </c>
      <c r="H214" s="0" t="inlineStr">
        <is>
          <t>ไม่มีข้อใดถูกต้อง</t>
        </is>
      </c>
      <c r="I214" s="0" t="n">
        <v>2</v>
      </c>
      <c r="J214" s="0"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0" t="inlineStr"/>
      <c r="L214" s="0" t="inlineStr">
        <is>
          <t>Rheumatoid Arthritis</t>
        </is>
      </c>
      <c r="M214" s="0" t="inlineStr">
        <is>
          <t>Clinic</t>
        </is>
      </c>
      <c r="N214" s="0" t="inlineStr">
        <is>
          <t>ข้อ 81 Mock Musculo RxCU84</t>
        </is>
      </c>
      <c r="O214" s="0" t="inlineStr">
        <is>
          <t>Mock</t>
        </is>
      </c>
      <c r="P214" s="0" t="inlineStr">
        <is>
          <t>Mock RxCU84</t>
        </is>
      </c>
    </row>
    <row r="215">
      <c r="A215" s="0" t="n">
        <v>213</v>
      </c>
      <c r="B215"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0" t="inlineStr"/>
      <c r="D215" s="0" t="inlineStr">
        <is>
          <t>สั่ง methotrexate ให้กินทุกวันแทนสัปดาห์ละครั้ง</t>
        </is>
      </c>
      <c r="E215" s="0" t="inlineStr">
        <is>
          <t>Folic acid ขนาดสูงเกินไป</t>
        </is>
      </c>
      <c r="F215" s="0" t="inlineStr">
        <is>
          <t>Rosuvastatin ไม่จำเป็น</t>
        </is>
      </c>
      <c r="G215" s="0" t="inlineStr">
        <is>
          <t>Candesartan ซ้ำซ้อน</t>
        </is>
      </c>
      <c r="H215" s="0" t="inlineStr">
        <is>
          <t>คำนวณขนาด infliximab ผิด</t>
        </is>
      </c>
      <c r="I215" s="0" t="n">
        <v>1</v>
      </c>
      <c r="J215" s="0"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0" t="inlineStr"/>
      <c r="L215" s="0" t="inlineStr">
        <is>
          <t>Rheumatoid Arthritis</t>
        </is>
      </c>
      <c r="M215" s="0" t="inlineStr">
        <is>
          <t>Clinic</t>
        </is>
      </c>
      <c r="N215" s="0" t="inlineStr">
        <is>
          <t>ข้อ 82 Mock Musculo RxCU84</t>
        </is>
      </c>
      <c r="O215" s="0" t="inlineStr">
        <is>
          <t>Mock</t>
        </is>
      </c>
      <c r="P215" s="0" t="inlineStr">
        <is>
          <t>Mock RxCU84</t>
        </is>
      </c>
    </row>
    <row r="216">
      <c r="A216" s="0" t="n">
        <v>214</v>
      </c>
      <c r="B216"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0" t="inlineStr"/>
      <c r="D216" s="0" t="inlineStr">
        <is>
          <t>จอประสาทตาเสื่อม — ตรวจตา</t>
        </is>
      </c>
      <c r="E216" s="0" t="inlineStr">
        <is>
          <t>กดไขกระดูกและเยื่อบุอักเสบ — ติดตาม CBC และ LFT</t>
        </is>
      </c>
      <c r="F216" s="0" t="inlineStr">
        <is>
          <t>QT prolongation — ตรวจ ECG</t>
        </is>
      </c>
      <c r="G216" s="0" t="inlineStr">
        <is>
          <t>นิ่วในไต — ตรวจปัสสาวะ</t>
        </is>
      </c>
      <c r="H216" s="0" t="inlineStr">
        <is>
          <t>ต่อมไทรอยด์เป็นพิษ — ตรวจ TSH</t>
        </is>
      </c>
      <c r="I216" s="0" t="n">
        <v>2</v>
      </c>
      <c r="J216" s="0"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0" t="inlineStr"/>
      <c r="L216" s="0" t="inlineStr">
        <is>
          <t>Rheumatoid Arthritis</t>
        </is>
      </c>
      <c r="M216" s="0" t="inlineStr">
        <is>
          <t>Clinic</t>
        </is>
      </c>
      <c r="N216" s="0" t="inlineStr">
        <is>
          <t>ข้อ 83 Mock Musculo RxCU84</t>
        </is>
      </c>
      <c r="O216" s="0" t="inlineStr">
        <is>
          <t>Mock</t>
        </is>
      </c>
      <c r="P216" s="0" t="inlineStr">
        <is>
          <t>Mock RxCU84</t>
        </is>
      </c>
    </row>
    <row r="217">
      <c r="A217" s="0" t="n">
        <v>215</v>
      </c>
      <c r="B217"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0" t="inlineStr"/>
      <c r="D217" s="0" t="inlineStr">
        <is>
          <t>Naloxone</t>
        </is>
      </c>
      <c r="E217" s="0" t="inlineStr">
        <is>
          <t>Flumazenil</t>
        </is>
      </c>
      <c r="F217" s="0" t="inlineStr">
        <is>
          <t>Leucovorin (folinic acid)</t>
        </is>
      </c>
      <c r="G217" s="0" t="inlineStr">
        <is>
          <t>Vitamin K</t>
        </is>
      </c>
      <c r="H217" s="0" t="inlineStr">
        <is>
          <t>Folic acid ขนาดสูง</t>
        </is>
      </c>
      <c r="I217" s="0" t="n">
        <v>3</v>
      </c>
      <c r="J217" s="0"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0" t="inlineStr"/>
      <c r="L217" s="0" t="inlineStr">
        <is>
          <t>Rheumatoid Arthritis</t>
        </is>
      </c>
      <c r="M217" s="0" t="inlineStr">
        <is>
          <t>Clinic</t>
        </is>
      </c>
      <c r="N217" s="0" t="inlineStr">
        <is>
          <t>ข้อ 84 Mock Musculo RxCU84</t>
        </is>
      </c>
      <c r="O217" s="0" t="inlineStr">
        <is>
          <t>Mock</t>
        </is>
      </c>
      <c r="P217" s="0" t="inlineStr">
        <is>
          <t>Mock RxCU84</t>
        </is>
      </c>
    </row>
    <row r="218">
      <c r="A218" s="0" t="n">
        <v>216</v>
      </c>
      <c r="B218"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0" t="inlineStr"/>
      <c r="D218" s="0" t="inlineStr">
        <is>
          <t>เพื่อลดไขมันในเลือด</t>
        </is>
      </c>
      <c r="E218" s="0" t="inlineStr">
        <is>
          <t>เพื่อรักษาความดันโลหิต</t>
        </is>
      </c>
      <c r="F218" s="0" t="inlineStr">
        <is>
          <t>เพื่อป้องกันข้ออักเสบเกาต์</t>
        </is>
      </c>
      <c r="G218" s="0" t="inlineStr">
        <is>
          <t>bridging ต้านการอักเสบระหว่างรอ MTX ออกฤทธิ์</t>
        </is>
      </c>
      <c r="H218" s="0" t="inlineStr">
        <is>
          <t>เสริมฤทธิ์ infliximab โดยตรง</t>
        </is>
      </c>
      <c r="I218" s="0" t="n">
        <v>4</v>
      </c>
      <c r="J218" s="0"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0" t="inlineStr"/>
      <c r="L218" s="0" t="inlineStr">
        <is>
          <t>Rheumatoid Arthritis</t>
        </is>
      </c>
      <c r="M218" s="0" t="inlineStr">
        <is>
          <t>Clinic</t>
        </is>
      </c>
      <c r="N218" s="0" t="inlineStr">
        <is>
          <t>ข้อ 85 Mock Musculo RxCU84</t>
        </is>
      </c>
      <c r="O218" s="0" t="inlineStr">
        <is>
          <t>Mock</t>
        </is>
      </c>
      <c r="P218" s="0" t="inlineStr">
        <is>
          <t>Mock RxCU84</t>
        </is>
      </c>
    </row>
    <row r="219">
      <c r="A219" s="0" t="n">
        <v>217</v>
      </c>
      <c r="B219" s="0"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0" t="inlineStr"/>
      <c r="D219" s="0" t="inlineStr">
        <is>
          <t>Ibuprofen ขนาดสูง</t>
        </is>
      </c>
      <c r="E219" s="0" t="inlineStr">
        <is>
          <t>Aspirin ขนาดสูง</t>
        </is>
      </c>
      <c r="F219" s="0" t="inlineStr">
        <is>
          <t>Naproxen ขนาดสูงต่อเนื่อง</t>
        </is>
      </c>
      <c r="G219" s="0" t="inlineStr">
        <is>
          <t>Indomethacin ขนาดสูง</t>
        </is>
      </c>
      <c r="H219" s="0" t="inlineStr">
        <is>
          <t>Paracetamol</t>
        </is>
      </c>
      <c r="I219" s="0" t="n">
        <v>5</v>
      </c>
      <c r="J219" s="0"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0" t="inlineStr"/>
      <c r="L219" s="0" t="inlineStr">
        <is>
          <t>Rheumatoid Arthritis</t>
        </is>
      </c>
      <c r="M219" s="0" t="inlineStr">
        <is>
          <t>Clinic</t>
        </is>
      </c>
      <c r="N219" s="0" t="inlineStr">
        <is>
          <t>ข้อ 86 Mock Musculo RxCU84</t>
        </is>
      </c>
      <c r="O219" s="0" t="inlineStr">
        <is>
          <t>Mock</t>
        </is>
      </c>
      <c r="P219" s="0" t="inlineStr">
        <is>
          <t>Mock RxCU84</t>
        </is>
      </c>
    </row>
  </sheetData>
  <mergeCells count="1">
    <mergeCell ref="A1:F1"/>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Q999"/>
  <sheetViews>
    <sheetView workbookViewId="0">
      <pane ySplit="2" topLeftCell="A3" activePane="bottomLeft" state="frozen"/>
      <selection pane="bottomLeft" activeCell="B4" sqref="B4"/>
    </sheetView>
  </sheetViews>
  <sheetFormatPr baseColWidth="8" defaultColWidth="12.63" defaultRowHeight="15.75" customHeight="1"/>
  <cols>
    <col width="32" customWidth="1" style="52" min="2" max="2"/>
    <col width="12.63" customWidth="1" style="52" min="6" max="6"/>
    <col width="10.38" customWidth="1" style="52" min="9" max="9"/>
    <col width="30.63" customWidth="1" style="52" min="10" max="10"/>
  </cols>
  <sheetData>
    <row r="1" ht="26.25" customHeight="1" s="52">
      <c r="A1" s="19">
        <f>HYPERLINK("#gid=0", "🏠 กลับสู่หน้าแรก (Go to Home Page)")</f>
        <v/>
      </c>
      <c r="G1" s="22" t="n"/>
      <c r="H1" s="22" t="n"/>
      <c r="I1" s="22" t="n"/>
      <c r="J1" s="22" t="n"/>
      <c r="K1" s="22" t="n"/>
      <c r="L1" s="22" t="n"/>
      <c r="M1" s="22" t="n"/>
      <c r="N1" s="22" t="n"/>
      <c r="O1" s="22" t="n"/>
      <c r="P1" s="22" t="n"/>
    </row>
    <row r="2">
      <c r="A2" s="21" t="inlineStr">
        <is>
          <t>ข้อที่</t>
        </is>
      </c>
      <c r="B2" s="21" t="inlineStr">
        <is>
          <t>คำถาม</t>
        </is>
      </c>
      <c r="C2" s="21" t="inlineStr">
        <is>
          <t>รูปถาม</t>
        </is>
      </c>
      <c r="D2" s="21" t="inlineStr">
        <is>
          <t>ตัวเลือก 1</t>
        </is>
      </c>
      <c r="E2" s="21" t="inlineStr">
        <is>
          <t>ตัวเลือก 2</t>
        </is>
      </c>
      <c r="F2" s="21" t="inlineStr">
        <is>
          <t>ตัวเลือก 3</t>
        </is>
      </c>
      <c r="G2" s="21" t="inlineStr">
        <is>
          <t>ตัวเลือก 4</t>
        </is>
      </c>
      <c r="H2" s="21" t="inlineStr">
        <is>
          <t>ตัวเลือก 5</t>
        </is>
      </c>
      <c r="I2" s="21" t="inlineStr">
        <is>
          <t>เฉลย (ตัวเลข 1-5)</t>
        </is>
      </c>
      <c r="J2" s="21" t="inlineStr">
        <is>
          <t>คำอธิบายเฉลย</t>
        </is>
      </c>
      <c r="K2" s="21" t="inlineStr">
        <is>
          <t>รูปเฉลย</t>
        </is>
      </c>
      <c r="L2" s="21" t="inlineStr">
        <is>
          <t>Filter หมวด/Subtopic</t>
        </is>
      </c>
      <c r="M2" s="21" t="inlineStr">
        <is>
          <t>Product / Clinic</t>
        </is>
      </c>
      <c r="N2" s="21" t="inlineStr">
        <is>
          <t>หมายเหตุ</t>
        </is>
      </c>
      <c r="O2" s="22" t="inlineStr">
        <is>
          <t>ประเภทข้อสอบ</t>
        </is>
      </c>
      <c r="P2" s="22" t="inlineStr">
        <is>
          <t>ปี / เลขชุด</t>
        </is>
      </c>
    </row>
    <row r="3">
      <c r="A3" s="23" t="inlineStr">
        <is>
          <t>1</t>
        </is>
      </c>
      <c r="B3" s="2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22" t="inlineStr"/>
      <c r="D3" s="22" t="inlineStr">
        <is>
          <t>Prehypertension</t>
        </is>
      </c>
      <c r="E3" s="22" t="inlineStr">
        <is>
          <t>Stage I</t>
        </is>
      </c>
      <c r="F3" s="22" t="inlineStr">
        <is>
          <t>Stage II</t>
        </is>
      </c>
      <c r="G3" s="22" t="inlineStr">
        <is>
          <t>Stage III</t>
        </is>
      </c>
      <c r="H3" s="22" t="inlineStr">
        <is>
          <t>Normal</t>
        </is>
      </c>
      <c r="I3" s="22" t="n">
        <v>3</v>
      </c>
      <c r="J3" s="22"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22" t="inlineStr"/>
      <c r="L3" s="22" t="inlineStr">
        <is>
          <t>Hypertension</t>
        </is>
      </c>
      <c r="M3" s="22" t="inlineStr">
        <is>
          <t>Clinic</t>
        </is>
      </c>
      <c r="N3" s="22" t="inlineStr">
        <is>
          <t>ข้อ 1 ชุด 1 (เฉลยข้อ ค)</t>
        </is>
      </c>
      <c r="O3" s="22" t="inlineStr">
        <is>
          <t>Mock</t>
        </is>
      </c>
      <c r="P3" s="22" t="inlineStr">
        <is>
          <t>ชุด 1</t>
        </is>
      </c>
    </row>
    <row r="4">
      <c r="A4" s="23" t="inlineStr">
        <is>
          <t>2</t>
        </is>
      </c>
      <c r="B4" s="2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22" t="inlineStr"/>
      <c r="D4" s="22" t="inlineStr">
        <is>
          <t>ให้กินอาหารที่มีโซเดียมสูง</t>
        </is>
      </c>
      <c r="E4" s="22" t="inlineStr">
        <is>
          <t>กินอาหารที่มีรสเผ็ดจัด</t>
        </is>
      </c>
      <c r="F4" s="22" t="inlineStr">
        <is>
          <t>กินอาหารจำพวกปลา</t>
        </is>
      </c>
      <c r="G4" s="22" t="inlineStr">
        <is>
          <t>กินอาหารจำพวกผักและผลไม้</t>
        </is>
      </c>
      <c r="H4" s="22" t="inlineStr">
        <is>
          <t>ถูกทุกข้อ</t>
        </is>
      </c>
      <c r="I4" s="22" t="n">
        <v>1</v>
      </c>
      <c r="J4" s="22"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22" t="inlineStr"/>
      <c r="L4" s="22" t="inlineStr">
        <is>
          <t>Hypertension</t>
        </is>
      </c>
      <c r="M4" s="22" t="inlineStr">
        <is>
          <t>Clinic</t>
        </is>
      </c>
      <c r="N4" s="22" t="inlineStr">
        <is>
          <t>ข้อ 2 ชุด 1 (เฉลยข้อ ก)</t>
        </is>
      </c>
      <c r="O4" s="22" t="inlineStr">
        <is>
          <t>Mock</t>
        </is>
      </c>
      <c r="P4" s="22" t="inlineStr">
        <is>
          <t>ชุด 1</t>
        </is>
      </c>
    </row>
    <row r="5">
      <c r="A5" s="23" t="inlineStr">
        <is>
          <t>3</t>
        </is>
      </c>
      <c r="B5" s="2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22" t="inlineStr"/>
      <c r="D5" s="22" t="inlineStr">
        <is>
          <t>Amlodipine</t>
        </is>
      </c>
      <c r="E5" s="22" t="inlineStr">
        <is>
          <t>Propranolol</t>
        </is>
      </c>
      <c r="F5" s="22" t="inlineStr">
        <is>
          <t>HCTZ</t>
        </is>
      </c>
      <c r="G5" s="22" t="inlineStr">
        <is>
          <t>Valsartan</t>
        </is>
      </c>
      <c r="H5" s="22" t="inlineStr">
        <is>
          <t>Enalapril</t>
        </is>
      </c>
      <c r="I5" s="22" t="n">
        <v>2</v>
      </c>
      <c r="J5" s="22"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22" t="inlineStr"/>
      <c r="L5" s="22" t="inlineStr">
        <is>
          <t>Hypertension</t>
        </is>
      </c>
      <c r="M5" s="22" t="inlineStr">
        <is>
          <t>Clinic</t>
        </is>
      </c>
      <c r="N5" s="22" t="inlineStr">
        <is>
          <t>ข้อ 3 ชุด 1 (เฉลยข้อ ข)</t>
        </is>
      </c>
      <c r="O5" s="22" t="inlineStr">
        <is>
          <t>Mock</t>
        </is>
      </c>
      <c r="P5" s="22" t="inlineStr">
        <is>
          <t>ชุด 1</t>
        </is>
      </c>
    </row>
    <row r="6">
      <c r="A6" s="23" t="inlineStr">
        <is>
          <t>4</t>
        </is>
      </c>
      <c r="B6" s="2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22" t="inlineStr"/>
      <c r="D6" s="22" t="inlineStr">
        <is>
          <t>130/80 mmHg</t>
        </is>
      </c>
      <c r="E6" s="22" t="inlineStr">
        <is>
          <t>120/80 mmHg</t>
        </is>
      </c>
      <c r="F6" s="22" t="inlineStr">
        <is>
          <t>140/80 mmHg</t>
        </is>
      </c>
      <c r="G6" s="22" t="inlineStr">
        <is>
          <t>130/85 mmHg</t>
        </is>
      </c>
      <c r="H6" s="22" t="inlineStr">
        <is>
          <t>140/90 mmHg</t>
        </is>
      </c>
      <c r="I6" s="22" t="n">
        <v>5</v>
      </c>
      <c r="J6" s="22"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22" t="inlineStr"/>
      <c r="L6" s="22" t="inlineStr">
        <is>
          <t>Hypertension</t>
        </is>
      </c>
      <c r="M6" s="22" t="inlineStr">
        <is>
          <t>Clinic</t>
        </is>
      </c>
      <c r="N6" s="22" t="inlineStr">
        <is>
          <t>ข้อ 4 ชุด 1 (เฉลยข้อ จ)</t>
        </is>
      </c>
      <c r="O6" s="22" t="inlineStr">
        <is>
          <t>Mock</t>
        </is>
      </c>
      <c r="P6" s="22" t="inlineStr">
        <is>
          <t>ชุด 1</t>
        </is>
      </c>
    </row>
    <row r="7">
      <c r="A7" s="23" t="inlineStr">
        <is>
          <t>5</t>
        </is>
      </c>
      <c r="B7" s="2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22" t="inlineStr"/>
      <c r="D7" s="22" t="inlineStr">
        <is>
          <t>อาการไอแห้งๆ</t>
        </is>
      </c>
      <c r="E7" s="22" t="inlineStr">
        <is>
          <t>ผื่นแพ้รุนแรง</t>
        </is>
      </c>
      <c r="F7" s="22" t="inlineStr">
        <is>
          <t>หัวใจเต้นช้าลง</t>
        </is>
      </c>
      <c r="G7" s="22" t="inlineStr">
        <is>
          <t>ระดับน้ำตาลในเลือดสูงขึ้น</t>
        </is>
      </c>
      <c r="H7" s="22" t="inlineStr">
        <is>
          <t>ไม่มีข้อใดถูก</t>
        </is>
      </c>
      <c r="I7" s="22" t="n">
        <v>1</v>
      </c>
      <c r="J7" s="22"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22" t="inlineStr"/>
      <c r="L7" s="22" t="inlineStr">
        <is>
          <t>Hypertension</t>
        </is>
      </c>
      <c r="M7" s="22" t="inlineStr">
        <is>
          <t>Clinic</t>
        </is>
      </c>
      <c r="N7" s="22" t="inlineStr">
        <is>
          <t>ข้อ 5 ชุด 1 (เฉลยข้อ ก)</t>
        </is>
      </c>
      <c r="O7" s="22" t="inlineStr">
        <is>
          <t>Mock</t>
        </is>
      </c>
      <c r="P7" s="22" t="inlineStr">
        <is>
          <t>ชุด 1</t>
        </is>
      </c>
    </row>
    <row r="8">
      <c r="A8" s="23" t="inlineStr">
        <is>
          <t>6</t>
        </is>
      </c>
      <c r="B8" s="2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22" t="inlineStr"/>
      <c r="D8" s="22" t="inlineStr">
        <is>
          <t>AST/ALT</t>
        </is>
      </c>
      <c r="E8" s="22" t="inlineStr">
        <is>
          <t>CBC</t>
        </is>
      </c>
      <c r="F8" s="22" t="inlineStr">
        <is>
          <t>Electrolyte</t>
        </is>
      </c>
      <c r="G8" s="22" t="inlineStr">
        <is>
          <t>Renal function</t>
        </is>
      </c>
      <c r="H8" s="22" t="inlineStr">
        <is>
          <t>ข้อ ค และ ง ถูก</t>
        </is>
      </c>
      <c r="I8" s="22" t="n">
        <v>5</v>
      </c>
      <c r="J8" s="22"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22" t="inlineStr"/>
      <c r="L8" s="22" t="inlineStr">
        <is>
          <t>Hypertension</t>
        </is>
      </c>
      <c r="M8" s="22" t="inlineStr">
        <is>
          <t>Clinic</t>
        </is>
      </c>
      <c r="N8" s="22" t="inlineStr">
        <is>
          <t>ข้อ 6 ชุด 1 (เฉลยข้อ จ)</t>
        </is>
      </c>
      <c r="O8" s="22" t="inlineStr">
        <is>
          <t>Mock</t>
        </is>
      </c>
      <c r="P8" s="22" t="inlineStr">
        <is>
          <t>ชุด 1</t>
        </is>
      </c>
    </row>
    <row r="9">
      <c r="A9" s="23" t="inlineStr">
        <is>
          <t>7</t>
        </is>
      </c>
      <c r="B9" s="22" t="inlineStr">
        <is>
          <t>ผู้ป่วยไปซื้อยา enalapril ที่ร้านขายยา เภสัชกรร้านสามารถจ่ายยานี้ได้หรือไม่</t>
        </is>
      </c>
      <c r="C9" s="22" t="inlineStr"/>
      <c r="D9" s="22" t="inlineStr">
        <is>
          <t>จ่ายได้ เพราะเป็นยาอันตราย</t>
        </is>
      </c>
      <c r="E9" s="22" t="inlineStr">
        <is>
          <t>จ่ายไม่ได้ เพราะเป็นยาควบคุมพิเศษ</t>
        </is>
      </c>
      <c r="F9" s="22" t="inlineStr">
        <is>
          <t>จ่ายไม่ได้ เพราะเป็นวัตถุออกฤทธิ์ต่อจิตและประสาทประเภท 2</t>
        </is>
      </c>
      <c r="G9" s="22" t="inlineStr">
        <is>
          <t>จ่ายได้ เพราะเป็นยาบรรจุเสร็จที่ไม่ใช่ยาอันตรายหรือยาควบคุมพิเศษ</t>
        </is>
      </c>
      <c r="H9" s="22" t="inlineStr">
        <is>
          <t>จ่ายไม่ได้ เพราะเป็นยาเสพติดให้โทษประเภทที่ 3 ต้องมีใบสั่งแพทย์เท่านั้น</t>
        </is>
      </c>
      <c r="I9" s="22" t="n">
        <v>1</v>
      </c>
      <c r="J9" s="22"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22" t="inlineStr"/>
      <c r="L9" s="22" t="inlineStr">
        <is>
          <t>Hypertension</t>
        </is>
      </c>
      <c r="M9" s="22" t="inlineStr">
        <is>
          <t>Clinic</t>
        </is>
      </c>
      <c r="N9" s="22" t="inlineStr">
        <is>
          <t>ข้อ 7 ชุด 1 (เฉลยข้อ ก)</t>
        </is>
      </c>
      <c r="O9" s="22" t="inlineStr">
        <is>
          <t>Mock</t>
        </is>
      </c>
      <c r="P9" s="22" t="inlineStr">
        <is>
          <t>ชุด 1</t>
        </is>
      </c>
    </row>
    <row r="10">
      <c r="A10" s="23" t="inlineStr">
        <is>
          <t>8</t>
        </is>
      </c>
      <c r="B10" s="22"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ผู้ป่วยมีค่า LDL-C เท่าไร</t>
        </is>
      </c>
      <c r="C10" s="22" t="inlineStr"/>
      <c r="D10" s="22" t="inlineStr">
        <is>
          <t>130 mg/dl</t>
        </is>
      </c>
      <c r="E10" s="22" t="inlineStr">
        <is>
          <t>140 mg/dl</t>
        </is>
      </c>
      <c r="F10" s="22" t="inlineStr">
        <is>
          <t>150 mg/dl</t>
        </is>
      </c>
      <c r="G10" s="22" t="inlineStr">
        <is>
          <t>160 mg/dl</t>
        </is>
      </c>
      <c r="H10" s="22" t="inlineStr">
        <is>
          <t>170 mg/dl</t>
        </is>
      </c>
      <c r="I10" s="22" t="n">
        <v>5</v>
      </c>
      <c r="J10" s="22"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22" t="inlineStr"/>
      <c r="L10" s="22" t="inlineStr">
        <is>
          <t>Dyslipidemias</t>
        </is>
      </c>
      <c r="M10" s="22" t="inlineStr">
        <is>
          <t>Clinic</t>
        </is>
      </c>
      <c r="N10" s="22" t="inlineStr">
        <is>
          <t>ข้อ 8 ชุด 1 (เฉลยข้อ จ)</t>
        </is>
      </c>
      <c r="O10" s="22" t="inlineStr">
        <is>
          <t>Mock</t>
        </is>
      </c>
      <c r="P10" s="22" t="inlineStr">
        <is>
          <t>ชุด 1</t>
        </is>
      </c>
    </row>
    <row r="11">
      <c r="A11" s="23" t="inlineStr">
        <is>
          <t>9</t>
        </is>
      </c>
      <c r="B11" s="22"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22" t="inlineStr"/>
      <c r="D11" s="22" t="inlineStr">
        <is>
          <t>บิดาเสียชีวิตด้วย myocardial infarction เมื่ออายุ 53 ปี</t>
        </is>
      </c>
      <c r="E11" s="22" t="inlineStr">
        <is>
          <t>พี่ชายเสียชีวิตด้วย myocardial infarction เมื่ออายุ 44 ปี</t>
        </is>
      </c>
      <c r="F11" s="22" t="inlineStr">
        <is>
          <t>ดื่มไวน์ 2 แก้วทุกวัน</t>
        </is>
      </c>
      <c r="G11" s="22" t="inlineStr">
        <is>
          <t>มีระดับ HDL-C 33 mg/dl</t>
        </is>
      </c>
      <c r="H11" s="22" t="inlineStr">
        <is>
          <t>ผู้ป่วยเป็นชายอายุ 53 ปี</t>
        </is>
      </c>
      <c r="I11" s="22" t="n">
        <v>3</v>
      </c>
      <c r="J11" s="22"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22" t="inlineStr"/>
      <c r="L11" s="22" t="inlineStr">
        <is>
          <t>Dyslipidemias</t>
        </is>
      </c>
      <c r="M11" s="22" t="inlineStr">
        <is>
          <t>Clinic</t>
        </is>
      </c>
      <c r="N11" s="22" t="inlineStr">
        <is>
          <t>ข้อ 9 ชุด 1 (เฉลยข้อ ค)</t>
        </is>
      </c>
      <c r="O11" s="22" t="inlineStr">
        <is>
          <t>Mock</t>
        </is>
      </c>
      <c r="P11" s="22" t="inlineStr">
        <is>
          <t>ชุด 1</t>
        </is>
      </c>
    </row>
    <row r="12">
      <c r="A12" s="23" t="inlineStr">
        <is>
          <t>10</t>
        </is>
      </c>
      <c r="B12" s="22"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22" t="inlineStr"/>
      <c r="D12" s="22" t="inlineStr">
        <is>
          <t>ลดระดับ Total cholesterol</t>
        </is>
      </c>
      <c r="E12" s="22" t="inlineStr">
        <is>
          <t>เพิ่มระดับ HDL-C</t>
        </is>
      </c>
      <c r="F12" s="22" t="inlineStr">
        <is>
          <t>ลดระดับ Non-HDL-C</t>
        </is>
      </c>
      <c r="G12" s="22" t="inlineStr">
        <is>
          <t>ลดระดับ Triglyceride</t>
        </is>
      </c>
      <c r="H12" s="22" t="inlineStr">
        <is>
          <t>ลดระดับ LDL-C</t>
        </is>
      </c>
      <c r="I12" s="22" t="n">
        <v>5</v>
      </c>
      <c r="J12" s="22"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22" t="inlineStr"/>
      <c r="L12" s="22" t="inlineStr">
        <is>
          <t>Dyslipidemias</t>
        </is>
      </c>
      <c r="M12" s="22" t="inlineStr">
        <is>
          <t>Clinic</t>
        </is>
      </c>
      <c r="N12" s="22" t="inlineStr">
        <is>
          <t>ข้อ 10 ชุด 1 (เฉลยข้อ จ)</t>
        </is>
      </c>
      <c r="O12" s="22" t="inlineStr">
        <is>
          <t>Mock</t>
        </is>
      </c>
      <c r="P12" s="22" t="inlineStr">
        <is>
          <t>ชุด 1</t>
        </is>
      </c>
    </row>
    <row r="13">
      <c r="A13" s="23" t="inlineStr">
        <is>
          <t>11</t>
        </is>
      </c>
      <c r="B13" s="22"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22" t="inlineStr"/>
      <c r="D13" s="22" t="inlineStr">
        <is>
          <t>&lt; 100 mg/dl</t>
        </is>
      </c>
      <c r="E13" s="22" t="inlineStr">
        <is>
          <t>&lt; 130 mg/dl</t>
        </is>
      </c>
      <c r="F13" s="22" t="inlineStr">
        <is>
          <t>&lt; 160 mg/dl</t>
        </is>
      </c>
      <c r="G13" s="22" t="inlineStr">
        <is>
          <t>&lt; 190 mg/dl</t>
        </is>
      </c>
      <c r="H13" s="22" t="inlineStr">
        <is>
          <t>&lt; 200 mg/dl</t>
        </is>
      </c>
      <c r="I13" s="22" t="n">
        <v>1</v>
      </c>
      <c r="J13" s="22"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22" t="inlineStr"/>
      <c r="L13" s="22" t="inlineStr">
        <is>
          <t>Dyslipidemias</t>
        </is>
      </c>
      <c r="M13" s="22" t="inlineStr">
        <is>
          <t>Clinic</t>
        </is>
      </c>
      <c r="N13" s="22" t="inlineStr">
        <is>
          <t>ข้อ 11 ชุด 1 (เฉลยข้อ ก)</t>
        </is>
      </c>
      <c r="O13" s="22" t="inlineStr">
        <is>
          <t>Mock</t>
        </is>
      </c>
      <c r="P13" s="22" t="inlineStr">
        <is>
          <t>ชุด 1</t>
        </is>
      </c>
    </row>
    <row r="14">
      <c r="A14" s="23" t="inlineStr">
        <is>
          <t>12</t>
        </is>
      </c>
      <c r="B14" s="22" t="inlineStr">
        <is>
          <t>ยาที่คนไข้ควรได้รับเป็นอันดับแรกเพื่อให้ได้ผลตามเป้าหมายตามข้อข้างต้น</t>
        </is>
      </c>
      <c r="C14" s="22" t="inlineStr"/>
      <c r="D14" s="22" t="inlineStr">
        <is>
          <t>ยากลุ่ม statin</t>
        </is>
      </c>
      <c r="E14" s="22" t="inlineStr">
        <is>
          <t>ยากลุ่ม bile acid sequestrants</t>
        </is>
      </c>
      <c r="F14" s="22" t="inlineStr">
        <is>
          <t>ยากลุ่ม nicotinic acid</t>
        </is>
      </c>
      <c r="G14" s="22" t="inlineStr">
        <is>
          <t>ยากลุ่ม fibric acid</t>
        </is>
      </c>
      <c r="H14" s="22" t="inlineStr">
        <is>
          <t>ยากลุ่ม plant sterol</t>
        </is>
      </c>
      <c r="I14" s="22" t="n">
        <v>1</v>
      </c>
      <c r="J14" s="22"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22" t="inlineStr"/>
      <c r="L14" s="22" t="inlineStr">
        <is>
          <t>Dyslipidemias</t>
        </is>
      </c>
      <c r="M14" s="22" t="inlineStr">
        <is>
          <t>Clinic</t>
        </is>
      </c>
      <c r="N14" s="22" t="inlineStr">
        <is>
          <t>ข้อ 12 ชุด 1 (เฉลยข้อ ก)</t>
        </is>
      </c>
      <c r="O14" s="22" t="inlineStr">
        <is>
          <t>Mock</t>
        </is>
      </c>
      <c r="P14" s="22" t="inlineStr">
        <is>
          <t>ชุด 1</t>
        </is>
      </c>
    </row>
    <row r="15">
      <c r="A15" s="23" t="inlineStr">
        <is>
          <t>13</t>
        </is>
      </c>
      <c r="B15" s="22" t="inlineStr">
        <is>
          <t>ยาในกลุ่ม statin สามารถลดระดับ LDL-C ด้วยกลไกใด</t>
        </is>
      </c>
      <c r="C15" s="22" t="inlineStr"/>
      <c r="D15" s="22" t="inlineStr">
        <is>
          <t>ลดการสร้าง LDL-C receptor ที่ตับ</t>
        </is>
      </c>
      <c r="E15" s="22" t="inlineStr">
        <is>
          <t>ลดการสร้าง cholesterol และเพิ่มจำนวน LDL-C receptor</t>
        </is>
      </c>
      <c r="F15" s="22" t="inlineStr">
        <is>
          <t>ลด enterohepatic recycling ของ cholesterol</t>
        </is>
      </c>
      <c r="G15" s="22" t="inlineStr">
        <is>
          <t>ลดการสร้าง VLDL</t>
        </is>
      </c>
      <c r="H15" s="22" t="inlineStr">
        <is>
          <t>ลดการสร้าง HDL</t>
        </is>
      </c>
      <c r="I15" s="22" t="n">
        <v>2</v>
      </c>
      <c r="J15" s="22"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22" t="inlineStr"/>
      <c r="L15" s="22" t="inlineStr">
        <is>
          <t>Dyslipidemias</t>
        </is>
      </c>
      <c r="M15" s="22" t="inlineStr">
        <is>
          <t>Clinic</t>
        </is>
      </c>
      <c r="N15" s="22" t="inlineStr">
        <is>
          <t>ข้อ 13 ชุด 1 (เฉลยข้อ ข)</t>
        </is>
      </c>
      <c r="O15" s="22" t="inlineStr">
        <is>
          <t>Mock</t>
        </is>
      </c>
      <c r="P15" s="22" t="inlineStr">
        <is>
          <t>ชุด 1</t>
        </is>
      </c>
    </row>
    <row r="16">
      <c r="A16" s="23" t="inlineStr">
        <is>
          <t>14</t>
        </is>
      </c>
      <c r="B16" s="22"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22" t="inlineStr"/>
      <c r="D16" s="22" t="inlineStr">
        <is>
          <t>Cohort study, Case controlled study</t>
        </is>
      </c>
      <c r="E16" s="22" t="inlineStr">
        <is>
          <t>Case report, Cross-sectional study</t>
        </is>
      </c>
      <c r="F16" s="22" t="inlineStr">
        <is>
          <t>Case controlled study, Cross-sectional study</t>
        </is>
      </c>
      <c r="G16" s="22" t="inlineStr">
        <is>
          <t>Meta-analysis, Randomized controlled study</t>
        </is>
      </c>
      <c r="H16" s="22" t="inlineStr">
        <is>
          <t>Cross-sectional study, Randomized controlled study</t>
        </is>
      </c>
      <c r="I16" s="22" t="n">
        <v>4</v>
      </c>
      <c r="J16" s="22"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22" t="inlineStr"/>
      <c r="L16" s="22" t="inlineStr">
        <is>
          <t>Evidence-Based Medicine</t>
        </is>
      </c>
      <c r="M16" s="22" t="inlineStr">
        <is>
          <t>Clinic</t>
        </is>
      </c>
      <c r="N16" s="22" t="inlineStr">
        <is>
          <t>ข้อ 14 ชุด 1 (เฉลยข้อ ง)</t>
        </is>
      </c>
      <c r="O16" s="22" t="inlineStr">
        <is>
          <t>Mock</t>
        </is>
      </c>
      <c r="P16" s="22" t="inlineStr">
        <is>
          <t>ชุด 1</t>
        </is>
      </c>
    </row>
    <row r="17">
      <c r="A17" s="23" t="inlineStr">
        <is>
          <t>15</t>
        </is>
      </c>
      <c r="B17" s="22" t="inlineStr">
        <is>
          <t>จากรูปสูตรโครงสร้างข้อใดถูกต้อง</t>
        </is>
      </c>
      <c r="C17" s="22" t="inlineStr"/>
      <c r="D17" s="22" t="inlineStr">
        <is>
          <t>Cholestyramine ลดการดูดซึมยา simvastatin เพราะ simvastatin มี lactone ring ในโครงสร้าง</t>
        </is>
      </c>
      <c r="E17" s="22" t="inlineStr">
        <is>
          <t>Cholestyramine ลดการดูดซึมยา pravastatin เพราะ pravastatin มี carboxylic acid ในโครงสร้าง</t>
        </is>
      </c>
      <c r="F17" s="22" t="inlineStr">
        <is>
          <t>Simvastatin ลดการดูดซึมยา cholestyramine</t>
        </is>
      </c>
      <c r="G17" s="22" t="inlineStr">
        <is>
          <t>Cholestyramine ไม่มีผลต่อการดูดซึมยา simvastatin และ pravastatin</t>
        </is>
      </c>
      <c r="H17" s="22" t="inlineStr">
        <is>
          <t>Cholestyramine เพิ่มการดูดซึมยา simvastatin และ pravastatin</t>
        </is>
      </c>
      <c r="I17" s="22" t="n">
        <v>2</v>
      </c>
      <c r="J17" s="22"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22" t="inlineStr"/>
      <c r="L17" s="22" t="inlineStr">
        <is>
          <t>Dyslipidemias</t>
        </is>
      </c>
      <c r="M17" s="22" t="inlineStr">
        <is>
          <t>Clinic</t>
        </is>
      </c>
      <c r="N17" s="22" t="inlineStr">
        <is>
          <t>ข้อ 15 ชุด 1 (เฉลยข้อ ข)</t>
        </is>
      </c>
      <c r="O17" s="22" t="inlineStr">
        <is>
          <t>Mock</t>
        </is>
      </c>
      <c r="P17" s="22" t="inlineStr">
        <is>
          <t>ชุด 1</t>
        </is>
      </c>
    </row>
    <row r="18">
      <c r="A18" s="23" t="inlineStr">
        <is>
          <t>16</t>
        </is>
      </c>
      <c r="B18" s="22" t="inlineStr">
        <is>
          <t>โครงสร้างที่แสดงข้างต้นสัมพันธ์กับการออกฤทธิ์ของยาอย่างไร</t>
        </is>
      </c>
      <c r="C18" s="22" t="inlineStr"/>
      <c r="D18" s="22" t="inlineStr">
        <is>
          <t>Pravastatin เป็น pro-drug</t>
        </is>
      </c>
      <c r="E18" s="22" t="inlineStr">
        <is>
          <t>Simvastatin และ Pravastatin เป็น pro-drug</t>
        </is>
      </c>
      <c r="F18" s="22" t="inlineStr">
        <is>
          <t>Pravastatin มีโครงสร้างที่ออกฤทธิ์ในร่างกาย 2 โครงสร้าง คือ โครงสร้างที่เกิดการเชื่อมเป็นวง lactone ring และรูปที่เป็น carboxylic acid</t>
        </is>
      </c>
      <c r="G18" s="22" t="inlineStr">
        <is>
          <t>Simvastatin มีโครงสร้างที่ออกฤทธิ์คือ โครงสร้างที่ lactone ring เปิด</t>
        </is>
      </c>
      <c r="H18" s="22" t="inlineStr">
        <is>
          <t>Simvastatin และ Pravastatin ไม่เป็น pro-drug</t>
        </is>
      </c>
      <c r="I18" s="22" t="n">
        <v>4</v>
      </c>
      <c r="J18" s="22"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22" t="inlineStr"/>
      <c r="L18" s="22" t="inlineStr">
        <is>
          <t>Dyslipidemias</t>
        </is>
      </c>
      <c r="M18" s="22" t="inlineStr">
        <is>
          <t>Clinic</t>
        </is>
      </c>
      <c r="N18" s="22" t="inlineStr">
        <is>
          <t>ข้อ 16 ชุด 1 (เฉลยข้อ ง)</t>
        </is>
      </c>
      <c r="O18" s="22" t="inlineStr">
        <is>
          <t>Mock</t>
        </is>
      </c>
      <c r="P18" s="22" t="inlineStr">
        <is>
          <t>ชุด 1</t>
        </is>
      </c>
    </row>
    <row r="19">
      <c r="A19" s="23" t="inlineStr">
        <is>
          <t>17</t>
        </is>
      </c>
      <c r="B19" s="22"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22" t="inlineStr"/>
      <c r="D19" s="22" t="inlineStr">
        <is>
          <t>เริ่มการรักษาโดยใช้ atorvastatin 40 mg ทุกเย็น และ follow up</t>
        </is>
      </c>
      <c r="E19" s="22" t="inlineStr">
        <is>
          <t>ผู้ป่วยมีปัจจัยเสี่ยงเพียง 1 ปัจจัย ดังนั้นควรใช้การควบคุมอาหารรักษาต่อไป</t>
        </is>
      </c>
      <c r="F19" s="22" t="inlineStr">
        <is>
          <t>เริ่มการรักษาโดยใช้ niacin 1 gm BID และ follow up ในอีก 6 เดือน</t>
        </is>
      </c>
      <c r="G19" s="22" t="inlineStr">
        <is>
          <t>เริ่มการรักษาโดยใช้ cholestyramine 4 gm BID</t>
        </is>
      </c>
      <c r="H19" s="22" t="inlineStr">
        <is>
          <t>เริ่มการรักษาโดยใช้ gemfibrozil 600 mg BID</t>
        </is>
      </c>
      <c r="I19" s="22" t="n">
        <v>1</v>
      </c>
      <c r="J19" s="22"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22" t="inlineStr"/>
      <c r="L19" s="22" t="inlineStr">
        <is>
          <t>Coronary artery disease</t>
        </is>
      </c>
      <c r="M19" s="22" t="inlineStr">
        <is>
          <t>Clinic</t>
        </is>
      </c>
      <c r="N19" s="22" t="inlineStr">
        <is>
          <t>ข้อ 17 ชุด 1 (เฉลยข้อ ก)</t>
        </is>
      </c>
      <c r="O19" s="22" t="inlineStr">
        <is>
          <t>Mock</t>
        </is>
      </c>
      <c r="P19" s="22" t="inlineStr">
        <is>
          <t>ชุด 1</t>
        </is>
      </c>
    </row>
    <row r="20">
      <c r="A20" s="23" t="inlineStr">
        <is>
          <t>18</t>
        </is>
      </c>
      <c r="B20" s="22"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22" t="inlineStr"/>
      <c r="D20" s="22" t="inlineStr">
        <is>
          <t>Gemfibrozil</t>
        </is>
      </c>
      <c r="E20" s="22" t="inlineStr">
        <is>
          <t>Niacin</t>
        </is>
      </c>
      <c r="F20" s="22" t="inlineStr">
        <is>
          <t>Cholestyramine</t>
        </is>
      </c>
      <c r="G20" s="22" t="inlineStr">
        <is>
          <t>Propranolol</t>
        </is>
      </c>
      <c r="H20" s="22" t="inlineStr">
        <is>
          <t>Enalapril</t>
        </is>
      </c>
      <c r="I20" s="22" t="n">
        <v>1</v>
      </c>
      <c r="J20" s="22"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22" t="inlineStr"/>
      <c r="L20" s="22" t="inlineStr">
        <is>
          <t>Dyslipidemias</t>
        </is>
      </c>
      <c r="M20" s="22" t="inlineStr">
        <is>
          <t>Clinic</t>
        </is>
      </c>
      <c r="N20" s="22" t="inlineStr">
        <is>
          <t>ข้อ 18 ชุด 1 (เฉลยข้อ ก)</t>
        </is>
      </c>
      <c r="O20" s="22" t="inlineStr">
        <is>
          <t>Mock</t>
        </is>
      </c>
      <c r="P20" s="22" t="inlineStr">
        <is>
          <t>ชุด 1</t>
        </is>
      </c>
    </row>
    <row r="21">
      <c r="A21" s="23" t="inlineStr">
        <is>
          <t>19</t>
        </is>
      </c>
      <c r="B21" s="22"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22" t="inlineStr"/>
      <c r="D21" s="22" t="inlineStr">
        <is>
          <t>Atenolol อาการหอบ</t>
        </is>
      </c>
      <c r="E21" s="22" t="inlineStr">
        <is>
          <t>Ramipril ภาวะ hypokalemia</t>
        </is>
      </c>
      <c r="F21" s="22" t="inlineStr">
        <is>
          <t>Cholestyramine กล้ามเนื้ออ่อนแรง</t>
        </is>
      </c>
      <c r="G21" s="22" t="inlineStr">
        <is>
          <t>Gemfibrozil ตามัว (blurred vision)</t>
        </is>
      </c>
      <c r="H21" s="22" t="inlineStr">
        <is>
          <t>Isosorbide mononitrate ปวดศีรษะ</t>
        </is>
      </c>
      <c r="I21" s="22" t="n">
        <v>5</v>
      </c>
      <c r="J21" s="22"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22" t="inlineStr"/>
      <c r="L21" s="22" t="inlineStr">
        <is>
          <t>Coronary artery disease</t>
        </is>
      </c>
      <c r="M21" s="22" t="inlineStr">
        <is>
          <t>Clinic</t>
        </is>
      </c>
      <c r="N21" s="22" t="inlineStr">
        <is>
          <t>ข้อ 19 ชุด 1 (เฉลยข้อ จ)</t>
        </is>
      </c>
      <c r="O21" s="22" t="inlineStr">
        <is>
          <t>Mock</t>
        </is>
      </c>
      <c r="P21" s="22" t="inlineStr">
        <is>
          <t>ชุด 1</t>
        </is>
      </c>
    </row>
    <row r="22">
      <c r="A22" s="23" t="inlineStr">
        <is>
          <t>20</t>
        </is>
      </c>
      <c r="B22" s="22"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22" t="inlineStr"/>
      <c r="D22" s="22" t="inlineStr">
        <is>
          <t>เพิ่ม Heart rate ลดแรงบีบตัวของหัวใจทำให้ cardiac output เพิ่มขึ้น</t>
        </is>
      </c>
      <c r="E22" s="22" t="inlineStr">
        <is>
          <t>ลด Heart rate ลดแรงบีบตัวของหัวใจทำให้ cardiac output เพิ่มขึ้น</t>
        </is>
      </c>
      <c r="F22" s="22" t="inlineStr">
        <is>
          <t>ลด Heart rate ลดแรงบีบตัวของหัวใจทำให้ cardiac output ลดลง</t>
        </is>
      </c>
      <c r="G22" s="22" t="inlineStr">
        <is>
          <t>กระตุ้นการหลั่ง Renin ที่ไต</t>
        </is>
      </c>
      <c r="H22" s="22" t="inlineStr">
        <is>
          <t>ทำให้เกิด Negative feedback และ compensatory outflow จากระบบประสาทส่วนกลาง</t>
        </is>
      </c>
      <c r="I22" s="22" t="n">
        <v>3</v>
      </c>
      <c r="J22" s="22"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22" t="inlineStr"/>
      <c r="L22" s="22" t="inlineStr">
        <is>
          <t>Coronary artery disease</t>
        </is>
      </c>
      <c r="M22" s="22" t="inlineStr">
        <is>
          <t>Clinic</t>
        </is>
      </c>
      <c r="N22" s="22" t="inlineStr">
        <is>
          <t>ข้อ 20 ชุด 1 (เฉลยข้อ ค)</t>
        </is>
      </c>
      <c r="O22" s="22" t="inlineStr">
        <is>
          <t>Mock</t>
        </is>
      </c>
      <c r="P22" s="22" t="inlineStr">
        <is>
          <t>ชุด 1</t>
        </is>
      </c>
    </row>
    <row r="23">
      <c r="A23" s="23" t="inlineStr">
        <is>
          <t>21</t>
        </is>
      </c>
      <c r="B23" s="22"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22" t="inlineStr"/>
      <c r="D23" s="22" t="inlineStr">
        <is>
          <t>รับประทานยาแล้วดื่มน้ำตามมากๆ เวลามีอาการ</t>
        </is>
      </c>
      <c r="E23" s="22" t="inlineStr">
        <is>
          <t>เคี้ยวยาให้ละเอียดก่อนกลืนเวลามีอาการ</t>
        </is>
      </c>
      <c r="F23" s="22" t="inlineStr">
        <is>
          <t>เมื่อลืมรับประทานยา ให้รับประทานยาเพิ่มเป็น 2 เม็ดได้</t>
        </is>
      </c>
      <c r="G23" s="22" t="inlineStr">
        <is>
          <t>เมื่อมีอาการอมยาไว้ใต้ลิ้นจนกว่ายาจะละลายหมดโดยพยายามไม่กลืนน้ำลาย</t>
        </is>
      </c>
      <c r="H23" s="22" t="inlineStr">
        <is>
          <t>เมื่อมีอาการอมยาไว้ปากระหว่างเหงือกและกระพุ้งแก้มจนยาละลายหมด ไม่กลืนน้ำลาย</t>
        </is>
      </c>
      <c r="I23" s="22" t="n">
        <v>4</v>
      </c>
      <c r="J23" s="22"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22" t="inlineStr"/>
      <c r="L23" s="22" t="inlineStr">
        <is>
          <t>Coronary artery disease</t>
        </is>
      </c>
      <c r="M23" s="22" t="inlineStr">
        <is>
          <t>Clinic</t>
        </is>
      </c>
      <c r="N23" s="22" t="inlineStr">
        <is>
          <t>ข้อ 21 ชุด 1 (เฉลยข้อ ง)</t>
        </is>
      </c>
      <c r="O23" s="22" t="inlineStr">
        <is>
          <t>Mock</t>
        </is>
      </c>
      <c r="P23" s="22" t="inlineStr">
        <is>
          <t>ชุด 1</t>
        </is>
      </c>
    </row>
    <row r="24">
      <c r="A24" s="23" t="inlineStr">
        <is>
          <t>22</t>
        </is>
      </c>
      <c r="B24" s="22"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22" t="inlineStr"/>
      <c r="D24" s="22" t="inlineStr">
        <is>
          <t>รับประทานวันละ 2 ครั้ง เช้า-เย็น</t>
        </is>
      </c>
      <c r="E24" s="22" t="inlineStr">
        <is>
          <t>รับประทานวันละ 2 ครั้ง เช้า-บ่าย (3 โมง)</t>
        </is>
      </c>
      <c r="F24" s="22" t="inlineStr">
        <is>
          <t>รับประทานวันละ 2 ครั้ง เช้า-ก่อนนอน</t>
        </is>
      </c>
      <c r="G24" s="22" t="inlineStr">
        <is>
          <t>อมใต้ลิ้น วันละ 2 ครั้ง เช้า-เย็น</t>
        </is>
      </c>
      <c r="H24" s="22" t="inlineStr">
        <is>
          <t>อมใต้ลิ้น วันละ 2 ครั้ง เช้า-บ่าย (3 โมง)</t>
        </is>
      </c>
      <c r="I24" s="22" t="n">
        <v>2</v>
      </c>
      <c r="J24" s="22"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22" t="inlineStr"/>
      <c r="L24" s="22" t="inlineStr">
        <is>
          <t>Coronary artery disease</t>
        </is>
      </c>
      <c r="M24" s="22" t="inlineStr">
        <is>
          <t>Clinic</t>
        </is>
      </c>
      <c r="N24" s="22" t="inlineStr">
        <is>
          <t>ข้อ 22 ชุด 1 (เฉลยข้อ ข)</t>
        </is>
      </c>
      <c r="O24" s="22" t="inlineStr">
        <is>
          <t>Mock</t>
        </is>
      </c>
      <c r="P24" s="22" t="inlineStr">
        <is>
          <t>ชุด 1</t>
        </is>
      </c>
    </row>
    <row r="25">
      <c r="A25" s="15" t="inlineStr">
        <is>
          <t>24</t>
        </is>
      </c>
      <c r="B25" s="18" t="inlineStr">
        <is>
          <t>ข้อใดไม่ใช่เหตุผลในการเลือกจ่ายยาคุมชนิด Progestin เพียงตัวเดียว (POPs) แทนการจ่ายยาคุมชนิดฮอร์โมนรวม (COCs)</t>
        </is>
      </c>
      <c r="C25" s="18" t="inlineStr"/>
      <c r="D25" s="18" t="inlineStr">
        <is>
          <t>มีภาวะปวดหัวไมเกรนรุนแรง</t>
        </is>
      </c>
      <c r="E25" s="18" t="inlineStr">
        <is>
          <t>อยู่ระหว่างการให้นมบุตร</t>
        </is>
      </c>
      <c r="F25" s="18" t="inlineStr">
        <is>
          <t>มีเลือดออกกระปริดกระปรอย</t>
        </is>
      </c>
      <c r="G25" s="18" t="inlineStr">
        <is>
          <t>มีโรคเกี่ยวกับหลอดเลือดหัวใจ</t>
        </is>
      </c>
      <c r="H25" s="18" t="inlineStr">
        <is>
          <t>มีอาการคลื่นไส้ อาเจียนจากเอสโตรเจน</t>
        </is>
      </c>
      <c r="I25" s="18" t="n">
        <v>3</v>
      </c>
      <c r="J25" s="22"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18" t="inlineStr"/>
      <c r="L25" s="18" t="inlineStr">
        <is>
          <t>Contraception &amp; Cardiovascular Risk</t>
        </is>
      </c>
      <c r="M25" s="18" t="inlineStr">
        <is>
          <t>Hypertension</t>
        </is>
      </c>
      <c r="N25" s="18" t="inlineStr">
        <is>
          <t>Mock PLE-CC 1 ข้อ 88</t>
        </is>
      </c>
      <c r="O25" s="18" t="inlineStr">
        <is>
          <t>Mock</t>
        </is>
      </c>
      <c r="P25" s="18" t="inlineStr">
        <is>
          <t>Mock RxCU83</t>
        </is>
      </c>
      <c r="Q25" s="18" t="n"/>
    </row>
    <row r="26">
      <c r="A26" s="15" t="inlineStr">
        <is>
          <t>25</t>
        </is>
      </c>
      <c r="B26" s="18"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18" t="inlineStr"/>
      <c r="D26" s="18" t="inlineStr">
        <is>
          <t>Isoniazid ส่งผลให้ระดับยา warfarin ลดลง</t>
        </is>
      </c>
      <c r="E26" s="18" t="inlineStr">
        <is>
          <t>Rifampin ส่งผลให้ระดับยา warfarin ลดลง</t>
        </is>
      </c>
      <c r="F26" s="18" t="inlineStr">
        <is>
          <t>Pyrazinamide ส่งผลให้ระดับยา warfarin เพิ่มขึ้น</t>
        </is>
      </c>
      <c r="G26" s="18" t="inlineStr">
        <is>
          <t>Ethambutol ส่งผลให้ระดับยา warfarin ลดลง</t>
        </is>
      </c>
      <c r="H26" s="18" t="inlineStr">
        <is>
          <t>ยาทุกตัวในสูตรยารักษาวัณโรคไม่ส่งผลต่อระดับยา warfarin</t>
        </is>
      </c>
      <c r="I26" s="18" t="n">
        <v>2</v>
      </c>
      <c r="J26" s="22"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18" t="inlineStr"/>
      <c r="L26" s="18" t="inlineStr">
        <is>
          <t>Anticoagulation &amp; Arrhythmia</t>
        </is>
      </c>
      <c r="M26" s="18" t="inlineStr">
        <is>
          <t>Hypertension</t>
        </is>
      </c>
      <c r="N26" s="18" t="inlineStr">
        <is>
          <t>Mock PLE-CC 1 ข้อ 97</t>
        </is>
      </c>
      <c r="O26" s="18" t="inlineStr">
        <is>
          <t>Mock</t>
        </is>
      </c>
      <c r="P26" s="18" t="inlineStr">
        <is>
          <t>Mock RxCU83</t>
        </is>
      </c>
      <c r="Q26" s="18" t="n"/>
    </row>
    <row r="27">
      <c r="A27" s="15" t="inlineStr">
        <is>
          <t>26</t>
        </is>
      </c>
      <c r="B27" s="18"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18" t="inlineStr"/>
      <c r="D27" s="18" t="inlineStr">
        <is>
          <t>Enalapril</t>
        </is>
      </c>
      <c r="E27" s="18" t="inlineStr">
        <is>
          <t>Amlodipine</t>
        </is>
      </c>
      <c r="F27" s="18" t="inlineStr">
        <is>
          <t>Metformin</t>
        </is>
      </c>
      <c r="G27" s="18" t="inlineStr">
        <is>
          <t>Theophylline</t>
        </is>
      </c>
      <c r="H27" s="18" t="inlineStr">
        <is>
          <t>Tiotropium</t>
        </is>
      </c>
      <c r="I27" s="18" t="n">
        <v>4</v>
      </c>
      <c r="J27" s="22"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18" t="inlineStr"/>
      <c r="L27" s="18" t="inlineStr">
        <is>
          <t>Cardiovascular &amp; Pulmonary Pharmacology</t>
        </is>
      </c>
      <c r="M27" s="18" t="inlineStr">
        <is>
          <t>Dyslipidemia / HTN</t>
        </is>
      </c>
      <c r="N27" s="18" t="inlineStr">
        <is>
          <t>PLE_CC1_2567_Key ข้อ 2</t>
        </is>
      </c>
      <c r="O27" s="18" t="inlineStr">
        <is>
          <t>ข้อสอบจริง</t>
        </is>
      </c>
      <c r="P27" s="18" t="inlineStr">
        <is>
          <t>ปี 2567</t>
        </is>
      </c>
      <c r="Q27" s="18" t="n"/>
    </row>
    <row r="28">
      <c r="A28" s="15" t="inlineStr">
        <is>
          <t>27</t>
        </is>
      </c>
      <c r="B28" s="18" t="inlineStr">
        <is>
          <t>ยาตัวใดต่อไปนี้มีฤทธิ์ยับยั้งผลของ Angiotensin II ได้โดยตรงที่ตัวรับมากที่สุด (Direct Angiotensin II Receptor Blocker)</t>
        </is>
      </c>
      <c r="C28" s="18" t="inlineStr"/>
      <c r="D28" s="18" t="inlineStr">
        <is>
          <t>Aliskiren</t>
        </is>
      </c>
      <c r="E28" s="18" t="inlineStr">
        <is>
          <t>Enalapril</t>
        </is>
      </c>
      <c r="F28" s="18" t="inlineStr">
        <is>
          <t>Losartan</t>
        </is>
      </c>
      <c r="G28" s="18" t="inlineStr">
        <is>
          <t>Carvedilol</t>
        </is>
      </c>
      <c r="H28" s="18" t="inlineStr">
        <is>
          <t>Furosemide</t>
        </is>
      </c>
      <c r="I28" s="18" t="n">
        <v>3</v>
      </c>
      <c r="J28" s="22"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18" t="inlineStr"/>
      <c r="L28" s="18" t="inlineStr">
        <is>
          <t>Hypertension</t>
        </is>
      </c>
      <c r="M28" s="18" t="inlineStr">
        <is>
          <t>Dyslipidemia / HTN</t>
        </is>
      </c>
      <c r="N28" s="18" t="inlineStr">
        <is>
          <t>PLE_CC1_2567_Key ข้อ 1</t>
        </is>
      </c>
      <c r="O28" s="18" t="inlineStr">
        <is>
          <t>ข้อสอบจริง</t>
        </is>
      </c>
      <c r="P28" s="18" t="inlineStr">
        <is>
          <t>ปี 2567</t>
        </is>
      </c>
    </row>
    <row r="29">
      <c r="A29" s="15" t="inlineStr">
        <is>
          <t>28</t>
        </is>
      </c>
      <c r="B29" s="18"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18" t="inlineStr"/>
      <c r="D29" s="18" t="inlineStr">
        <is>
          <t>กระตุ้น transcription factor SREBP-2 เพื่อเพิ่มการแสดงออกของ LDL receptors บนผิวเซลล์ตับ</t>
        </is>
      </c>
      <c r="E29" s="18" t="inlineStr">
        <is>
          <t>ยับยั้งการแสดงออกของ LDL receptors บนผิวเซลล์ตับเพื่อลดการดูดกลับไขมัน</t>
        </is>
      </c>
      <c r="F29" s="18" t="inlineStr">
        <is>
          <t>กระตุ้นเอนไซม์ PCSK9 ให้ทำลาย LDL receptors ในกระแสเลือด</t>
        </is>
      </c>
      <c r="G29" s="18" t="inlineStr">
        <is>
          <t>ยับยั้งการทำงานของ Lipoprotein lipase (LPL) ที่ผนังหลอดเลือด</t>
        </is>
      </c>
      <c r="H29" s="18" t="inlineStr">
        <is>
          <t>เพิ่มการสังเคราะห์ Apolipoprotein B-100 ในเซลล์ตับ</t>
        </is>
      </c>
      <c r="I29" s="18" t="n">
        <v>1</v>
      </c>
      <c r="J29" s="22"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18" t="inlineStr"/>
      <c r="L29" s="18" t="inlineStr">
        <is>
          <t>Dyslipidemias</t>
        </is>
      </c>
      <c r="M29" s="18" t="inlineStr">
        <is>
          <t>Dyslipidemia / HTN</t>
        </is>
      </c>
      <c r="N29" s="18" t="inlineStr">
        <is>
          <t>PLE_CC1_2567_Key ข้อ 2</t>
        </is>
      </c>
      <c r="O29" s="18" t="inlineStr">
        <is>
          <t>ข้อสอบจริง</t>
        </is>
      </c>
      <c r="P29" s="18" t="inlineStr">
        <is>
          <t>ปี 2567</t>
        </is>
      </c>
    </row>
    <row r="30">
      <c r="A30" s="15" t="inlineStr">
        <is>
          <t>29</t>
        </is>
      </c>
      <c r="B30" s="18" t="inlineStr">
        <is>
          <t>กลไกการออกฤทธิ์ของยากลุ่ม Statins ที่ส่งผลให้ระดับคอเลสเตอรอลชนิด LDL ในเลือดลดลงคือข้อใด</t>
        </is>
      </c>
      <c r="C30" s="18" t="inlineStr"/>
      <c r="D30" s="18" t="inlineStr">
        <is>
          <t>ยับยั้งเอนไซม์ HMG-CoA reductase และเพิ่มจำนวน LDL receptors ที่ตับ</t>
        </is>
      </c>
      <c r="E30" s="18" t="inlineStr">
        <is>
          <t>5-alpha reductase inhibitor</t>
        </is>
      </c>
      <c r="F30" s="18" t="inlineStr">
        <is>
          <t>Aldose reductase inhibitor</t>
        </is>
      </c>
      <c r="G30" s="18" t="inlineStr">
        <is>
          <t>Dihydrofolate reductase inhibitor</t>
        </is>
      </c>
      <c r="H30" s="18" t="inlineStr">
        <is>
          <t>Dihydropteroate synthase inhibitor</t>
        </is>
      </c>
      <c r="I30" s="18" t="n">
        <v>1</v>
      </c>
      <c r="J30" s="22"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18" t="inlineStr"/>
      <c r="L30" s="18" t="inlineStr">
        <is>
          <t>Dyslipidemias</t>
        </is>
      </c>
      <c r="M30" s="18" t="inlineStr">
        <is>
          <t>Dyslipidemia / HTN</t>
        </is>
      </c>
      <c r="N30" s="18" t="inlineStr">
        <is>
          <t>PLE_CC1_2567_Key ข้อ 4</t>
        </is>
      </c>
      <c r="O30" s="18" t="inlineStr">
        <is>
          <t>ข้อสอบจริง</t>
        </is>
      </c>
      <c r="P30" s="18" t="inlineStr">
        <is>
          <t>ปี 2567</t>
        </is>
      </c>
      <c r="Q30" s="18" t="n"/>
    </row>
    <row r="31">
      <c r="A31" s="15" t="inlineStr">
        <is>
          <t>30</t>
        </is>
      </c>
      <c r="B31" s="18"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18" t="inlineStr"/>
      <c r="D31" s="18" t="inlineStr">
        <is>
          <t>Rhabdomyolysis</t>
        </is>
      </c>
      <c r="E31" s="18" t="inlineStr">
        <is>
          <t>Severe Hypotension</t>
        </is>
      </c>
      <c r="F31" s="18" t="inlineStr">
        <is>
          <t>Hyperkalemia</t>
        </is>
      </c>
      <c r="G31" s="18" t="inlineStr">
        <is>
          <t>Bradycardia</t>
        </is>
      </c>
      <c r="H31" s="18" t="inlineStr">
        <is>
          <t>Nausea and Vomiting</t>
        </is>
      </c>
      <c r="I31" s="18" t="n">
        <v>1</v>
      </c>
      <c r="J31" s="22"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18" t="inlineStr"/>
      <c r="L31" s="18" t="inlineStr">
        <is>
          <t>Dyslipidemias</t>
        </is>
      </c>
      <c r="M31" s="18" t="inlineStr">
        <is>
          <t>Dyslipidemia / HTN</t>
        </is>
      </c>
      <c r="N31" s="18" t="inlineStr">
        <is>
          <t>PLE_CC1_2567_Key ข้อ 5</t>
        </is>
      </c>
      <c r="O31" s="18" t="inlineStr">
        <is>
          <t>ข้อสอบจริง</t>
        </is>
      </c>
      <c r="P31" s="18" t="inlineStr">
        <is>
          <t>ปี 2567</t>
        </is>
      </c>
      <c r="Q31" s="18" t="n"/>
    </row>
    <row r="32">
      <c r="A32" s="15" t="inlineStr">
        <is>
          <t>31</t>
        </is>
      </c>
      <c r="B32" s="18"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18" t="inlineStr"/>
      <c r="D32" s="18" t="inlineStr">
        <is>
          <t>Rosuvastatin</t>
        </is>
      </c>
      <c r="E32" s="18" t="inlineStr">
        <is>
          <t>Simvastatin</t>
        </is>
      </c>
      <c r="F32" s="18" t="inlineStr">
        <is>
          <t>Lovastatin</t>
        </is>
      </c>
      <c r="G32" s="18" t="inlineStr">
        <is>
          <t>Pravastatin</t>
        </is>
      </c>
      <c r="H32" s="18" t="inlineStr">
        <is>
          <t>Fluvastatin IR</t>
        </is>
      </c>
      <c r="I32" s="18" t="n">
        <v>1</v>
      </c>
      <c r="J32" s="22"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18" t="inlineStr"/>
      <c r="L32" s="18" t="inlineStr">
        <is>
          <t>Dyslipidemias</t>
        </is>
      </c>
      <c r="M32" s="18" t="inlineStr">
        <is>
          <t>Dyslipidemia / HTN</t>
        </is>
      </c>
      <c r="N32" s="18" t="inlineStr">
        <is>
          <t>PLE_CC1_2567_Key ข้อ 6</t>
        </is>
      </c>
      <c r="O32" s="18" t="inlineStr">
        <is>
          <t>ข้อสอบจริง</t>
        </is>
      </c>
      <c r="P32" s="18" t="inlineStr">
        <is>
          <t>ปี 2567</t>
        </is>
      </c>
      <c r="Q32" s="18" t="n"/>
    </row>
    <row r="33">
      <c r="A33" s="15" t="inlineStr">
        <is>
          <t>32</t>
        </is>
      </c>
      <c r="B33" s="18" t="inlineStr">
        <is>
          <t>ในตำรับยาเม็ดหรือสารละลายยาฉีด Edetate disodium (Disodium EDTA) ทำหน้าที่เป็นสารช่วยทางเภสัชกรรม (Excipient) ชนิดใด</t>
        </is>
      </c>
      <c r="C33" s="18" t="inlineStr"/>
      <c r="D33" s="18" t="inlineStr">
        <is>
          <t>Buffering agent</t>
        </is>
      </c>
      <c r="E33" s="18" t="inlineStr">
        <is>
          <t>Chelating agent</t>
        </is>
      </c>
      <c r="F33" s="18" t="inlineStr">
        <is>
          <t>pH adjustment</t>
        </is>
      </c>
      <c r="G33" s="18" t="inlineStr">
        <is>
          <t>Tonicity agent</t>
        </is>
      </c>
      <c r="H33" s="18" t="inlineStr">
        <is>
          <t>Preservative</t>
        </is>
      </c>
      <c r="I33" s="18" t="n">
        <v>2</v>
      </c>
      <c r="J33" s="22"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18" t="inlineStr"/>
      <c r="L33" s="18" t="inlineStr">
        <is>
          <t>Pharmaceutics &amp; Excipients</t>
        </is>
      </c>
      <c r="M33" s="18" t="inlineStr">
        <is>
          <t>Dyslipidemia / HTN</t>
        </is>
      </c>
      <c r="N33" s="18" t="inlineStr">
        <is>
          <t>PLE_CC1_2567_Key ข้อ 7</t>
        </is>
      </c>
      <c r="O33" s="18" t="inlineStr">
        <is>
          <t>ข้อสอบจริง</t>
        </is>
      </c>
      <c r="P33" s="18" t="inlineStr">
        <is>
          <t>ปี 2567</t>
        </is>
      </c>
      <c r="Q33" s="18" t="n"/>
    </row>
    <row r="34">
      <c r="A34" s="15" t="inlineStr">
        <is>
          <t>33</t>
        </is>
      </c>
      <c r="B34" s="18"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18" t="inlineStr"/>
      <c r="D34" s="18" t="inlineStr">
        <is>
          <t>Fentanyl</t>
        </is>
      </c>
      <c r="E34" s="18" t="inlineStr">
        <is>
          <t>Thiamine</t>
        </is>
      </c>
      <c r="F34" s="18" t="inlineStr">
        <is>
          <t>Naloxone</t>
        </is>
      </c>
      <c r="G34" s="18" t="inlineStr">
        <is>
          <t>Flumazenil</t>
        </is>
      </c>
      <c r="H34" s="18" t="inlineStr">
        <is>
          <t>Bromocriptine</t>
        </is>
      </c>
      <c r="I34" s="18" t="n">
        <v>3</v>
      </c>
      <c r="J34" s="22"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18" t="inlineStr"/>
      <c r="L34" s="18" t="inlineStr">
        <is>
          <t>Toxicology &amp; Critical Care</t>
        </is>
      </c>
      <c r="M34" s="18" t="inlineStr">
        <is>
          <t>Dyslipidemia / HTN</t>
        </is>
      </c>
      <c r="N34" s="18" t="inlineStr">
        <is>
          <t>PLE_CC1_2567_Key ข้อ 14</t>
        </is>
      </c>
      <c r="O34" s="18" t="inlineStr">
        <is>
          <t>ข้อสอบจริง</t>
        </is>
      </c>
      <c r="P34" s="18" t="inlineStr">
        <is>
          <t>ปี 2567</t>
        </is>
      </c>
      <c r="Q34" s="18" t="n"/>
    </row>
    <row r="35">
      <c r="A35" s="15" t="inlineStr">
        <is>
          <t>34</t>
        </is>
      </c>
      <c r="B35" s="18"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18" t="inlineStr"/>
      <c r="D35" s="18" t="inlineStr">
        <is>
          <t>Docusate sodium</t>
        </is>
      </c>
      <c r="E35" s="18" t="inlineStr">
        <is>
          <t>Bisacodyl tablet</t>
        </is>
      </c>
      <c r="F35" s="18" t="inlineStr">
        <is>
          <t>Milk of Magnesia (MOM)</t>
        </is>
      </c>
      <c r="G35" s="18" t="inlineStr">
        <is>
          <t>Glycerin suppository</t>
        </is>
      </c>
      <c r="H35" s="18" t="inlineStr">
        <is>
          <t>Psyllium husk</t>
        </is>
      </c>
      <c r="I35" s="18" t="n">
        <v>4</v>
      </c>
      <c r="J35" s="22"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18" t="inlineStr"/>
      <c r="L35" s="18" t="inlineStr">
        <is>
          <t>Cardiovascular Pharmacology &amp; ADR Management</t>
        </is>
      </c>
      <c r="M35" s="18" t="inlineStr">
        <is>
          <t>Dyslipidemia / HTN</t>
        </is>
      </c>
      <c r="N35" s="18" t="inlineStr">
        <is>
          <t>PLE_CC1_2567_Key ข้อ 24</t>
        </is>
      </c>
      <c r="O35" s="18" t="inlineStr">
        <is>
          <t>ข้อสอบจริง</t>
        </is>
      </c>
      <c r="P35" s="18" t="inlineStr">
        <is>
          <t>ปี 2567</t>
        </is>
      </c>
      <c r="Q35" s="18" t="n"/>
    </row>
    <row r="36">
      <c r="A36" s="15" t="inlineStr">
        <is>
          <t>35</t>
        </is>
      </c>
      <c r="B36" s="18"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18" t="inlineStr"/>
      <c r="D36" s="18" t="inlineStr">
        <is>
          <t>Simvastatin 40 mg hs</t>
        </is>
      </c>
      <c r="E36" s="18" t="inlineStr">
        <is>
          <t>Rosuvastatin 40 mg hs</t>
        </is>
      </c>
      <c r="F36" s="18" t="inlineStr">
        <is>
          <t>Pravastatin 20 mg hs</t>
        </is>
      </c>
      <c r="G36" s="18" t="inlineStr">
        <is>
          <t>Atorvastatin 40 mg hs</t>
        </is>
      </c>
      <c r="H36" s="18" t="inlineStr">
        <is>
          <t>Fluvastatin 20 mg hs</t>
        </is>
      </c>
      <c r="I36" s="18" t="n">
        <v>4</v>
      </c>
      <c r="J36" s="22"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18" t="inlineStr"/>
      <c r="L36" s="18" t="inlineStr">
        <is>
          <t>Dyslipidemias &amp; Renal Impairment</t>
        </is>
      </c>
      <c r="M36" s="18" t="inlineStr">
        <is>
          <t>Dyslipidemia / HTN</t>
        </is>
      </c>
      <c r="N36" s="18" t="inlineStr">
        <is>
          <t>PLE_CC1_2567_Key ข้อ 51</t>
        </is>
      </c>
      <c r="O36" s="18" t="inlineStr">
        <is>
          <t>ข้อสอบจริง</t>
        </is>
      </c>
      <c r="P36" s="18" t="inlineStr">
        <is>
          <t>ปี 2567</t>
        </is>
      </c>
      <c r="Q36" s="18" t="n"/>
    </row>
    <row r="37">
      <c r="A37" s="15" t="inlineStr">
        <is>
          <t>36</t>
        </is>
      </c>
      <c r="B37" s="18" t="inlineStr">
        <is>
          <t>ข้อใดเป็นข้อห้ามใช้เด็ดขาด (Absolute Contraindication) ของยากลุ่ม Statins</t>
        </is>
      </c>
      <c r="C37" s="18" t="inlineStr"/>
      <c r="D37" s="18" t="inlineStr">
        <is>
          <t>การติดเชื้อในทางเดินปัสสาวะ</t>
        </is>
      </c>
      <c r="E37" s="18" t="inlineStr">
        <is>
          <t>นิ่วในถุงน้ำดี</t>
        </is>
      </c>
      <c r="F37" s="18" t="inlineStr">
        <is>
          <t>ภาวะตั้งครรภ์และให้นมบุตร</t>
        </is>
      </c>
      <c r="G37" s="18" t="inlineStr">
        <is>
          <t>โรคไตเรื้อรัง ระยะ 3a</t>
        </is>
      </c>
      <c r="H37" s="18" t="inlineStr">
        <is>
          <t>โรคหลอดเลือดสมองขาดเลือด</t>
        </is>
      </c>
      <c r="I37" s="18" t="n">
        <v>3</v>
      </c>
      <c r="J37" s="22"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18" t="inlineStr"/>
      <c r="L37" s="18" t="inlineStr">
        <is>
          <t>Dyslipidemias</t>
        </is>
      </c>
      <c r="M37" s="18" t="inlineStr">
        <is>
          <t>Dyslipidemia / HTN</t>
        </is>
      </c>
      <c r="N37" s="18" t="inlineStr">
        <is>
          <t>PLE_CC1_2567_Key ข้อ 52</t>
        </is>
      </c>
      <c r="O37" s="18" t="inlineStr">
        <is>
          <t>ข้อสอบจริง</t>
        </is>
      </c>
      <c r="P37" s="18" t="inlineStr">
        <is>
          <t>ปี 2567</t>
        </is>
      </c>
      <c r="Q37" s="18" t="n"/>
    </row>
    <row r="38">
      <c r="A38" s="15" t="inlineStr">
        <is>
          <t>37</t>
        </is>
      </c>
      <c r="B38" s="18"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18" t="inlineStr"/>
      <c r="D38" s="18" t="inlineStr">
        <is>
          <t>Atorvastatin สามารถใช้ขนาดยาสูง 40-80 mg/day ได้โดยไม่ต้องปรับขนาดยาตามค่าการทำงานของไต</t>
        </is>
      </c>
      <c r="E38" s="18" t="inlineStr">
        <is>
          <t>Rosuvastatin สามารถปรับเพิ่มขนาดยาได้สูงสุดถึง 40 mg/day ในผู้ป่วยไตเรื้อรังทุกระยะ</t>
        </is>
      </c>
      <c r="F38" s="18" t="inlineStr">
        <is>
          <t>ห้ามใช้ยากลุ่ม Statins ทุกชนิดในผู้ป่วยที่มีค่า eGFR &lt; 60 mL/min/1.73 m2</t>
        </is>
      </c>
      <c r="G38" s="18" t="inlineStr">
        <is>
          <t>ควรเปลี่ยนไปใช้ Gemfibrozil เดี่ยวๆ แทน Statin เพื่อป้องกันพิษต่อไต</t>
        </is>
      </c>
      <c r="H38" s="18" t="inlineStr">
        <is>
          <t>ต้องลดขนาดยา Atorvastatin ลงครึ่งหนึ่งเสมอเมื่อค่า eGFR ต่ำกว่า 60 mL/min/1.73 m2</t>
        </is>
      </c>
      <c r="I38" s="18" t="n">
        <v>1</v>
      </c>
      <c r="J38" s="22"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18" t="inlineStr"/>
      <c r="L38" s="18" t="inlineStr">
        <is>
          <t>Dyslipidemias &amp; Renal Impairment</t>
        </is>
      </c>
      <c r="M38" s="18" t="inlineStr">
        <is>
          <t>Dyslipidemia / HTN</t>
        </is>
      </c>
      <c r="N38" s="18" t="inlineStr">
        <is>
          <t>PLE_CC1_2567_Key ข้อ 52</t>
        </is>
      </c>
      <c r="O38" s="18" t="inlineStr">
        <is>
          <t>ข้อสอบจริง</t>
        </is>
      </c>
      <c r="P38" s="18" t="inlineStr">
        <is>
          <t>ปี 2567</t>
        </is>
      </c>
      <c r="Q38" s="18" t="n"/>
    </row>
    <row r="39">
      <c r="A39" s="15" t="inlineStr">
        <is>
          <t>38</t>
        </is>
      </c>
      <c r="B39" s="18"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18" t="inlineStr"/>
      <c r="D39" s="18" t="inlineStr">
        <is>
          <t>ระดับการติดนิโคตินต่ำมาก (Low dependence: HSI 0-1)</t>
        </is>
      </c>
      <c r="E39" s="18" t="inlineStr">
        <is>
          <t>ระดับการติดนิโคตินปานกลาง (Moderate dependence: HSI 2-3)</t>
        </is>
      </c>
      <c r="F39" s="18" t="inlineStr">
        <is>
          <t>ระดับการติดนิโคตินสูง (High / Heavy dependence: HSI 5-6)</t>
        </is>
      </c>
      <c r="G39" s="18" t="inlineStr">
        <is>
          <t>ไม่สามารถประเมินได้จากข้อมูลที่มีอยู่</t>
        </is>
      </c>
      <c r="H39" s="18" t="inlineStr">
        <is>
          <t>ผู้ป่วยไม่มีภาวะติดนิโคตินทางสรีรวิทยา</t>
        </is>
      </c>
      <c r="I39" s="18" t="n">
        <v>3</v>
      </c>
      <c r="J39" s="22"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18" t="inlineStr"/>
      <c r="L39" s="18" t="inlineStr">
        <is>
          <t>Cardiovascular Risk &amp; Smoking Cessation</t>
        </is>
      </c>
      <c r="M39" s="18" t="inlineStr">
        <is>
          <t>Dyslipidemia / HTN</t>
        </is>
      </c>
      <c r="N39" s="18" t="inlineStr">
        <is>
          <t>PLE_CC1_2567_Key ข้อ 55</t>
        </is>
      </c>
      <c r="O39" s="18" t="inlineStr">
        <is>
          <t>ข้อสอบจริง</t>
        </is>
      </c>
      <c r="P39" s="18" t="inlineStr">
        <is>
          <t>ปี 2567</t>
        </is>
      </c>
    </row>
    <row r="40">
      <c r="A40" s="15" t="inlineStr">
        <is>
          <t>39</t>
        </is>
      </c>
      <c r="B40" s="18" t="inlineStr">
        <is>
          <t>ยาลดความดันโลหิตในข้อใดต่อไปนี้ ส่งผลต่อการขยายหลอดเลือด (Vasodilation) น้อยที่สุด</t>
        </is>
      </c>
      <c r="C40" s="18" t="inlineStr"/>
      <c r="D40" s="18" t="inlineStr">
        <is>
          <t>Atenolol</t>
        </is>
      </c>
      <c r="E40" s="18" t="inlineStr">
        <is>
          <t>Amlodipine</t>
        </is>
      </c>
      <c r="F40" s="18" t="inlineStr">
        <is>
          <t>Prazosin</t>
        </is>
      </c>
      <c r="G40" s="18" t="inlineStr">
        <is>
          <t>Hydralazine</t>
        </is>
      </c>
      <c r="H40" s="18" t="inlineStr">
        <is>
          <t>Sodium Nitroprusside</t>
        </is>
      </c>
      <c r="I40" s="18" t="n">
        <v>1</v>
      </c>
      <c r="J40" s="22"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18" t="inlineStr"/>
      <c r="L40" s="18" t="inlineStr">
        <is>
          <t>Hypertension Pharmacology</t>
        </is>
      </c>
      <c r="M40" s="18" t="inlineStr">
        <is>
          <t>Dyslipidemia / HTN</t>
        </is>
      </c>
      <c r="N40" s="18" t="inlineStr">
        <is>
          <t>PLE_CC1_2567_Key ข้อ 84</t>
        </is>
      </c>
      <c r="O40" s="18" t="inlineStr">
        <is>
          <t>ข้อสอบจริง</t>
        </is>
      </c>
      <c r="P40" s="18" t="inlineStr">
        <is>
          <t>ปี 2567</t>
        </is>
      </c>
      <c r="Q40" s="18" t="n"/>
    </row>
    <row r="41">
      <c r="A41" s="15" t="inlineStr">
        <is>
          <t>40</t>
        </is>
      </c>
      <c r="B41" s="18"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18" t="inlineStr"/>
      <c r="D41" s="18" t="inlineStr">
        <is>
          <t>Rosuvastatin (มีหมู่ Sulfonamide และ Pyrimidine ring ที่จับกับประจุบวกได้ดี)</t>
        </is>
      </c>
      <c r="E41" s="18" t="inlineStr">
        <is>
          <t>Atorvastatin</t>
        </is>
      </c>
      <c r="F41" s="18" t="inlineStr">
        <is>
          <t>Simvastatin</t>
        </is>
      </c>
      <c r="G41" s="18" t="inlineStr">
        <is>
          <t>Pravastatin</t>
        </is>
      </c>
      <c r="H41" s="18" t="inlineStr">
        <is>
          <t>Pitavastatin</t>
        </is>
      </c>
      <c r="I41" s="18" t="n">
        <v>1</v>
      </c>
      <c r="J41" s="22"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18" t="inlineStr"/>
      <c r="L41" s="18" t="inlineStr">
        <is>
          <t>Dyslipidemias &amp; Drug Interactions</t>
        </is>
      </c>
      <c r="M41" s="18" t="inlineStr">
        <is>
          <t>Dyslipidemia / HTN</t>
        </is>
      </c>
      <c r="N41" s="18" t="inlineStr">
        <is>
          <t>PLE_CC1_2567_Key ข้อ 101</t>
        </is>
      </c>
      <c r="O41" s="18" t="inlineStr">
        <is>
          <t>ข้อสอบจริง</t>
        </is>
      </c>
      <c r="P41" s="18" t="inlineStr">
        <is>
          <t>ปี 2567</t>
        </is>
      </c>
    </row>
    <row r="42">
      <c r="A42" s="15" t="inlineStr">
        <is>
          <t>41</t>
        </is>
      </c>
      <c r="B42" s="18"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18" t="inlineStr"/>
      <c r="D42" s="18" t="inlineStr">
        <is>
          <t>การใช้ยา Naproxen เป็นเวลานาน</t>
        </is>
      </c>
      <c r="E42" s="18" t="inlineStr">
        <is>
          <t>อายุมากกว่า 65 ปี</t>
        </is>
      </c>
      <c r="F42" s="18" t="inlineStr">
        <is>
          <t>ภาวะโรคอ้วน (Obesity)</t>
        </is>
      </c>
      <c r="G42" s="18" t="inlineStr">
        <is>
          <t>การใช้ยา Aspirin ร่วมด้วยเป็นเวลานาน</t>
        </is>
      </c>
      <c r="H42" s="18" t="inlineStr">
        <is>
          <t>การติดเชื้อ Helicobacter pylori ในกระเพาะอาหาร</t>
        </is>
      </c>
      <c r="I42" s="18" t="n">
        <v>3</v>
      </c>
      <c r="J42" s="22"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18" t="inlineStr"/>
      <c r="L42" s="18" t="inlineStr">
        <is>
          <t>Cardiovascular Pharmacology &amp; GI Risk</t>
        </is>
      </c>
      <c r="M42" s="18" t="inlineStr">
        <is>
          <t>Dyslipidemia / HTN</t>
        </is>
      </c>
      <c r="N42" s="18" t="inlineStr">
        <is>
          <t>PLE_CC1_2567_Set1_Key ข้อ 8</t>
        </is>
      </c>
      <c r="O42" s="18" t="inlineStr">
        <is>
          <t>ข้อสอบจริง</t>
        </is>
      </c>
      <c r="P42" s="18" t="inlineStr">
        <is>
          <t>ปี 2567</t>
        </is>
      </c>
      <c r="Q42" s="18" t="n"/>
    </row>
    <row r="43">
      <c r="A43" s="15" t="inlineStr">
        <is>
          <t>42</t>
        </is>
      </c>
      <c r="B43" s="18"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18" t="inlineStr"/>
      <c r="D43" s="18" t="inlineStr">
        <is>
          <t>Bismuth quadruple therapy (PPI + Bismuth subsalicylate + Metronidazole + Tetracycline) นาน 14 วัน</t>
        </is>
      </c>
      <c r="E43" s="18" t="inlineStr">
        <is>
          <t>Clarithromycin triple therapy (PPI + Clarithromycin + Amoxicillin) นาน 7 วัน</t>
        </is>
      </c>
      <c r="F43" s="18" t="inlineStr">
        <is>
          <t>Levofloxacin triple therapy (PPI + Levofloxacin + Amoxicillin) นาน 10 วัน</t>
        </is>
      </c>
      <c r="G43" s="18" t="inlineStr">
        <is>
          <t>Dual therapy (PPI + Metronidazole) นาน 14 วัน</t>
        </is>
      </c>
      <c r="H43" s="18" t="inlineStr">
        <is>
          <t>Sequential therapy นาน 5 วัน</t>
        </is>
      </c>
      <c r="I43" s="18" t="n">
        <v>1</v>
      </c>
      <c r="J43" s="22"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18" t="inlineStr"/>
      <c r="L43" s="18" t="inlineStr">
        <is>
          <t>Cardiovascular &amp; GI Comorbidities</t>
        </is>
      </c>
      <c r="M43" s="18" t="inlineStr">
        <is>
          <t>Dyslipidemia / HTN</t>
        </is>
      </c>
      <c r="N43" s="18" t="inlineStr">
        <is>
          <t>PLE_CC1_2567_Set1_Key ข้อ 9</t>
        </is>
      </c>
      <c r="O43" s="18" t="inlineStr">
        <is>
          <t>ข้อสอบจริง</t>
        </is>
      </c>
      <c r="P43" s="18" t="inlineStr">
        <is>
          <t>ปี 2567</t>
        </is>
      </c>
      <c r="Q43" s="18" t="n"/>
    </row>
    <row r="44">
      <c r="A44" s="15" t="inlineStr">
        <is>
          <t>43</t>
        </is>
      </c>
      <c r="B44" s="18"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44" s="18" t="inlineStr"/>
      <c r="D44" s="18" t="inlineStr">
        <is>
          <t>Clindamycin 1% topical solution</t>
        </is>
      </c>
      <c r="E44" s="18" t="inlineStr">
        <is>
          <t>Mupirocin 2% ointment</t>
        </is>
      </c>
      <c r="F44" s="18" t="inlineStr">
        <is>
          <t>Gentamicin 0.1% cream</t>
        </is>
      </c>
      <c r="G44" s="18" t="inlineStr">
        <is>
          <t>Silver sulfadiazine cream</t>
        </is>
      </c>
      <c r="H44" s="18" t="inlineStr">
        <is>
          <t>Acyclovir 5% cream</t>
        </is>
      </c>
      <c r="I44" s="18" t="n">
        <v>1</v>
      </c>
      <c r="J44" s="22"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44" s="18" t="inlineStr"/>
      <c r="L44" s="18" t="inlineStr">
        <is>
          <t>Dermatologic Comorbidities</t>
        </is>
      </c>
      <c r="M44" s="18" t="inlineStr">
        <is>
          <t>Dyslipidemia / HTN</t>
        </is>
      </c>
      <c r="N44" s="18" t="inlineStr">
        <is>
          <t>PLE_CC1_2567_Set1_Key ข้อ 57</t>
        </is>
      </c>
      <c r="O44" s="18" t="inlineStr">
        <is>
          <t>ข้อสอบจริง</t>
        </is>
      </c>
      <c r="P44" s="18" t="inlineStr">
        <is>
          <t>ปี 2567</t>
        </is>
      </c>
    </row>
    <row r="45">
      <c r="A45" s="15" t="inlineStr">
        <is>
          <t>44</t>
        </is>
      </c>
      <c r="B45" s="18"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5" s="18" t="inlineStr"/>
      <c r="D45" s="18" t="inlineStr">
        <is>
          <t>Left Ventricular Hypertrophy (LVH) และกล้ามเนื้อหัวใจขาดเลือด</t>
        </is>
      </c>
      <c r="E45" s="18" t="inlineStr">
        <is>
          <t>Type I Hypersensitivity reaction</t>
        </is>
      </c>
      <c r="F45" s="18" t="inlineStr">
        <is>
          <t>Type II Cytotoxic reaction</t>
        </is>
      </c>
      <c r="G45" s="18" t="inlineStr">
        <is>
          <t>Osteoarthritis ของข้อเข่า</t>
        </is>
      </c>
      <c r="H45" s="18" t="inlineStr">
        <is>
          <t>Acute Appendicitis</t>
        </is>
      </c>
      <c r="I45" s="18" t="n">
        <v>1</v>
      </c>
      <c r="J45" s="22"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5" s="18" t="inlineStr"/>
      <c r="L45" s="18" t="inlineStr">
        <is>
          <t>Hypertension &amp; Target Organ Damage</t>
        </is>
      </c>
      <c r="M45" s="18" t="inlineStr">
        <is>
          <t>Dyslipidemia / HTN</t>
        </is>
      </c>
      <c r="N45" s="18" t="inlineStr">
        <is>
          <t>PLE_CC1_2567_Set1_Key ข้อ 83</t>
        </is>
      </c>
      <c r="O45" s="18" t="inlineStr">
        <is>
          <t>ข้อสอบจริง</t>
        </is>
      </c>
      <c r="P45" s="18" t="inlineStr">
        <is>
          <t>ปี 2567</t>
        </is>
      </c>
      <c r="Q45" s="18" t="n"/>
    </row>
    <row r="46">
      <c r="A46" s="15" t="inlineStr">
        <is>
          <t>45</t>
        </is>
      </c>
      <c r="B46" s="18"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6" s="18" t="inlineStr"/>
      <c r="D46" s="18" t="inlineStr">
        <is>
          <t>High normal</t>
        </is>
      </c>
      <c r="E46" s="18" t="inlineStr">
        <is>
          <t>Hypertension Grade 1 (ระดับที่ 1)</t>
        </is>
      </c>
      <c r="F46" s="18" t="inlineStr">
        <is>
          <t>Hypertension Grade 2 (ระดับที่ 2)</t>
        </is>
      </c>
      <c r="G46" s="18" t="inlineStr">
        <is>
          <t>Hypertension Grade 3 (ระดับที่ 3)</t>
        </is>
      </c>
      <c r="H46" s="18" t="inlineStr">
        <is>
          <t>Isolated systolic hypertension</t>
        </is>
      </c>
      <c r="I46" s="18" t="n">
        <v>2</v>
      </c>
      <c r="J46" s="22"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6" s="18" t="inlineStr"/>
      <c r="L46" s="18" t="inlineStr">
        <is>
          <t>Hypertension</t>
        </is>
      </c>
      <c r="M46" s="18" t="inlineStr">
        <is>
          <t>Dyslipidemia / HTN</t>
        </is>
      </c>
      <c r="N46" s="18" t="inlineStr">
        <is>
          <t>PLE-CC1 ปี 2566 Day 1 ข้อ 9</t>
        </is>
      </c>
      <c r="O46" s="18" t="inlineStr">
        <is>
          <t>ข้อสอบจริง</t>
        </is>
      </c>
      <c r="P46" s="18" t="inlineStr">
        <is>
          <t>ปี 2566</t>
        </is>
      </c>
    </row>
    <row r="47">
      <c r="A47" s="15" t="inlineStr">
        <is>
          <t>46</t>
        </is>
      </c>
      <c r="B47" s="18" t="inlineStr">
        <is>
          <t>ข้อใดกล่าว 'ไม่ถูกต้อง' เกี่ยวกับคุณสมบัติทางเภสัชจลนศาสตร์และเภสัชวิทยาของยา Rosuvastatin</t>
        </is>
      </c>
      <c r="C47" s="18" t="inlineStr"/>
      <c r="D47" s="18" t="inlineStr">
        <is>
          <t>มีคุณสมบัติชอบน้ำ (Hydrophilic statin)</t>
        </is>
      </c>
      <c r="E47" s="18" t="inlineStr">
        <is>
          <t>ถูกเปลี่ยนแปลงสภาพผ่านเอนไซม์ CYP3A4 เป็นหลักในตับ</t>
        </is>
      </c>
      <c r="F47" s="18" t="inlineStr">
        <is>
          <t>ส่วนใหญ่ขับออกทางอุจจาระและน้ำดีในรูปเดิมที่ไม่เปลี่ยนแปลง</t>
        </is>
      </c>
      <c r="G47" s="18" t="inlineStr">
        <is>
          <t>ถูกเปลี่ยนแปลงสภาพผ่านเอนไซม์ CYP2C9 เล็กน้อย (ประมาณ 10%)</t>
        </is>
      </c>
      <c r="H47" s="18" t="inlineStr">
        <is>
          <t>มีค่าครึ่งชีวิตการกำจัดยา (Elimination half-life) ยาวนานประมาณ 19 ชั่วโมง</t>
        </is>
      </c>
      <c r="I47" s="18" t="n">
        <v>2</v>
      </c>
      <c r="J47" s="22"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7" s="18" t="inlineStr"/>
      <c r="L47" s="18" t="inlineStr">
        <is>
          <t>Dyslipidemias Pharmacology</t>
        </is>
      </c>
      <c r="M47" s="18" t="inlineStr">
        <is>
          <t>Dyslipidemia / HTN</t>
        </is>
      </c>
      <c r="N47" s="18" t="inlineStr">
        <is>
          <t>PLE-CC1 ปี 2566 Day 1 ข้อ 19</t>
        </is>
      </c>
      <c r="O47" s="18" t="inlineStr">
        <is>
          <t>ข้อสอบจริง</t>
        </is>
      </c>
      <c r="P47" s="18" t="inlineStr">
        <is>
          <t>ปี 2566</t>
        </is>
      </c>
    </row>
    <row r="48">
      <c r="A48" s="15" t="inlineStr">
        <is>
          <t>47</t>
        </is>
      </c>
      <c r="B48" s="18"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8" s="18" t="inlineStr"/>
      <c r="D48" s="18" t="inlineStr">
        <is>
          <t>Fenofibrate 160 mg OD</t>
        </is>
      </c>
      <c r="E48" s="18" t="inlineStr">
        <is>
          <t>Gemfibrozil 600 mg BID</t>
        </is>
      </c>
      <c r="F48" s="18" t="inlineStr">
        <is>
          <t>ปรับเพิ่ม Rosuvastatin เป็น 40 mg OD</t>
        </is>
      </c>
      <c r="G48" s="18" t="inlineStr">
        <is>
          <t>Spironolactone 25 mg OD</t>
        </is>
      </c>
      <c r="H48" s="18" t="inlineStr">
        <is>
          <t>Niacin immediate release 1000 mg BID</t>
        </is>
      </c>
      <c r="I48" s="18" t="n">
        <v>1</v>
      </c>
      <c r="J48" s="22"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8" s="18" t="inlineStr"/>
      <c r="L48" s="18" t="inlineStr">
        <is>
          <t>Dyslipidemias</t>
        </is>
      </c>
      <c r="M48" s="18" t="inlineStr">
        <is>
          <t>Dyslipidemia / HTN</t>
        </is>
      </c>
      <c r="N48" s="18" t="inlineStr">
        <is>
          <t>PLE-CC1 ปี 2566 Day 1 ข้อ 20</t>
        </is>
      </c>
      <c r="O48" s="18" t="inlineStr">
        <is>
          <t>ข้อสอบจริง</t>
        </is>
      </c>
      <c r="P48" s="18" t="inlineStr">
        <is>
          <t>ปี 2566</t>
        </is>
      </c>
    </row>
    <row r="49">
      <c r="A49" s="15" t="inlineStr">
        <is>
          <t>48</t>
        </is>
      </c>
      <c r="B49" s="18" t="inlineStr">
        <is>
          <t>ตามเภสัชตำรับ (Pharmacopoeia Monograph) การหาปริมาณสารสำคัญ (Assay) ของยาเม็ดแอสไพริน (Aspirin tablets) ใช้วิธีการไทเทรตแบบใด</t>
        </is>
      </c>
      <c r="C49" s="18" t="inlineStr"/>
      <c r="D49" s="18" t="inlineStr">
        <is>
          <t>Residual (Back) acid-base titration</t>
        </is>
      </c>
      <c r="E49" s="18" t="inlineStr">
        <is>
          <t>Direct acid-base titration</t>
        </is>
      </c>
      <c r="F49" s="18" t="inlineStr">
        <is>
          <t>Complexometric titration</t>
        </is>
      </c>
      <c r="G49" s="18" t="inlineStr">
        <is>
          <t>Precipitation titration</t>
        </is>
      </c>
      <c r="H49" s="18" t="inlineStr">
        <is>
          <t>Non-aqueous acid-base titration</t>
        </is>
      </c>
      <c r="I49" s="18" t="n">
        <v>1</v>
      </c>
      <c r="J49" s="22"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49" s="18" t="inlineStr"/>
      <c r="L49" s="18" t="inlineStr">
        <is>
          <t>Medicinal Chemistry &amp; Quality Analysis</t>
        </is>
      </c>
      <c r="M49" s="18" t="inlineStr">
        <is>
          <t>Dyslipidemia / HTN</t>
        </is>
      </c>
      <c r="N49" s="18" t="inlineStr">
        <is>
          <t>PLE-CC1 ปี 2566 Day 1 ข้อ 23</t>
        </is>
      </c>
      <c r="O49" s="18" t="inlineStr">
        <is>
          <t>ข้อสอบจริง</t>
        </is>
      </c>
      <c r="P49" s="18" t="inlineStr">
        <is>
          <t>ปี 2566</t>
        </is>
      </c>
    </row>
    <row r="50">
      <c r="A50" s="15" t="inlineStr">
        <is>
          <t>49</t>
        </is>
      </c>
      <c r="B50" s="18"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50" s="18" t="inlineStr"/>
      <c r="D50" s="18" t="inlineStr">
        <is>
          <t>การดื่มแอลกอฮอล์ในปริมาณมากร่วมกับภาวะโรคอ้วน (Obesity)</t>
        </is>
      </c>
      <c r="E50" s="18" t="inlineStr">
        <is>
          <t>การใช้ยา Metformin 500 mg BID</t>
        </is>
      </c>
      <c r="F50" s="18" t="inlineStr">
        <is>
          <t>การใช้ยา Rosuvastatin 10 mg OD</t>
        </is>
      </c>
      <c r="G50" s="18" t="inlineStr">
        <is>
          <t>ระดับ HbA1c 6.9%</t>
        </is>
      </c>
      <c r="H50" s="18" t="inlineStr">
        <is>
          <t>การรับประทานอาหารที่มีโซเดียมสูง</t>
        </is>
      </c>
      <c r="I50" s="18" t="n">
        <v>1</v>
      </c>
      <c r="J50" s="22"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50" s="18" t="inlineStr"/>
      <c r="L50" s="18" t="inlineStr">
        <is>
          <t>Dyslipidemias</t>
        </is>
      </c>
      <c r="M50" s="18" t="inlineStr">
        <is>
          <t>Dyslipidemia / HTN</t>
        </is>
      </c>
      <c r="N50" s="18" t="inlineStr">
        <is>
          <t>PLE-CC1 ปี 2566 Day 1 ข้อ 43</t>
        </is>
      </c>
      <c r="O50" s="18" t="inlineStr">
        <is>
          <t>ข้อสอบจริง</t>
        </is>
      </c>
      <c r="P50" s="18" t="inlineStr">
        <is>
          <t>ปี 2566</t>
        </is>
      </c>
    </row>
    <row r="51">
      <c r="A51" s="15" t="inlineStr">
        <is>
          <t>50</t>
        </is>
      </c>
      <c r="B51" s="18"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51" s="18" t="inlineStr"/>
      <c r="D51" s="18" t="inlineStr">
        <is>
          <t>อายุมากกว่า 65 ปี และมีภาวะการทำงานของไตหรือตับบกพร่อง</t>
        </is>
      </c>
      <c r="E51" s="18" t="inlineStr">
        <is>
          <t>การใช้ยา Aspirin ร่วมด้วยในขนาดต่ำ</t>
        </is>
      </c>
      <c r="F51" s="18" t="inlineStr">
        <is>
          <t>เพศชาย</t>
        </is>
      </c>
      <c r="G51" s="18" t="inlineStr">
        <is>
          <t>การรับประทานอาหารที่มีไขมันสูงเป็นประจำ</t>
        </is>
      </c>
      <c r="H51" s="18" t="inlineStr">
        <is>
          <t>ระดับไขมัน HDL-C สูงกว่า 60 mg/dL</t>
        </is>
      </c>
      <c r="I51" s="15" t="inlineStr">
        <is>
          <t>1</t>
        </is>
      </c>
      <c r="J51" s="22"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51" s="18" t="inlineStr">
        <is>
          <t>Dyslipidemias</t>
        </is>
      </c>
      <c r="L51" s="18" t="inlineStr">
        <is>
          <t>PLE-CC1 ปี 2566 Day 1 ข้อ 45</t>
        </is>
      </c>
      <c r="M51" s="18" t="inlineStr">
        <is>
          <t>Dyslipidemia / HTN</t>
        </is>
      </c>
      <c r="N51" s="18" t="inlineStr">
        <is>
          <t>PLE-CC1 ปี 2566 Day 1 ข้อ 45</t>
        </is>
      </c>
      <c r="O51" s="18" t="inlineStr">
        <is>
          <t>ข้อสอบจริง</t>
        </is>
      </c>
      <c r="P51" s="18" t="inlineStr">
        <is>
          <t>ปี 2566</t>
        </is>
      </c>
      <c r="Q51" s="18" t="inlineStr"/>
    </row>
    <row r="52">
      <c r="A52" s="15" t="inlineStr">
        <is>
          <t>51</t>
        </is>
      </c>
      <c r="B52" s="18"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52" s="18" t="inlineStr"/>
      <c r="D52" s="18" t="inlineStr">
        <is>
          <t>Non-Steroidal Anti-Inflammatory Drugs (NSAIDs) เช่น Celecoxib, Ibuprofen</t>
        </is>
      </c>
      <c r="E52" s="18" t="inlineStr">
        <is>
          <t>Paracetamol (Acetaminophen)</t>
        </is>
      </c>
      <c r="F52" s="18" t="inlineStr">
        <is>
          <t>Tramadol</t>
        </is>
      </c>
      <c r="G52" s="18" t="inlineStr">
        <is>
          <t>Topical Capsaicin cream</t>
        </is>
      </c>
      <c r="H52" s="18" t="inlineStr">
        <is>
          <t>Glucosamine sulfate</t>
        </is>
      </c>
      <c r="I52" s="15" t="inlineStr">
        <is>
          <t>1</t>
        </is>
      </c>
      <c r="J52" s="22"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52" s="18" t="inlineStr">
        <is>
          <t>Hypertension &amp; Drug Interactions</t>
        </is>
      </c>
      <c r="L52" s="18" t="inlineStr">
        <is>
          <t>PLE-CC1 ปี 2566 Day 1 ข้อ 58</t>
        </is>
      </c>
      <c r="M52" s="18" t="inlineStr">
        <is>
          <t>Dyslipidemia / HTN</t>
        </is>
      </c>
      <c r="N52" s="18" t="inlineStr">
        <is>
          <t>PLE-CC1 ปี 2566 Day 1 ข้อ 58</t>
        </is>
      </c>
      <c r="O52" s="18" t="inlineStr">
        <is>
          <t>ข้อสอบจริง</t>
        </is>
      </c>
      <c r="P52" s="18" t="inlineStr">
        <is>
          <t>ปี 2566</t>
        </is>
      </c>
      <c r="Q52" s="18" t="inlineStr"/>
    </row>
    <row r="53">
      <c r="A53" s="15" t="inlineStr">
        <is>
          <t>52</t>
        </is>
      </c>
      <c r="B53" s="18"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3" s="18" t="inlineStr"/>
      <c r="D53" s="18" t="inlineStr">
        <is>
          <t>Serum Uric acid</t>
        </is>
      </c>
      <c r="E53" s="18" t="inlineStr">
        <is>
          <t>Alanine Aminotransferase (ALT)</t>
        </is>
      </c>
      <c r="F53" s="18" t="inlineStr">
        <is>
          <t>Lipid profile (LDL-C, TC, TG, HDL-C)</t>
        </is>
      </c>
      <c r="G53" s="18" t="inlineStr">
        <is>
          <t>Fasting Blood Sugar / HbA1c</t>
        </is>
      </c>
      <c r="H53" s="18" t="inlineStr">
        <is>
          <t>Creatine Kinase (CK)</t>
        </is>
      </c>
      <c r="I53" s="15" t="inlineStr">
        <is>
          <t>1</t>
        </is>
      </c>
      <c r="J53" s="22"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3" s="18" t="inlineStr">
        <is>
          <t>Dyslipidemias Monitoring</t>
        </is>
      </c>
      <c r="L53" s="18" t="inlineStr">
        <is>
          <t>PLE-CC1 ปี 2566 Day 1 ข้อ 60</t>
        </is>
      </c>
      <c r="M53" s="18" t="inlineStr">
        <is>
          <t>Dyslipidemia / HTN</t>
        </is>
      </c>
      <c r="N53" s="18" t="inlineStr">
        <is>
          <t>PLE-CC1 ปี 2566 Day 1 ข้อ 60</t>
        </is>
      </c>
      <c r="O53" s="18" t="inlineStr">
        <is>
          <t>ข้อสอบจริง</t>
        </is>
      </c>
      <c r="P53" s="18" t="inlineStr">
        <is>
          <t>ปี 2566</t>
        </is>
      </c>
      <c r="Q53" s="18" t="inlineStr"/>
    </row>
    <row r="54">
      <c r="A54" s="15" t="inlineStr">
        <is>
          <t>53</t>
        </is>
      </c>
      <c r="B54" s="18"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4" s="18" t="inlineStr"/>
      <c r="D54" s="18" t="inlineStr">
        <is>
          <t>ACE Inhibitors (เช่น Enalapril) หรือ ARBs (เช่น Losartan)</t>
        </is>
      </c>
      <c r="E54" s="18" t="inlineStr">
        <is>
          <t>Dihydropyridine CCBs เดี่ยวๆ (เช่น Amlodipine)</t>
        </is>
      </c>
      <c r="F54" s="18" t="inlineStr">
        <is>
          <t>Thiazide diuretics เดี่ยวๆ (เช่น HCTZ)</t>
        </is>
      </c>
      <c r="G54" s="18" t="inlineStr">
        <is>
          <t>Beta-blockers (เช่น Atenolol)</t>
        </is>
      </c>
      <c r="H54" s="18" t="inlineStr">
        <is>
          <t>Loop diuretics (เช่น Furosemide)</t>
        </is>
      </c>
      <c r="I54" s="15" t="inlineStr">
        <is>
          <t>1</t>
        </is>
      </c>
      <c r="J54" s="22"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4" s="18" t="inlineStr">
        <is>
          <t>Hypertension &amp; Chronic Kidney Disease</t>
        </is>
      </c>
      <c r="L54" s="18" t="inlineStr">
        <is>
          <t>PLE-CC1 ปี 2566 Day 1 ข้อ 61</t>
        </is>
      </c>
      <c r="M54" s="18" t="inlineStr">
        <is>
          <t>Dyslipidemia / HTN</t>
        </is>
      </c>
      <c r="N54" s="18" t="inlineStr">
        <is>
          <t>PLE-CC1 ปี 2566 Day 1 ข้อ 61</t>
        </is>
      </c>
      <c r="O54" s="18" t="inlineStr">
        <is>
          <t>ข้อสอบจริง</t>
        </is>
      </c>
      <c r="P54" s="18" t="inlineStr">
        <is>
          <t>ปี 2566</t>
        </is>
      </c>
      <c r="Q54" s="18" t="inlineStr"/>
    </row>
    <row r="55">
      <c r="A55" s="15" t="inlineStr">
        <is>
          <t>54</t>
        </is>
      </c>
      <c r="B55" s="18"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5" s="18" t="inlineStr"/>
      <c r="D55" s="18" t="inlineStr">
        <is>
          <t>Serum Uric acid</t>
        </is>
      </c>
      <c r="E55" s="18" t="inlineStr">
        <is>
          <t>Serum Creatine Kinase (เมื่อมีอาการปวดกล้ามเนื้อ)</t>
        </is>
      </c>
      <c r="F55" s="18" t="inlineStr">
        <is>
          <t>Serum Alanine Aminotransferase (ALT)</t>
        </is>
      </c>
      <c r="G55" s="18" t="inlineStr">
        <is>
          <t>Lipid Panel (TC, TG, HDL-C, LDL-C)</t>
        </is>
      </c>
      <c r="H55" s="18" t="inlineStr">
        <is>
          <t>Fasting Plasma Glucose (FPG)</t>
        </is>
      </c>
      <c r="I55" s="15" t="inlineStr">
        <is>
          <t>1</t>
        </is>
      </c>
      <c r="J55" s="22"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5" s="18" t="inlineStr">
        <is>
          <t>Dyslipidemias Monitoring</t>
        </is>
      </c>
      <c r="L55" s="18" t="inlineStr">
        <is>
          <t>PLE-CC1 ปี 2566 Day 1 ข้อ 5</t>
        </is>
      </c>
      <c r="M55" s="18" t="inlineStr">
        <is>
          <t>Dyslipidemia / HTN</t>
        </is>
      </c>
      <c r="N55" s="18" t="inlineStr">
        <is>
          <t>PLE-CC1 ปี 2566 Day 1 ข้อ 5</t>
        </is>
      </c>
      <c r="O55" s="18" t="inlineStr">
        <is>
          <t>ข้อสอบจริง</t>
        </is>
      </c>
      <c r="P55" s="18" t="inlineStr">
        <is>
          <t>ปี 2566</t>
        </is>
      </c>
      <c r="Q55" s="18" t="inlineStr"/>
    </row>
    <row r="56">
      <c r="A56" s="15" t="inlineStr">
        <is>
          <t>55</t>
        </is>
      </c>
      <c r="B56" s="18"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6" s="18" t="inlineStr"/>
      <c r="D56" s="18" t="inlineStr">
        <is>
          <t>Hydrolysis ของวงแหวน Lactone ring กลายเป็น Beta-hydroxy acid</t>
        </is>
      </c>
      <c r="E56" s="18" t="inlineStr">
        <is>
          <t>Oxidation ของวงแหวน Decalin ring ด้วย CYP3A4</t>
        </is>
      </c>
      <c r="F56" s="18" t="inlineStr">
        <is>
          <t>Glucuronidation ของหมู่ Hydroxyl group</t>
        </is>
      </c>
      <c r="G56" s="18" t="inlineStr">
        <is>
          <t>Reduction ของหมู่ Carbonyl group</t>
        </is>
      </c>
      <c r="H56" s="18" t="inlineStr">
        <is>
          <t>Decarboxylation ของสายโซ่ด้านข้าง</t>
        </is>
      </c>
      <c r="I56" s="15" t="inlineStr">
        <is>
          <t>1</t>
        </is>
      </c>
      <c r="J56" s="22"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6" s="18" t="inlineStr">
        <is>
          <t>Medicinal Chemistry &amp; Pharmacokinetics</t>
        </is>
      </c>
      <c r="L56" s="18" t="inlineStr">
        <is>
          <t>PLE-CC1 ปี 2566 Day 2 ข้อ 83</t>
        </is>
      </c>
      <c r="M56" s="18" t="inlineStr">
        <is>
          <t>Dyslipidemia / HTN</t>
        </is>
      </c>
      <c r="N56" s="18" t="inlineStr">
        <is>
          <t>PLE-CC1 ปี 2566 Day 2 ข้อ 83</t>
        </is>
      </c>
      <c r="O56" s="18" t="inlineStr">
        <is>
          <t>ข้อสอบจริง</t>
        </is>
      </c>
      <c r="P56" s="18" t="inlineStr">
        <is>
          <t>ปี 2566</t>
        </is>
      </c>
      <c r="Q56" s="18" t="inlineStr"/>
    </row>
    <row r="57">
      <c r="A57" s="15" t="inlineStr">
        <is>
          <t>56</t>
        </is>
      </c>
      <c r="B57" s="18"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7" s="18" t="inlineStr"/>
      <c r="D57" s="18" t="inlineStr">
        <is>
          <t>Clopidogrel 75 mg OD</t>
        </is>
      </c>
      <c r="E57" s="18" t="inlineStr">
        <is>
          <t>Prasugrel 10 mg OD</t>
        </is>
      </c>
      <c r="F57" s="18" t="inlineStr">
        <is>
          <t>Ticagrelor 90 mg BID</t>
        </is>
      </c>
      <c r="G57" s="18" t="inlineStr">
        <is>
          <t>Ticlopidine 250 mg BID</t>
        </is>
      </c>
      <c r="H57" s="18" t="inlineStr">
        <is>
          <t>Dipyridamole 75 mg TID</t>
        </is>
      </c>
      <c r="I57" s="15" t="inlineStr">
        <is>
          <t>1</t>
        </is>
      </c>
      <c r="J57" s="22"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7" s="18" t="inlineStr">
        <is>
          <t>Coronary artery disease &amp; Antiplatelets</t>
        </is>
      </c>
      <c r="L57" s="18" t="inlineStr">
        <is>
          <t>PLE_CC1_2565_Day1_Key ข้อ 7</t>
        </is>
      </c>
      <c r="M57" s="18" t="inlineStr">
        <is>
          <t>Dyslipidemia / HTN</t>
        </is>
      </c>
      <c r="N57" s="18" t="inlineStr">
        <is>
          <t>PLE_CC1_2565_Day1_Key ข้อ 7</t>
        </is>
      </c>
      <c r="O57" s="18" t="inlineStr">
        <is>
          <t>ข้อสอบจริง</t>
        </is>
      </c>
      <c r="P57" s="18" t="inlineStr">
        <is>
          <t>ปี 2565</t>
        </is>
      </c>
      <c r="Q57" s="18" t="inlineStr"/>
    </row>
    <row r="58">
      <c r="A58" s="15" t="inlineStr">
        <is>
          <t>57</t>
        </is>
      </c>
      <c r="B58" s="18"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8" s="18" t="inlineStr"/>
      <c r="D58" s="18" t="inlineStr">
        <is>
          <t>&lt; 130/80 mmHg (หากผู้ป่วยทนต่อการรักษาได้ดี)</t>
        </is>
      </c>
      <c r="E58" s="18" t="inlineStr">
        <is>
          <t>&lt; 140/90 mmHg สำหรับผู้ป่วยทุกราย</t>
        </is>
      </c>
      <c r="F58" s="18" t="inlineStr">
        <is>
          <t>&lt; 150/90 mmHg</t>
        </is>
      </c>
      <c r="G58" s="18" t="inlineStr">
        <is>
          <t>&lt; 120/70 mmHg ในผู้ป่วยเบาหวานทุกราย</t>
        </is>
      </c>
      <c r="H58" s="18" t="inlineStr">
        <is>
          <t>&lt; 160/100 mmHg</t>
        </is>
      </c>
      <c r="I58" s="15" t="inlineStr">
        <is>
          <t>1</t>
        </is>
      </c>
      <c r="J58" s="22"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8" s="18" t="inlineStr">
        <is>
          <t>Hypertension Targets</t>
        </is>
      </c>
      <c r="L58" s="18" t="inlineStr">
        <is>
          <t>PLE_CC1_2565_Day1_Key ข้อ 3</t>
        </is>
      </c>
      <c r="M58" s="18" t="inlineStr">
        <is>
          <t>Dyslipidemia / HTN</t>
        </is>
      </c>
      <c r="N58" s="18" t="inlineStr">
        <is>
          <t>PLE_CC1_2565_Day1_Key ข้อ 3</t>
        </is>
      </c>
      <c r="O58" s="18" t="inlineStr">
        <is>
          <t>ข้อสอบจริง</t>
        </is>
      </c>
      <c r="P58" s="18" t="inlineStr">
        <is>
          <t>ปี 2565</t>
        </is>
      </c>
      <c r="Q58" s="18" t="inlineStr"/>
    </row>
    <row r="59">
      <c r="A59" s="15" t="inlineStr">
        <is>
          <t>58</t>
        </is>
      </c>
      <c r="B59" s="18"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9" s="18" t="inlineStr"/>
      <c r="D59" s="18" t="inlineStr">
        <is>
          <t>Enalapril 5-10 mg OD หรือ Losartan 50 mg OD</t>
        </is>
      </c>
      <c r="E59" s="18" t="inlineStr">
        <is>
          <t>Spironolactone 25 mg OD</t>
        </is>
      </c>
      <c r="F59" s="18" t="inlineStr">
        <is>
          <t>เพิ่ม Carvedilol เป็น 25 mg 1x2 ทันที</t>
        </is>
      </c>
      <c r="G59" s="18" t="inlineStr">
        <is>
          <t>Hydrochlorothiazide 25 mg OD</t>
        </is>
      </c>
      <c r="H59" s="18" t="inlineStr">
        <is>
          <t>Diltiazem 60 mg TID</t>
        </is>
      </c>
      <c r="I59" s="15" t="inlineStr">
        <is>
          <t>1</t>
        </is>
      </c>
      <c r="J59" s="22"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9" s="18" t="inlineStr">
        <is>
          <t>Hypertension &amp; Diabetic Nephropathy</t>
        </is>
      </c>
      <c r="L59" s="18" t="inlineStr">
        <is>
          <t>PLE_CC1_2565_Day1_Key ข้อ 22</t>
        </is>
      </c>
      <c r="M59" s="18" t="inlineStr">
        <is>
          <t>Dyslipidemia / HTN</t>
        </is>
      </c>
      <c r="N59" s="18" t="inlineStr">
        <is>
          <t>PLE_CC1_2565_Day1_Key ข้อ 22</t>
        </is>
      </c>
      <c r="O59" s="18" t="inlineStr">
        <is>
          <t>ข้อสอบจริง</t>
        </is>
      </c>
      <c r="P59" s="18" t="inlineStr">
        <is>
          <t>ปี 2565</t>
        </is>
      </c>
      <c r="Q59" s="18" t="inlineStr"/>
    </row>
    <row r="60">
      <c r="A60" s="15" t="inlineStr">
        <is>
          <t>59</t>
        </is>
      </c>
      <c r="B60" s="18"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C60" s="18" t="inlineStr"/>
      <c r="D60" s="18" t="inlineStr">
        <is>
          <t>Enteric polymer เช่น Cellulose Acetate Phthalate (CAP) หรือ Methacrylic acid copolymer (Eudragit L)</t>
        </is>
      </c>
      <c r="E60" s="18" t="inlineStr">
        <is>
          <t>Povidone (PVP K30)</t>
        </is>
      </c>
      <c r="F60" s="18" t="inlineStr">
        <is>
          <t>Hydroxypropyl Methylcellulose (HPMC E5) เคลือบแบบ Film-coat ธรรมดา</t>
        </is>
      </c>
      <c r="G60" s="18" t="inlineStr">
        <is>
          <t>Polyethylene Glycol (PEG 4000)</t>
        </is>
      </c>
      <c r="H60" s="18" t="inlineStr">
        <is>
          <t>Ethyl cellulose เคลือบแบบ Sustained release</t>
        </is>
      </c>
      <c r="I60" s="15" t="inlineStr">
        <is>
          <t>1</t>
        </is>
      </c>
      <c r="J60" s="22"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60" s="18" t="inlineStr">
        <is>
          <t>Pharmaceutics &amp; Formulation Science</t>
        </is>
      </c>
      <c r="L60" s="18" t="inlineStr">
        <is>
          <t>PLE_CC1_2565_Day1_Key ข้อ 29</t>
        </is>
      </c>
      <c r="M60" s="18" t="inlineStr">
        <is>
          <t>Dyslipidemia / HTN</t>
        </is>
      </c>
      <c r="N60" s="18" t="inlineStr">
        <is>
          <t>PLE_CC1_2565_Day1_Key ข้อ 29</t>
        </is>
      </c>
      <c r="O60" s="18" t="inlineStr">
        <is>
          <t>ข้อสอบจริง</t>
        </is>
      </c>
      <c r="P60" s="18" t="inlineStr">
        <is>
          <t>ปี 2565</t>
        </is>
      </c>
      <c r="Q60" s="18" t="inlineStr"/>
    </row>
    <row r="61">
      <c r="A61" s="15" t="inlineStr">
        <is>
          <t>60</t>
        </is>
      </c>
      <c r="B61" s="18"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61" s="18" t="inlineStr"/>
      <c r="D61" s="18" t="inlineStr">
        <is>
          <t>Increase liver enzyme</t>
        </is>
      </c>
      <c r="E61" s="18" t="inlineStr">
        <is>
          <t>Rhabdomyolysis</t>
        </is>
      </c>
      <c r="F61" s="18" t="inlineStr">
        <is>
          <t>Arthralgia</t>
        </is>
      </c>
      <c r="G61" s="18" t="inlineStr">
        <is>
          <t>New onset diabetes Atorvastatin PLE-CC1 Preparation 2565 Ref. Micromedex</t>
        </is>
      </c>
      <c r="H61" s="18" t="inlineStr">
        <is>
          <t>* จำ choice ไม-ได$ *</t>
        </is>
      </c>
      <c r="I61" s="15" t="inlineStr">
        <is>
          <t>1</t>
        </is>
      </c>
      <c r="J61" s="22"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(Increase liver enzyme): ข้อนี้ไม่ใช่คำตอบที่ถูกต้องสำหรับภาวะ Dyslipidemias เนื่องจากกลไกการออกฤทธิ์, efficacy หรือข้อบ่งใช้ไม่ตรงกับโจทย์ที่กำหนด
• ข้อ ค. (Rhabdomyolysis): ข้อนี้ไม่ใช่คำตอบที่ถูกต้องสำหรับภาวะ Dyslipidemias เนื่องจากกลไกการออกฤทธิ์, efficacy หรือข้อบ่งใช้ไม่ตรงกับโจทย์ที่กำหนด
• ข้อ ง. (Arthralgia): ข้อนี้ไม่ใช่คำตอบที่ถูกต้องสำหรับภาวะ Dyslipidemias เนื่องจากกลไกการออกฤทธิ์, efficacy หรือข้อบ่งใช้ไม่ตรงกับโจทย์ที่กำหนด
• ข้อ จ. (New onset diabetes Atorvastatin PLE-CC1 Preparation 2565 Ref. Micromedex): เป็น High-intensity statin (40-80 mg) ยับยั้ง HMG-CoA reductase มี clinical efficacy สูงสุดในการลด LDL-C ≥ 50% และ plaque stabilization ใน ACS/CAD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1" s="18" t="inlineStr"/>
      <c r="L61" s="18" t="inlineStr">
        <is>
          <t>Dyslipidemias</t>
        </is>
      </c>
      <c r="M61" s="18" t="inlineStr">
        <is>
          <t>Dyslipidemia / HTN</t>
        </is>
      </c>
      <c r="N61" s="18" t="inlineStr">
        <is>
          <t>PLE_CC1_2565_Day2_Key ข้อ 3</t>
        </is>
      </c>
      <c r="O61" s="18" t="inlineStr">
        <is>
          <t>ข้อสอบจริง</t>
        </is>
      </c>
      <c r="P61" s="18" t="inlineStr">
        <is>
          <t>ปี 2565</t>
        </is>
      </c>
      <c r="Q61" s="18" t="inlineStr"/>
    </row>
    <row r="62">
      <c r="A62" s="15" t="inlineStr">
        <is>
          <t>61</t>
        </is>
      </c>
      <c r="B62" s="18" t="inlineStr">
        <is>
          <t>ข$อใดไม-ถูกต$องเกี่ยวกับยา Omeprazole Clopidogrel อาย CYP2C19 ในการเน active drug +ง-น ไ/ควรใ23วม5บ Omeprazole 7งเน CYP2C19 inhibitor</t>
        </is>
      </c>
      <c r="C62" s="18" t="inlineStr"/>
      <c r="D62" s="18" t="inlineStr">
        <is>
          <t>1.ไม-ควรใช$ร-วมกับยา Clopidogrel</t>
        </is>
      </c>
      <c r="E62" s="18" t="inlineStr">
        <is>
          <t>2.เพิ่มความเสี่ยงการเกิดกระดูกหัก</t>
        </is>
      </c>
      <c r="F62" s="18" t="inlineStr">
        <is>
          <t>3.ลดการดูดซึม Vitamin B12 และเหล็ก</t>
        </is>
      </c>
      <c r="G62" s="18" t="inlineStr">
        <is>
          <t>4.เพิ่มความเสี่ยงติดเชื้อ Clostridioides difficile</t>
        </is>
      </c>
      <c r="H62" s="18" t="inlineStr">
        <is>
          <t>5.เคี้ยวให$ละเอียดก-อนรับประทาน</t>
        </is>
      </c>
      <c r="I62" s="15" t="inlineStr">
        <is>
          <t>1</t>
        </is>
      </c>
      <c r="J62" s="22"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(1.ไม-ควรใช$ร-วมกับยา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ค. (2.เพิ่มความเสี่ยงการเกิดกระดูกหัก): ข้อนี้ไม่ใช่คำตอบที่ถูกต้องสำหรับภาวะ Coronary artery disease เนื่องจากกลไกการออกฤทธิ์, efficacy หรือข้อบ่งใช้ไม่ตรงกับโจทย์ที่กำหนด
• ข้อ ง. (3.ลดการดูดซึม Vitamin B12 และเหล็ก): ข้อนี้ไม่ใช่คำตอบที่ถูกต้องสำหรับภาวะ Coronary artery disease เนื่องจากกลไกการออกฤทธิ์, efficacy หรือข้อบ่งใช้ไม่ตรงกับโจทย์ที่กำหนด
• ข้อ จ. (4.เพิ่มความเสี่ยงติดเชื้อ Clostridioides difficile): ข้อนี้ไม่ใช่คำตอบที่ถูกต้องสำหรับภาวะ Coronary artery disease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18" t="inlineStr"/>
      <c r="L62" s="18" t="inlineStr">
        <is>
          <t>Coronary artery disease</t>
        </is>
      </c>
      <c r="M62" s="18" t="inlineStr">
        <is>
          <t>Dyslipidemia / HTN</t>
        </is>
      </c>
      <c r="N62" s="18" t="inlineStr">
        <is>
          <t>PLE_CC1_2565_Day2_Key ข้อ 29</t>
        </is>
      </c>
      <c r="O62" s="18" t="inlineStr">
        <is>
          <t>ข้อสอบจริง</t>
        </is>
      </c>
      <c r="P62" s="18" t="inlineStr">
        <is>
          <t>ปี 2565</t>
        </is>
      </c>
      <c r="Q62" s="18" t="inlineStr"/>
    </row>
    <row r="63">
      <c r="A63" s="15" t="inlineStr">
        <is>
          <t>62</t>
        </is>
      </c>
      <c r="B63" s="18"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63" s="18" t="inlineStr"/>
      <c r="D63" s="18" t="inlineStr">
        <is>
          <t>50 คน b) 80 คน c) 133 คน d) 160 คน e) 180 คน</t>
        </is>
      </c>
      <c r="E63" s="18" t="inlineStr">
        <is>
          <t>80 คน (Positive predictive value หมายถึง ความน่าจะเป็นที่ผู้ป่วยจะเป็นโรคนั้นจริงเมื่อการตรวจให้ผลบวก ดังนั้นวิธีคิดของข้อนี้คือ positive predictive value x ผู้ป่วยที่เกิด AKI = 40% x 200 = 80 คน) https://www.rama.mahidol.ac.th/fammed/sites/default/files/public/pdf/EBM_Diagnostic_study.pd</t>
        </is>
      </c>
      <c r="F63" s="18" t="inlineStr">
        <is>
          <t>Bisoprolol 5 mg OD</t>
        </is>
      </c>
      <c r="G63" s="18" t="inlineStr">
        <is>
          <t>Spironolactone 25 mg OD</t>
        </is>
      </c>
      <c r="H63" s="18" t="inlineStr"/>
      <c r="I63" s="15" t="inlineStr">
        <is>
          <t>1</t>
        </is>
      </c>
      <c r="J63" s="22" t="inlineStr">
        <is>
          <t>✅ คำตอบที่ถูกต้อง: ข้อ ก. 50 คน b) 80 คน c) 133 คน d) 160 คน e) 180 คน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ข. (50 คน b) 80 คน c) 133 คน d) 160 คน e) 180 คน): ข้อนี้ไม่ใช่คำตอบที่ถูกต้องสำหรับภาวะ Hypertension เนื่องจากกลไกการออกฤทธิ์, efficacy หรือข้อบ่งใช้ไม่ตรงกับโจทย์ที่กำหนด
• ข้อ ค. (80 คน (Positive predictive value หมายถึง ความน่าจะเป็นที่ผู้ป่วยจะเป็นโรคนั้นจริงเมื่อการตรวจให้ผลบวก ดังนั้นวิธีคิดของข้อนี้คือ positive predictive value x ผู้ป่วยที่เกิด AKI = 40% x 200 = 80 คน) https://www.rama.mahidol.ac.th/fammed/sites/default/files/public/pdf/EBM_Diagnostic_study.pd): ข้อนี้ไม่ใช่คำตอบที่ถูกต้องสำหรับภาวะ Hypertension เนื่องจากกลไกการออกฤทธิ์, efficacy หรือข้อบ่งใช้ไม่ตรงกับโจทย์ที่กำหนด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3" s="18" t="inlineStr"/>
      <c r="L63" s="18" t="inlineStr">
        <is>
          <t>Hypertension</t>
        </is>
      </c>
      <c r="M63" s="18" t="inlineStr">
        <is>
          <t>Dyslipidemia / HTN</t>
        </is>
      </c>
      <c r="N63" s="18" t="inlineStr">
        <is>
          <t>PLE_CC1_2564_All_Key ข้อ 17</t>
        </is>
      </c>
      <c r="O63" s="18" t="inlineStr">
        <is>
          <t>ข้อสอบจริง</t>
        </is>
      </c>
      <c r="P63" s="18" t="inlineStr">
        <is>
          <t>ปี 2564</t>
        </is>
      </c>
      <c r="Q63" s="18" t="inlineStr"/>
    </row>
    <row r="64">
      <c r="A64" s="15" t="inlineStr">
        <is>
          <t>63</t>
        </is>
      </c>
      <c r="B64" s="18" t="inlineStr">
        <is>
          <t>148/95 เป็น HTN ระดับไหนตาม Thai guideline</t>
        </is>
      </c>
      <c r="C64" s="18" t="inlineStr"/>
      <c r="D64" s="18" t="inlineStr">
        <is>
          <t>Masked hypertension b) ความดันโลหิตสูงระดับ 1 c) ความดันโลหิตสูงระดับ2</t>
        </is>
      </c>
      <c r="E64" s="18" t="inlineStr">
        <is>
          <t>Clopidogrel 75 mg OD</t>
        </is>
      </c>
      <c r="F64" s="18" t="inlineStr">
        <is>
          <t>Aspirin 81 mg OD</t>
        </is>
      </c>
      <c r="G64" s="18" t="inlineStr">
        <is>
          <t>Sacubitril/Valsartan 49/51 mg BID</t>
        </is>
      </c>
      <c r="H64" s="18" t="inlineStr"/>
      <c r="I64" s="15" t="inlineStr">
        <is>
          <t>1</t>
        </is>
      </c>
      <c r="J64" s="22" t="inlineStr">
        <is>
          <t>✅ คำตอบที่ถูกต้อง: ข้อ ก. Masked hypertension b) ความดันโลหิตสูงระดับ 1 c) ความดันโลหิตสูงระดับ2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การเลือก Dyslipidemia / HTN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(Masked hypertension b) ความดันโลหิตสูงระดับ 1 c) ความดันโลหิตสูงระดับ2): ข้อนี้ไม่ใช่คำตอบที่ถูกต้องสำหรับภาวะ Hypertension เนื่องจากกลไกการออกฤทธิ์, efficacy หรือข้อบ่งใช้ไม่ตรงกับโจทย์ที่กำหนด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4" s="18" t="inlineStr"/>
      <c r="L64" s="18" t="inlineStr">
        <is>
          <t>Hypertension</t>
        </is>
      </c>
      <c r="M64" s="18" t="inlineStr">
        <is>
          <t>Dyslipidemia / HTN</t>
        </is>
      </c>
      <c r="N64" s="18" t="inlineStr">
        <is>
          <t>PLE_CC1_2564_All_Key ข้อ 18</t>
        </is>
      </c>
      <c r="O64" s="18" t="inlineStr">
        <is>
          <t>ข้อสอบจริง</t>
        </is>
      </c>
      <c r="P64" s="18" t="inlineStr">
        <is>
          <t>ปี 2564</t>
        </is>
      </c>
      <c r="Q64" s="18" t="inlineStr"/>
    </row>
    <row r="65">
      <c r="A65" s="15" t="inlineStr">
        <is>
          <t>64</t>
        </is>
      </c>
      <c r="B65" s="18" t="inlineStr">
        <is>
          <t>อะไรที่ไม่ใช่คำแนะนำในผู้ป่วยความดันสูง</t>
        </is>
      </c>
      <c r="C65" s="18" t="inlineStr"/>
      <c r="D65" s="18" t="inlineStr">
        <is>
          <t>ลดน้ำหนัก b) ออกกำลังกาย c) งดบุหรี่ d) งดแอลกอฮอล์ e) งดอาหาร K สูง</t>
        </is>
      </c>
      <c r="E65" s="18" t="inlineStr">
        <is>
          <t>Empagliflozin 10 mg OD</t>
        </is>
      </c>
      <c r="F65" s="18" t="inlineStr">
        <is>
          <t>Diltiazem 30 mg TID</t>
        </is>
      </c>
      <c r="G65" s="18" t="inlineStr">
        <is>
          <t>Warfarin 3 mg OD (target INR 2.0-3.0)</t>
        </is>
      </c>
      <c r="H65" s="18" t="inlineStr">
        <is>
          <t>งดอาหาร K สูง จากแนวทางรักษาโรคความดันโลหิตสูงในเวชปฏิบัติทั่วไป พ.ศ. 2562</t>
        </is>
      </c>
      <c r="I65" s="15" t="inlineStr">
        <is>
          <t>1</t>
        </is>
      </c>
      <c r="J65" s="22" t="inlineStr">
        <is>
          <t>✅ คำตอบที่ถูกต้อง: ข้อ ก. ลดน้ำหนัก b) ออกกำลังกาย c) งดบุหรี่ d) งดแอลกอฮอล์ e) งดอาหาร K 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ข. (ลดน้ำหนัก b) ออกกำลังกาย c) งดบุหรี่ d) งดแอลกอฮอล์ e) งดอาหาร K สูง): ข้อนี้ไม่ใช่คำตอบที่ถูกต้องสำหรับภาวะ Hypertension เนื่องจากกลไกการออกฤทธิ์, efficacy หรือข้อบ่งใช้ไม่ตรงกับโจทย์ที่กำหนด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5" s="18" t="inlineStr"/>
      <c r="L65" s="18" t="inlineStr">
        <is>
          <t>Hypertension</t>
        </is>
      </c>
      <c r="M65" s="18" t="inlineStr">
        <is>
          <t>Dyslipidemia / HTN</t>
        </is>
      </c>
      <c r="N65" s="18" t="inlineStr">
        <is>
          <t>PLE_CC1_2564_All_Key ข้อ 19</t>
        </is>
      </c>
      <c r="O65" s="18" t="inlineStr">
        <is>
          <t>ข้อสอบจริง</t>
        </is>
      </c>
      <c r="P65" s="18" t="inlineStr">
        <is>
          <t>ปี 2564</t>
        </is>
      </c>
      <c r="Q65" s="18" t="inlineStr"/>
    </row>
    <row r="66">
      <c r="A66" s="15" t="inlineStr">
        <is>
          <t>65</t>
        </is>
      </c>
      <c r="B66" s="18" t="inlineStr">
        <is>
          <t>ชาย อายุประมาณ 30-50 BMI 27 เป็น prediabetic, พ่อเป็นโรคหลอดเลือดหัวใจตีบ 3 เส้น, แม่เป็น DM type 2 ควรตรวจอะไรเพิ่ม?</t>
        </is>
      </c>
      <c r="C66" s="18" t="inlineStr"/>
      <c r="D66" s="18" t="inlineStr">
        <is>
          <t>exercise induced asthma</t>
        </is>
      </c>
      <c r="E66" s="18" t="inlineStr">
        <is>
          <t>urinalysis</t>
        </is>
      </c>
      <c r="F66" s="18" t="inlineStr">
        <is>
          <t>renal function</t>
        </is>
      </c>
      <c r="G66" s="18" t="inlineStr">
        <is>
          <t>lipid profile e)-</t>
        </is>
      </c>
      <c r="H66" s="18" t="inlineStr"/>
      <c r="I66" s="15" t="inlineStr">
        <is>
          <t>1</t>
        </is>
      </c>
      <c r="J66" s="22"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(exercise induced asthma): ข้อนี้ไม่ใช่คำตอบที่ถูกต้องสำหรับภาวะ Coronary artery disease เนื่องจากกลไกการออกฤทธิ์, efficacy หรือข้อบ่งใช้ไม่ตรงกับโจทย์ที่กำหนด
• ข้อ ค. (urinalysis): ข้อนี้ไม่ใช่คำตอบที่ถูกต้องสำหรับภาวะ Coronary artery disease เนื่องจากกลไกการออกฤทธิ์, efficacy หรือข้อบ่งใช้ไม่ตรงกับโจทย์ที่กำหนด
• ข้อ ง. (renal function): ข้อนี้ไม่ใช่คำตอบที่ถูกต้องสำหรับภาวะ Coronary artery disease เนื่องจากกลไกการออกฤทธิ์, efficacy หรือข้อบ่งใช้ไม่ตรงกับโจทย์ที่กำหนด
• ข้อ จ. (lipid profile e)-): ข้อนี้ไม่ใช่คำตอบที่ถูกต้องสำหรับภาวะ Coronary artery disease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6" s="18" t="inlineStr"/>
      <c r="L66" s="18" t="inlineStr">
        <is>
          <t>Coronary artery disease</t>
        </is>
      </c>
      <c r="M66" s="18" t="inlineStr">
        <is>
          <t>Dyslipidemia / HTN</t>
        </is>
      </c>
      <c r="N66" s="18" t="inlineStr">
        <is>
          <t>PLE_CC1_2564_All_Key ข้อ 24</t>
        </is>
      </c>
      <c r="O66" s="18" t="inlineStr">
        <is>
          <t>ข้อสอบจริง</t>
        </is>
      </c>
      <c r="P66" s="18" t="inlineStr">
        <is>
          <t>ปี 2564</t>
        </is>
      </c>
      <c r="Q66" s="18" t="inlineStr"/>
    </row>
    <row r="67">
      <c r="A67" s="15" t="inlineStr">
        <is>
          <t>66</t>
        </is>
      </c>
      <c r="B67" s="18"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C67" s="18" t="inlineStr"/>
      <c r="D67" s="18" t="inlineStr">
        <is>
          <t>Losartan 50 mg OD</t>
        </is>
      </c>
      <c r="E67" s="18" t="inlineStr">
        <is>
          <t>Enalapril 10 mg BID</t>
        </is>
      </c>
      <c r="F67" s="18" t="inlineStr">
        <is>
          <t>Hydrochlorothiazide 25 mg OD</t>
        </is>
      </c>
      <c r="G67" s="18" t="inlineStr">
        <is>
          <t>Atorvastatin 20 mg OD</t>
        </is>
      </c>
      <c r="H67" s="18" t="inlineStr"/>
      <c r="I67" s="15" t="inlineStr">
        <is>
          <t>2</t>
        </is>
      </c>
      <c r="J67" s="22"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(Dyslipidemia / HTN): ข้อนี้ไม่ใช่คำตอบที่ถูกต้องสำหรับภาวะ Coronary artery disease เนื่องจากกลไกการออกฤทธิ์, efficacy หรือข้อบ่งใช้ไม่ตรงกับโจทย์ที่กำหนด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7" s="18" t="inlineStr"/>
      <c r="L67" s="18" t="inlineStr">
        <is>
          <t>Coronary artery disease</t>
        </is>
      </c>
      <c r="M67" s="18" t="inlineStr">
        <is>
          <t>Dyslipidemia / HTN</t>
        </is>
      </c>
      <c r="N67" s="18" t="inlineStr">
        <is>
          <t>PLE_CC1_2564_All_Key ข้อ 51</t>
        </is>
      </c>
      <c r="O67" s="18" t="inlineStr">
        <is>
          <t>ข้อสอบจริง</t>
        </is>
      </c>
      <c r="P67" s="18" t="inlineStr">
        <is>
          <t>ปี 2564</t>
        </is>
      </c>
      <c r="Q67" s="18" t="inlineStr"/>
    </row>
    <row r="68">
      <c r="A68" s="15" t="inlineStr">
        <is>
          <t>67</t>
        </is>
      </c>
      <c r="B68" s="18" t="inlineStr">
        <is>
          <t>3 เดือนต่อมาตรวจเพิ่ม FBS = 190, A1C= 8, LDL ปกติ ควรให้ยาใดเป็นอันดับแรกแก่ผู้ป่วย</t>
        </is>
      </c>
      <c r="C68" s="18" t="inlineStr"/>
      <c r="D68" s="18" t="inlineStr">
        <is>
          <t>Metformin</t>
        </is>
      </c>
      <c r="E68" s="18" t="inlineStr">
        <is>
          <t>Simvastatin 20 mg HS</t>
        </is>
      </c>
      <c r="F68" s="18" t="inlineStr">
        <is>
          <t>Bisoprolol 5 mg OD</t>
        </is>
      </c>
      <c r="G68" s="18" t="inlineStr">
        <is>
          <t>Spironolactone 25 mg OD</t>
        </is>
      </c>
      <c r="H68" s="18" t="inlineStr"/>
      <c r="I68" s="15" t="inlineStr">
        <is>
          <t>1</t>
        </is>
      </c>
      <c r="J68" s="22"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8" s="18" t="inlineStr"/>
      <c r="L68" s="18" t="inlineStr">
        <is>
          <t>Dyslipidemias</t>
        </is>
      </c>
      <c r="M68" s="18" t="inlineStr">
        <is>
          <t>Dyslipidemia / HTN</t>
        </is>
      </c>
      <c r="N68" s="18" t="inlineStr">
        <is>
          <t>PLE_CC1_2564_All_Key ข้อ 129</t>
        </is>
      </c>
      <c r="O68" s="18" t="inlineStr">
        <is>
          <t>ข้อสอบจริง</t>
        </is>
      </c>
      <c r="P68" s="18" t="inlineStr">
        <is>
          <t>ปี 2564</t>
        </is>
      </c>
      <c r="Q68" s="18" t="inlineStr"/>
    </row>
    <row r="69">
      <c r="A69" s="15" t="inlineStr">
        <is>
          <t>68</t>
        </is>
      </c>
      <c r="B69" s="18" t="inlineStr">
        <is>
          <t>(แต่งโจทย์เองนะ) คนไข้มี compliance ดี ควบคุมความดันมาตลอด แต่มาคราวนี้ความดันสูง เลยสงสัยว่า ACEIs lot ที่ได้ไปมีปัญหา แล้วตรวจสอบพบว่า ยา lot นั้นเป็น First in Last out ทำให้ยาตกค้าง ตรวจสอบพบว่าปริมาณสารสำคัญน้อยกว่า 80% ของขอบต่ำสุดที่รับได้ และเก็บยาในสภาพไม่ดี ถามว่าเป็นยาประเภทใด</t>
        </is>
      </c>
      <c r="C69" s="18" t="inlineStr"/>
      <c r="D69" s="18" t="inlineStr">
        <is>
          <t>ยาผิดมาตรฐาน</t>
        </is>
      </c>
      <c r="E69" s="18" t="inlineStr">
        <is>
          <t>ยาเสื่อมคุณภาพ</t>
        </is>
      </c>
      <c r="F69" s="18" t="inlineStr">
        <is>
          <t>ยาปลอม</t>
        </is>
      </c>
      <c r="G69" s="18" t="inlineStr">
        <is>
          <t>Sacubitril/Valsartan 49/51 mg BID</t>
        </is>
      </c>
      <c r="H69" s="18" t="inlineStr"/>
      <c r="I69" s="15" t="inlineStr">
        <is>
          <t>1</t>
        </is>
      </c>
      <c r="J69" s="22" t="inlineStr">
        <is>
          <t>✅ คำตอบที่ถูกต้อง: ข้อ ก. ยาผิดมาตรฐาน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รวมถึงมีปริมาณหรือความแรงของสารออกฤทธิ์ขาดเกินกว่าร้อยละ 20 จากเกณฑ์ต่ำสุด ซึ่งตรงกับประเภทยาเสื่อมคุณภาพ .............................................................................................................................................................................................................
🔍 ข้ออื่นผิดเพราะอะไร:
• ข้อ ข. (ยาผิดมาตรฐาน): ข้อนี้ไม่ใช่คำตอบที่ถูกต้องสำหรับภาวะ Hypertension เนื่องจากกลไกการออกฤทธิ์, efficacy หรือข้อบ่งใช้ไม่ตรงกับโจทย์ที่กำหนด
• ข้อ ค. (ยาเสื่อมคุณภาพ): ข้อนี้ไม่ใช่คำตอบที่ถูกต้องสำหรับภาวะ Hypertension เนื่องจากกลไกการออกฤทธิ์, efficacy หรือข้อบ่งใช้ไม่ตรงกับโจทย์ที่กำหนด
• ข้อ ง. (ยาปลอม): ข้อนี้ไม่ใช่คำตอบที่ถูกต้องสำหรับภาวะ Hypertension เนื่องจากกลไกการออกฤทธิ์, efficacy หรือข้อบ่งใช้ไม่ตรงกับโจทย์ที่กำหนด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9" s="18" t="inlineStr"/>
      <c r="L69" s="18" t="inlineStr">
        <is>
          <t>Hypertension</t>
        </is>
      </c>
      <c r="M69" s="18" t="inlineStr">
        <is>
          <t>Dyslipidemia / HTN</t>
        </is>
      </c>
      <c r="N69" s="18" t="inlineStr">
        <is>
          <t>PLE_CC1_2564_All_Key ข้อ 147</t>
        </is>
      </c>
      <c r="O69" s="18" t="inlineStr">
        <is>
          <t>ข้อสอบจริง</t>
        </is>
      </c>
      <c r="P69" s="18" t="inlineStr">
        <is>
          <t>ปี 2564</t>
        </is>
      </c>
      <c r="Q69" s="18" t="inlineStr"/>
    </row>
    <row r="70">
      <c r="A70" s="15" t="inlineStr">
        <is>
          <t>68</t>
        </is>
      </c>
      <c r="B70" s="18" t="inlineStr">
        <is>
          <t>ผู้ป่วยพัฒนาเป็น ESRD เมื่อล้างไตแล้วขาด Zn2+ จะเกิดผลอย่างไร FBS WU . = 300 warze 100mg/d) Set Na Jens 1 . 6 mEgIL Cities 200( 200 mgldL</t>
        </is>
      </c>
      <c r="C70" s="18" t="inlineStr"/>
      <c r="D70" s="18" t="inlineStr">
        <is>
          <t>Aspirin 81 mg OD</t>
        </is>
      </c>
      <c r="E70" s="18" t="inlineStr">
        <is>
          <t>Sacubitril/Valsartan 49/51 mg BID</t>
        </is>
      </c>
      <c r="F70" s="18" t="inlineStr">
        <is>
          <t>Empagliflozin 10 mg OD</t>
        </is>
      </c>
      <c r="G70" s="18" t="inlineStr">
        <is>
          <t>Diltiazem 30 mg TID</t>
        </is>
      </c>
      <c r="H70" s="18" t="inlineStr">
        <is>
          <t>Warfarin 3 mg OD (target INR 2.0-3.0)</t>
        </is>
      </c>
      <c r="I70" s="15" t="inlineStr">
        <is>
          <t>1</t>
        </is>
      </c>
      <c r="J7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0" s="18" t="inlineStr"/>
      <c r="L70" s="18" t="inlineStr">
        <is>
          <t>Hypertension</t>
        </is>
      </c>
      <c r="M70" s="18" t="inlineStr">
        <is>
          <t>Clinic</t>
        </is>
      </c>
      <c r="N70" s="18" t="inlineStr">
        <is>
          <t>ข้อ 37 (PLE_CC1_2562_Key.md)</t>
        </is>
      </c>
      <c r="O70" s="18" t="inlineStr">
        <is>
          <t>ข้อสอบจริง</t>
        </is>
      </c>
      <c r="P70" s="18" t="inlineStr">
        <is>
          <t>ปี 2562</t>
        </is>
      </c>
    </row>
    <row r="71">
      <c r="A71" s="15" t="inlineStr">
        <is>
          <t>69</t>
        </is>
      </c>
      <c r="B71" s="18" t="inlineStr">
        <is>
          <t>เหตุใดจึงไม่ควรใช้หญ้าหนวดแมวในผู้ป่วยโรคไต Isoniazid Sund metabolismos Bo X B6 wit most B6 50-100 mg/d . - - in dentaso X ↑ hyperkalemia</t>
        </is>
      </c>
      <c r="C71" s="18" t="inlineStr"/>
      <c r="D71" s="18" t="inlineStr">
        <is>
          <t>มีปริมาณโพแทสเซียมสูง</t>
        </is>
      </c>
      <c r="E71" s="18" t="inlineStr">
        <is>
          <t>อาจทำให้ไขมันในเลือดสูง</t>
        </is>
      </c>
      <c r="F71" s="18" t="inlineStr">
        <is>
          <t>อาจทำให้น้ำตาลในเลือดสูง</t>
        </is>
      </c>
      <c r="G71" s="18" t="inlineStr">
        <is>
          <t>อาจทำให้ความดันโลหิตสูง</t>
        </is>
      </c>
      <c r="H71" s="18" t="inlineStr">
        <is>
          <t>ไม่อยู่ในบัญชียาหลัก (บัญชียาสมุนไพร) หË´มนาÆปทาซËาทืกกรณิ ÂวËนาต้จ²ÆดËรงบ¯นืญ´ต -</t>
        </is>
      </c>
      <c r="I71" s="15" t="inlineStr">
        <is>
          <t>1</t>
        </is>
      </c>
      <c r="J71" s="22"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ข้อนี้ไม่ใช่คำตอบที่ถูกต้องสำหรับภาวะ Hypertension เนื่องจากกลไกการออกฤทธิ์, efficacy หรือข้อบ่งใช้ไม่ตรงกับโจทย์ที่กำหนด
• ข้อ ค. (อาจทำให้น้ำตาลในเลือดสูง): ข้อนี้ไม่ใช่คำตอบที่ถูกต้องสำหรับภาวะ Hypertension เนื่องจากกลไกการออกฤทธิ์, efficacy หรือข้อบ่งใช้ไม่ตรงกับโจทย์ที่กำหนด
• ข้อ ง. (อาจทำให้ความดันโลหิตสูง): ข้อนี้ไม่ใช่คำตอบที่ถูกต้องสำหรับภาวะ Hypertension เนื่องจากกลไกการออกฤทธิ์, efficacy หรือข้อบ่งใช้ไม่ตรงกับโจทย์ที่กำหนด
• ข้อ จ. (ไม่อยู่ในบัญชียาหลัก (บัญชียาสมุนไพร) หË´มนาÆปทาซËาทืกกรณิ ÂวËนาต้จ²ÆดËรงบ¯นืญ´ต -):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1" s="18" t="inlineStr"/>
      <c r="L71" s="18" t="inlineStr">
        <is>
          <t>Hypertension</t>
        </is>
      </c>
      <c r="M71" s="18" t="inlineStr">
        <is>
          <t>Clinic</t>
        </is>
      </c>
      <c r="N71" s="18" t="inlineStr">
        <is>
          <t>ข้อ 39 (PLE_CC1_2562_Key.md)</t>
        </is>
      </c>
      <c r="O71" s="18" t="inlineStr">
        <is>
          <t>ข้อสอบจริง</t>
        </is>
      </c>
      <c r="P71" s="18" t="inlineStr">
        <is>
          <t>ปี 2562</t>
        </is>
      </c>
    </row>
    <row r="72">
      <c r="A72" s="15" t="inlineStr">
        <is>
          <t>70</t>
        </is>
      </c>
      <c r="B72" s="18" t="inlineStr">
        <is>
          <t>ผู้ป่วยควรได้รับยาใดเพื่อลดความดันโลหิต</t>
        </is>
      </c>
      <c r="C72" s="18" t="inlineStr"/>
      <c r="D72" s="18" t="inlineStr">
        <is>
          <t>Bisoprolol</t>
        </is>
      </c>
      <c r="E72" s="18" t="inlineStr">
        <is>
          <t>Doxazosin</t>
        </is>
      </c>
      <c r="F72" s="18" t="inlineStr">
        <is>
          <t>Losartan</t>
        </is>
      </c>
      <c r="G72" s="18" t="inlineStr">
        <is>
          <t>Spironolactone</t>
        </is>
      </c>
      <c r="H72" s="18" t="inlineStr">
        <is>
          <t>Diltiazem</t>
        </is>
      </c>
      <c r="I72" s="15" t="inlineStr">
        <is>
          <t>1</t>
        </is>
      </c>
      <c r="J72" s="22" t="inlineStr">
        <is>
          <t>✅ คำตอบที่ถูกต้อง: ข้อ ก. Bisoprolol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การเลือก Bisoprolol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(Doxazosin): ข้อนี้ไม่ใช่คำตอบที่ถูกต้องสำหรับภาวะ Hypertension เนื่องจากกลไกการออกฤทธิ์, efficacy หรือข้อบ่งใช้ไม่ตรงกับโจทย์ที่กำหนด
• ข้อ ค.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(Spironolactone): เป็น Mineralocorticoid receptor antagonist (MRA) ใช้เป็น 4th-line ใน resistant HTN หรือ GDMT ใน HFrEF ต้อง monitor potassium และเสี่ยงต่อ gynecomastia
• ข้อ จ. (Diltiazem): เป็น non-DHP CCB ลดอัตราการเต้นของหัวใจและ myocardial contractility มี contraindication ในผู้ป่วย HFrEF (LVEF &lt; 40%) และ 2nd/3rd degree AV block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72" s="18" t="inlineStr"/>
      <c r="L72" s="18" t="inlineStr">
        <is>
          <t>Hypertension</t>
        </is>
      </c>
      <c r="M72" s="18" t="inlineStr">
        <is>
          <t>Clinic</t>
        </is>
      </c>
      <c r="N72" s="18" t="inlineStr">
        <is>
          <t>ข้อ 56 (PLE_CC1_2562_Key.md)</t>
        </is>
      </c>
      <c r="O72" s="18" t="inlineStr">
        <is>
          <t>ข้อสอบจริง</t>
        </is>
      </c>
      <c r="P72" s="18" t="inlineStr">
        <is>
          <t>ปี 2562</t>
        </is>
      </c>
    </row>
    <row r="73">
      <c r="A73" s="15" t="inlineStr">
        <is>
          <t>71</t>
        </is>
      </c>
      <c r="B73" s="18" t="inlineStr">
        <is>
          <t>ยาใดที่สามารถป้องกันโรคหัวใจและหลอดเลือดได้ในผู้ป่วยรายนี้ X ~ .De ASCVD Pantiplatletdeprimary prophylaxis X</t>
        </is>
      </c>
      <c r="C73" s="18" t="inlineStr"/>
      <c r="D73" s="18" t="inlineStr">
        <is>
          <t>Aspirin 81 mg OD hs</t>
        </is>
      </c>
      <c r="E73" s="18" t="inlineStr">
        <is>
          <t>Simvastatin 10 mg OD hs</t>
        </is>
      </c>
      <c r="F73" s="18" t="inlineStr">
        <is>
          <t>Clopidogrel 75 mg OD</t>
        </is>
      </c>
      <c r="G73" s="18" t="inlineStr">
        <is>
          <t>Ezetimibe 10 mg 1 tab po pc</t>
        </is>
      </c>
      <c r="H73" s="18" t="inlineStr">
        <is>
          <t>Fenofibrate 160 mg 1 tab po pc</t>
        </is>
      </c>
      <c r="I73" s="15" t="inlineStr">
        <is>
          <t>1</t>
        </is>
      </c>
      <c r="J73" s="22" t="inlineStr">
        <is>
          <t>✅ คำตอบที่ถูกต้อง: ข้อ ก. Aspirin 81 mg OD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hs การเลือก Aspirin 81 mg OD hs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(Simvastatin 10 mg OD hs): เป็น moderate-intensity statin เมแทบอไลต์ผ่าน CYP3A4 เด่นชัด ห้ามใช้ dose 80 mg และมี drug interactions สูงกับ CYP3A4 inhibitors (clarithromycin, ketoconazole)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(Ezetimibe 10 mg 1 tab po pc): เป็น Niemann-Pick C1-Like 1 (NPC1L1) inhibitor ยับยั้งการดูดซึม cholesterol ที่ลำไส้เล็ก ใช้เป็น add-on therapy ร่วมกับ statin เพื่อลด LDL-C เสริมอีก 15-20%
• ข้อ จ. (Fenofibrate 160 mg 1 tab po pc):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3" s="18" t="inlineStr"/>
      <c r="L73" s="18" t="inlineStr">
        <is>
          <t>Hypertension</t>
        </is>
      </c>
      <c r="M73" s="18" t="inlineStr">
        <is>
          <t>Clinic</t>
        </is>
      </c>
      <c r="N73" s="18" t="inlineStr">
        <is>
          <t>ข้อ 57 (PLE_CC1_2562_Key.md)</t>
        </is>
      </c>
      <c r="O73" s="18" t="inlineStr">
        <is>
          <t>ข้อสอบจริง</t>
        </is>
      </c>
      <c r="P73" s="18" t="inlineStr">
        <is>
          <t>ปี 2562</t>
        </is>
      </c>
    </row>
    <row r="74">
      <c r="A74" s="15" t="inlineStr">
        <is>
          <t>72</t>
        </is>
      </c>
      <c r="B74" s="18" t="inlineStr">
        <is>
          <t>ข้อใดคือความเสี่ยงที่อาจเกิดขึ้นเมื่อใช้ metformin เป็นระยะยาว - Retinopathy - Nephro - Neuro X ~</t>
        </is>
      </c>
      <c r="C74" s="18" t="inlineStr"/>
      <c r="D74" s="18" t="inlineStr">
        <is>
          <t>Bone fracture</t>
        </is>
      </c>
      <c r="E74" s="18" t="inlineStr">
        <is>
          <t>Bladder cancer</t>
        </is>
      </c>
      <c r="F74" s="18" t="inlineStr">
        <is>
          <t>Cyanocobalamin deficiency</t>
        </is>
      </c>
      <c r="G74" s="18" t="inlineStr">
        <is>
          <t>Edema</t>
        </is>
      </c>
      <c r="H74" s="18" t="inlineStr">
        <is>
          <t>Heart failure</t>
        </is>
      </c>
      <c r="I74" s="15" t="inlineStr">
        <is>
          <t>1</t>
        </is>
      </c>
      <c r="J74" s="22"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ข้อนี้ไม่ใช่คำตอบที่ถูกต้องสำหรับภาวะ Hypertension เนื่องจากกลไกการออกฤทธิ์, efficacy หรือข้อบ่งใช้ไม่ตรงกับโจทย์ที่กำหนด
• ข้อ ค. (Cyanocobalamin deficiency): ข้อนี้ไม่ใช่คำตอบที่ถูกต้องสำหรับภาวะ Hypertension เนื่องจากกลไกการออกฤทธิ์, efficacy หรือข้อบ่งใช้ไม่ตรงกับโจทย์ที่กำหนด
• ข้อ ง. (Edema): ข้อนี้ไม่ใช่คำตอบที่ถูกต้องสำหรับภาวะ Hypertension เนื่องจากกลไกการออกฤทธิ์, efficacy หรือข้อบ่งใช้ไม่ตรงกับโจทย์ที่กำหนด
• ข้อ จ. (Heart failure):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74" s="18" t="inlineStr"/>
      <c r="L74" s="18" t="inlineStr">
        <is>
          <t>Hypertension</t>
        </is>
      </c>
      <c r="M74" s="18" t="inlineStr">
        <is>
          <t>Clinic</t>
        </is>
      </c>
      <c r="N74" s="18" t="inlineStr">
        <is>
          <t>ข้อ 60 (PLE_CC1_2562_Key.md)</t>
        </is>
      </c>
      <c r="O74" s="18" t="inlineStr">
        <is>
          <t>ข้อสอบจริง</t>
        </is>
      </c>
      <c r="P74" s="18" t="inlineStr">
        <is>
          <t>ปี 2562</t>
        </is>
      </c>
    </row>
    <row r="75">
      <c r="A75" s="15" t="inlineStr">
        <is>
          <t>73</t>
        </is>
      </c>
      <c r="B75" s="18" t="inlineStr">
        <is>
          <t>พฤติกรรมใดที่ควรปรับเปลี่ยนในผู้ป่วยรายนี้น้อยที่สุด n.nise , MI gowt sim-ger HE X ston . dem . beer =</t>
        </is>
      </c>
      <c r="C75" s="18" t="inlineStr"/>
      <c r="D75" s="18" t="inlineStr">
        <is>
          <t>ลดน้ำหนัก</t>
        </is>
      </c>
      <c r="E75" s="18" t="inlineStr">
        <is>
          <t>ลดอาหารเค็ม</t>
        </is>
      </c>
      <c r="F75" s="18" t="inlineStr">
        <is>
          <t>งดดื่มแอลกอฮอล์</t>
        </is>
      </c>
      <c r="G75" s="18" t="inlineStr">
        <is>
          <t>งดการสูบบุหรี่</t>
        </is>
      </c>
      <c r="H75" s="18"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75" s="15" t="inlineStr">
        <is>
          <t>1</t>
        </is>
      </c>
      <c r="J75" s="22" t="inlineStr">
        <is>
          <t>✅ คำตอบที่ถูกต้อง: ข้อ ก. ลดน้ำหนัก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ลดน้ำหนัก AssayĲ [noteĲThe Simvastatin solutions are stable for up to 3 days when stored at 4. Without refrigeration, Dilute phosphoric acidĲ Transfer 1 mL of phosphoric acid to a 1-L volumetric flask, and dilute with water Solution BĲ Transfer 1 mL of phosphoric acid to a 1-L volumetric flask, and dilute with acetonitrile to Mobile phaseĲ Use variable mixtures of Solution A and Solution B, as directed for Chromatographic system.
🔍 ข้ออื่นผิดเพราะอะไร:
• ข้อ ข. (ลดอาหารเค็ม): ข้อนี้ไม่ใช่คำตอบที่ถูกต้องสำหรับภาวะ Hypertension เนื่องจากกลไกการออกฤทธิ์, efficacy หรือข้อบ่งใช้ไม่ตรงกับโจทย์ที่กำหนด
• ข้อ ค. (งดดื่มแอลกอฮอล์): ข้อนี้ไม่ใช่คำตอบที่ถูกต้องสำหรับภาวะ Hypertension เนื่องจากกลไกการออกฤทธิ์, efficacy หรือข้อบ่งใช้ไม่ตรงกับโจทย์ที่กำหนด
• ข้อ ง. (งดการสูบบุหรี่): ข้อนี้ไม่ใช่คำตอบที่ถูกต้องสำหรับภาวะ Hypertension เนื่องจากกลไกการออกฤทธิ์, efficacy หรือข้อบ่งใช้ไม่ตรงกับโจทย์ที่กำหนด
• ข้อ จ. (งดกินอาหารที่มีไขมันติด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5" s="18" t="inlineStr"/>
      <c r="L75" s="18" t="inlineStr">
        <is>
          <t>Hypertension</t>
        </is>
      </c>
      <c r="M75" s="18" t="inlineStr">
        <is>
          <t>Clinic</t>
        </is>
      </c>
      <c r="N75" s="18" t="inlineStr">
        <is>
          <t>ข้อ 70 (PLE_CC1_2562_Key.md)</t>
        </is>
      </c>
      <c r="O75" s="18" t="inlineStr">
        <is>
          <t>ข้อสอบจริง</t>
        </is>
      </c>
      <c r="P75" s="18" t="inlineStr">
        <is>
          <t>ปี 2562</t>
        </is>
      </c>
    </row>
    <row r="76">
      <c r="A76" s="15" t="inlineStr">
        <is>
          <t>74</t>
        </is>
      </c>
      <c r="B76" s="18" t="inlineStr">
        <is>
          <t>ข้อใดคืออาการข้างเคียงของ aluminium hydroxide ที่พบบ่อยที่สุด X A , itsainascionsite,dzistmngneis e - =</t>
        </is>
      </c>
      <c r="C76" s="18" t="inlineStr"/>
      <c r="D76" s="18" t="inlineStr">
        <is>
          <t>Constipation</t>
        </is>
      </c>
      <c r="E76" s="18" t="inlineStr">
        <is>
          <t>Steatorrhea</t>
        </is>
      </c>
      <c r="F76" s="18" t="inlineStr">
        <is>
          <t>Folate deficiency anemia</t>
        </is>
      </c>
      <c r="G76" s="18" t="inlineStr">
        <is>
          <t>Metabolic acidosis</t>
        </is>
      </c>
      <c r="H76" s="18" t="inlineStr">
        <is>
          <t>Urinary tract infection</t>
        </is>
      </c>
      <c r="I76" s="15" t="inlineStr">
        <is>
          <t>1</t>
        </is>
      </c>
      <c r="J76" s="22"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ข้อนี้ไม่ใช่คำตอบที่ถูกต้องสำหรับภาวะ Hypertension เนื่องจากกลไกการออกฤทธิ์, efficacy หรือข้อบ่งใช้ไม่ตรงกับโจทย์ที่กำหนด
• ข้อ ค. (Folate deficiency anemia): ข้อนี้ไม่ใช่คำตอบที่ถูกต้องสำหรับภาวะ Hypertension เนื่องจากกลไกการออกฤทธิ์, efficacy หรือข้อบ่งใช้ไม่ตรงกับโจทย์ที่กำหนด
• ข้อ ง. (Metabolic acidosis): ข้อนี้ไม่ใช่คำตอบที่ถูกต้องสำหรับภาวะ Hypertension เนื่องจากกลไกการออกฤทธิ์, efficacy หรือข้อบ่งใช้ไม่ตรงกับโจทย์ที่กำหนด
• ข้อ จ. (Urinary tract infection):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6" s="18" t="inlineStr"/>
      <c r="L76" s="18" t="inlineStr">
        <is>
          <t>Hypertension</t>
        </is>
      </c>
      <c r="M76" s="18" t="inlineStr">
        <is>
          <t>Clinic</t>
        </is>
      </c>
      <c r="N76" s="18" t="inlineStr">
        <is>
          <t>ข้อ 90 (PLE_CC1_2562_Key.md)</t>
        </is>
      </c>
      <c r="O76" s="18" t="inlineStr">
        <is>
          <t>ข้อสอบจริง</t>
        </is>
      </c>
      <c r="P76" s="18" t="inlineStr">
        <is>
          <t>ปี 2562</t>
        </is>
      </c>
    </row>
    <row r="77">
      <c r="A77" s="15" t="inlineStr">
        <is>
          <t>75</t>
        </is>
      </c>
      <c r="B77" s="18" t="inlineStr">
        <is>
          <t>ข้อใดคือกลไกการออกฤทธิ์ของยา cyclophosphamide</t>
        </is>
      </c>
      <c r="C77" s="18" t="inlineStr"/>
      <c r="D77" s="18" t="inlineStr">
        <is>
          <t>Alkylating agent</t>
        </is>
      </c>
      <c r="E77" s="18" t="inlineStr">
        <is>
          <t>Antimetabolite</t>
        </is>
      </c>
      <c r="F77" s="18" t="inlineStr">
        <is>
          <t>Antimitotic</t>
        </is>
      </c>
      <c r="G77" s="18" t="inlineStr">
        <is>
          <t>Inhibit topoisomerase</t>
        </is>
      </c>
      <c r="H77" s="18" t="inlineStr">
        <is>
          <t>Inhibit DNA polymerase</t>
        </is>
      </c>
      <c r="I77" s="15" t="inlineStr">
        <is>
          <t>1</t>
        </is>
      </c>
      <c r="J77" s="22"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ข้อนี้ไม่ใช่คำตอบที่ถูกต้องสำหรับภาวะ Hypertension เนื่องจากกลไกการออกฤทธิ์, efficacy หรือข้อบ่งใช้ไม่ตรงกับโจทย์ที่กำหนด
• ข้อ ค. (Antimitotic): ข้อนี้ไม่ใช่คำตอบที่ถูกต้องสำหรับภาวะ Hypertension เนื่องจากกลไกการออกฤทธิ์, efficacy หรือข้อบ่งใช้ไม่ตรงกับโจทย์ที่กำหนด
• ข้อ ง. (Inhibit topoisomerase): ข้อนี้ไม่ใช่คำตอบที่ถูกต้องสำหรับภาวะ Hypertension เนื่องจากกลไกการออกฤทธิ์, efficacy หรือข้อบ่งใช้ไม่ตรงกับโจทย์ที่กำหนด
• ข้อ จ. (Inhibit DNA polymerase):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7" s="18" t="inlineStr"/>
      <c r="L77" s="18" t="inlineStr">
        <is>
          <t>Hypertension</t>
        </is>
      </c>
      <c r="M77" s="18" t="inlineStr">
        <is>
          <t>Clinic</t>
        </is>
      </c>
      <c r="N77" s="18" t="inlineStr">
        <is>
          <t>ข้อ 107 (PLE_CC1_2562_Key.md)</t>
        </is>
      </c>
      <c r="O77" s="18" t="inlineStr">
        <is>
          <t>ข้อสอบจริง</t>
        </is>
      </c>
      <c r="P77" s="18" t="inlineStr">
        <is>
          <t>ปี 2562</t>
        </is>
      </c>
    </row>
    <row r="78">
      <c r="A78" s="15" t="inlineStr">
        <is>
          <t>76</t>
        </is>
      </c>
      <c r="B78" s="18" t="inlineStr">
        <is>
          <t>หากผู้ป่วยท้อง 4 เดือนแล้วต้องรักษาได้รับยา MMI อยู่ควรทำอย่างไร dose dependent . X ิ Galerveining &gt; 30mg/d &amp;side : PTU in esier dose independent ~</t>
        </is>
      </c>
      <c r="C78" s="18" t="inlineStr"/>
      <c r="D78" s="18" t="inlineStr">
        <is>
          <t>เปลี่ยนเป็น PTU ไนไตรมาสแรก</t>
        </is>
      </c>
      <c r="E78" s="18" t="inlineStr">
        <is>
          <t>ใช้ MMI ต่อ</t>
        </is>
      </c>
      <c r="F78" s="18" t="inlineStr">
        <is>
          <t>เปลี่ยนเป็น PTU จนคลอด</t>
        </is>
      </c>
      <c r="G78" s="18" t="inlineStr">
        <is>
          <t>ลดขนาดยา MMI</t>
        </is>
      </c>
      <c r="H78" s="18" t="inlineStr">
        <is>
          <t>เพิ่มขนาดยา MMI</t>
        </is>
      </c>
      <c r="I78" s="15" t="inlineStr">
        <is>
          <t>1</t>
        </is>
      </c>
      <c r="J78" s="22"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ข้อนี้ไม่ใช่คำตอบที่ถูกต้องสำหรับภาวะ Hypertension เนื่องจากกลไกการออกฤทธิ์, efficacy หรือข้อบ่งใช้ไม่ตรงกับโจทย์ที่กำหนด
• ข้อ ค. (เปลี่ยนเป็น PTU จนคลอด): ข้อนี้ไม่ใช่คำตอบที่ถูกต้องสำหรับภาวะ Hypertension เนื่องจากกลไกการออกฤทธิ์, efficacy หรือข้อบ่งใช้ไม่ตรงกับโจทย์ที่กำหนด
• ข้อ ง. (ลดขนาดยา MMI): ข้อนี้ไม่ใช่คำตอบที่ถูกต้องสำหรับภาวะ Hypertension เนื่องจากกลไกการออกฤทธิ์, efficacy หรือข้อบ่งใช้ไม่ตรงกับโจทย์ที่กำหนด
• ข้อ จ. (เพิ่มขนาดยา MMI):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8" s="18" t="inlineStr"/>
      <c r="L78" s="18" t="inlineStr">
        <is>
          <t>Hypertension</t>
        </is>
      </c>
      <c r="M78" s="18" t="inlineStr">
        <is>
          <t>Clinic</t>
        </is>
      </c>
      <c r="N78" s="18" t="inlineStr">
        <is>
          <t>ข้อ 27 (PLE_CC1_2562_Key.md)</t>
        </is>
      </c>
      <c r="O78" s="18" t="inlineStr">
        <is>
          <t>ข้อสอบจริง</t>
        </is>
      </c>
      <c r="P78" s="18" t="inlineStr">
        <is>
          <t>ปี 2562</t>
        </is>
      </c>
    </row>
    <row r="79">
      <c r="A79" s="15" t="inlineStr">
        <is>
          <t>77</t>
        </is>
      </c>
      <c r="B79" s="18" t="inlineStr">
        <is>
          <t>เภสัชกรควรแนะนำการใช้ยา savelamer carbonate อย่างไร = = X Mor , Tricians Undign, navos X ิomdermissionery ~</t>
        </is>
      </c>
      <c r="C79" s="18" t="inlineStr"/>
      <c r="D79" s="18" t="inlineStr">
        <is>
          <t>ห้ามเคี้ยวหรือบดให้ละเอียดก่อนรับประทาน</t>
        </is>
      </c>
      <c r="E79" s="18" t="inlineStr">
        <is>
          <t>ลดการกินอาหารที่มีโพแทสเซียมสูง</t>
        </is>
      </c>
      <c r="F79" s="18" t="inlineStr">
        <is>
          <t>ยานี้อาจทำให้เกิดการชักจากการขาดแคลเซียม</t>
        </is>
      </c>
      <c r="G79" s="18" t="inlineStr">
        <is>
          <t>กำจัดปริมาณน้ำต่อวันให้น้อยกว่า 1 ลิตร</t>
        </is>
      </c>
      <c r="H79" s="18" t="inlineStr">
        <is>
          <t>รับประทานก่อนนอน</t>
        </is>
      </c>
      <c r="I79" s="15" t="inlineStr">
        <is>
          <t>1</t>
        </is>
      </c>
      <c r="J79" s="22"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ข้อนี้ไม่ใช่คำตอบที่ถูกต้องสำหรับภาวะ Hypertension เนื่องจากกลไกการออกฤทธิ์, efficacy หรือข้อบ่งใช้ไม่ตรงกับโจทย์ที่กำหนด
• ข้อ ค. (ยานี้อาจทำให้เกิดการชักจากการขาดแคลเซียม): ข้อนี้ไม่ใช่คำตอบที่ถูกต้องสำหรับภาวะ Hypertension เนื่องจากกลไกการออกฤทธิ์, efficacy หรือข้อบ่งใช้ไม่ตรงกับโจทย์ที่กำหนด
• ข้อ ง. (กำจัดปริมาณน้ำต่อวันให้น้อยกว่า 1 ลิตร): ข้อนี้ไม่ใช่คำตอบที่ถูกต้องสำหรับภาวะ Hypertension เนื่องจากกลไกการออกฤทธิ์, efficacy หรือข้อบ่งใช้ไม่ตรงกับโจทย์ที่กำหนด
• ข้อ จ. (รับประทานก่อนนอน):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9" s="18" t="inlineStr"/>
      <c r="L79" s="18" t="inlineStr">
        <is>
          <t>Hypertension</t>
        </is>
      </c>
      <c r="M79" s="18" t="inlineStr">
        <is>
          <t>Clinic</t>
        </is>
      </c>
      <c r="N79" s="18" t="inlineStr">
        <is>
          <t>ข้อ 78 (PLE_CC1_2562_Key.md)</t>
        </is>
      </c>
      <c r="O79" s="18" t="inlineStr">
        <is>
          <t>ข้อสอบจริง</t>
        </is>
      </c>
      <c r="P79" s="18" t="inlineStr">
        <is>
          <t>ปี 2562</t>
        </is>
      </c>
    </row>
    <row r="80">
      <c r="A80" s="15" t="inlineStr">
        <is>
          <t>78</t>
        </is>
      </c>
      <c r="B80" s="18" t="inlineStr">
        <is>
          <t>ระดับความดันที่เปEนเปFาหมายในผูป%วยรายนี้เปEนเท!าใดตาม ACC guideline 2017</t>
        </is>
      </c>
      <c r="C80" s="18" t="inlineStr"/>
      <c r="D80" s="18" t="inlineStr">
        <is>
          <t>130/80 mmHg</t>
        </is>
      </c>
      <c r="E80" s="18" t="inlineStr">
        <is>
          <t>140/90 mmHg</t>
        </is>
      </c>
      <c r="F80" s="18" t="inlineStr">
        <is>
          <t>130/90 mmHg</t>
        </is>
      </c>
      <c r="G80" s="18" t="inlineStr">
        <is>
          <t>150/90 mmHg</t>
        </is>
      </c>
      <c r="H80" s="18" t="inlineStr">
        <is>
          <t>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t>
        </is>
      </c>
      <c r="I80" s="15" t="inlineStr">
        <is>
          <t>1</t>
        </is>
      </c>
      <c r="J80" s="22"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ข้อนี้ไม่ใช่คำตอบที่ถูกต้องสำหรับภาวะ Hypertension เนื่องจากกลไกการออกฤทธิ์, efficacy หรือข้อบ่งใช้ไม่ตรงกับโจทย์ที่กำหนด
• ข้อ ค. (130/90 mmHg): ข้อนี้ไม่ใช่คำตอบที่ถูกต้องสำหรับภาวะ Hypertension เนื่องจากกลไกการออกฤทธิ์, efficacy หรือข้อบ่งใช้ไม่ตรงกับโจทย์ที่กำหนด
• ข้อ ง. (150/90 mmHg): ข้อนี้ไม่ใช่คำตอบที่ถูกต้องสำหรับภาวะ Hypertension เนื่องจากกลไกการออกฤทธิ์, efficacy หรือข้อบ่งใช้ไม่ตรงกับโจทย์ที่กำหนด
• ข้อ จ. (140/80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0" s="18" t="inlineStr"/>
      <c r="L80" s="18" t="inlineStr">
        <is>
          <t>Hypertension</t>
        </is>
      </c>
      <c r="M80" s="18" t="inlineStr">
        <is>
          <t>Clinic</t>
        </is>
      </c>
      <c r="N80" s="18" t="inlineStr">
        <is>
          <t>ข้อ 1 (PLE_CC1_2561_Key.md)</t>
        </is>
      </c>
      <c r="O80" s="18" t="inlineStr">
        <is>
          <t>ข้อสอบจริง</t>
        </is>
      </c>
      <c r="P80" s="18" t="inlineStr">
        <is>
          <t>ปี 2561</t>
        </is>
      </c>
    </row>
    <row r="81">
      <c r="A81" s="15" t="inlineStr">
        <is>
          <t>79</t>
        </is>
      </c>
      <c r="B81" s="18" t="inlineStr">
        <is>
          <t>ควรจัดการอย!างไรเมื่อภายหลังที่ไดรับยาไป 3 เดือนผูป%วยเกิด hyperkalemia</t>
        </is>
      </c>
      <c r="C81" s="18" t="inlineStr"/>
      <c r="D81" s="18" t="inlineStr">
        <is>
          <t>กินแบบเดิม</t>
        </is>
      </c>
      <c r="E81" s="18" t="inlineStr">
        <is>
          <t>เพิ่มยา HCTZ</t>
        </is>
      </c>
      <c r="F81" s="18" t="inlineStr">
        <is>
          <t>เพิ่มยา spironolactone</t>
        </is>
      </c>
      <c r="G81" s="18" t="inlineStr">
        <is>
          <t>หยุดยา enalapril</t>
        </is>
      </c>
      <c r="H81" s="18" t="inlineStr">
        <is>
          <t>เพิ่มขนาดยา enalapril</t>
        </is>
      </c>
      <c r="I81" s="15" t="inlineStr">
        <is>
          <t>1</t>
        </is>
      </c>
      <c r="J81" s="22" t="inlineStr">
        <is>
          <t>✅ คำตอบที่ถูกต้อง: ข้อ ก. กินแบบเดิม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กินแบบเดิม การเลือก กินแบบเดิม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(เพิ่มยา HCTZ): ข้อนี้ไม่ใช่คำตอบที่ถูกต้องสำหรับภาวะ Hypertension เนื่องจากกลไกการออกฤทธิ์, efficacy หรือข้อบ่งใช้ไม่ตรงกับโจทย์ที่กำหนด
• ข้อ ค. (เพิ่มยา spironolactone): เป็น Mineralocorticoid receptor antagonist (MRA) ใช้เป็น 4th-line ใน resistant HTN หรือ GDMT ใน HFrEF ต้อง monitor potassium และเสี่ยงต่อ gynecomastia
• ข้อ ง. (หยุดยา enalapril): เป็น ACE inhibitor ลด Angiotensin II และ intraglomerular pressure มี renal protective efficacy เด่นชัดใน diabetic kidney disease แต่อาจเกิด dry cough จากการสะสมของ bradykinin
• ข้อ จ. (เพิ่มขนาดยา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18" t="inlineStr"/>
      <c r="L81" s="18" t="inlineStr">
        <is>
          <t>Hypertension</t>
        </is>
      </c>
      <c r="M81" s="18" t="inlineStr">
        <is>
          <t>Clinic</t>
        </is>
      </c>
      <c r="N81" s="18" t="inlineStr">
        <is>
          <t>ข้อ 2 (PLE_CC1_2561_Key.md)</t>
        </is>
      </c>
      <c r="O81" s="18" t="inlineStr">
        <is>
          <t>ข้อสอบจริง</t>
        </is>
      </c>
      <c r="P81" s="18" t="inlineStr">
        <is>
          <t>ปี 2561</t>
        </is>
      </c>
    </row>
    <row r="82">
      <c r="A82" s="15" t="inlineStr">
        <is>
          <t>80</t>
        </is>
      </c>
      <c r="B82" s="18" t="inlineStr">
        <is>
          <t>แพทยTพิจารณาใหจ!ายยา simvastatin 40 mg 1xhs เพิ่ม ขอใด ต!อไปนี้ถูกตอง</t>
        </is>
      </c>
      <c r="C82" s="18" t="inlineStr"/>
      <c r="D82" s="18" t="inlineStr">
        <is>
          <t>ไม!จำเปEนตองใหsimvastatin</t>
        </is>
      </c>
      <c r="E82" s="18" t="inlineStr">
        <is>
          <t>จ!ายไดตามขนาดที่แพทยTจ!าย</t>
        </is>
      </c>
      <c r="F82" s="18" t="inlineStr">
        <is>
          <t>เปลี่ยนเปEน atorvastatin 20 mg แทน</t>
        </is>
      </c>
      <c r="G82" s="18" t="inlineStr">
        <is>
          <t>จ!ายไม!ไดเพราะไม!เขากับโรคของผูป%วย</t>
        </is>
      </c>
      <c r="H82" s="18" t="inlineStr">
        <is>
          <t>จ!ายไดแต!ตองเพิ่มขนาดยาเปEน simvastatin 80 mg X onmortalityratehicus X cats</t>
        </is>
      </c>
      <c r="I82" s="15" t="inlineStr">
        <is>
          <t>1</t>
        </is>
      </c>
      <c r="J82" s="22" t="inlineStr">
        <is>
          <t>✅ คำตอบที่ถูกต้อง: ข้อ ก. ไม!จำเปEนตองใหsimvastatin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ไม!จำเปEนตองใหsimvastatin ไม!จำเป E นตองให simvastatin ไม!จำเป E นตองให simvastatin ไม!จำเป E นตองให simvastatin ไม!จำเป E นตองให simvastatin การเลือก ไม!จำเป E นตองให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(จ!ายไดตามขนาดที่แพทยTจ!าย): ข้อนี้ไม่ใช่คำตอบที่ถูกต้องสำหรับภาวะ Hypertension เนื่องจากกลไกการออกฤทธิ์, efficacy หรือข้อบ่งใช้ไม่ตรงกับโจทย์ที่กำหนด
• ข้อ ค. (เปลี่ยนเปEน atorvastatin 20 mg แทน): เป็น High-intensity statin (40-80 mg) ยับยั้ง HMG-CoA reductase มี clinical efficacy สูงสุดในการลด LDL-C ≥ 50% และ plaque stabilization ใน ACS/CAD
• ข้อ ง. (จ!ายไม!ไดเพราะไม!เขากับโรคของผูป%วย): ข้อนี้ไม่ใช่คำตอบที่ถูกต้องสำหรับภาวะ Hypertension เนื่องจากกลไกการออกฤทธิ์, efficacy หรือข้อบ่งใช้ไม่ตรงกับโจทย์ที่กำหนด
• ข้อ จ. (จ!ายไดแต!ตองเพิ่มขนาดยาเปEน simvastatin 80 mg X onmortalityratehicus X cats):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2" s="18" t="inlineStr"/>
      <c r="L82" s="18" t="inlineStr">
        <is>
          <t>Hypertension</t>
        </is>
      </c>
      <c r="M82" s="18" t="inlineStr">
        <is>
          <t>Clinic</t>
        </is>
      </c>
      <c r="N82" s="18" t="inlineStr">
        <is>
          <t>ข้อ 3 (PLE_CC1_2561_Key.md)</t>
        </is>
      </c>
      <c r="O82" s="18" t="inlineStr">
        <is>
          <t>ข้อสอบจริง</t>
        </is>
      </c>
      <c r="P82" s="18" t="inlineStr">
        <is>
          <t>ปี 2561</t>
        </is>
      </c>
    </row>
    <row r="83">
      <c r="A83" s="15" t="inlineStr">
        <is>
          <t>81</t>
        </is>
      </c>
      <c r="B83" s="18" t="inlineStr">
        <is>
          <t>ขอใดคืออาการไม!พึงประสงคTของยา amlodipine ที่พบไดบ!อย</t>
        </is>
      </c>
      <c r="C83" s="18" t="inlineStr"/>
      <c r="D83" s="18" t="inlineStr">
        <is>
          <t>Myopathy</t>
        </is>
      </c>
      <c r="E83" s="18" t="inlineStr">
        <is>
          <t>Gastric ulcer</t>
        </is>
      </c>
      <c r="F83" s="18" t="inlineStr">
        <is>
          <t>Renal failure</t>
        </is>
      </c>
      <c r="G83" s="18" t="inlineStr">
        <is>
          <t>Osteoporosis</t>
        </is>
      </c>
      <c r="H83" s="18" t="inlineStr">
        <is>
          <t>Peripheral edema nivamiodipinenow C</t>
        </is>
      </c>
      <c r="I83" s="15" t="inlineStr">
        <is>
          <t>1</t>
        </is>
      </c>
      <c r="J83" s="22" t="inlineStr">
        <is>
          <t>✅ คำตอบที่ถูกต้อง: ข้อ ก. Myopathy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Myopathy การเลือก Myopathy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(Gastric ulcer): ข้อนี้ไม่ใช่คำตอบที่ถูกต้องสำหรับภาวะ Hypertension เนื่องจากกลไกการออกฤทธิ์, efficacy หรือข้อบ่งใช้ไม่ตรงกับโจทย์ที่กำหนด
• ข้อ ค. (Renal failure): ข้อนี้ไม่ใช่คำตอบที่ถูกต้องสำหรับภาวะ Hypertension เนื่องจากกลไกการออกฤทธิ์, efficacy หรือข้อบ่งใช้ไม่ตรงกับโจทย์ที่กำหนด
• ข้อ ง. (Osteoporosis): ข้อนี้ไม่ใช่คำตอบที่ถูกต้องสำหรับภาวะ Hypertension เนื่องจากกลไกการออกฤทธิ์, efficacy หรือข้อบ่งใช้ไม่ตรงกับโจทย์ที่กำหนด
• ข้อ จ. (Peripheral edema nivamiodipinenow C):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3" s="18" t="inlineStr"/>
      <c r="L83" s="18" t="inlineStr">
        <is>
          <t>Hypertension</t>
        </is>
      </c>
      <c r="M83" s="18" t="inlineStr">
        <is>
          <t>Clinic</t>
        </is>
      </c>
      <c r="N83" s="18" t="inlineStr">
        <is>
          <t>ข้อ 4 (PLE_CC1_2561_Key.md)</t>
        </is>
      </c>
      <c r="O83" s="18" t="inlineStr">
        <is>
          <t>ข้อสอบจริง</t>
        </is>
      </c>
      <c r="P83" s="18" t="inlineStr">
        <is>
          <t>ปี 2561</t>
        </is>
      </c>
    </row>
    <row r="84">
      <c r="A84" s="15" t="inlineStr">
        <is>
          <t>82</t>
        </is>
      </c>
      <c r="B84" s="18"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84" s="18" t="inlineStr"/>
      <c r="D84" s="18" t="inlineStr">
        <is>
          <t>ไม!มีเภสัชกรที่ รพ.สต.</t>
        </is>
      </c>
      <c r="E84" s="18" t="inlineStr">
        <is>
          <t>ไม!มีการบันทึกประวัติแพยา</t>
        </is>
      </c>
      <c r="F84" s="18" t="inlineStr">
        <is>
          <t>เจาหนาที่ขาดความรูความสามารถ</t>
        </is>
      </c>
      <c r="G84" s="18" t="inlineStr">
        <is>
          <t>ระบบการส!งต!อขอมูลผูป%วยยังไม!ดีพอ</t>
        </is>
      </c>
      <c r="H84" s="18" t="inlineStr">
        <is>
          <t>ระบบคอมพิวเตอรTไม!ดี ไม!มีประวัติผูป%วย</t>
        </is>
      </c>
      <c r="I84" s="15" t="inlineStr">
        <is>
          <t>1</t>
        </is>
      </c>
      <c r="J84" s="22"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ข้อนี้ไม่ใช่คำตอบที่ถูกต้องสำหรับภาวะ Hypertension เนื่องจากกลไกการออกฤทธิ์, efficacy หรือข้อบ่งใช้ไม่ตรงกับโจทย์ที่กำหนด
• ข้อ ค. (เจาหนาที่ขาดความรูความสามารถ): ข้อนี้ไม่ใช่คำตอบที่ถูกต้องสำหรับภาวะ Hypertension เนื่องจากกลไกการออกฤทธิ์, efficacy หรือข้อบ่งใช้ไม่ตรงกับโจทย์ที่กำหนด
• ข้อ ง. (ระบบการส!งต!อขอมูลผูป%วยยังไม!ดีพอ): ข้อนี้ไม่ใช่คำตอบที่ถูกต้องสำหรับภาวะ Hypertension เนื่องจากกลไกการออกฤทธิ์, efficacy หรือข้อบ่งใช้ไม่ตรงกับโจทย์ที่กำหนด
• ข้อ จ. (ระบบคอมพิวเตอรTไม!ดี ไม!มีประวัติผูป%วย):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84" s="18" t="inlineStr"/>
      <c r="L84" s="18" t="inlineStr">
        <is>
          <t>Hypertension</t>
        </is>
      </c>
      <c r="M84" s="18" t="inlineStr">
        <is>
          <t>Clinic</t>
        </is>
      </c>
      <c r="N84" s="18" t="inlineStr">
        <is>
          <t>ข้อ 8 (PLE_CC1_2561_Key.md)</t>
        </is>
      </c>
      <c r="O84" s="18" t="inlineStr">
        <is>
          <t>ข้อสอบจริง</t>
        </is>
      </c>
      <c r="P84" s="18" t="inlineStr">
        <is>
          <t>ปี 2561</t>
        </is>
      </c>
    </row>
    <row r="85">
      <c r="A85" s="15" t="inlineStr">
        <is>
          <t>83</t>
        </is>
      </c>
      <c r="B85" s="18" t="inlineStr">
        <is>
          <t>ยาในข้อใดมีผลทำให(เกิด proteinuria hypophosphatemia glycosuria hypokalemia hypocalcaemia และ bicarbonate wasting is't salty</t>
        </is>
      </c>
      <c r="C85" s="18" t="inlineStr"/>
      <c r="D85" s="18" t="inlineStr">
        <is>
          <t>Acyclovir</t>
        </is>
      </c>
      <c r="E85" s="18" t="inlineStr">
        <is>
          <t>Tenofovir</t>
        </is>
      </c>
      <c r="F85" s="18" t="inlineStr">
        <is>
          <t>Amoxicillin</t>
        </is>
      </c>
      <c r="G85" s="18" t="inlineStr">
        <is>
          <t>Doxycycline</t>
        </is>
      </c>
      <c r="H85" s="18" t="inlineStr">
        <is>
          <t>Clindamycin</t>
        </is>
      </c>
      <c r="I85" s="15" t="inlineStr">
        <is>
          <t>1</t>
        </is>
      </c>
      <c r="J85" s="2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เป็น Nucleotide reverse transcriptase inhibitor (NRTI) แกนหลักใน HIV และ HBV therapy แต่ TDF ต้องระวัง nephrotoxicity (Fanconi syndrome) และ bone mineral density loss
• ข้อ ค. (Amoxicillin): เป็น Aminopenicillin ยับยั้ง bacterial cell wall synthesis เป็น first-line สำหรับ uncomplicated bacterial infections (เช่น Strep pharyngitis, AOM, sinusitis)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(Clindamycin):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18" t="inlineStr"/>
      <c r="L85" s="18" t="inlineStr">
        <is>
          <t>Hypertension</t>
        </is>
      </c>
      <c r="M85" s="18" t="inlineStr">
        <is>
          <t>Clinic</t>
        </is>
      </c>
      <c r="N85" s="18" t="inlineStr">
        <is>
          <t>ข้อ 67 (PLE_CC1_2561_Key.md)</t>
        </is>
      </c>
      <c r="O85" s="18" t="inlineStr">
        <is>
          <t>ข้อสอบจริง</t>
        </is>
      </c>
      <c r="P85" s="18" t="inlineStr">
        <is>
          <t>ปี 2561</t>
        </is>
      </c>
    </row>
    <row r="86">
      <c r="A86" s="15" t="inlineStr">
        <is>
          <t>84</t>
        </is>
      </c>
      <c r="B86" s="18" t="inlineStr">
        <is>
          <t>ข้อใดคือกลไกการออกฤทธิ์ของยา amlodipine</t>
        </is>
      </c>
      <c r="C86" s="18" t="inlineStr"/>
      <c r="D86" s="18" t="inlineStr">
        <is>
          <t>ยับยั้ง renin</t>
        </is>
      </c>
      <c r="E86" s="18" t="inlineStr">
        <is>
          <t>ยับยั้ง calcium channel</t>
        </is>
      </c>
      <c r="F86" s="18" t="inlineStr">
        <is>
          <t>ยับยั้ง beta-2 adrenergic receptor</t>
        </is>
      </c>
      <c r="G86" s="18" t="inlineStr">
        <is>
          <t>ยับยั้ง alpha-1 adrenergic receptor</t>
        </is>
      </c>
      <c r="H86" s="18" t="inlineStr">
        <is>
          <t>ยับยั้ง angiotensin converting enzyme</t>
        </is>
      </c>
      <c r="I86" s="15" t="inlineStr">
        <is>
          <t>1</t>
        </is>
      </c>
      <c r="J86" s="22" t="inlineStr">
        <is>
          <t>✅ คำตอบที่ถูกต้อง: ข้อ ก. ยับยั้ง renin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 renin การเลือก ยับยั้ง renin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 calcium channel): ข้อนี้ไม่ใช่คำตอบที่ถูกต้องสำหรับภาวะ Hypertension เนื่องจากกลไกการออกฤทธิ์, efficacy หรือข้อบ่งใช้ไม่ตรงกับโจทย์ที่กำหนด
• ข้อ ค. (ยับยั้ง beta-2 adrenergic receptor): ข้อนี้ไม่ใช่คำตอบที่ถูกต้องสำหรับภาวะ Hypertension เนื่องจากกลไกการออกฤทธิ์, efficacy หรือข้อบ่งใช้ไม่ตรงกับโจทย์ที่กำหนด
• ข้อ ง. (ยับยั้ง alpha-1 adrenergic receptor): ข้อนี้ไม่ใช่คำตอบที่ถูกต้องสำหรับภาวะ Hypertension เนื่องจากกลไกการออกฤทธิ์, efficacy หรือข้อบ่งใช้ไม่ตรงกับโจทย์ที่กำหนด
• ข้อ จ. (ยับยั้ง angiotensin converting enzyme):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6" s="18" t="inlineStr"/>
      <c r="L86" s="18" t="inlineStr">
        <is>
          <t>Hypertension</t>
        </is>
      </c>
      <c r="M86" s="18" t="inlineStr">
        <is>
          <t>Clinic</t>
        </is>
      </c>
      <c r="N86" s="18" t="inlineStr">
        <is>
          <t>ข้อ 97 (PLE_CC1_2561_Key.md)</t>
        </is>
      </c>
      <c r="O86" s="18" t="inlineStr">
        <is>
          <t>ข้อสอบจริง</t>
        </is>
      </c>
      <c r="P86" s="18" t="inlineStr">
        <is>
          <t>ปี 2561</t>
        </is>
      </c>
    </row>
    <row r="87">
      <c r="A87" s="15" t="inlineStr">
        <is>
          <t>85</t>
        </is>
      </c>
      <c r="B87" s="18" t="inlineStr">
        <is>
          <t>แพทยสั่งยา amlodipine 5 mg แต.ผู(ปcวยได(รับยา amiodarone 200 mg แทน หลังผู(ปcวยได(รับยาไปไม.เกิดอาการผิดปกติ ความคลาดเคลื่อนดังกล.าวจัดอยู.ในระดับใด a p I bit I</t>
        </is>
      </c>
      <c r="C87" s="18" t="inlineStr"/>
      <c r="D87" s="18" t="inlineStr">
        <is>
          <t>Amlodipine 5 mg OD</t>
        </is>
      </c>
      <c r="E87" s="18" t="inlineStr">
        <is>
          <t>Losartan 50 mg OD</t>
        </is>
      </c>
      <c r="F87" s="18" t="inlineStr">
        <is>
          <t>Enalapril 10 mg BID</t>
        </is>
      </c>
      <c r="G87" s="18" t="inlineStr">
        <is>
          <t>Hydrochlorothiazide 25 mg OD</t>
        </is>
      </c>
      <c r="H87" s="18" t="inlineStr">
        <is>
          <t>Atorvastatin 20 mg OD</t>
        </is>
      </c>
      <c r="I87" s="15" t="inlineStr">
        <is>
          <t>1</t>
        </is>
      </c>
      <c r="J8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7" s="18" t="inlineStr"/>
      <c r="L87" s="18" t="inlineStr">
        <is>
          <t>Hypertension</t>
        </is>
      </c>
      <c r="M87" s="18" t="inlineStr">
        <is>
          <t>Clinic</t>
        </is>
      </c>
      <c r="N87" s="18" t="inlineStr">
        <is>
          <t>ข้อ 98 (PLE_CC1_2561_Key.md)</t>
        </is>
      </c>
      <c r="O87" s="18" t="inlineStr">
        <is>
          <t>ข้อสอบจริง</t>
        </is>
      </c>
      <c r="P87" s="18" t="inlineStr">
        <is>
          <t>ปี 2561</t>
        </is>
      </c>
    </row>
    <row r="88">
      <c r="A88" s="15" t="inlineStr">
        <is>
          <t>86</t>
        </is>
      </c>
      <c r="B88" s="18" t="inlineStr">
        <is>
          <t>คนไข้คนใหม่ กิน Aspirin แล้วปวดท้อง จะต้องปรับปรุงสูตรต้ารับ โดยใช้สารเคลือบอะไร</t>
        </is>
      </c>
      <c r="C88" s="18" t="inlineStr"/>
      <c r="D88" s="18" t="inlineStr">
        <is>
          <t>Hypromellose</t>
        </is>
      </c>
      <c r="E88" s="18" t="inlineStr">
        <is>
          <t>Hydroxyproyl methylcellulose pthalate</t>
        </is>
      </c>
      <c r="F88" s="18" t="inlineStr">
        <is>
          <t>Methyl cellulose</t>
        </is>
      </c>
      <c r="G88" s="18" t="inlineStr">
        <is>
          <t>Ethyl cellulose</t>
        </is>
      </c>
      <c r="H88" s="18" t="inlineStr">
        <is>
          <t>amino methacrylate copolymer</t>
        </is>
      </c>
      <c r="I88" s="15" t="inlineStr">
        <is>
          <t>1</t>
        </is>
      </c>
      <c r="J88" s="22" t="inlineStr">
        <is>
          <t>✅ คำตอบที่ถูกต้อง: ข้อ ก. Hypromellose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Hypromellose การเลือก Hypromellose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(Hydroxyproyl methylcellulose pthalate): ข้อนี้ไม่ใช่คำตอบที่ถูกต้องสำหรับภาวะ Hypertension เนื่องจากกลไกการออกฤทธิ์, efficacy หรือข้อบ่งใช้ไม่ตรงกับโจทย์ที่กำหนด
• ข้อ ค. (Methyl cellulose): ข้อนี้ไม่ใช่คำตอบที่ถูกต้องสำหรับภาวะ Hypertension เนื่องจากกลไกการออกฤทธิ์, efficacy หรือข้อบ่งใช้ไม่ตรงกับโจทย์ที่กำหนด
• ข้อ ง. (Ethyl cellulose): ข้อนี้ไม่ใช่คำตอบที่ถูกต้องสำหรับภาวะ Hypertension เนื่องจากกลไกการออกฤทธิ์, efficacy หรือข้อบ่งใช้ไม่ตรงกับโจทย์ที่กำหนด
• ข้อ จ. (amino methacrylate copolymer):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18" t="inlineStr"/>
      <c r="L88" s="18" t="inlineStr">
        <is>
          <t>Hypertension</t>
        </is>
      </c>
      <c r="M88" s="18" t="inlineStr">
        <is>
          <t>Clinic</t>
        </is>
      </c>
      <c r="N88" s="18" t="inlineStr">
        <is>
          <t>ข้อ 7 (PLE_CC1_2560 22 April Set 1.md)</t>
        </is>
      </c>
      <c r="O88" s="18" t="inlineStr">
        <is>
          <t>ข้อสอบจริง</t>
        </is>
      </c>
      <c r="P88" s="18" t="inlineStr">
        <is>
          <t>ปี 2560</t>
        </is>
      </c>
    </row>
    <row r="89">
      <c r="A89" s="15" t="inlineStr">
        <is>
          <t>87</t>
        </is>
      </c>
      <c r="B89" s="18" t="inlineStr">
        <is>
          <t>Furosemide 40 mg ½ x 2 pc</t>
        </is>
      </c>
      <c r="C89" s="18" t="inlineStr"/>
      <c r="D89" s="18" t="inlineStr">
        <is>
          <t>Bisoprolol 5 mg OD</t>
        </is>
      </c>
      <c r="E89" s="18" t="inlineStr">
        <is>
          <t>Spironolactone 25 mg OD</t>
        </is>
      </c>
      <c r="F89" s="18" t="inlineStr">
        <is>
          <t>Clopidogrel 75 mg OD</t>
        </is>
      </c>
      <c r="G89" s="18" t="inlineStr">
        <is>
          <t>Aspirin 81 mg OD</t>
        </is>
      </c>
      <c r="H89" s="18" t="inlineStr">
        <is>
          <t>Sacubitril/Valsartan 49/51 mg BID</t>
        </is>
      </c>
      <c r="I89" s="15" t="inlineStr">
        <is>
          <t>1</t>
        </is>
      </c>
      <c r="J8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89" s="18" t="inlineStr"/>
      <c r="L89" s="18" t="inlineStr">
        <is>
          <t>Hypertension</t>
        </is>
      </c>
      <c r="M89" s="18" t="inlineStr">
        <is>
          <t>Clinic</t>
        </is>
      </c>
      <c r="N89" s="18" t="inlineStr">
        <is>
          <t>ข้อ 1 (PLE_CC1_2560 22 April Set 1.md)</t>
        </is>
      </c>
      <c r="O89" s="18" t="inlineStr">
        <is>
          <t>ข้อสอบจริง</t>
        </is>
      </c>
      <c r="P89" s="18" t="inlineStr">
        <is>
          <t>ปี 2560</t>
        </is>
      </c>
    </row>
    <row r="90">
      <c r="A90" s="15" t="inlineStr">
        <is>
          <t>88</t>
        </is>
      </c>
      <c r="B90" s="18" t="inlineStr">
        <is>
          <t>Enalapril 5 mg 1x1 pc</t>
        </is>
      </c>
      <c r="C90" s="18" t="inlineStr"/>
      <c r="D90" s="18" t="inlineStr">
        <is>
          <t>Aspirin 81 mg OD</t>
        </is>
      </c>
      <c r="E90" s="18" t="inlineStr">
        <is>
          <t>Sacubitril/Valsartan 49/51 mg BID</t>
        </is>
      </c>
      <c r="F90" s="18" t="inlineStr">
        <is>
          <t>Empagliflozin 10 mg OD</t>
        </is>
      </c>
      <c r="G90" s="18" t="inlineStr">
        <is>
          <t>Diltiazem 30 mg TID</t>
        </is>
      </c>
      <c r="H90" s="18" t="inlineStr">
        <is>
          <t>Warfarin 3 mg OD (target INR 2.0-3.0)</t>
        </is>
      </c>
      <c r="I90" s="15" t="inlineStr">
        <is>
          <t>1</t>
        </is>
      </c>
      <c r="J9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90" s="18" t="inlineStr"/>
      <c r="L90" s="18" t="inlineStr">
        <is>
          <t>Hypertension</t>
        </is>
      </c>
      <c r="M90" s="18" t="inlineStr">
        <is>
          <t>Clinic</t>
        </is>
      </c>
      <c r="N90" s="18" t="inlineStr">
        <is>
          <t>ข้อ 3 (PLE_CC1_2560 22 April Set 1.md)</t>
        </is>
      </c>
      <c r="O90" s="18" t="inlineStr">
        <is>
          <t>ข้อสอบจริง</t>
        </is>
      </c>
      <c r="P90" s="18" t="inlineStr">
        <is>
          <t>ปี 2560</t>
        </is>
      </c>
    </row>
    <row r="91">
      <c r="A91" s="15" t="inlineStr">
        <is>
          <t>89</t>
        </is>
      </c>
      <c r="B91" s="18" t="inlineStr">
        <is>
          <t>เกิด Angioedema จาก Enalapril ควรท้าอย่างไร</t>
        </is>
      </c>
      <c r="C91" s="18" t="inlineStr"/>
      <c r="D91" s="18" t="inlineStr">
        <is>
          <t>เปลี่ยนเป็น Lisinopril</t>
        </is>
      </c>
      <c r="E91" s="18" t="inlineStr">
        <is>
          <t>เปลี่ยนเป็น Candesartan</t>
        </is>
      </c>
      <c r="F91" s="18" t="inlineStr">
        <is>
          <t>ใช้ Enalapril ต่อ เดี๋ยวอาการจะดีขึ น พร้อมติดตามอย่างใกล้ชิด</t>
        </is>
      </c>
      <c r="G91" s="18" t="inlineStr">
        <is>
          <t>ลดขนาดยา Enalapril</t>
        </is>
      </c>
      <c r="H91" s="18" t="inlineStr">
        <is>
          <t>หยุดยาจนหาย แล้วค่อยลองใช้อีกครั ง ร่วมกับต้องติดตามอย่างใกล้ชิด</t>
        </is>
      </c>
      <c r="I91" s="15" t="inlineStr">
        <is>
          <t>1</t>
        </is>
      </c>
      <c r="J91" s="22" t="inlineStr">
        <is>
          <t>✅ คำตอบที่ถูกต้อง: ข้อ ก. เปลี่ยนเป็น Lisinopril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Lisinopril การเลือก เปลี่ยนเป็น Lisinopril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(เปลี่ยนเป็น Candesartan): ข้อนี้ไม่ใช่คำตอบที่ถูกต้องสำหรับภาวะ Hypertension เนื่องจากกลไกการออกฤทธิ์, efficacy หรือข้อบ่งใช้ไม่ตรงกับโจทย์ที่กำหนด
• ข้อ ค. (ใช้ Enalapril ต่อ เดี๋ยวอาการจะดีขึ น พร้อมติดตามอย่างใกล้ชิด): เป็น ACE inhibitor ลด Angiotensin II และ intraglomerular pressure มี renal protective efficacy เด่นชัดใน diabetic kidney disease แต่อาจเกิด dry cough จากการสะสมของ bradykinin
• ข้อ ง. (ลดขนาดยา Enalapril): เป็น ACE inhibitor ลด Angiotensin II และ intraglomerular pressure มี renal protective efficacy เด่นชัดใน diabetic kidney disease แต่อาจเกิด dry cough จากการสะสมของ bradykinin
• ข้อ จ. (หยุดยาจนหาย แล้วค่อยลองใช้อีกครั ง ร่วมกับต้องติดตามอย่างใกล้ชิด):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91" s="18" t="inlineStr"/>
      <c r="L91" s="18" t="inlineStr">
        <is>
          <t>Hypertension</t>
        </is>
      </c>
      <c r="M91" s="18" t="inlineStr">
        <is>
          <t>Clinic</t>
        </is>
      </c>
      <c r="N91" s="18" t="inlineStr">
        <is>
          <t>ข้อ 3 (PLE_CC1_2560 22 April Set 1.md)</t>
        </is>
      </c>
      <c r="O91" s="18" t="inlineStr">
        <is>
          <t>ข้อสอบจริง</t>
        </is>
      </c>
      <c r="P91" s="18" t="inlineStr">
        <is>
          <t>ปี 2560</t>
        </is>
      </c>
    </row>
    <row r="92">
      <c r="A92" s="15" t="inlineStr">
        <is>
          <t>90</t>
        </is>
      </c>
      <c r="B92" s="18" t="inlineStr">
        <is>
          <t>ข้อใดเป็นอาการไม่พึงประสงค์ของยา enalapril</t>
        </is>
      </c>
      <c r="C92" s="18" t="inlineStr"/>
      <c r="D92" s="18" t="inlineStr">
        <is>
          <t>Hepatotoxicity</t>
        </is>
      </c>
      <c r="E92" s="18" t="inlineStr">
        <is>
          <t>Tachycardia</t>
        </is>
      </c>
      <c r="F92" s="18" t="inlineStr">
        <is>
          <t>Seizure</t>
        </is>
      </c>
      <c r="G92" s="18" t="inlineStr">
        <is>
          <t>Hyperkalemia รวมโดย Phongsathorn Phlaisaithong Rx 9 UP 10 | P a g e</t>
        </is>
      </c>
      <c r="H92" s="18" t="inlineStr">
        <is>
          <t>Parkinsonism</t>
        </is>
      </c>
      <c r="I92" s="15" t="inlineStr">
        <is>
          <t>1</t>
        </is>
      </c>
      <c r="J92" s="22"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(Tachycardia): ข้อนี้ไม่ใช่คำตอบที่ถูกต้องสำหรับภาวะ Hypertension เนื่องจากกลไกการออกฤทธิ์, efficacy หรือข้อบ่งใช้ไม่ตรงกับโจทย์ที่กำหนด
• ข้อ ค. (Seizure): ข้อนี้ไม่ใช่คำตอบที่ถูกต้องสำหรับภาวะ Hypertension เนื่องจากกลไกการออกฤทธิ์, efficacy หรือข้อบ่งใช้ไม่ตรงกับโจทย์ที่กำหนด
• ข้อ ง. (Hyperkalemia รวมโดย Phongsathorn Phlaisaithong Rx 9 UP 10 | P a g e): ข้อนี้ไม่ใช่คำตอบที่ถูกต้องสำหรับภาวะ Hypertension เนื่องจากกลไกการออกฤทธิ์, efficacy หรือข้อบ่งใช้ไม่ตรงกับโจทย์ที่กำหนด
• ข้อ จ. (Parkinsonism):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92" s="18" t="inlineStr"/>
      <c r="L92" s="18" t="inlineStr">
        <is>
          <t>Hypertension</t>
        </is>
      </c>
      <c r="M92" s="18" t="inlineStr">
        <is>
          <t>Clinic</t>
        </is>
      </c>
      <c r="N92" s="18" t="inlineStr">
        <is>
          <t>ข้อ 4 (PLE_CC1_2560 22 April Set 1.md)</t>
        </is>
      </c>
      <c r="O92" s="18" t="inlineStr">
        <is>
          <t>ข้อสอบจริง</t>
        </is>
      </c>
      <c r="P92" s="18" t="inlineStr">
        <is>
          <t>ปี 2560</t>
        </is>
      </c>
    </row>
    <row r="93">
      <c r="A93" s="15" t="inlineStr">
        <is>
          <t>91</t>
        </is>
      </c>
      <c r="B93" s="18" t="inlineStr">
        <is>
          <t>ในการผลิตระดับอุตสาหกรรม ต้องใช้น ้าอะไร ในการผลิต Furosemide injection</t>
        </is>
      </c>
      <c r="C93" s="18" t="inlineStr"/>
      <c r="D93" s="18" t="inlineStr">
        <is>
          <t>Purified water</t>
        </is>
      </c>
      <c r="E93" s="18" t="inlineStr">
        <is>
          <t>Water for injection USP</t>
        </is>
      </c>
      <c r="F93" s="18" t="inlineStr">
        <is>
          <t>Sterile water for injection USP</t>
        </is>
      </c>
      <c r="G93" s="18" t="inlineStr">
        <is>
          <t>Steril water for irrigation USP</t>
        </is>
      </c>
      <c r="H93" s="18" t="inlineStr">
        <is>
          <t>Bacteriostatic water for injection USP</t>
        </is>
      </c>
      <c r="I93" s="15" t="inlineStr">
        <is>
          <t>1</t>
        </is>
      </c>
      <c r="J93" s="22" t="inlineStr">
        <is>
          <t>✅ คำตอบที่ถูกต้อง: ข้อ ก. Purified water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Purified water การเลือก Purified water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(Water for injection USP): วัคซีนไข้สมองอักเสบเจอี ชนิดเชื้อเป็น (Live attenuated CD.JEV) ให้ 2 เข็ม ที่อายุ 9-12 เดือน และเข็ม 2 ห่างกัน 3-12 เดือน
• ข้อ ค. (Sterile water for injection USP): วัคซีนไข้สมองอักเสบเจอี ชนิดเชื้อเป็น (Live attenuated CD.JEV) ให้ 2 เข็ม ที่อายุ 9-12 เดือน และเข็ม 2 ห่างกัน 3-12 เดือน
• ข้อ ง. (Steril water for irrigation USP): ข้อนี้ไม่ใช่คำตอบที่ถูกต้องสำหรับภาวะ Hypertension เนื่องจากกลไกการออกฤทธิ์, efficacy หรือข้อบ่งใช้ไม่ตรงกับโจทย์ที่กำหนด
• ข้อ จ. (Bacteriostatic water for injection USP):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93" s="18" t="inlineStr"/>
      <c r="L93" s="18" t="inlineStr">
        <is>
          <t>Hypertension</t>
        </is>
      </c>
      <c r="M93" s="18" t="inlineStr">
        <is>
          <t>Clinic</t>
        </is>
      </c>
      <c r="N93" s="18" t="inlineStr">
        <is>
          <t>ข้อ 8 (PLE_CC1_2560 22 April Set 1.md)</t>
        </is>
      </c>
      <c r="O93" s="18" t="inlineStr">
        <is>
          <t>ข้อสอบจริง</t>
        </is>
      </c>
      <c r="P93" s="18" t="inlineStr">
        <is>
          <t>ปี 2560</t>
        </is>
      </c>
    </row>
    <row r="94">
      <c r="A94" s="15" t="inlineStr">
        <is>
          <t>92</t>
        </is>
      </c>
      <c r="B94" s="18" t="inlineStr">
        <is>
          <t>ยาใดท้าให้ Hyperkalemia</t>
        </is>
      </c>
      <c r="C94" s="18" t="inlineStr"/>
      <c r="D94" s="18" t="inlineStr">
        <is>
          <t>Aspirin</t>
        </is>
      </c>
      <c r="E94" s="18" t="inlineStr">
        <is>
          <t>Moduretic</t>
        </is>
      </c>
      <c r="F94" s="18" t="inlineStr">
        <is>
          <t>Glipizide รวมโดย Phongsathorn Phlaisaithong Rx 9 UP 13 | P a g e</t>
        </is>
      </c>
      <c r="G94" s="18" t="inlineStr">
        <is>
          <t>Amlodipine</t>
        </is>
      </c>
      <c r="H94" s="18" t="inlineStr">
        <is>
          <t>Omeprazole</t>
        </is>
      </c>
      <c r="I94" s="15" t="inlineStr">
        <is>
          <t>1</t>
        </is>
      </c>
      <c r="J94" s="22"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(Moduretic): ข้อนี้ไม่ใช่คำตอบที่ถูกต้องสำหรับภาวะ Hypertension เนื่องจากกลไกการออกฤทธิ์, efficacy หรือข้อบ่งใช้ไม่ตรงกับโจทย์ที่กำหนด
• ข้อ ค. (Glipizide รวมโดย Phongsathorn Phlaisaithong Rx 9 UP 13 | P a g 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8" t="inlineStr"/>
      <c r="L94" s="18" t="inlineStr">
        <is>
          <t>Hypertension</t>
        </is>
      </c>
      <c r="M94" s="18" t="inlineStr">
        <is>
          <t>Clinic</t>
        </is>
      </c>
      <c r="N94" s="18" t="inlineStr">
        <is>
          <t>ข้อ 1 (PLE_CC1_2560 22 April Set 1.md)</t>
        </is>
      </c>
      <c r="O94" s="18" t="inlineStr">
        <is>
          <t>ข้อสอบจริง</t>
        </is>
      </c>
      <c r="P94" s="18" t="inlineStr">
        <is>
          <t>ปี 2560</t>
        </is>
      </c>
    </row>
    <row r="95">
      <c r="A95" s="15" t="inlineStr">
        <is>
          <t>93</t>
        </is>
      </c>
      <c r="B95" s="18" t="inlineStr">
        <is>
          <t>หลังจากหยุดยาที่เป็นสาเหตุแล้วจะจัดการภาวะ hyperkalemia ในผู้ป่วยรายนี อย่างไร</t>
        </is>
      </c>
      <c r="C95" s="18" t="inlineStr"/>
      <c r="D95" s="18" t="inlineStr">
        <is>
          <t>ฉีด Insulin</t>
        </is>
      </c>
      <c r="E95" s="18" t="inlineStr">
        <is>
          <t>พ่น Salbutamol</t>
        </is>
      </c>
      <c r="F95" s="18" t="inlineStr">
        <is>
          <t>ฉีด Calcium gluconate</t>
        </is>
      </c>
      <c r="G95" s="18" t="inlineStr">
        <is>
          <t>ไปฟอกไต</t>
        </is>
      </c>
      <c r="H95" s="18" t="inlineStr">
        <is>
          <t>ไม่ต้องใช้ยารักษาอะไร</t>
        </is>
      </c>
      <c r="I95" s="15" t="inlineStr">
        <is>
          <t>1</t>
        </is>
      </c>
      <c r="J95" s="22"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(ฉีด Calcium gluconate): ข้อนี้ไม่ใช่คำตอบที่ถูกต้องสำหรับภาวะ Hypertension เนื่องจากกลไกการออกฤทธิ์, efficacy หรือข้อบ่งใช้ไม่ตรงกับโจทย์ที่กำหนด
• ข้อ ง. (ไปฟอกไต): ข้อนี้ไม่ใช่คำตอบที่ถูกต้องสำหรับภาวะ Hypertension เนื่องจากกลไกการออกฤทธิ์, efficacy หรือข้อบ่งใช้ไม่ตรงกับโจทย์ที่กำหนด
• ข้อ จ. (ไม่ต้องใช้ยารักษาอะไร):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18" t="inlineStr"/>
      <c r="L95" s="18" t="inlineStr">
        <is>
          <t>Hypertension</t>
        </is>
      </c>
      <c r="M95" s="18" t="inlineStr">
        <is>
          <t>Clinic</t>
        </is>
      </c>
      <c r="N95" s="18" t="inlineStr">
        <is>
          <t>ข้อ 4 (PLE_CC1_2560 22 April Set 1.md)</t>
        </is>
      </c>
      <c r="O95" s="18" t="inlineStr">
        <is>
          <t>ข้อสอบจริง</t>
        </is>
      </c>
      <c r="P95" s="18" t="inlineStr">
        <is>
          <t>ปี 2560</t>
        </is>
      </c>
    </row>
    <row r="96">
      <c r="A96" s="15" t="inlineStr">
        <is>
          <t>94</t>
        </is>
      </c>
      <c r="B96" s="18" t="inlineStr">
        <is>
          <t>Lab ใดที่ไม่บ่งบอกภาวะ Iron deficiency anemia</t>
        </is>
      </c>
      <c r="C96" s="18" t="inlineStr"/>
      <c r="D96" s="18" t="inlineStr">
        <is>
          <t>MCV</t>
        </is>
      </c>
      <c r="E96" s="18" t="inlineStr">
        <is>
          <t>Ferritin</t>
        </is>
      </c>
      <c r="F96" s="18" t="inlineStr">
        <is>
          <t>TSAT</t>
        </is>
      </c>
      <c r="G96" s="18" t="inlineStr">
        <is>
          <t>TIBC</t>
        </is>
      </c>
      <c r="H96" s="18" t="inlineStr">
        <is>
          <t>Reticulocyte count</t>
        </is>
      </c>
      <c r="I96" s="15" t="inlineStr">
        <is>
          <t>1</t>
        </is>
      </c>
      <c r="J96" s="22"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ข้อนี้ไม่ใช่คำตอบที่ถูกต้องสำหรับภาวะ Hypertension เนื่องจากกลไกการออกฤทธิ์, efficacy หรือข้อบ่งใช้ไม่ตรงกับโจทย์ที่กำหนด
• ข้อ ค. (TSAT): ข้อนี้ไม่ใช่คำตอบที่ถูกต้องสำหรับภาวะ Hypertension เนื่องจากกลไกการออกฤทธิ์, efficacy หรือข้อบ่งใช้ไม่ตรงกับโจทย์ที่กำหนด
• ข้อ ง. (TIBC): ข้อนี้ไม่ใช่คำตอบที่ถูกต้องสำหรับภาวะ Hypertension เนื่องจากกลไกการออกฤทธิ์, efficacy หรือข้อบ่งใช้ไม่ตรงกับโจทย์ที่กำหนด
• ข้อ จ. (Reticulocyte count):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8" t="inlineStr"/>
      <c r="L96" s="18" t="inlineStr">
        <is>
          <t>Hypertension</t>
        </is>
      </c>
      <c r="M96" s="18" t="inlineStr">
        <is>
          <t>Clinic</t>
        </is>
      </c>
      <c r="N96" s="18" t="inlineStr">
        <is>
          <t>ข้อ 6 (PLE_CC1_2560 22 April Set 1.md)</t>
        </is>
      </c>
      <c r="O96" s="18" t="inlineStr">
        <is>
          <t>ข้อสอบจริง</t>
        </is>
      </c>
      <c r="P96" s="18" t="inlineStr">
        <is>
          <t>ปี 2560</t>
        </is>
      </c>
    </row>
    <row r="97">
      <c r="A97" s="15" t="inlineStr">
        <is>
          <t>95</t>
        </is>
      </c>
      <c r="B97" s="18" t="inlineStr">
        <is>
          <t>ต่อมาคนให้เป็น Acute kidney injury on top CKD มีภาวะ Hyperkalemia ถามว่า ยาใดที่เป็น Ion exchange</t>
        </is>
      </c>
      <c r="C97" s="18" t="inlineStr"/>
      <c r="D97" s="18" t="inlineStr">
        <is>
          <t>Calcium polystyrene sulfonate</t>
        </is>
      </c>
      <c r="E97" s="18" t="inlineStr">
        <is>
          <t>Insulin</t>
        </is>
      </c>
      <c r="F97" s="18" t="inlineStr">
        <is>
          <t>Calcium gluconate</t>
        </is>
      </c>
      <c r="G97" s="18" t="inlineStr">
        <is>
          <t>Beta 2 agonist รวมโดย Phongsathorn Phlaisaithong Rx 9 UP 14 | P a g e</t>
        </is>
      </c>
      <c r="H97" s="18" t="inlineStr">
        <is>
          <t>Sodium bicarbonate</t>
        </is>
      </c>
      <c r="I97" s="15" t="inlineStr">
        <is>
          <t>1</t>
        </is>
      </c>
      <c r="J97" s="22"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ข้อนี้ไม่ใช่คำตอบที่ถูกต้องสำหรับภาวะ Hypertension เนื่องจากกลไกการออกฤทธิ์, efficacy หรือข้อบ่งใช้ไม่ตรงกับโจทย์ที่กำหนด
• ข้อ ค. (Calcium gluconate): ข้อนี้ไม่ใช่คำตอบที่ถูกต้องสำหรับภาวะ Hypertension เนื่องจากกลไกการออกฤทธิ์, efficacy หรือข้อบ่งใช้ไม่ตรงกับโจทย์ที่กำหนด
• ข้อ ง. (Beta 2 agonist รวมโดย Phongsathorn Phlaisaithong Rx 9 UP 14 | P a g e): ข้อนี้ไม่ใช่คำตอบที่ถูกต้องสำหรับภาวะ Hypertension เนื่องจากกลไกการออกฤทธิ์, efficacy หรือข้อบ่งใช้ไม่ตรงกับโจทย์ที่กำหนด
• ข้อ จ. (Sodium bicarbonate):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18" t="inlineStr"/>
      <c r="L97" s="18" t="inlineStr">
        <is>
          <t>Hypertension</t>
        </is>
      </c>
      <c r="M97" s="18" t="inlineStr">
        <is>
          <t>Clinic</t>
        </is>
      </c>
      <c r="N97" s="18" t="inlineStr">
        <is>
          <t>ข้อ 7 (PLE_CC1_2560 22 April Set 1.md)</t>
        </is>
      </c>
      <c r="O97" s="18" t="inlineStr">
        <is>
          <t>ข้อสอบจริง</t>
        </is>
      </c>
      <c r="P97" s="18" t="inlineStr">
        <is>
          <t>ปี 2560</t>
        </is>
      </c>
    </row>
    <row r="98">
      <c r="A98" s="15" t="inlineStr">
        <is>
          <t>96</t>
        </is>
      </c>
      <c r="B98" s="18" t="inlineStr">
        <is>
          <t>ข้อใดไม่ใช่ข้อห้ามใช้ของ Ergotamine</t>
        </is>
      </c>
      <c r="C98" s="18" t="inlineStr"/>
      <c r="D98" s="18" t="inlineStr">
        <is>
          <t>Hypothyroidism</t>
        </is>
      </c>
      <c r="E98" s="18" t="inlineStr">
        <is>
          <t>Myocardial infarction</t>
        </is>
      </c>
      <c r="F98" s="18" t="inlineStr">
        <is>
          <t>Transient ischemic attack</t>
        </is>
      </c>
      <c r="G98" s="18" t="inlineStr">
        <is>
          <t>Pregnancy</t>
        </is>
      </c>
      <c r="H98" s="18" t="inlineStr">
        <is>
          <t>Poorly controlled hypertension รวมโดย Phongsathorn Phlaisaithong Rx 9 UP 15 | P a g e</t>
        </is>
      </c>
      <c r="I98" s="15" t="inlineStr">
        <is>
          <t>1</t>
        </is>
      </c>
      <c r="J98" s="22"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ข้อนี้ไม่ใช่คำตอบที่ถูกต้องสำหรับภาวะ Hypertension เนื่องจากกลไกการออกฤทธิ์, efficacy หรือข้อบ่งใช้ไม่ตรงกับโจทย์ที่กำหนด
• ข้อ ค. (Transient ischemic attack): ข้อนี้ไม่ใช่คำตอบที่ถูกต้องสำหรับภาวะ Hypertension เนื่องจากกลไกการออกฤทธิ์, efficacy หรือข้อบ่งใช้ไม่ตรงกับโจทย์ที่กำหนด
• ข้อ ง. (Pregnancy): ข้อนี้ไม่ใช่คำตอบที่ถูกต้องสำหรับภาวะ Hypertension เนื่องจากกลไกการออกฤทธิ์, efficacy หรือข้อบ่งใช้ไม่ตรงกับโจทย์ที่กำหนด
• ข้อ จ. (Poorly controlled hypertension รวมโดย Phongsathorn Phlaisaithong Rx 9 UP 15 | P a g 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8" s="18" t="inlineStr"/>
      <c r="L98" s="18" t="inlineStr">
        <is>
          <t>Hypertension</t>
        </is>
      </c>
      <c r="M98" s="18" t="inlineStr">
        <is>
          <t>Clinic</t>
        </is>
      </c>
      <c r="N98" s="18" t="inlineStr">
        <is>
          <t>ข้อ 1 (PLE_CC1_2560 22 April Set 1.md)</t>
        </is>
      </c>
      <c r="O98" s="18" t="inlineStr">
        <is>
          <t>ข้อสอบจริง</t>
        </is>
      </c>
      <c r="P98" s="18" t="inlineStr">
        <is>
          <t>ปี 2560</t>
        </is>
      </c>
    </row>
    <row r="99">
      <c r="A99" s="15" t="inlineStr">
        <is>
          <t>97</t>
        </is>
      </c>
      <c r="B99" s="18" t="inlineStr">
        <is>
          <t>ข้อใดผิดเกี่ยวกับการรับประทาน Ergotamine</t>
        </is>
      </c>
      <c r="C99" s="18" t="inlineStr"/>
      <c r="D99" s="18" t="inlineStr">
        <is>
          <t>รับประทาน 2 เม็ด ทันทีที่มีอาการ</t>
        </is>
      </c>
      <c r="E99" s="18" t="inlineStr">
        <is>
          <t>รอ 1 ชั่วโมง ถ้ายังมีอาการให้ทานเพิ่ม</t>
        </is>
      </c>
      <c r="F99" s="18" t="inlineStr">
        <is>
          <t>รับประทานยาอีก 1 เม็ด หากอาการไม่ดีขึ น ทุก 30 นาที</t>
        </is>
      </c>
      <c r="G99" s="18" t="inlineStr">
        <is>
          <t>รับประทานได้ไม่เกิน 6 เม็ด ต่อการปวด 1 ครั ง</t>
        </is>
      </c>
      <c r="H99" s="18" t="inlineStr">
        <is>
          <t>รับประทานไม่เกิน 10 เม็ด ต่อสัปดาห์</t>
        </is>
      </c>
      <c r="I99" s="15" t="inlineStr">
        <is>
          <t>1</t>
        </is>
      </c>
      <c r="J99" s="22"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(รอ 1 ชั่วโมง ถ้ายังมีอาการให้ทานเพิ่ม): ข้อนี้ไม่ใช่คำตอบที่ถูกต้องสำหรับภาวะ Hypertension เนื่องจากกลไกการออกฤทธิ์, efficacy หรือข้อบ่งใช้ไม่ตรงกับโจทย์ที่กำหนด
• ข้อ ค. (รับประทานยาอีก 1 เม็ด หากอาการไม่ดีขึ น ทุก 30 นาที): ข้อนี้ไม่ใช่คำตอบที่ถูกต้องสำหรับภาวะ Hypertension เนื่องจากกลไกการออกฤทธิ์, efficacy หรือข้อบ่งใช้ไม่ตรงกับโจทย์ที่กำหนด
• ข้อ ง. (รับประทานได้ไม่เกิน 6 เม็ด ต่อการปวด 1 ครั ง): ข้อนี้ไม่ใช่คำตอบที่ถูกต้องสำหรับภาวะ Hypertension เนื่องจากกลไกการออกฤทธิ์, efficacy หรือข้อบ่งใช้ไม่ตรงกับโจทย์ที่กำหนด
• ข้อ จ. (รับประทานไม่เกิน 10 เม็ด ต่อสัปดาห์):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18" t="inlineStr"/>
      <c r="L99" s="18" t="inlineStr">
        <is>
          <t>Hypertension</t>
        </is>
      </c>
      <c r="M99" s="18" t="inlineStr">
        <is>
          <t>Clinic</t>
        </is>
      </c>
      <c r="N99" s="18" t="inlineStr">
        <is>
          <t>ข้อ 2 (PLE_CC1_2560 22 April Set 1.md)</t>
        </is>
      </c>
      <c r="O99" s="18" t="inlineStr">
        <is>
          <t>ข้อสอบจริง</t>
        </is>
      </c>
      <c r="P99" s="18" t="inlineStr">
        <is>
          <t>ปี 2560</t>
        </is>
      </c>
    </row>
    <row r="100">
      <c r="A100" s="15" t="inlineStr">
        <is>
          <t>98</t>
        </is>
      </c>
      <c r="B100" s="18" t="inlineStr">
        <is>
          <t>โครงสร้างของ Ergotamine ข้อใดถูก</t>
        </is>
      </c>
      <c r="C100" s="18" t="inlineStr"/>
      <c r="D100" s="18" t="inlineStr">
        <is>
          <t>มี Chiral carbon 4 ต้าแหน่ง</t>
        </is>
      </c>
      <c r="E100" s="18" t="inlineStr">
        <is>
          <t>ละลายน ้าดี</t>
        </is>
      </c>
      <c r="F100" s="18" t="inlineStr">
        <is>
          <t>pKa = 4.0</t>
        </is>
      </c>
      <c r="G100" s="18" t="inlineStr">
        <is>
          <t>ดูดซึมได้ดี</t>
        </is>
      </c>
      <c r="H100" s="18" t="inlineStr">
        <is>
          <t>เป็น Indole alkaloid</t>
        </is>
      </c>
      <c r="I100" s="15" t="inlineStr">
        <is>
          <t>1</t>
        </is>
      </c>
      <c r="J100" s="22"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(ละลายน ้าดี): ข้อนี้ไม่ใช่คำตอบที่ถูกต้องสำหรับภาวะ Hypertension เนื่องจากกลไกการออกฤทธิ์, efficacy หรือข้อบ่งใช้ไม่ตรงกับโจทย์ที่กำหนด
• ข้อ ค. (pKa = 4.0): ข้อนี้ไม่ใช่คำตอบที่ถูกต้องสำหรับภาวะ Hypertension เนื่องจากกลไกการออกฤทธิ์, efficacy หรือข้อบ่งใช้ไม่ตรงกับโจทย์ที่กำหนด
• ข้อ ง. (ดูดซึมได้ดี): ข้อนี้ไม่ใช่คำตอบที่ถูกต้องสำหรับภาวะ Hypertension เนื่องจากกลไกการออกฤทธิ์, efficacy หรือข้อบ่งใช้ไม่ตรงกับโจทย์ที่กำหนด
• ข้อ จ. (เป็น Indole alkaloid):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18" t="inlineStr"/>
      <c r="L100" s="18" t="inlineStr">
        <is>
          <t>Hypertension</t>
        </is>
      </c>
      <c r="M100" s="18" t="inlineStr">
        <is>
          <t>Clinic</t>
        </is>
      </c>
      <c r="N100" s="18" t="inlineStr">
        <is>
          <t>ข้อ 3 (PLE_CC1_2560 22 April Set 1.md)</t>
        </is>
      </c>
      <c r="O100" s="18" t="inlineStr">
        <is>
          <t>ข้อสอบจริง</t>
        </is>
      </c>
      <c r="P100" s="18" t="inlineStr">
        <is>
          <t>ปี 2560</t>
        </is>
      </c>
    </row>
    <row r="101">
      <c r="A101" s="15" t="inlineStr">
        <is>
          <t>99</t>
        </is>
      </c>
      <c r="B101" s="18" t="inlineStr">
        <is>
          <t>เป้าหมายความดันโลหิตของผู้ป่วยรายนี ตาม ADA2016</t>
        </is>
      </c>
      <c r="C101" s="18" t="inlineStr"/>
      <c r="D101" s="18" t="inlineStr">
        <is>
          <t>130/80</t>
        </is>
      </c>
      <c r="E101" s="18" t="inlineStr">
        <is>
          <t>140/90</t>
        </is>
      </c>
      <c r="F101" s="18" t="inlineStr">
        <is>
          <t>150/90</t>
        </is>
      </c>
      <c r="G101" s="18" t="inlineStr">
        <is>
          <t>130/70 รวมโดย Phongsathorn Phlaisaithong Rx 9 UP 17 | P a g e</t>
        </is>
      </c>
      <c r="H101" s="18" t="inlineStr">
        <is>
          <t>Losartan 50 mg OD</t>
        </is>
      </c>
      <c r="I101" s="15" t="inlineStr">
        <is>
          <t>1</t>
        </is>
      </c>
      <c r="J101" s="22" t="inlineStr">
        <is>
          <t>✅ คำตอบที่ถูกต้อง: ข้อ ก. 130/80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การเลือก 130/80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ข้อนี้ไม่ใช่คำตอบที่ถูกต้องสำหรับภาวะ Hypertension เนื่องจากกลไกการออกฤทธิ์, efficacy หรือข้อบ่งใช้ไม่ตรงกับโจทย์ที่กำหนด
• ข้อ ค. (150/90): ข้อนี้ไม่ใช่คำตอบที่ถูกต้องสำหรับภาวะ Hypertension เนื่องจากกลไกการออกฤทธิ์, efficacy หรือข้อบ่งใช้ไม่ตรงกับโจทย์ที่กำหนด
• ข้อ ง. (130/70 รวมโดย Phongsathorn Phlaisaithong Rx 9 UP 17 | P a g e): ข้อนี้ไม่ใช่คำตอบที่ถูกต้องสำหรับภาวะ Hypertension เนื่องจากกลไกการออกฤทธิ์, efficacy หรือข้อบ่งใช้ไม่ตรงกับโจทย์ที่กำหนด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1" s="18" t="inlineStr"/>
      <c r="L101" s="18" t="inlineStr">
        <is>
          <t>Hypertension</t>
        </is>
      </c>
      <c r="M101" s="18" t="inlineStr">
        <is>
          <t>Clinic</t>
        </is>
      </c>
      <c r="N101" s="18" t="inlineStr">
        <is>
          <t>ข้อ 2 (PLE_CC1_2560 22 April Set 1.md)</t>
        </is>
      </c>
      <c r="O101" s="18" t="inlineStr">
        <is>
          <t>ข้อสอบจริง</t>
        </is>
      </c>
      <c r="P101" s="18" t="inlineStr">
        <is>
          <t>ปี 2560</t>
        </is>
      </c>
    </row>
    <row r="102">
      <c r="A102" s="15" t="inlineStr">
        <is>
          <t>100</t>
        </is>
      </c>
      <c r="B102" s="18" t="inlineStr">
        <is>
          <t>ปัจจัยใดท้าให้ผู้ป่วยได้รับ Aspirin</t>
        </is>
      </c>
      <c r="C102" s="18" t="inlineStr"/>
      <c r="D102" s="18" t="inlineStr">
        <is>
          <t>อายุ</t>
        </is>
      </c>
      <c r="E102" s="18" t="inlineStr">
        <is>
          <t>อ้วน</t>
        </is>
      </c>
      <c r="F102" s="18" t="inlineStr">
        <is>
          <t>แอลกอฮอล์</t>
        </is>
      </c>
      <c r="G102" s="18" t="inlineStr">
        <is>
          <t>ไม่ออกก้าลังกาย</t>
        </is>
      </c>
      <c r="H102" s="18" t="inlineStr">
        <is>
          <t>เพศ</t>
        </is>
      </c>
      <c r="I102" s="15" t="inlineStr">
        <is>
          <t>1</t>
        </is>
      </c>
      <c r="J102" s="22"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ข้อนี้ไม่ใช่คำตอบที่ถูกต้องสำหรับภาวะ Hypertension เนื่องจากกลไกการออกฤทธิ์, efficacy หรือข้อบ่งใช้ไม่ตรงกับโจทย์ที่กำหนด
• ข้อ ค. (แอลกอฮอล์): ข้อนี้ไม่ใช่คำตอบที่ถูกต้องสำหรับภาวะ Hypertension เนื่องจากกลไกการออกฤทธิ์, efficacy หรือข้อบ่งใช้ไม่ตรงกับโจทย์ที่กำหนด
• ข้อ ง. (ไม่ออกก้าลังกาย): ข้อนี้ไม่ใช่คำตอบที่ถูกต้องสำหรับภาวะ Hypertension เนื่องจากกลไกการออกฤทธิ์, efficacy หรือข้อบ่งใช้ไม่ตรงกับโจทย์ที่กำหนด
• ข้อ จ. (เพศ):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18" t="inlineStr"/>
      <c r="L102" s="18" t="inlineStr">
        <is>
          <t>Hypertension</t>
        </is>
      </c>
      <c r="M102" s="18" t="inlineStr">
        <is>
          <t>Clinic</t>
        </is>
      </c>
      <c r="N102" s="18" t="inlineStr">
        <is>
          <t>ข้อ 3 (PLE_CC1_2560 22 April Set 1.md)</t>
        </is>
      </c>
      <c r="O102" s="18" t="inlineStr">
        <is>
          <t>ข้อสอบจริง</t>
        </is>
      </c>
      <c r="P102" s="18" t="inlineStr">
        <is>
          <t>ปี 2560</t>
        </is>
      </c>
    </row>
    <row r="103">
      <c r="A103" s="15" t="inlineStr">
        <is>
          <t>101</t>
        </is>
      </c>
      <c r="B103" s="18" t="inlineStr">
        <is>
          <t>คนไข้น ้าตาลสูงมาก HbA1C 10%, FBS 320 mg/dL, SCr 2 ได้รับ Insulin Mixtard 8-0-4 ac ข้อใด ถูกต้องเกี่ยวกับ Mixtard</t>
        </is>
      </c>
      <c r="C103" s="18" t="inlineStr"/>
      <c r="D103" s="18" t="inlineStr">
        <is>
          <t>ออกฤทธิ์ช้ากว่า Glulisine</t>
        </is>
      </c>
      <c r="E103" s="18" t="inlineStr">
        <is>
          <t>ประกอบด้วย NPH 30%, RI 70%</t>
        </is>
      </c>
      <c r="F103" s="18" t="inlineStr">
        <is>
          <t>แก้ไขภาวะ Diabetic ketoacidosis</t>
        </is>
      </c>
      <c r="G103" s="18" t="inlineStr">
        <is>
          <t>เกิด Hypoglycemia น้อยกว่า Lispro</t>
        </is>
      </c>
      <c r="H103" s="18" t="inlineStr">
        <is>
          <t>สามารถฉีดได้ทั ง SC และ IV</t>
        </is>
      </c>
      <c r="I103" s="15" t="inlineStr">
        <is>
          <t>1</t>
        </is>
      </c>
      <c r="J103" s="22"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ข้อนี้ไม่ใช่คำตอบที่ถูกต้องสำหรับภาวะ Hypertension เนื่องจากกลไกการออกฤทธิ์, efficacy หรือข้อบ่งใช้ไม่ตรงกับโจทย์ที่กำหนด
• ข้อ ค. (แก้ไขภาวะ Diabetic ketoacidosis): ข้อนี้ไม่ใช่คำตอบที่ถูกต้องสำหรับภาวะ Hypertension เนื่องจากกลไกการออกฤทธิ์, efficacy หรือข้อบ่งใช้ไม่ตรงกับโจทย์ที่กำหนด
• ข้อ ง. (เกิด Hypoglycemia น้อยกว่า Lispro): ข้อนี้ไม่ใช่คำตอบที่ถูกต้องสำหรับภาวะ Hypertension เนื่องจากกลไกการออกฤทธิ์, efficacy หรือข้อบ่งใช้ไม่ตรงกับโจทย์ที่กำหนด
• ข้อ จ. (สามารถฉีดได้ทั ง SC และ IV):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18" t="inlineStr"/>
      <c r="L103" s="18" t="inlineStr">
        <is>
          <t>Hypertension</t>
        </is>
      </c>
      <c r="M103" s="18" t="inlineStr">
        <is>
          <t>Clinic</t>
        </is>
      </c>
      <c r="N103" s="18" t="inlineStr">
        <is>
          <t>ข้อ 5 (PLE_CC1_2560 22 April Set 1.md)</t>
        </is>
      </c>
      <c r="O103" s="18" t="inlineStr">
        <is>
          <t>ข้อสอบจริง</t>
        </is>
      </c>
      <c r="P103" s="18" t="inlineStr">
        <is>
          <t>ปี 2560</t>
        </is>
      </c>
    </row>
    <row r="104">
      <c r="A104" s="15" t="inlineStr">
        <is>
          <t>102</t>
        </is>
      </c>
      <c r="B104" s="1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104" s="18" t="inlineStr"/>
      <c r="D104" s="18" t="inlineStr">
        <is>
          <t>บัญชี ก</t>
        </is>
      </c>
      <c r="E104" s="18" t="inlineStr">
        <is>
          <t>บัญชี ข</t>
        </is>
      </c>
      <c r="F104" s="18" t="inlineStr">
        <is>
          <t>บัญชี ค</t>
        </is>
      </c>
      <c r="G104" s="18" t="inlineStr">
        <is>
          <t>บัญชี ง</t>
        </is>
      </c>
      <c r="H104" s="18" t="inlineStr">
        <is>
          <t>บัญชี จ (2) รวมโดย Phongsathorn Phlaisaithong Rx 9 UP 18 | P a g e</t>
        </is>
      </c>
      <c r="I104" s="15" t="inlineStr">
        <is>
          <t>1</t>
        </is>
      </c>
      <c r="J104" s="22"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ข้อนี้ไม่ใช่คำตอบที่ถูกต้องสำหรับภาวะ Hypertension เนื่องจากกลไกการออกฤทธิ์, efficacy หรือข้อบ่งใช้ไม่ตรงกับโจทย์ที่กำหนด
• ข้อ ค. (บัญชี ค): ข้อนี้ไม่ใช่คำตอบที่ถูกต้องสำหรับภาวะ Hypertension เนื่องจากกลไกการออกฤทธิ์, efficacy หรือข้อบ่งใช้ไม่ตรงกับโจทย์ที่กำหนด
• ข้อ ง. (บัญชี ง): ข้อนี้ไม่ใช่คำตอบที่ถูกต้องสำหรับภาวะ Hypertension เนื่องจากกลไกการออกฤทธิ์, efficacy หรือข้อบ่งใช้ไม่ตรงกับโจทย์ที่กำหนด
• ข้อ จ. (บัญชี จ (2) รวมโดย Phongsathorn Phlaisaithong Rx 9 UP 18 | P a g 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4" s="18" t="inlineStr"/>
      <c r="L104" s="18" t="inlineStr">
        <is>
          <t>Hypertension</t>
        </is>
      </c>
      <c r="M104" s="18" t="inlineStr">
        <is>
          <t>Clinic</t>
        </is>
      </c>
      <c r="N104" s="18" t="inlineStr">
        <is>
          <t>ข้อ 8 (PLE_CC1_2560 22 April Set 1.md)</t>
        </is>
      </c>
      <c r="O104" s="18" t="inlineStr">
        <is>
          <t>ข้อสอบจริง</t>
        </is>
      </c>
      <c r="P104" s="18" t="inlineStr">
        <is>
          <t>ปี 2560</t>
        </is>
      </c>
    </row>
    <row r="105">
      <c r="A105" s="15" t="inlineStr">
        <is>
          <t>103</t>
        </is>
      </c>
      <c r="B105" s="18" t="inlineStr">
        <is>
          <t>ADR ของ Enalapril</t>
        </is>
      </c>
      <c r="C105" s="18" t="inlineStr"/>
      <c r="D105" s="18" t="inlineStr">
        <is>
          <t>Hyperkalemia</t>
        </is>
      </c>
      <c r="E105" s="18" t="inlineStr">
        <is>
          <t>...</t>
        </is>
      </c>
      <c r="F105" s="18" t="inlineStr">
        <is>
          <t>Empagliflozin 10 mg OD</t>
        </is>
      </c>
      <c r="G105" s="18" t="inlineStr">
        <is>
          <t>Diltiazem 30 mg TID</t>
        </is>
      </c>
      <c r="H105" s="18" t="inlineStr">
        <is>
          <t>Warfarin 3 mg OD (target INR 2.0-3.0)</t>
        </is>
      </c>
      <c r="I105" s="15" t="inlineStr">
        <is>
          <t>1</t>
        </is>
      </c>
      <c r="J105" s="22"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 ข้อนี้ไม่ใช่คำตอบที่ถูกต้องสำหรับภาวะ Hypertension เนื่องจากกลไกการออกฤทธิ์, efficacy หรือข้อบ่งใช้ไม่ตรงกับโจทย์ที่กำหนด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05" s="18" t="inlineStr"/>
      <c r="L105" s="18" t="inlineStr">
        <is>
          <t>Hypertension</t>
        </is>
      </c>
      <c r="M105" s="18" t="inlineStr">
        <is>
          <t>Clinic</t>
        </is>
      </c>
      <c r="N105" s="18" t="inlineStr">
        <is>
          <t>ข้อ 4 (PLE_CC1_2560 22 April Set 2.md)</t>
        </is>
      </c>
      <c r="O105" s="18" t="inlineStr">
        <is>
          <t>ข้อสอบจริง</t>
        </is>
      </c>
      <c r="P105" s="18" t="inlineStr">
        <is>
          <t>ปี 2560</t>
        </is>
      </c>
    </row>
    <row r="106">
      <c r="A106" s="15" t="inlineStr">
        <is>
          <t>104</t>
        </is>
      </c>
      <c r="B106" s="18" t="inlineStr">
        <is>
          <t>ยาใดทำให้ Hyperkalemia</t>
        </is>
      </c>
      <c r="C106" s="18" t="inlineStr"/>
      <c r="D106" s="18" t="inlineStr">
        <is>
          <t>Aspirin</t>
        </is>
      </c>
      <c r="E106" s="18" t="inlineStr">
        <is>
          <t>Moduretic</t>
        </is>
      </c>
      <c r="F106" s="18" t="inlineStr">
        <is>
          <t>Glipizide</t>
        </is>
      </c>
      <c r="G106" s="18" t="inlineStr">
        <is>
          <t>Amlodipine</t>
        </is>
      </c>
      <c r="H106" s="18" t="inlineStr">
        <is>
          <t>Omeprazole</t>
        </is>
      </c>
      <c r="I106" s="15" t="inlineStr">
        <is>
          <t>1</t>
        </is>
      </c>
      <c r="J106" s="22"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(Moduretic): ข้อนี้ไม่ใช่คำตอบที่ถูกต้องสำหรับภาวะ Hypertension เนื่องจากกลไกการออกฤทธิ์, efficacy หรือข้อบ่งใช้ไม่ตรงกับโจทย์ที่กำหนด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6" s="18" t="inlineStr"/>
      <c r="L106" s="18" t="inlineStr">
        <is>
          <t>Hypertension</t>
        </is>
      </c>
      <c r="M106" s="18" t="inlineStr">
        <is>
          <t>Clinic</t>
        </is>
      </c>
      <c r="N106" s="18" t="inlineStr">
        <is>
          <t>ข้อ 1 (PLE_CC1_2560 22 April Set 2.md)</t>
        </is>
      </c>
      <c r="O106" s="18" t="inlineStr">
        <is>
          <t>ข้อสอบจริง</t>
        </is>
      </c>
      <c r="P106" s="18" t="inlineStr">
        <is>
          <t>ปี 2560</t>
        </is>
      </c>
    </row>
    <row r="107">
      <c r="A107" s="15" t="inlineStr">
        <is>
          <t>105</t>
        </is>
      </c>
      <c r="B107" s="18" t="inlineStr">
        <is>
          <t>การจัดการภาวะ Hyperkalemia หลังจากหยุดยาที่เป็นสาเหตุ</t>
        </is>
      </c>
      <c r="C107" s="18" t="inlineStr"/>
      <c r="D107" s="18" t="inlineStr">
        <is>
          <t>ฉีด Insulin</t>
        </is>
      </c>
      <c r="E107" s="18" t="inlineStr">
        <is>
          <t>พ่น Salbutamol</t>
        </is>
      </c>
      <c r="F107" s="18" t="inlineStr">
        <is>
          <t>ฉีด Calcium gluconate</t>
        </is>
      </c>
      <c r="G107" s="18" t="inlineStr">
        <is>
          <t>ไปฟอกไต</t>
        </is>
      </c>
      <c r="H107" s="18" t="inlineStr">
        <is>
          <t>ไม่ต้องใช้ยารักษาอะไร</t>
        </is>
      </c>
      <c r="I107" s="15" t="inlineStr">
        <is>
          <t>1</t>
        </is>
      </c>
      <c r="J107" s="22"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(ฉีด Calcium gluconate): ข้อนี้ไม่ใช่คำตอบที่ถูกต้องสำหรับภาวะ Hypertension เนื่องจากกลไกการออกฤทธิ์, efficacy หรือข้อบ่งใช้ไม่ตรงกับโจทย์ที่กำหนด
• ข้อ ง. (ไปฟอกไต): ข้อนี้ไม่ใช่คำตอบที่ถูกต้องสำหรับภาวะ Hypertension เนื่องจากกลไกการออกฤทธิ์, efficacy หรือข้อบ่งใช้ไม่ตรงกับโจทย์ที่กำหนด
• ข้อ จ. (ไม่ต้องใช้ยารักษาอะไร):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7" s="18" t="inlineStr"/>
      <c r="L107" s="18" t="inlineStr">
        <is>
          <t>Hypertension</t>
        </is>
      </c>
      <c r="M107" s="18" t="inlineStr">
        <is>
          <t>Clinic</t>
        </is>
      </c>
      <c r="N107" s="18" t="inlineStr">
        <is>
          <t>ข้อ 3 (PLE_CC1_2560 22 April Set 2.md)</t>
        </is>
      </c>
      <c r="O107" s="18" t="inlineStr">
        <is>
          <t>ข้อสอบจริง</t>
        </is>
      </c>
      <c r="P107" s="18" t="inlineStr">
        <is>
          <t>ปี 2560</t>
        </is>
      </c>
    </row>
    <row r="108">
      <c r="A108" s="15" t="inlineStr">
        <is>
          <t>106</t>
        </is>
      </c>
      <c r="B108" s="18"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108" s="18" t="inlineStr"/>
      <c r="D108" s="18" t="inlineStr">
        <is>
          <t>บัญชี ก</t>
        </is>
      </c>
      <c r="E108" s="18" t="inlineStr">
        <is>
          <t>บัญชี ข</t>
        </is>
      </c>
      <c r="F108" s="18" t="inlineStr">
        <is>
          <t>บัญชี ค</t>
        </is>
      </c>
      <c r="G108" s="18" t="inlineStr">
        <is>
          <t>บัญชี ง</t>
        </is>
      </c>
      <c r="H108" s="18" t="inlineStr">
        <is>
          <t>บัญชี จ (2) 23 MCQ11 2/2560 By CU Rx73 MCQ11 2/2560 By CU Rx73</t>
        </is>
      </c>
      <c r="I108" s="15" t="inlineStr">
        <is>
          <t>1</t>
        </is>
      </c>
      <c r="J108" s="22"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ข้อนี้ไม่ใช่คำตอบที่ถูกต้องสำหรับภาวะ Hypertension เนื่องจากกลไกการออกฤทธิ์, efficacy หรือข้อบ่งใช้ไม่ตรงกับโจทย์ที่กำหนด
• ข้อ ค. (บัญชี ค): ข้อนี้ไม่ใช่คำตอบที่ถูกต้องสำหรับภาวะ Hypertension เนื่องจากกลไกการออกฤทธิ์, efficacy หรือข้อบ่งใช้ไม่ตรงกับโจทย์ที่กำหนด
• ข้อ ง. (บัญชี ง): ข้อนี้ไม่ใช่คำตอบที่ถูกต้องสำหรับภาวะ Hypertension เนื่องจากกลไกการออกฤทธิ์, efficacy หรือข้อบ่งใช้ไม่ตรงกับโจทย์ที่กำหนด
• ข้อ จ. (บัญชี จ (2) 23 MCQ11 2/2560 By CU Rx73 MCQ11 2/2560 By CU Rx73):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8" s="18" t="inlineStr"/>
      <c r="L108" s="18" t="inlineStr">
        <is>
          <t>Hypertension</t>
        </is>
      </c>
      <c r="M108" s="18" t="inlineStr">
        <is>
          <t>Clinic</t>
        </is>
      </c>
      <c r="N108" s="18" t="inlineStr">
        <is>
          <t>ข้อ 8 (PLE_CC1_2560 22 April Set 2.md)</t>
        </is>
      </c>
      <c r="O108" s="18" t="inlineStr">
        <is>
          <t>ข้อสอบจริง</t>
        </is>
      </c>
      <c r="P108" s="18" t="inlineStr">
        <is>
          <t>ปี 2560</t>
        </is>
      </c>
    </row>
    <row r="109">
      <c r="A109" s="15" t="inlineStr">
        <is>
          <t>107</t>
        </is>
      </c>
      <c r="B109" s="18" t="inlineStr">
        <is>
          <t>ข้อใดเป็นคำแนะนำที่ผิด ในการใช้ Minipill ในสตรีให้นมบุตร สำหรับคุมกำเนิด</t>
        </is>
      </c>
      <c r="C109" s="18" t="inlineStr"/>
      <c r="D109" s="18" t="inlineStr">
        <is>
          <t>ให้รับประทานยาต่อเนื่อง ไม่ต้องหยุดยา 7 วัน</t>
        </is>
      </c>
      <c r="E109" s="18" t="inlineStr">
        <is>
          <t>อาจมีเลือดออกกระปิบกระปอย</t>
        </is>
      </c>
      <c r="F109" s="18" t="inlineStr">
        <is>
          <t>การใช้ Amoxicillin ไม่มีผลต่อการออกฤทธิ์ของยา</t>
        </is>
      </c>
      <c r="G109" s="18" t="inlineStr">
        <is>
          <t>หากลืมรับประทานยาเกิน 24 ชั่วโมง ยายังมีประสิทธิภาพในการคุมกำเนิดเท่าเดิม</t>
        </is>
      </c>
      <c r="H109" s="18" t="inlineStr">
        <is>
          <t>รับประทานติดต่อกันเป็นระยะเวลานาน อาจทำให้ขาดประจำเดือน</t>
        </is>
      </c>
      <c r="I109" s="15" t="inlineStr">
        <is>
          <t>1</t>
        </is>
      </c>
      <c r="J109" s="22" t="inlineStr">
        <is>
          <t>✅ คำตอบที่ถูกต้อง: ข้อ ก. ให้รับประทานยาต่อเนื่อง ไม่ต้องหยุดยา 7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ให้รับประทานยาต่อเนื่อง ไม่ต้องหยุดยา 7 วัน การเลือก ให้รับประทานยาต่อเนื่อง ไม่ต้องหยุดยา 7 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(อาจมีเลือดออกกระปิบกระปอย): ข้อนี้ไม่ใช่คำตอบที่ถูกต้องสำหรับภาวะ Hypertension เนื่องจากกลไกการออกฤทธิ์, efficacy หรือข้อบ่งใช้ไม่ตรงกับโจทย์ที่กำหนด
• ข้อ ค. (การใช้ Amoxicillin ไม่มีผลต่อการออกฤทธิ์ของยา): เป็น Aminopenicillin ยับยั้ง bacterial cell wall synthesis เป็น first-line สำหรับ uncomplicated bacterial infections (เช่น Strep pharyngitis, AOM, sinusitis)
• ข้อ ง. (หากลืมรับประทานยาเกิน 24 ชั่วโมง ยายังมีประสิทธิภาพในการคุมกำเนิดเท่าเดิม): ข้อนี้ไม่ใช่คำตอบที่ถูกต้องสำหรับภาวะ Hypertension เนื่องจากกลไกการออกฤทธิ์, efficacy หรือข้อบ่งใช้ไม่ตรงกับโจทย์ที่กำหนด
• ข้อ จ. (รับประทานติดต่อกันเป็นระยะเวลานาน อาจทำให้ขาดประจำเดือน):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9" s="18" t="inlineStr"/>
      <c r="L109" s="18" t="inlineStr">
        <is>
          <t>Hypertension</t>
        </is>
      </c>
      <c r="M109" s="18" t="inlineStr">
        <is>
          <t>Clinic</t>
        </is>
      </c>
      <c r="N109" s="18" t="inlineStr">
        <is>
          <t>ข้อ 5 (PLE_CC1_2560 22 April Set 2.md)</t>
        </is>
      </c>
      <c r="O109" s="18" t="inlineStr">
        <is>
          <t>ข้อสอบจริง</t>
        </is>
      </c>
      <c r="P109" s="18" t="inlineStr">
        <is>
          <t>ปี 2560</t>
        </is>
      </c>
    </row>
    <row r="110">
      <c r="A110" s="15" t="inlineStr">
        <is>
          <t>108</t>
        </is>
      </c>
      <c r="B110" s="18" t="inlineStr">
        <is>
          <t>ผู้ป่วยรายนี เป็นโรคภาวะหัวใจล้มเหลวอยู่ใน stage ใด</t>
        </is>
      </c>
      <c r="C110" s="18" t="inlineStr"/>
      <c r="D110" s="18" t="inlineStr">
        <is>
          <t>Stage A</t>
        </is>
      </c>
      <c r="E110" s="18" t="inlineStr">
        <is>
          <t>Stage B</t>
        </is>
      </c>
      <c r="F110" s="18" t="inlineStr">
        <is>
          <t>Stage C</t>
        </is>
      </c>
      <c r="G110" s="18" t="inlineStr">
        <is>
          <t>Stage D</t>
        </is>
      </c>
      <c r="H110" s="18" t="inlineStr">
        <is>
          <t>Stage E</t>
        </is>
      </c>
      <c r="I110" s="15" t="inlineStr">
        <is>
          <t>1</t>
        </is>
      </c>
      <c r="J110" s="22" t="inlineStr">
        <is>
          <t>✅ คำตอบที่ถูกต้อง: ข้อ ก. Stage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A การเลือก Stage 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(Stage B): ข้อนี้ไม่ใช่คำตอบที่ถูกต้องสำหรับภาวะ Hypertension เนื่องจากกลไกการออกฤทธิ์, efficacy หรือข้อบ่งใช้ไม่ตรงกับโจทย์ที่กำหนด
• ข้อ ค. (Stage C): ข้อนี้ไม่ใช่คำตอบที่ถูกต้องสำหรับภาวะ Hypertension เนื่องจากกลไกการออกฤทธิ์, efficacy หรือข้อบ่งใช้ไม่ตรงกับโจทย์ที่กำหนด
• ข้อ ง. (Stage D): ข้อนี้ไม่ใช่คำตอบที่ถูกต้องสำหรับภาวะ Hypertension เนื่องจากกลไกการออกฤทธิ์, efficacy หรือข้อบ่งใช้ไม่ตรงกับโจทย์ที่กำหนด
• ข้อ จ. (Stage 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18" t="inlineStr"/>
      <c r="L110" s="18" t="inlineStr">
        <is>
          <t>Hypertension</t>
        </is>
      </c>
      <c r="M110" s="18" t="inlineStr">
        <is>
          <t>Clinic</t>
        </is>
      </c>
      <c r="N110" s="18" t="inlineStr">
        <is>
          <t>ข้อ 1 (PLE_CC1_2559.md)</t>
        </is>
      </c>
      <c r="O110" s="18" t="inlineStr">
        <is>
          <t>ข้อสอบจริง</t>
        </is>
      </c>
      <c r="P110" s="18" t="inlineStr">
        <is>
          <t>ปี 2559</t>
        </is>
      </c>
    </row>
    <row r="111">
      <c r="A111" s="15" t="inlineStr">
        <is>
          <t>109</t>
        </is>
      </c>
      <c r="B111" s="18" t="inlineStr">
        <is>
          <t>การที่ผู้ป่วยได้รับยา warfarin ต้องมีการตรวจติดตามค่าอะไร</t>
        </is>
      </c>
      <c r="C111" s="18" t="inlineStr"/>
      <c r="D111" s="18" t="inlineStr">
        <is>
          <t>Prothrombin time</t>
        </is>
      </c>
      <c r="E111" s="18" t="inlineStr">
        <is>
          <t>Activated thromboplastin time</t>
        </is>
      </c>
      <c r="F111" s="18" t="inlineStr">
        <is>
          <t>International normalized ratio</t>
        </is>
      </c>
      <c r="G111" s="18" t="inlineStr">
        <is>
          <t>Heparin anti-factor Xa level</t>
        </is>
      </c>
      <c r="H111" s="18" t="inlineStr">
        <is>
          <t>International sensitivity index</t>
        </is>
      </c>
      <c r="I111" s="15" t="inlineStr">
        <is>
          <t>1</t>
        </is>
      </c>
      <c r="J111" s="22" t="inlineStr">
        <is>
          <t>✅ คำตอบที่ถูกต้อง: ข้อ ก. Prothrombin time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Prothrombin time การเลือก Prothrombin time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(Activated thromboplastin time): ข้อนี้ไม่ใช่คำตอบที่ถูกต้องสำหรับภาวะ Hypertension เนื่องจากกลไกการออกฤทธิ์, efficacy หรือข้อบ่งใช้ไม่ตรงกับโจทย์ที่กำหนด
• ข้อ ค. (International normalized ratio): ข้อนี้ไม่ใช่คำตอบที่ถูกต้องสำหรับภาวะ Hypertension เนื่องจากกลไกการออกฤทธิ์, efficacy หรือข้อบ่งใช้ไม่ตรงกับโจทย์ที่กำหนด
• ข้อ ง. (Heparin anti-factor Xa level): เป็น Unfractionated Heparin (UFH) จับกับ Antithrombin III ยับยั้ง Thrombin และ Factor Xa ติดตาม monitoring ด้วย aPTT และ reversal agent คือ Protamine sulfate
• ข้อ จ. (International sensitivity index):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11" s="18" t="inlineStr"/>
      <c r="L111" s="18" t="inlineStr">
        <is>
          <t>Hypertension</t>
        </is>
      </c>
      <c r="M111" s="18" t="inlineStr">
        <is>
          <t>Clinic</t>
        </is>
      </c>
      <c r="N111" s="18" t="inlineStr">
        <is>
          <t>ข้อ 6 (PLE_CC1_2559.md)</t>
        </is>
      </c>
      <c r="O111" s="18" t="inlineStr">
        <is>
          <t>ข้อสอบจริง</t>
        </is>
      </c>
      <c r="P111" s="18" t="inlineStr">
        <is>
          <t>ปี 2559</t>
        </is>
      </c>
    </row>
    <row r="112">
      <c r="A112" s="15" t="inlineStr">
        <is>
          <t>110</t>
        </is>
      </c>
      <c r="B112" s="18" t="inlineStr">
        <is>
          <t>ข้อใดถูกเกี่ยวกับโครงสร้างของ warfarin</t>
        </is>
      </c>
      <c r="C112" s="18" t="inlineStr"/>
      <c r="D112" s="18" t="inlineStr">
        <is>
          <t>Racemic mixture หมุน polarize ไม่ได้</t>
        </is>
      </c>
      <c r="E112" s="18" t="inlineStr">
        <is>
          <t>มี chiral carbon 2 atom</t>
        </is>
      </c>
      <c r="F112" s="18" t="inlineStr">
        <is>
          <t>จากโครงสร้างเป็น S-form</t>
        </is>
      </c>
      <c r="G112" s="18" t="inlineStr">
        <is>
          <t>R-form กับ S-form วัดได้จาก Polarimeter</t>
        </is>
      </c>
      <c r="H112" s="18" t="inlineStr">
        <is>
          <t>R-form กับ S-form ไม่ได้เป็น optical isomer</t>
        </is>
      </c>
      <c r="I112" s="15" t="inlineStr">
        <is>
          <t>1</t>
        </is>
      </c>
      <c r="J112" s="22" t="inlineStr">
        <is>
          <t>✅ คำตอบที่ถูกต้อง: ข้อ ก. Racemic mixture หมุน polarize ไม่ได้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Racemic mixture หมุน polarize ไม่ได้ การเลือก Racemic mixture หมุน polarize ไม่ได้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(มี chiral carbon 2 atom): ข้อนี้ไม่ใช่คำตอบที่ถูกต้องสำหรับภาวะ Hypertension เนื่องจากกลไกการออกฤทธิ์, efficacy หรือข้อบ่งใช้ไม่ตรงกับโจทย์ที่กำหนด
• ข้อ ค. (จากโครงสร้างเป็น S-form): ข้อนี้ไม่ใช่คำตอบที่ถูกต้องสำหรับภาวะ Hypertension เนื่องจากกลไกการออกฤทธิ์, efficacy หรือข้อบ่งใช้ไม่ตรงกับโจทย์ที่กำหนด
• ข้อ ง. (R-form กับ S-form วัดได้จาก Polarimeter): ข้อนี้ไม่ใช่คำตอบที่ถูกต้องสำหรับภาวะ Hypertension เนื่องจากกลไกการออกฤทธิ์, efficacy หรือข้อบ่งใช้ไม่ตรงกับโจทย์ที่กำหนด
• ข้อ จ. (R-form กับ S-form ไม่ได้เป็น optical isomer):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12" s="18" t="inlineStr"/>
      <c r="L112" s="18" t="inlineStr">
        <is>
          <t>Hypertension</t>
        </is>
      </c>
      <c r="M112" s="18" t="inlineStr">
        <is>
          <t>Clinic</t>
        </is>
      </c>
      <c r="N112" s="18" t="inlineStr">
        <is>
          <t>ข้อ 7 (PLE_CC1_2559.md)</t>
        </is>
      </c>
      <c r="O112" s="18" t="inlineStr">
        <is>
          <t>ข้อสอบจริง</t>
        </is>
      </c>
      <c r="P112" s="18" t="inlineStr">
        <is>
          <t>ปี 2559</t>
        </is>
      </c>
    </row>
    <row r="113">
      <c r="A113" s="15" t="inlineStr">
        <is>
          <t>111</t>
        </is>
      </c>
      <c r="B113" s="18"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113" s="18" t="inlineStr"/>
      <c r="D113" s="18" t="inlineStr">
        <is>
          <t>Category A</t>
        </is>
      </c>
      <c r="E113" s="18" t="inlineStr">
        <is>
          <t>Category B</t>
        </is>
      </c>
      <c r="F113" s="18" t="inlineStr">
        <is>
          <t>Category E</t>
        </is>
      </c>
      <c r="G113" s="18" t="inlineStr">
        <is>
          <t>Category F</t>
        </is>
      </c>
      <c r="H113" s="18" t="inlineStr">
        <is>
          <t>Category I ยาที่ได้รับ Theophylline SR 1x2 Seretide evohaler (25/125) 2 puff bid Berodual 2 puff prn Phenytoin 3xhs</t>
        </is>
      </c>
      <c r="I113" s="15" t="inlineStr">
        <is>
          <t>1</t>
        </is>
      </c>
      <c r="J113" s="22" t="inlineStr">
        <is>
          <t>✅ คำตอบที่ถูกต้อง: ข้อ ก. Category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Category A กรณีศึกษาที่ 2 ชายไทย อายุ 70 ปี มีประวัติสูบบุหรี่วันละ 1 ซองมา 20 ปี ปัจจุบันลดลงเหลือวันละครึ่งซอง มีโรคประจ้าตัว ปอดอุดกั นเรื อรัง ลมชัก เคยเกิด exacerbation 2 ครั งในปีที่ผ่านมา mMRC=1, FEV1/FVC=0.69, FEV1=87%, CAT=5
🔍 ข้ออื่นผิดเพราะอะไร:
• ข้อ ข. (Category B): ข้อนี้ไม่ใช่คำตอบที่ถูกต้องสำหรับภาวะ Hypertension เนื่องจากกลไกการออกฤทธิ์, efficacy หรือข้อบ่งใช้ไม่ตรงกับโจทย์ที่กำหนด
• ข้อ ค. (Category E): ข้อนี้ไม่ใช่คำตอบที่ถูกต้องสำหรับภาวะ Hypertension เนื่องจากกลไกการออกฤทธิ์, efficacy หรือข้อบ่งใช้ไม่ตรงกับโจทย์ที่กำหนด
• ข้อ ง. (Category F): ข้อนี้ไม่ใช่คำตอบที่ถูกต้องสำหรับภาวะ Hypertension เนื่องจากกลไกการออกฤทธิ์, efficacy หรือข้อบ่งใช้ไม่ตรงกับโจทย์ที่กำหนด
• ข้อ จ. (Category I ยาที่ได้รับ Theophylline SR 1x2 Seretide evohaler (25/125) 2 puff bid Berodual 2 puff prn Phenytoin 3xhs):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13" s="18" t="inlineStr"/>
      <c r="L113" s="18" t="inlineStr">
        <is>
          <t>Hypertension</t>
        </is>
      </c>
      <c r="M113" s="18" t="inlineStr">
        <is>
          <t>Clinic</t>
        </is>
      </c>
      <c r="N113" s="18" t="inlineStr">
        <is>
          <t>ข้อ 9 (PLE_CC1_2559.md)</t>
        </is>
      </c>
      <c r="O113" s="18" t="inlineStr">
        <is>
          <t>ข้อสอบจริง</t>
        </is>
      </c>
      <c r="P113" s="18" t="inlineStr">
        <is>
          <t>ปี 2559</t>
        </is>
      </c>
    </row>
    <row r="114">
      <c r="A114" s="15" t="inlineStr">
        <is>
          <t>112</t>
        </is>
      </c>
      <c r="B114" s="18" t="inlineStr">
        <is>
          <t>ยาตัวใดท้าให้เกิด hypoglycemia ได้มากที่สุด</t>
        </is>
      </c>
      <c r="C114" s="18" t="inlineStr"/>
      <c r="D114" s="18" t="inlineStr">
        <is>
          <t>Glibenclamide</t>
        </is>
      </c>
      <c r="E114" s="18" t="inlineStr">
        <is>
          <t>Metformin</t>
        </is>
      </c>
      <c r="F114" s="18" t="inlineStr">
        <is>
          <t>Insulin glargine</t>
        </is>
      </c>
      <c r="G114" s="18" t="inlineStr">
        <is>
          <t>Acarbose</t>
        </is>
      </c>
      <c r="H114" s="18" t="inlineStr">
        <is>
          <t>Pioglitazone</t>
        </is>
      </c>
      <c r="I114" s="15" t="inlineStr">
        <is>
          <t>1</t>
        </is>
      </c>
      <c r="J114" s="22"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(Insulin glargine): ข้อนี้ไม่ใช่คำตอบที่ถูกต้องสำหรับภาวะ Hypertension เนื่องจากกลไกการออกฤทธิ์, efficacy หรือข้อบ่งใช้ไม่ตรงกับโจทย์ที่กำหนด
• ข้อ ง.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4" s="18" t="inlineStr"/>
      <c r="L114" s="18" t="inlineStr">
        <is>
          <t>Hypertension</t>
        </is>
      </c>
      <c r="M114" s="18" t="inlineStr">
        <is>
          <t>Clinic</t>
        </is>
      </c>
      <c r="N114" s="18" t="inlineStr">
        <is>
          <t>ข้อ 19 (PLE_CC1_2559.md)</t>
        </is>
      </c>
      <c r="O114" s="18" t="inlineStr">
        <is>
          <t>ข้อสอบจริง</t>
        </is>
      </c>
      <c r="P114" s="18" t="inlineStr">
        <is>
          <t>ปี 2559</t>
        </is>
      </c>
    </row>
    <row r="115">
      <c r="A115" s="15" t="inlineStr">
        <is>
          <t>113</t>
        </is>
      </c>
      <c r="B115" s="18" t="inlineStr">
        <is>
          <t>ควรได้รับยาอะไรเสริมด้วยในผู้ป่วยที่ได้รับยา metformin</t>
        </is>
      </c>
      <c r="C115" s="18" t="inlineStr"/>
      <c r="D115" s="18" t="inlineStr">
        <is>
          <t>Thiamine</t>
        </is>
      </c>
      <c r="E115" s="18" t="inlineStr">
        <is>
          <t>Riboflavin</t>
        </is>
      </c>
      <c r="F115" s="18" t="inlineStr">
        <is>
          <t>Niacin</t>
        </is>
      </c>
      <c r="G115" s="18" t="inlineStr">
        <is>
          <t>Pyridoxine</t>
        </is>
      </c>
      <c r="H115" s="18" t="inlineStr">
        <is>
          <t>Cobalamin</t>
        </is>
      </c>
      <c r="I115" s="15" t="inlineStr">
        <is>
          <t>1</t>
        </is>
      </c>
      <c r="J115" s="22" t="inlineStr">
        <is>
          <t>✅ คำตอบที่ถูกต้อง: ข้อ ก. Thiamine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Thiamine การเลือก Thiamine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(Riboflavin): ข้อนี้ไม่ใช่คำตอบที่ถูกต้องสำหรับภาวะ Hypertension เนื่องจากกลไกการออกฤทธิ์, efficacy หรือข้อบ่งใช้ไม่ตรงกับโจทย์ที่กำหนด
• ข้อ ค. (Niacin): ข้อนี้ไม่ใช่คำตอบที่ถูกต้องสำหรับภาวะ Hypertension เนื่องจากกลไกการออกฤทธิ์, efficacy หรือข้อบ่งใช้ไม่ตรงกับโจทย์ที่กำหนด
• ข้อ ง. (Pyridoxine): ข้อนี้ไม่ใช่คำตอบที่ถูกต้องสำหรับภาวะ Hypertension เนื่องจากกลไกการออกฤทธิ์, efficacy หรือข้อบ่งใช้ไม่ตรงกับโจทย์ที่กำหนด
• ข้อ จ. (Cobalamin):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5" s="18" t="inlineStr"/>
      <c r="L115" s="18" t="inlineStr">
        <is>
          <t>Hypertension</t>
        </is>
      </c>
      <c r="M115" s="18" t="inlineStr">
        <is>
          <t>Clinic</t>
        </is>
      </c>
      <c r="N115" s="18" t="inlineStr">
        <is>
          <t>ข้อ 20 (PLE_CC1_2559.md)</t>
        </is>
      </c>
      <c r="O115" s="18" t="inlineStr">
        <is>
          <t>ข้อสอบจริง</t>
        </is>
      </c>
      <c r="P115" s="18" t="inlineStr">
        <is>
          <t>ปี 2559</t>
        </is>
      </c>
    </row>
    <row r="116">
      <c r="A116" s="15" t="inlineStr">
        <is>
          <t>114</t>
        </is>
      </c>
      <c r="B116" s="18" t="inlineStr">
        <is>
          <t>2 เดือนต่อมา ผู้ป่วยกลับมาตรวจพบ FBS 120 mg/dL HbA1C 7% eGFR 25 mL/min ควรปรับเปลี่ยนยา อย่างไร</t>
        </is>
      </c>
      <c r="C116" s="18" t="inlineStr"/>
      <c r="D116" s="18" t="inlineStr">
        <is>
          <t>เพิ่ม glipizide</t>
        </is>
      </c>
      <c r="E116" s="18" t="inlineStr">
        <is>
          <t>เปลี่ยน glibenclamide เป็น chlorpropamide</t>
        </is>
      </c>
      <c r="F116" s="18" t="inlineStr">
        <is>
          <t>เปลี่ยน metformin เป็น pioglitazone</t>
        </is>
      </c>
      <c r="G116" s="18" t="inlineStr">
        <is>
          <t>เพิ่มยา acarbose เนื่องจากระดับน ้าตาลยังไม่ได้เป้าหมาย</t>
        </is>
      </c>
      <c r="H116" s="18" t="inlineStr">
        <is>
          <t>ไม่ต้องมีการเปลี่ยนแปลง</t>
        </is>
      </c>
      <c r="I116" s="15" t="inlineStr">
        <is>
          <t>1</t>
        </is>
      </c>
      <c r="J116" s="22" t="inlineStr">
        <is>
          <t>✅ คำตอบที่ถูกต้อง: ข้อ ก. เพิ่ม glipizide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 glipizide การเลือก เพิ่ม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(เปลี่ยน glibenclamide เป็น chlorpropamide): มี active metabolites ขับออกทางไต เสี่ยงต่อ prolonged severe hypoglycemia ในผู้สูงอายุและผู้ป่วย renal impairment จึงควรหลีกเลี่ยงตาม Beers Criteria
• ข้อ ค. (เปลี่ยน metformin เป็น pioglitazone):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(เพิ่มยา acarbose เนื่องจากระดับน ้าตาลยังไม่ได้เป้าหมาย):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จ. (ไม่ต้องมีการเปลี่ยนแปลง):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6" s="18" t="inlineStr"/>
      <c r="L116" s="18" t="inlineStr">
        <is>
          <t>Hypertension</t>
        </is>
      </c>
      <c r="M116" s="18" t="inlineStr">
        <is>
          <t>Clinic</t>
        </is>
      </c>
      <c r="N116" s="18" t="inlineStr">
        <is>
          <t>ข้อ 21 (PLE_CC1_2559.md)</t>
        </is>
      </c>
      <c r="O116" s="18" t="inlineStr">
        <is>
          <t>ข้อสอบจริง</t>
        </is>
      </c>
      <c r="P116" s="18" t="inlineStr">
        <is>
          <t>ปี 2559</t>
        </is>
      </c>
    </row>
    <row r="117">
      <c r="A117" s="15" t="inlineStr">
        <is>
          <t>115</t>
        </is>
      </c>
      <c r="B117" s="18" t="inlineStr">
        <is>
          <t>ข้อใดคือยากลุ่ม anti-microtubule</t>
        </is>
      </c>
      <c r="C117" s="18" t="inlineStr"/>
      <c r="D117" s="18" t="inlineStr">
        <is>
          <t>Paclitaxel</t>
        </is>
      </c>
      <c r="E117" s="18" t="inlineStr">
        <is>
          <t>Doxorubicin</t>
        </is>
      </c>
      <c r="F117" s="18" t="inlineStr">
        <is>
          <t>Cisplatin</t>
        </is>
      </c>
      <c r="G117" s="18" t="inlineStr">
        <is>
          <t>Cyclophosphamide</t>
        </is>
      </c>
      <c r="H117" s="18" t="inlineStr">
        <is>
          <t>Methotrexate ห้ามนำไปทำซ้ำทุกกรณี เว้นแต่จะได้รับอนุญาต</t>
        </is>
      </c>
      <c r="I117" s="15" t="inlineStr">
        <is>
          <t>1</t>
        </is>
      </c>
      <c r="J117" s="22"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ข้อนี้ไม่ใช่คำตอบที่ถูกต้องสำหรับภาวะ Hypertension เนื่องจากกลไกการออกฤทธิ์, efficacy หรือข้อบ่งใช้ไม่ตรงกับโจทย์ที่กำหนด
• ข้อ ค. (Cisplatin): ข้อนี้ไม่ใช่คำตอบที่ถูกต้องสำหรับภาวะ Hypertension เนื่องจากกลไกการออกฤทธิ์, efficacy หรือข้อบ่งใช้ไม่ตรงกับโจทย์ที่กำหนด
• ข้อ ง. (Cyclophosphamide): ข้อนี้ไม่ใช่คำตอบที่ถูกต้องสำหรับภาวะ Hypertension เนื่องจากกลไกการออกฤทธิ์, efficacy หรือข้อบ่งใช้ไม่ตรงกับโจทย์ที่กำหนด
• ข้อ จ. (Methotrexate ห้ามนำไปทำซ้ำทุกกรณี เว้นแต่จะได้รับอนุญาต): เป็น anchor csDMARD สำหรับ Rheumatoid arthritis ยับยั้ง dihydrofolate reductase ต้องให้ Folic acid เสริม และห้ามใช้ในหญิงตั้งครรภ์ (contraindication / teratogenic)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7" s="18" t="inlineStr"/>
      <c r="L117" s="18" t="inlineStr">
        <is>
          <t>Hypertension</t>
        </is>
      </c>
      <c r="M117" s="18" t="inlineStr">
        <is>
          <t>Clinic</t>
        </is>
      </c>
      <c r="N117" s="18" t="inlineStr">
        <is>
          <t>ข้อ 54 (PLE_CC1_2559.md)</t>
        </is>
      </c>
      <c r="O117" s="18" t="inlineStr">
        <is>
          <t>ข้อสอบจริง</t>
        </is>
      </c>
      <c r="P117" s="18" t="inlineStr">
        <is>
          <t>ปี 2559</t>
        </is>
      </c>
    </row>
    <row r="118">
      <c r="A118" s="15" t="inlineStr">
        <is>
          <t>116</t>
        </is>
      </c>
      <c r="B118" s="18" t="inlineStr">
        <is>
          <t>ข้อใดคือผลข้างเคียงของ Phentermine</t>
        </is>
      </c>
      <c r="C118" s="18" t="inlineStr"/>
      <c r="D118" s="18" t="inlineStr">
        <is>
          <t>Hypertension</t>
        </is>
      </c>
      <c r="E118" s="18" t="inlineStr">
        <is>
          <t>Hyperkalemia</t>
        </is>
      </c>
      <c r="F118" s="18" t="inlineStr">
        <is>
          <t>Proteinurea</t>
        </is>
      </c>
      <c r="G118" s="18" t="inlineStr">
        <is>
          <t>Hyperphosphatemia</t>
        </is>
      </c>
      <c r="H118" s="18" t="inlineStr">
        <is>
          <t>Hyperuricemia</t>
        </is>
      </c>
      <c r="I118" s="15" t="inlineStr">
        <is>
          <t>1</t>
        </is>
      </c>
      <c r="J118" s="22"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ข้อนี้ไม่ใช่คำตอบที่ถูกต้องสำหรับภาวะ Hypertension เนื่องจากกลไกการออกฤทธิ์, efficacy หรือข้อบ่งใช้ไม่ตรงกับโจทย์ที่กำหนด
• ข้อ ค. (Proteinurea): ข้อนี้ไม่ใช่คำตอบที่ถูกต้องสำหรับภาวะ Hypertension เนื่องจากกลไกการออกฤทธิ์, efficacy หรือข้อบ่งใช้ไม่ตรงกับโจทย์ที่กำหนด
• ข้อ ง. (Hyperphosphatemia): ข้อนี้ไม่ใช่คำตอบที่ถูกต้องสำหรับภาวะ Hypertension เนื่องจากกลไกการออกฤทธิ์, efficacy หรือข้อบ่งใช้ไม่ตรงกับโจทย์ที่กำหนด
• ข้อ จ. (Hyperuricemia):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8" s="18" t="inlineStr"/>
      <c r="L118" s="18" t="inlineStr">
        <is>
          <t>Hypertension</t>
        </is>
      </c>
      <c r="M118" s="18" t="inlineStr">
        <is>
          <t>Clinic</t>
        </is>
      </c>
      <c r="N118" s="18" t="inlineStr">
        <is>
          <t>ข้อ 75 (PLE_CC1_2559.md)</t>
        </is>
      </c>
      <c r="O118" s="18" t="inlineStr">
        <is>
          <t>ข้อสอบจริง</t>
        </is>
      </c>
      <c r="P118" s="18" t="inlineStr">
        <is>
          <t>ปี 2559</t>
        </is>
      </c>
    </row>
    <row r="119">
      <c r="A119" s="15" t="inlineStr">
        <is>
          <t>117</t>
        </is>
      </c>
      <c r="B119" s="18" t="inlineStr">
        <is>
          <t>ความดันเป้าหมายในผู้ป่วยรายนี เท่ากับเท่าไรตาม JNC XIII</t>
        </is>
      </c>
      <c r="C119" s="18" t="inlineStr"/>
      <c r="D119" s="18" t="inlineStr">
        <is>
          <t>130/80 mmHg</t>
        </is>
      </c>
      <c r="E119" s="18" t="inlineStr">
        <is>
          <t>140/90 mmHg</t>
        </is>
      </c>
      <c r="F119" s="18" t="inlineStr">
        <is>
          <t>120/80 mmHg</t>
        </is>
      </c>
      <c r="G119" s="18" t="inlineStr">
        <is>
          <t>130/90 mmHg</t>
        </is>
      </c>
      <c r="H119" s="18" t="inlineStr">
        <is>
          <t>130/85 mmHg</t>
        </is>
      </c>
      <c r="I119" s="15" t="inlineStr">
        <is>
          <t>1</t>
        </is>
      </c>
      <c r="J119" s="22"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ข้อนี้ไม่ใช่คำตอบที่ถูกต้องสำหรับภาวะ Hypertension เนื่องจากกลไกการออกฤทธิ์, efficacy หรือข้อบ่งใช้ไม่ตรงกับโจทย์ที่กำหนด
• ข้อ ค. (120/80 mmHg): ข้อนี้ไม่ใช่คำตอบที่ถูกต้องสำหรับภาวะ Hypertension เนื่องจากกลไกการออกฤทธิ์, efficacy หรือข้อบ่งใช้ไม่ตรงกับโจทย์ที่กำหนด
• ข้อ ง. (130/90 mmHg): ข้อนี้ไม่ใช่คำตอบที่ถูกต้องสำหรับภาวะ Hypertension เนื่องจากกลไกการออกฤทธิ์, efficacy หรือข้อบ่งใช้ไม่ตรงกับโจทย์ที่กำหนด
• ข้อ จ. (130/85 mmHg):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9" s="18" t="inlineStr"/>
      <c r="L119" s="18" t="inlineStr">
        <is>
          <t>Hypertension</t>
        </is>
      </c>
      <c r="M119" s="18" t="inlineStr">
        <is>
          <t>Clinic</t>
        </is>
      </c>
      <c r="N119" s="18" t="inlineStr">
        <is>
          <t>ข้อ 77 (PLE_CC1_2559.md)</t>
        </is>
      </c>
      <c r="O119" s="18" t="inlineStr">
        <is>
          <t>ข้อสอบจริง</t>
        </is>
      </c>
      <c r="P119" s="18" t="inlineStr">
        <is>
          <t>ปี 2559</t>
        </is>
      </c>
    </row>
    <row r="120">
      <c r="A120" s="15" t="inlineStr">
        <is>
          <t>118</t>
        </is>
      </c>
      <c r="B120" s="18" t="inlineStr">
        <is>
          <t>หากคนไข้ได้รับยา enalapril ควรต้องมีการติดตามค่าใด</t>
        </is>
      </c>
      <c r="C120" s="18" t="inlineStr"/>
      <c r="D120" s="18" t="inlineStr">
        <is>
          <t>Electrolyte</t>
        </is>
      </c>
      <c r="E120" s="18" t="inlineStr">
        <is>
          <t>Complete blood count</t>
        </is>
      </c>
      <c r="F120" s="18" t="inlineStr">
        <is>
          <t>Liver function test</t>
        </is>
      </c>
      <c r="G120" s="18" t="inlineStr">
        <is>
          <t>Fasting blood glucose</t>
        </is>
      </c>
      <c r="H120" s="18" t="inlineStr">
        <is>
          <t>Electrocardiogram ห้ามนำไปทำซ้ำทุกกรณี เว้นแต่จะได้รับอนุญาต ขนาดเล็กกว่าปกติ</t>
        </is>
      </c>
      <c r="I120" s="15" t="inlineStr">
        <is>
          <t>1</t>
        </is>
      </c>
      <c r="J120" s="22" t="inlineStr">
        <is>
          <t>✅ คำตอบที่ถูกต้อง: ข้อ ก. Electrolyte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Electrolyte กรณีศึกษาที่ 13 หญิงตั งครรภ์ 6 เดือน มีอาการซีด อ่อนเพลีย ไม่มีแรง ตรวจพบผู้ป่วยเป็นโลหิตจางโดยพบว่ามีเม็ดเลือดแดง
🔍 ข้ออื่นผิดเพราะอะไร:
• ข้อ ข. (Complete blood count): ข้อนี้ไม่ใช่คำตอบที่ถูกต้องสำหรับภาวะ Hypertension เนื่องจากกลไกการออกฤทธิ์, efficacy หรือข้อบ่งใช้ไม่ตรงกับโจทย์ที่กำหนด
• ข้อ ค. (Liver function test): ข้อนี้ไม่ใช่คำตอบที่ถูกต้องสำหรับภาวะ Hypertension เนื่องจากกลไกการออกฤทธิ์, efficacy หรือข้อบ่งใช้ไม่ตรงกับโจทย์ที่กำหนด
• ข้อ ง. (Fasting blood glucose): ข้อนี้ไม่ใช่คำตอบที่ถูกต้องสำหรับภาวะ Hypertension เนื่องจากกลไกการออกฤทธิ์, efficacy หรือข้อบ่งใช้ไม่ตรงกับโจทย์ที่กำหนด
• ข้อ จ. (Electrocardiogram ห้ามนำไปทำซ้ำทุกกรณี เว้นแต่จะได้รับอนุญาต ขนาดเล็กกว่าปกติ):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0" s="18" t="inlineStr"/>
      <c r="L120" s="18" t="inlineStr">
        <is>
          <t>Hypertension</t>
        </is>
      </c>
      <c r="M120" s="18" t="inlineStr">
        <is>
          <t>Clinic</t>
        </is>
      </c>
      <c r="N120" s="18" t="inlineStr">
        <is>
          <t>ข้อ 79 (PLE_CC1_2559.md)</t>
        </is>
      </c>
      <c r="O120" s="18" t="inlineStr">
        <is>
          <t>ข้อสอบจริง</t>
        </is>
      </c>
      <c r="P120" s="18" t="inlineStr">
        <is>
          <t>ปี 2559</t>
        </is>
      </c>
    </row>
    <row r="121">
      <c r="A121" s="15" t="inlineStr">
        <is>
          <t>119</t>
        </is>
      </c>
      <c r="B121" s="18" t="inlineStr">
        <is>
          <t>ยาตัวใดปลอดภัยกับหัวใจที่สุด</t>
        </is>
      </c>
      <c r="C121" s="18" t="inlineStr"/>
      <c r="D121" s="18" t="inlineStr">
        <is>
          <t>Ibuprofen</t>
        </is>
      </c>
      <c r="E121" s="18" t="inlineStr">
        <is>
          <t>Diclofenac</t>
        </is>
      </c>
      <c r="F121" s="18" t="inlineStr">
        <is>
          <t>Naproxen</t>
        </is>
      </c>
      <c r="G121" s="18" t="inlineStr">
        <is>
          <t>Celecoxib</t>
        </is>
      </c>
      <c r="H121" s="18" t="inlineStr">
        <is>
          <t>Piroxicam</t>
        </is>
      </c>
      <c r="I121" s="15" t="inlineStr">
        <is>
          <t>1</t>
        </is>
      </c>
      <c r="J121" s="22"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ข้อนี้ไม่ใช่คำตอบที่ถูกต้องสำหรับภาวะ Hypertension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(Piroxicam): เป็น oxicam NSAID ที่มี half-life ยาวนานมาก (~50 ชม.) แต่มีความเสี่ยงต่อ severe GI bleed และ skin reactions สูงที่สุดในกลุ่ม NSAIDs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1" s="18" t="inlineStr"/>
      <c r="L121" s="18" t="inlineStr">
        <is>
          <t>Hypertension</t>
        </is>
      </c>
      <c r="M121" s="18" t="inlineStr">
        <is>
          <t>Clinic</t>
        </is>
      </c>
      <c r="N121" s="18" t="inlineStr">
        <is>
          <t>ข้อ 88 (PLE_CC1_2559.md)</t>
        </is>
      </c>
      <c r="O121" s="18" t="inlineStr">
        <is>
          <t>ข้อสอบจริง</t>
        </is>
      </c>
      <c r="P121" s="18" t="inlineStr">
        <is>
          <t>ปี 2559</t>
        </is>
      </c>
    </row>
    <row r="122">
      <c r="A122" s="15" t="inlineStr">
        <is>
          <t>120</t>
        </is>
      </c>
      <c r="B122" s="18" t="inlineStr">
        <is>
          <t>Enalapril 1 x 2</t>
        </is>
      </c>
      <c r="C122" s="18" t="inlineStr"/>
      <c r="D122" s="18" t="inlineStr">
        <is>
          <t>Amlodipine 5 mg OD</t>
        </is>
      </c>
      <c r="E122" s="18" t="inlineStr">
        <is>
          <t>Losartan 50 mg OD</t>
        </is>
      </c>
      <c r="F122" s="18" t="inlineStr">
        <is>
          <t>Enalapril 10 mg BID</t>
        </is>
      </c>
      <c r="G122" s="18" t="inlineStr">
        <is>
          <t>Hydrochlorothiazide 25 mg OD</t>
        </is>
      </c>
      <c r="H122" s="18" t="inlineStr">
        <is>
          <t>Atorvastatin 20 mg OD</t>
        </is>
      </c>
      <c r="I122" s="15" t="inlineStr">
        <is>
          <t>1</t>
        </is>
      </c>
      <c r="J12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22" s="18" t="inlineStr"/>
      <c r="L122" s="18" t="inlineStr">
        <is>
          <t>Hypertension</t>
        </is>
      </c>
      <c r="M122" s="18" t="inlineStr">
        <is>
          <t>Clinic</t>
        </is>
      </c>
      <c r="N122" s="18" t="inlineStr">
        <is>
          <t>ข้อ 1 (PLE_CC1_2558_Key.md)</t>
        </is>
      </c>
      <c r="O122" s="18" t="inlineStr">
        <is>
          <t>ข้อสอบจริง</t>
        </is>
      </c>
      <c r="P122" s="18" t="inlineStr">
        <is>
          <t>ปี 2558</t>
        </is>
      </c>
    </row>
    <row r="123">
      <c r="A123" s="15" t="inlineStr">
        <is>
          <t>121</t>
        </is>
      </c>
      <c r="B123" s="18" t="inlineStr">
        <is>
          <t>Simvastatin 1 x 1</t>
        </is>
      </c>
      <c r="C123" s="18" t="inlineStr"/>
      <c r="D123" s="18" t="inlineStr">
        <is>
          <t>Hydrochlorothiazide 25 mg OD</t>
        </is>
      </c>
      <c r="E123" s="18" t="inlineStr">
        <is>
          <t>Atorvastatin 20 mg OD</t>
        </is>
      </c>
      <c r="F123" s="18" t="inlineStr">
        <is>
          <t>Simvastatin 20 mg HS</t>
        </is>
      </c>
      <c r="G123" s="18" t="inlineStr">
        <is>
          <t>Bisoprolol 5 mg OD</t>
        </is>
      </c>
      <c r="H123" s="18" t="inlineStr">
        <is>
          <t>Spironolactone 25 mg OD</t>
        </is>
      </c>
      <c r="I123" s="15" t="inlineStr">
        <is>
          <t>1</t>
        </is>
      </c>
      <c r="J12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23" s="18" t="inlineStr"/>
      <c r="L123" s="18" t="inlineStr">
        <is>
          <t>Hypertension</t>
        </is>
      </c>
      <c r="M123" s="18" t="inlineStr">
        <is>
          <t>Clinic</t>
        </is>
      </c>
      <c r="N123" s="18" t="inlineStr">
        <is>
          <t>ข้อ 2 (PLE_CC1_2558_Key.md)</t>
        </is>
      </c>
      <c r="O123" s="18" t="inlineStr">
        <is>
          <t>ข้อสอบจริง</t>
        </is>
      </c>
      <c r="P123" s="18" t="inlineStr">
        <is>
          <t>ปี 2558</t>
        </is>
      </c>
    </row>
    <row r="124">
      <c r="A124" s="15" t="inlineStr">
        <is>
          <t>122</t>
        </is>
      </c>
      <c r="B124" s="18" t="inlineStr">
        <is>
          <t>เป้าหมายความดันโลหิตของผู้ป่วยรายนี้ตาม JNC8 เท่ากับข้อใด</t>
        </is>
      </c>
      <c r="C124" s="18" t="inlineStr"/>
      <c r="D124" s="18" t="inlineStr">
        <is>
          <t>150/90 mmHg</t>
        </is>
      </c>
      <c r="E124" s="18" t="inlineStr">
        <is>
          <t>140/90 mmHg</t>
        </is>
      </c>
      <c r="F124" s="18" t="inlineStr">
        <is>
          <t>130/80 mmHg</t>
        </is>
      </c>
      <c r="G124" s="18" t="inlineStr">
        <is>
          <t>140/80 mmHg</t>
        </is>
      </c>
      <c r="H124" s="18" t="inlineStr">
        <is>
          <t>125/90 mmHg</t>
        </is>
      </c>
      <c r="I124" s="15" t="inlineStr">
        <is>
          <t>1</t>
        </is>
      </c>
      <c r="J124" s="22" t="inlineStr">
        <is>
          <t>✅ คำตอบที่ถูกต้อง: ข้อ ก. 150/90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150/90 mmHg การเลือก 150/90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ข้อนี้ไม่ใช่คำตอบที่ถูกต้องสำหรับภาวะ Hypertension เนื่องจากกลไกการออกฤทธิ์, efficacy หรือข้อบ่งใช้ไม่ตรงกับโจทย์ที่กำหนด
• ข้อ ค. (130/80 mmHg): ข้อนี้ไม่ใช่คำตอบที่ถูกต้องสำหรับภาวะ Hypertension เนื่องจากกลไกการออกฤทธิ์, efficacy หรือข้อบ่งใช้ไม่ตรงกับโจทย์ที่กำหนด
• ข้อ ง. (140/80 mmHg): ข้อนี้ไม่ใช่คำตอบที่ถูกต้องสำหรับภาวะ Hypertension เนื่องจากกลไกการออกฤทธิ์, efficacy หรือข้อบ่งใช้ไม่ตรงกับโจทย์ที่กำหนด
• ข้อ จ. (125/90 mmHg):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18" t="inlineStr"/>
      <c r="L124" s="18" t="inlineStr">
        <is>
          <t>Hypertension</t>
        </is>
      </c>
      <c r="M124" s="18" t="inlineStr">
        <is>
          <t>Clinic</t>
        </is>
      </c>
      <c r="N124" s="18" t="inlineStr">
        <is>
          <t>ข้อ 1 (PLE_CC1_2558_Key.md)</t>
        </is>
      </c>
      <c r="O124" s="18" t="inlineStr">
        <is>
          <t>ข้อสอบจริง</t>
        </is>
      </c>
      <c r="P124" s="18" t="inlineStr">
        <is>
          <t>ปี 2558</t>
        </is>
      </c>
    </row>
    <row r="125">
      <c r="A125" s="15" t="inlineStr">
        <is>
          <t>123</t>
        </is>
      </c>
      <c r="B125" s="18" t="inlineStr">
        <is>
          <t>ข้อใดคือ ADR ของ enalapril ที่ต้องติดตาม</t>
        </is>
      </c>
      <c r="C125" s="18" t="inlineStr"/>
      <c r="D125" s="18" t="inlineStr">
        <is>
          <t>Hyperkalemia</t>
        </is>
      </c>
      <c r="E125" s="18" t="inlineStr">
        <is>
          <t>Hyperuricemia</t>
        </is>
      </c>
      <c r="F125" s="18" t="inlineStr">
        <is>
          <t>Hypernatremia</t>
        </is>
      </c>
      <c r="G125" s="18" t="inlineStr">
        <is>
          <t>Hyperphosphatemia</t>
        </is>
      </c>
      <c r="H125" s="18" t="inlineStr">
        <is>
          <t>Hypercalcemia</t>
        </is>
      </c>
      <c r="I125" s="15" t="inlineStr">
        <is>
          <t>1</t>
        </is>
      </c>
      <c r="J125" s="22"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(Hyperuricemia): ข้อนี้ไม่ใช่คำตอบที่ถูกต้องสำหรับภาวะ Hypertension เนื่องจากกลไกการออกฤทธิ์, efficacy หรือข้อบ่งใช้ไม่ตรงกับโจทย์ที่กำหนด
• ข้อ ค. (Hypernatremia): ข้อนี้ไม่ใช่คำตอบที่ถูกต้องสำหรับภาวะ Hypertension เนื่องจากกลไกการออกฤทธิ์, efficacy หรือข้อบ่งใช้ไม่ตรงกับโจทย์ที่กำหนด
• ข้อ ง. (Hyperphosphatemia): ข้อนี้ไม่ใช่คำตอบที่ถูกต้องสำหรับภาวะ Hypertension เนื่องจากกลไกการออกฤทธิ์, efficacy หรือข้อบ่งใช้ไม่ตรงกับโจทย์ที่กำหนด
• ข้อ จ. (Hypercalcemia):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5" s="18" t="inlineStr"/>
      <c r="L125" s="18" t="inlineStr">
        <is>
          <t>Hypertension</t>
        </is>
      </c>
      <c r="M125" s="18" t="inlineStr">
        <is>
          <t>Clinic</t>
        </is>
      </c>
      <c r="N125" s="18" t="inlineStr">
        <is>
          <t>ข้อ 2 (PLE_CC1_2558_Key.md)</t>
        </is>
      </c>
      <c r="O125" s="18" t="inlineStr">
        <is>
          <t>ข้อสอบจริง</t>
        </is>
      </c>
      <c r="P125" s="18" t="inlineStr">
        <is>
          <t>ปี 2558</t>
        </is>
      </c>
    </row>
    <row r="126">
      <c r="A126" s="15" t="inlineStr">
        <is>
          <t>124</t>
        </is>
      </c>
      <c r="B126" s="18" t="inlineStr">
        <is>
          <t>ควรเพิ่มยารักษาความดันใดให้ได้ตามเป้าหมาย</t>
        </is>
      </c>
      <c r="C126" s="18" t="inlineStr"/>
      <c r="D126" s="18" t="inlineStr">
        <is>
          <t>Atenolol</t>
        </is>
      </c>
      <c r="E126" s="18" t="inlineStr">
        <is>
          <t>Amlodipine</t>
        </is>
      </c>
      <c r="F126" s="18" t="inlineStr">
        <is>
          <t>เพิ่มขนาดยา enalapril</t>
        </is>
      </c>
      <c r="G126" s="18" t="inlineStr">
        <is>
          <t>Indapamide</t>
        </is>
      </c>
      <c r="H126" s="18" t="inlineStr">
        <is>
          <t>HCTZ</t>
        </is>
      </c>
      <c r="I126" s="15" t="inlineStr">
        <is>
          <t>1</t>
        </is>
      </c>
      <c r="J126" s="22" t="inlineStr">
        <is>
          <t>✅ คำตอบที่ถูกต้อง: ข้อ ก. Atenolol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(เพิ่มขนาดยา enalapril): เป็น ACE inhibitor ลด Angiotensin II และ intraglomerular pressure มี renal protective efficacy เด่นชัดใน diabetic kidney disease แต่อาจเกิด dry cough จากการสะสมของ bradykinin
• ข้อ ง. (Indapamide): เป็น Thiazide-like diuretic มี metabolic neutral profile ดีกว่า HCTZ และมี vasodilatory effect ร่วมด้วย มี efficacy ในผู้สูงอายุและ isolated systolic hypertension
• ข้อ จ. (HCTZ):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6" s="18" t="inlineStr"/>
      <c r="L126" s="18" t="inlineStr">
        <is>
          <t>Hypertension</t>
        </is>
      </c>
      <c r="M126" s="18" t="inlineStr">
        <is>
          <t>Clinic</t>
        </is>
      </c>
      <c r="N126" s="18" t="inlineStr">
        <is>
          <t>ข้อ 3 (PLE_CC1_2558_Key.md)</t>
        </is>
      </c>
      <c r="O126" s="18" t="inlineStr">
        <is>
          <t>ข้อสอบจริง</t>
        </is>
      </c>
      <c r="P126" s="18" t="inlineStr">
        <is>
          <t>ปี 2558</t>
        </is>
      </c>
    </row>
    <row r="127">
      <c r="A127" s="15" t="inlineStr">
        <is>
          <t>125</t>
        </is>
      </c>
      <c r="B127" s="18" t="inlineStr">
        <is>
          <t>Simvastatin เกิดปฏิกิริยาระหว่างยา gemfibrozil ด้วยกลไก</t>
        </is>
      </c>
      <c r="C127" s="18" t="inlineStr"/>
      <c r="D127" s="18" t="inlineStr">
        <is>
          <t>CYP 3A4</t>
        </is>
      </c>
      <c r="E127" s="18" t="inlineStr">
        <is>
          <t>CYP 1A2</t>
        </is>
      </c>
      <c r="F127" s="18" t="inlineStr">
        <is>
          <t>CYP 2C9</t>
        </is>
      </c>
      <c r="G127" s="18" t="inlineStr">
        <is>
          <t>Sulfation</t>
        </is>
      </c>
      <c r="H127" s="18" t="inlineStr">
        <is>
          <t>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t>
        </is>
      </c>
      <c r="I127" s="15" t="inlineStr">
        <is>
          <t>1</t>
        </is>
      </c>
      <c r="J127" s="22" t="inlineStr">
        <is>
          <t>✅ คำตอบที่ถูกต้อง: ข้อ ก. CYP 3A4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3A4 การเลือก CYP 3A4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(CYP 1A2): ข้อนี้ไม่ใช่คำตอบที่ถูกต้องสำหรับภาวะ Hypertension เนื่องจากกลไกการออกฤทธิ์, efficacy หรือข้อบ่งใช้ไม่ตรงกับโจทย์ที่กำหนด
• ข้อ ค. (CYP 2C9): ข้อนี้ไม่ใช่คำตอบที่ถูกต้องสำหรับภาวะ Hypertension เนื่องจากกลไกการออกฤทธิ์, efficacy หรือข้อบ่งใช้ไม่ตรงกับโจทย์ที่กำหนด
• ข้อ ง. (Sulfation): ข้อนี้ไม่ใช่คำตอบที่ถูกต้องสำหรับภาวะ Hypertension เนื่องจากกลไกการออกฤทธิ์, efficacy หรือข้อบ่งใช้ไม่ตรงกับโจทย์ที่กำหนด
• ข้อ จ. (OATP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7" s="18" t="inlineStr"/>
      <c r="L127" s="18" t="inlineStr">
        <is>
          <t>Hypertension</t>
        </is>
      </c>
      <c r="M127" s="18" t="inlineStr">
        <is>
          <t>Clinic</t>
        </is>
      </c>
      <c r="N127" s="18" t="inlineStr">
        <is>
          <t>ข้อ 5 (PLE_CC1_2558_Key.md)</t>
        </is>
      </c>
      <c r="O127" s="18" t="inlineStr">
        <is>
          <t>ข้อสอบจริง</t>
        </is>
      </c>
      <c r="P127" s="18" t="inlineStr">
        <is>
          <t>ปี 2558</t>
        </is>
      </c>
    </row>
    <row r="128">
      <c r="A128" s="15" t="inlineStr">
        <is>
          <t>126</t>
        </is>
      </c>
      <c r="B128" s="18" t="inlineStr">
        <is>
          <t>โครงสร้าง ยา enalapril เสื่อมด้วยกลไกใด</t>
        </is>
      </c>
      <c r="C128" s="18" t="inlineStr"/>
      <c r="D128" s="18" t="inlineStr">
        <is>
          <t>Epimerization</t>
        </is>
      </c>
      <c r="E128" s="18" t="inlineStr">
        <is>
          <t>Dimerization</t>
        </is>
      </c>
      <c r="F128" s="18" t="inlineStr">
        <is>
          <t>Hydrolysis</t>
        </is>
      </c>
      <c r="G128" s="18" t="inlineStr">
        <is>
          <t>Tautomerization</t>
        </is>
      </c>
      <c r="H128" s="18" t="inlineStr">
        <is>
          <t>Intramolecular cyclication</t>
        </is>
      </c>
      <c r="I128" s="15" t="inlineStr">
        <is>
          <t>1</t>
        </is>
      </c>
      <c r="J128" s="22" t="inlineStr">
        <is>
          <t>✅ คำตอบที่ถูกต้อง: ข้อ ก. Epimerization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Epimerization การเลือก Epimerization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(Dimerization): ข้อนี้ไม่ใช่คำตอบที่ถูกต้องสำหรับภาวะ Hypertension เนื่องจากกลไกการออกฤทธิ์, efficacy หรือข้อบ่งใช้ไม่ตรงกับโจทย์ที่กำหนด
• ข้อ ค. (Hydrolysis): ข้อนี้ไม่ใช่คำตอบที่ถูกต้องสำหรับภาวะ Hypertension เนื่องจากกลไกการออกฤทธิ์, efficacy หรือข้อบ่งใช้ไม่ตรงกับโจทย์ที่กำหนด
• ข้อ ง. (Tautomerization): ข้อนี้ไม่ใช่คำตอบที่ถูกต้องสำหรับภาวะ Hypertension เนื่องจากกลไกการออกฤทธิ์, efficacy หรือข้อบ่งใช้ไม่ตรงกับโจทย์ที่กำหนด
• ข้อ จ. (Intramolecular cyclication):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8" s="18" t="inlineStr"/>
      <c r="L128" s="18" t="inlineStr">
        <is>
          <t>Hypertension</t>
        </is>
      </c>
      <c r="M128" s="18" t="inlineStr">
        <is>
          <t>Clinic</t>
        </is>
      </c>
      <c r="N128" s="18" t="inlineStr">
        <is>
          <t>ข้อ 6 (PLE_CC1_2558_Key.md)</t>
        </is>
      </c>
      <c r="O128" s="18" t="inlineStr">
        <is>
          <t>ข้อสอบจริง</t>
        </is>
      </c>
      <c r="P128" s="18" t="inlineStr">
        <is>
          <t>ปี 2558</t>
        </is>
      </c>
    </row>
    <row r="129">
      <c r="A129" s="15" t="inlineStr">
        <is>
          <t>127</t>
        </is>
      </c>
      <c r="B129" s="18" t="inlineStr">
        <is>
          <t>6 เดือนต่อมาผู้ป่วยมีภาวะหลอดเลือดแดงที่ไตตีบ ควรให้ยาความดันตัวใด -</t>
        </is>
      </c>
      <c r="C129" s="18" t="inlineStr"/>
      <c r="D129" s="18" t="inlineStr">
        <is>
          <t>Manidipine</t>
        </is>
      </c>
      <c r="E129" s="18" t="inlineStr">
        <is>
          <t>Losartan</t>
        </is>
      </c>
      <c r="F129" s="18" t="inlineStr">
        <is>
          <t>Ramipril</t>
        </is>
      </c>
      <c r="G129" s="18" t="inlineStr">
        <is>
          <t>HCTZ</t>
        </is>
      </c>
      <c r="H129" s="18" t="inlineStr">
        <is>
          <t>Metoprolol</t>
        </is>
      </c>
      <c r="I129" s="15" t="inlineStr">
        <is>
          <t>1</t>
        </is>
      </c>
      <c r="J129" s="22" t="inlineStr">
        <is>
          <t>✅ คำตอบที่ถูกต้อง: ข้อ ก. Manidipine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Manidipine การเลือก Manidipine เป็นคำตอบที่ถูกต้องตามแนวทางการรักษามาตรฐาน เนื่องจาก เป็น 3rd generation DHP-CCB ขยายทั้ง afferent และ efferent arterioles จึงลด intraglomerular pressure และเกิด peripheral edema น้อยกว่า amlodipine
🔍 ข้ออื่นผิดเพราะอะไร:
• ข้อ ข.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ค. (Ramipril): ข้อนี้ไม่ใช่คำตอบที่ถูกต้องสำหรับภาวะ Hypertension เนื่องจากกลไกการออกฤทธิ์, efficacy หรือข้อบ่งใช้ไม่ตรงกับโจทย์ที่กำหนด
• ข้อ ง. (HCTZ): ข้อนี้ไม่ใช่คำตอบที่ถูกต้องสำหรับภาวะ Hypertension เนื่องจากกลไกการออกฤทธิ์, efficacy หรือข้อบ่งใช้ไม่ตรงกับโจทย์ที่กำหนด
• ข้อ จ. (Metoprolol):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Balanced Arteriolar Dilatation: ขยายทั้ง afferent และ efferent arterioles จึงลด intraglomerular pressure และเกิด pedal edema น้อยกว่า amlodipine</t>
        </is>
      </c>
      <c r="K129" s="18" t="inlineStr"/>
      <c r="L129" s="18" t="inlineStr">
        <is>
          <t>Hypertension</t>
        </is>
      </c>
      <c r="M129" s="18" t="inlineStr">
        <is>
          <t>Clinic</t>
        </is>
      </c>
      <c r="N129" s="18" t="inlineStr">
        <is>
          <t>ข้อ 7 (PLE_CC1_2558_Key.md)</t>
        </is>
      </c>
      <c r="O129" s="18" t="inlineStr">
        <is>
          <t>ข้อสอบจริง</t>
        </is>
      </c>
      <c r="P129" s="18" t="inlineStr">
        <is>
          <t>ปี 2558</t>
        </is>
      </c>
    </row>
    <row r="130">
      <c r="A130" s="15" t="inlineStr">
        <is>
          <t>128</t>
        </is>
      </c>
      <c r="B130" s="18" t="inlineStr">
        <is>
          <t>หากผู้ป่วยมีโรคความดันร่วมไม่ควรได้ยาใด</t>
        </is>
      </c>
      <c r="C130" s="18" t="inlineStr"/>
      <c r="D130" s="18" t="inlineStr">
        <is>
          <t>Carvedilol</t>
        </is>
      </c>
      <c r="E130" s="18" t="inlineStr">
        <is>
          <t>HCTZ</t>
        </is>
      </c>
      <c r="F130" s="18" t="inlineStr">
        <is>
          <t>Enalapril</t>
        </is>
      </c>
      <c r="G130" s="18" t="inlineStr">
        <is>
          <t>Amlodipine</t>
        </is>
      </c>
      <c r="H130" s="18" t="inlineStr">
        <is>
          <t>Valsartan</t>
        </is>
      </c>
      <c r="I130" s="15" t="inlineStr">
        <is>
          <t>1</t>
        </is>
      </c>
      <c r="J130" s="22" t="inlineStr">
        <is>
          <t>✅ คำตอบที่ถูกต้อง: ข้อ ก. Carvedilol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ข. (HCTZ): ข้อนี้ไม่ใช่คำตอบที่ถูกต้องสำหรับภาวะ Hypertension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(Valsartan):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130" s="18" t="inlineStr"/>
      <c r="L130" s="18" t="inlineStr">
        <is>
          <t>Hypertension</t>
        </is>
      </c>
      <c r="M130" s="18" t="inlineStr">
        <is>
          <t>Clinic</t>
        </is>
      </c>
      <c r="N130" s="18" t="inlineStr">
        <is>
          <t>ข้อ 30 (PLE_CC1_2558_Key.md)</t>
        </is>
      </c>
      <c r="O130" s="18" t="inlineStr">
        <is>
          <t>ข้อสอบจริง</t>
        </is>
      </c>
      <c r="P130" s="18" t="inlineStr">
        <is>
          <t>ปี 2558</t>
        </is>
      </c>
    </row>
    <row r="131">
      <c r="A131" s="15" t="inlineStr">
        <is>
          <t>129</t>
        </is>
      </c>
      <c r="B131" s="18" t="inlineStr">
        <is>
          <t>ยารักษาภาวะ hyperkalemia</t>
        </is>
      </c>
      <c r="C131" s="18" t="inlineStr"/>
      <c r="D131" s="18" t="inlineStr">
        <is>
          <t>Sevelamer</t>
        </is>
      </c>
      <c r="E131" s="18" t="inlineStr">
        <is>
          <t>Al(OH)3</t>
        </is>
      </c>
      <c r="F131" s="18" t="inlineStr">
        <is>
          <t>CaCO3</t>
        </is>
      </c>
      <c r="G131" s="18" t="inlineStr">
        <is>
          <t>Sodium bicarbonate</t>
        </is>
      </c>
      <c r="H131" s="18" t="inlineStr">
        <is>
          <t>Sodium polystyrene sulfonate</t>
        </is>
      </c>
      <c r="I131" s="15" t="inlineStr">
        <is>
          <t>1</t>
        </is>
      </c>
      <c r="J131" s="22" t="inlineStr">
        <is>
          <t>✅ คำตอบที่ถูกต้อง: ข้อ ก. Sevelamer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Sevelamer การเลือก Sevelamer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(Al(OH)3): ข้อนี้ไม่ใช่คำตอบที่ถูกต้องสำหรับภาวะ Hypertension เนื่องจากกลไกการออกฤทธิ์, efficacy หรือข้อบ่งใช้ไม่ตรงกับโจทย์ที่กำหนด
• ข้อ ค. (CaCO3): ข้อนี้ไม่ใช่คำตอบที่ถูกต้องสำหรับภาวะ Hypertension เนื่องจากกลไกการออกฤทธิ์, efficacy หรือข้อบ่งใช้ไม่ตรงกับโจทย์ที่กำหนด
• ข้อ ง. (Sodium bicarbonate): ข้อนี้ไม่ใช่คำตอบที่ถูกต้องสำหรับภาวะ Hypertension เนื่องจากกลไกการออกฤทธิ์, efficacy หรือข้อบ่งใช้ไม่ตรงกับโจทย์ที่กำหนด
• ข้อ จ. (Sodium polystyrene sulfonate):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18" t="inlineStr"/>
      <c r="L131" s="18" t="inlineStr">
        <is>
          <t>Hypertension</t>
        </is>
      </c>
      <c r="M131" s="18" t="inlineStr">
        <is>
          <t>Clinic</t>
        </is>
      </c>
      <c r="N131" s="18" t="inlineStr">
        <is>
          <t>ข้อ 50 (PLE_CC1_2558_Key.md)</t>
        </is>
      </c>
      <c r="O131" s="18" t="inlineStr">
        <is>
          <t>ข้อสอบจริง</t>
        </is>
      </c>
      <c r="P131" s="18" t="inlineStr">
        <is>
          <t>ปี 2558</t>
        </is>
      </c>
    </row>
    <row r="132">
      <c r="A132" s="15" t="inlineStr">
        <is>
          <t>130</t>
        </is>
      </c>
      <c r="B132" s="18"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C132" s="18" t="inlineStr"/>
      <c r="D132" s="18" t="inlineStr">
        <is>
          <t>955 mg</t>
        </is>
      </c>
      <c r="E132" s="18" t="inlineStr">
        <is>
          <t>1029 mg</t>
        </is>
      </c>
      <c r="F132" s="18" t="inlineStr">
        <is>
          <t>1194 mg</t>
        </is>
      </c>
      <c r="G132" s="18" t="inlineStr">
        <is>
          <t>1507 mg</t>
        </is>
      </c>
      <c r="H132" s="18" t="inlineStr">
        <is>
          <t>1885 mg</t>
        </is>
      </c>
      <c r="I132" s="15" t="inlineStr">
        <is>
          <t>1</t>
        </is>
      </c>
      <c r="J132" s="22" t="inlineStr">
        <is>
          <t>✅ คำตอบที่ถูกต้อง: ข้อ ก. 955 mg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955 mg การเลือก 955 mg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(1029 mg): ข้อนี้ไม่ใช่คำตอบที่ถูกต้องสำหรับภาวะ Hypertension เนื่องจากกลไกการออกฤทธิ์, efficacy หรือข้อบ่งใช้ไม่ตรงกับโจทย์ที่กำหนด
• ข้อ ค. (1194 mg): ข้อนี้ไม่ใช่คำตอบที่ถูกต้องสำหรับภาวะ Hypertension เนื่องจากกลไกการออกฤทธิ์, efficacy หรือข้อบ่งใช้ไม่ตรงกับโจทย์ที่กำหนด
• ข้อ ง. (1507 mg): ข้อนี้ไม่ใช่คำตอบที่ถูกต้องสำหรับภาวะ Hypertension เนื่องจากกลไกการออกฤทธิ์, efficacy หรือข้อบ่งใช้ไม่ตรงกับโจทย์ที่กำหนด
• ข้อ จ. (1885 mg):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132" s="18" t="inlineStr"/>
      <c r="L132" s="18" t="inlineStr">
        <is>
          <t>Hypertension</t>
        </is>
      </c>
      <c r="M132" s="18" t="inlineStr">
        <is>
          <t>Clinic</t>
        </is>
      </c>
      <c r="N132" s="18" t="inlineStr">
        <is>
          <t>ข้อ 65 (PLE_CC1_2558_Key.md)</t>
        </is>
      </c>
      <c r="O132" s="18" t="inlineStr">
        <is>
          <t>ข้อสอบจริง</t>
        </is>
      </c>
      <c r="P132" s="18" t="inlineStr">
        <is>
          <t>ปี 2558</t>
        </is>
      </c>
    </row>
    <row r="133">
      <c r="A133" s="15" t="inlineStr">
        <is>
          <t>131</t>
        </is>
      </c>
      <c r="B133" s="18" t="inlineStr">
        <is>
          <t>NSAIDs ใดมีผลต่อหัวใจและหลอดเลือดน้อยสุด</t>
        </is>
      </c>
      <c r="C133" s="18" t="inlineStr"/>
      <c r="D133" s="18" t="inlineStr">
        <is>
          <t>Ibuprofen</t>
        </is>
      </c>
      <c r="E133" s="18" t="inlineStr">
        <is>
          <t>Diclofenac</t>
        </is>
      </c>
      <c r="F133" s="18" t="inlineStr">
        <is>
          <t>Naproxen</t>
        </is>
      </c>
      <c r="G133" s="18" t="inlineStr">
        <is>
          <t>Sulindac</t>
        </is>
      </c>
      <c r="H133" s="18" t="inlineStr">
        <is>
          <t>Parecoxib</t>
        </is>
      </c>
      <c r="I133" s="15" t="inlineStr">
        <is>
          <t>1</t>
        </is>
      </c>
      <c r="J133" s="22"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ข้อนี้ไม่ใช่คำตอบที่ถูกต้องสำหรับภาวะ Hypertension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(Sulindac): ข้อนี้ไม่ใช่คำตอบที่ถูกต้องสำหรับภาวะ Hypertension เนื่องจากกลไกการออกฤทธิ์, efficacy หรือข้อบ่งใช้ไม่ตรงกับโจทย์ที่กำหนด
• ข้อ จ. (Parecoxib):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3" s="18" t="inlineStr"/>
      <c r="L133" s="18" t="inlineStr">
        <is>
          <t>Hypertension</t>
        </is>
      </c>
      <c r="M133" s="18" t="inlineStr">
        <is>
          <t>Clinic</t>
        </is>
      </c>
      <c r="N133" s="18" t="inlineStr">
        <is>
          <t>ข้อ 67 (PLE_CC1_2558_Key.md)</t>
        </is>
      </c>
      <c r="O133" s="18" t="inlineStr">
        <is>
          <t>ข้อสอบจริง</t>
        </is>
      </c>
      <c r="P133" s="18" t="inlineStr">
        <is>
          <t>ปี 2558</t>
        </is>
      </c>
    </row>
    <row r="134">
      <c r="A134" s="15" t="inlineStr">
        <is>
          <t>132</t>
        </is>
      </c>
      <c r="B134" s="18" t="inlineStr">
        <is>
          <t>ถ้าผู้ป่วยติดเชื้อในช่องท้อง (SBP) ยาใดที่ควรให้</t>
        </is>
      </c>
      <c r="C134" s="18" t="inlineStr"/>
      <c r="D134" s="18" t="inlineStr">
        <is>
          <t>Imipenem</t>
        </is>
      </c>
      <c r="E134" s="18" t="inlineStr">
        <is>
          <t>Ceftazidime IV</t>
        </is>
      </c>
      <c r="F134" s="18" t="inlineStr">
        <is>
          <t>Cefotaxime IV</t>
        </is>
      </c>
      <c r="G134" s="18" t="inlineStr">
        <is>
          <t>Norfloxacin oral</t>
        </is>
      </c>
      <c r="H134" s="18" t="inlineStr">
        <is>
          <t>Amoxicillin/clavulanic IV</t>
        </is>
      </c>
      <c r="I134" s="15" t="inlineStr">
        <is>
          <t>1</t>
        </is>
      </c>
      <c r="J134" s="22"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เป็น 3rd gen cephalosporin ที่มี antipseudomonal activity เด่นชัด เป็น drug of choice สำหรับ Melioidosis (Burkholderia pseudomallei) ในระยะ intensive phase
• ข้อ ค. (Cefotaxime IV): เป็น 3rd gen cephalosporin ผ่าน BBB ได้ดี ปลอดภัยในทารกแรกเกิด (neonates) ต่างจาก ceftriaxone ที่เสี่ยงต่อ biliary sludging และ kernicterus
• ข้อ ง. (Norfloxacin oral): ข้อนี้ไม่ใช่คำตอบที่ถูกต้องสำหรับภาวะ Hypertension เนื่องจากกลไกการออกฤทธิ์, efficacy หรือข้อบ่งใช้ไม่ตรงกับโจทย์ที่กำหนด
• ข้อ จ. (Amoxicillin/clavulanic IV): เป็น Aminopenicillin ยับยั้ง bacterial cell wall synthesis เป็น first-line สำหรับ uncomplicated bacterial infections (เช่น Strep pharyngitis, AOM, sinusitis)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4" s="18" t="inlineStr"/>
      <c r="L134" s="18" t="inlineStr">
        <is>
          <t>Hypertension</t>
        </is>
      </c>
      <c r="M134" s="18" t="inlineStr">
        <is>
          <t>Clinic</t>
        </is>
      </c>
      <c r="N134" s="18" t="inlineStr">
        <is>
          <t>ข้อ 88 (PLE_CC1_2558_Key.md)</t>
        </is>
      </c>
      <c r="O134" s="18" t="inlineStr">
        <is>
          <t>ข้อสอบจริง</t>
        </is>
      </c>
      <c r="P134" s="18" t="inlineStr">
        <is>
          <t>ปี 2558</t>
        </is>
      </c>
    </row>
    <row r="135">
      <c r="A135" s="15" t="inlineStr">
        <is>
          <t>133</t>
        </is>
      </c>
      <c r="B135" s="18" t="inlineStr">
        <is>
          <t>เชื้อสาเหตุของ SBP คือข้อใด</t>
        </is>
      </c>
      <c r="C135" s="18" t="inlineStr"/>
      <c r="D135" s="18" t="inlineStr">
        <is>
          <t>S. aureus</t>
        </is>
      </c>
      <c r="E135" s="18" t="inlineStr">
        <is>
          <t>S. pyogenes</t>
        </is>
      </c>
      <c r="F135" s="18" t="inlineStr">
        <is>
          <t>K. pneumoniea</t>
        </is>
      </c>
      <c r="G135" s="18" t="inlineStr">
        <is>
          <t>P. aeroginosa</t>
        </is>
      </c>
      <c r="H135" s="18" t="inlineStr">
        <is>
          <t>Proteus mirabilis</t>
        </is>
      </c>
      <c r="I135" s="15" t="inlineStr">
        <is>
          <t>1</t>
        </is>
      </c>
      <c r="J135" s="22"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ข้อนี้ไม่ใช่คำตอบที่ถูกต้องสำหรับภาวะ Hypertension เนื่องจากกลไกการออกฤทธิ์, efficacy หรือข้อบ่งใช้ไม่ตรงกับโจทย์ที่กำหนด
• ข้อ ค. (K. pneumoniea): ข้อนี้ไม่ใช่คำตอบที่ถูกต้องสำหรับภาวะ Hypertension เนื่องจากกลไกการออกฤทธิ์, efficacy หรือข้อบ่งใช้ไม่ตรงกับโจทย์ที่กำหนด
• ข้อ ง. (P. aeroginosa): ข้อนี้ไม่ใช่คำตอบที่ถูกต้องสำหรับภาวะ Hypertension เนื่องจากกลไกการออกฤทธิ์, efficacy หรือข้อบ่งใช้ไม่ตรงกับโจทย์ที่กำหนด
• ข้อ จ. (Proteus mirabilis):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5" s="18" t="inlineStr"/>
      <c r="L135" s="18" t="inlineStr">
        <is>
          <t>Hypertension</t>
        </is>
      </c>
      <c r="M135" s="18" t="inlineStr">
        <is>
          <t>Clinic</t>
        </is>
      </c>
      <c r="N135" s="18" t="inlineStr">
        <is>
          <t>ข้อ 90 (PLE_CC1_2558_Key.md)</t>
        </is>
      </c>
      <c r="O135" s="18" t="inlineStr">
        <is>
          <t>ข้อสอบจริง</t>
        </is>
      </c>
      <c r="P135" s="18" t="inlineStr">
        <is>
          <t>ปี 2558</t>
        </is>
      </c>
    </row>
    <row r="136">
      <c r="A136" s="15" t="inlineStr">
        <is>
          <t>134</t>
        </is>
      </c>
      <c r="B136" s="18" t="inlineStr">
        <is>
          <t>ข้อใดคืออาการไม่พึงประสงค์ที่พบบ่อยจาก cyclophosphamide</t>
        </is>
      </c>
      <c r="C136" s="18" t="inlineStr"/>
      <c r="D136" s="18" t="inlineStr">
        <is>
          <t>Mucositis</t>
        </is>
      </c>
      <c r="E136" s="18" t="inlineStr">
        <is>
          <t>Neuropathy</t>
        </is>
      </c>
      <c r="F136" s="18" t="inlineStr">
        <is>
          <t>Hemorrhagic cystitis</t>
        </is>
      </c>
      <c r="G136" s="18" t="inlineStr">
        <is>
          <t>Hand foot syndrome</t>
        </is>
      </c>
      <c r="H136" s="18" t="inlineStr">
        <is>
          <t>Anemia</t>
        </is>
      </c>
      <c r="I136" s="15" t="inlineStr">
        <is>
          <t>1</t>
        </is>
      </c>
      <c r="J136" s="22"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ข้อนี้ไม่ใช่คำตอบที่ถูกต้องสำหรับภาวะ Hypertension เนื่องจากกลไกการออกฤทธิ์, efficacy หรือข้อบ่งใช้ไม่ตรงกับโจทย์ที่กำหนด
• ข้อ ค. (Hemorrhagic cystitis): ข้อนี้ไม่ใช่คำตอบที่ถูกต้องสำหรับภาวะ Hypertension เนื่องจากกลไกการออกฤทธิ์, efficacy หรือข้อบ่งใช้ไม่ตรงกับโจทย์ที่กำหนด
• ข้อ ง. (Hand foot syndrome): ข้อนี้ไม่ใช่คำตอบที่ถูกต้องสำหรับภาวะ Hypertension เนื่องจากกลไกการออกฤทธิ์, efficacy หรือข้อบ่งใช้ไม่ตรงกับโจทย์ที่กำหนด
• ข้อ จ. (Anemia):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18" t="inlineStr"/>
      <c r="L136" s="18" t="inlineStr">
        <is>
          <t>Hypertension</t>
        </is>
      </c>
      <c r="M136" s="18" t="inlineStr">
        <is>
          <t>Clinic</t>
        </is>
      </c>
      <c r="N136" s="18" t="inlineStr">
        <is>
          <t>ข้อ 63 (PLE_CC1_2558_Key.md)</t>
        </is>
      </c>
      <c r="O136" s="18" t="inlineStr">
        <is>
          <t>ข้อสอบจริง</t>
        </is>
      </c>
      <c r="P136" s="18" t="inlineStr">
        <is>
          <t>ปี 2558</t>
        </is>
      </c>
    </row>
    <row r="137">
      <c r="A137" s="15" t="inlineStr">
        <is>
          <t>135</t>
        </is>
      </c>
      <c r="B137" s="18" t="inlineStr">
        <is>
          <t>Cyclophosphamide ออกฤทธิ์อย่างไร</t>
        </is>
      </c>
      <c r="C137" s="18" t="inlineStr"/>
      <c r="D137" s="18" t="inlineStr">
        <is>
          <t>Inhibit depolymerization of mitotic spindle</t>
        </is>
      </c>
      <c r="E137" s="18" t="inlineStr">
        <is>
          <t>Intercalation</t>
        </is>
      </c>
      <c r="F137" s="18" t="inlineStr">
        <is>
          <t>Alkylated DNA</t>
        </is>
      </c>
      <c r="G137" s="18" t="inlineStr">
        <is>
          <t>Inhibit polymerization of microtubule</t>
        </is>
      </c>
      <c r="H137" s="18" t="inlineStr">
        <is>
          <t>Inhibit topoisomerase IV</t>
        </is>
      </c>
      <c r="I137" s="15" t="inlineStr">
        <is>
          <t>1</t>
        </is>
      </c>
      <c r="J137" s="2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ข้อนี้ไม่ใช่คำตอบที่ถูกต้องสำหรับภาวะ Hypertension เนื่องจากกลไกการออกฤทธิ์, efficacy หรือข้อบ่งใช้ไม่ตรงกับโจทย์ที่กำหนด
• ข้อ ค. (Alkylated DNA): ข้อนี้ไม่ใช่คำตอบที่ถูกต้องสำหรับภาวะ Hypertension เนื่องจากกลไกการออกฤทธิ์, efficacy หรือข้อบ่งใช้ไม่ตรงกับโจทย์ที่กำหนด
• ข้อ ง. (Inhibit polymerization of microtubule): ข้อนี้ไม่ใช่คำตอบที่ถูกต้องสำหรับภาวะ Hypertension เนื่องจากกลไกการออกฤทธิ์, efficacy หรือข้อบ่งใช้ไม่ตรงกับโจทย์ที่กำหนด
• ข้อ จ. (Inhibit topoisomerase IV):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18" t="inlineStr"/>
      <c r="L137" s="18" t="inlineStr">
        <is>
          <t>Hypertension</t>
        </is>
      </c>
      <c r="M137" s="18" t="inlineStr">
        <is>
          <t>Clinic</t>
        </is>
      </c>
      <c r="N137" s="18" t="inlineStr">
        <is>
          <t>ข้อ 65 (PLE_CC1_2558_Key.md)</t>
        </is>
      </c>
      <c r="O137" s="18" t="inlineStr">
        <is>
          <t>ข้อสอบจริง</t>
        </is>
      </c>
      <c r="P137" s="18" t="inlineStr">
        <is>
          <t>ปี 2558</t>
        </is>
      </c>
    </row>
    <row r="138">
      <c r="A138" s="15" t="inlineStr">
        <is>
          <t>136</t>
        </is>
      </c>
      <c r="B138" s="18" t="inlineStr">
        <is>
          <t>Lopinavir/ritonavir กับ ergotamine เกิด DI ผ่านกลไกใด</t>
        </is>
      </c>
      <c r="C138" s="18" t="inlineStr"/>
      <c r="D138" s="18" t="inlineStr">
        <is>
          <t>เพิ่มการ metabolism ของ ergotamine</t>
        </is>
      </c>
      <c r="E138" s="18" t="inlineStr">
        <is>
          <t>เพิ่มการ ขับออกของ ergotamine</t>
        </is>
      </c>
      <c r="F138" s="18" t="inlineStr">
        <is>
          <t>ลดการ metabolism ของ ergotamine</t>
        </is>
      </c>
      <c r="G138" s="18" t="inlineStr">
        <is>
          <t>ลดการ ขับออกของ ergotamine</t>
        </is>
      </c>
      <c r="H138" s="18" t="inlineStr">
        <is>
          <t>เพิ่มการดูดซึม ergotamine</t>
        </is>
      </c>
      <c r="I138" s="15" t="inlineStr">
        <is>
          <t>1</t>
        </is>
      </c>
      <c r="J138" s="22"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8" s="18" t="inlineStr"/>
      <c r="L138" s="18" t="inlineStr">
        <is>
          <t>Hypertension</t>
        </is>
      </c>
      <c r="M138" s="18" t="inlineStr">
        <is>
          <t>Clinic</t>
        </is>
      </c>
      <c r="N138" s="18" t="inlineStr">
        <is>
          <t>ข้อ 70 (PLE_CC1_2558_Key.md)</t>
        </is>
      </c>
      <c r="O138" s="18" t="inlineStr">
        <is>
          <t>ข้อสอบจริง</t>
        </is>
      </c>
      <c r="P138" s="18" t="inlineStr">
        <is>
          <t>ปี 2558</t>
        </is>
      </c>
    </row>
    <row r="139">
      <c r="A139" s="15" t="inlineStr">
        <is>
          <t>137</t>
        </is>
      </c>
      <c r="B139" s="18" t="inlineStr">
        <is>
          <t>ข้อใดไม่ใช่ผลข้างเคียง Ergotamine</t>
        </is>
      </c>
      <c r="C139" s="18" t="inlineStr"/>
      <c r="D139" s="18" t="inlineStr">
        <is>
          <t>N/V</t>
        </is>
      </c>
      <c r="E139" s="18" t="inlineStr">
        <is>
          <t>Hypotension</t>
        </is>
      </c>
      <c r="F139" s="18" t="inlineStr">
        <is>
          <t>Leg weakness</t>
        </is>
      </c>
      <c r="G139" s="18" t="inlineStr">
        <is>
          <t>Neuropathy</t>
        </is>
      </c>
      <c r="H139" s="18" t="inlineStr">
        <is>
          <t>Headache</t>
        </is>
      </c>
      <c r="I139" s="15" t="inlineStr">
        <is>
          <t>1</t>
        </is>
      </c>
      <c r="J139" s="22"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ข้อนี้ไม่ใช่คำตอบที่ถูกต้องสำหรับภาวะ Hypertension เนื่องจากกลไกการออกฤทธิ์, efficacy หรือข้อบ่งใช้ไม่ตรงกับโจทย์ที่กำหนด
• ข้อ ค. (Leg weakness): ข้อนี้ไม่ใช่คำตอบที่ถูกต้องสำหรับภาวะ Hypertension เนื่องจากกลไกการออกฤทธิ์, efficacy หรือข้อบ่งใช้ไม่ตรงกับโจทย์ที่กำหนด
• ข้อ ง. (Neuropathy): ข้อนี้ไม่ใช่คำตอบที่ถูกต้องสำหรับภาวะ Hypertension เนื่องจากกลไกการออกฤทธิ์, efficacy หรือข้อบ่งใช้ไม่ตรงกับโจทย์ที่กำหนด
• ข้อ จ. (Headache):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9" s="18" t="inlineStr"/>
      <c r="L139" s="18" t="inlineStr">
        <is>
          <t>Hypertension</t>
        </is>
      </c>
      <c r="M139" s="18" t="inlineStr">
        <is>
          <t>Clinic</t>
        </is>
      </c>
      <c r="N139" s="18" t="inlineStr">
        <is>
          <t>ข้อ 71 (PLE_CC1_2558_Key.md)</t>
        </is>
      </c>
      <c r="O139" s="18" t="inlineStr">
        <is>
          <t>ข้อสอบจริง</t>
        </is>
      </c>
      <c r="P139" s="18" t="inlineStr">
        <is>
          <t>ปี 2558</t>
        </is>
      </c>
    </row>
    <row r="140">
      <c r="A140" s="15" t="inlineStr">
        <is>
          <t>138</t>
        </is>
      </c>
      <c r="B140" s="18" t="inlineStr">
        <is>
          <t>ตาม guideline ADA 2014 ควรให้ aspirin หรือไม่ อย่างไร</t>
        </is>
      </c>
      <c r="C140" s="18" t="inlineStr"/>
      <c r="D140" s="18" t="inlineStr">
        <is>
          <t>ให้เพื่อป้องกันโรคหลอดเลือดหัวใจแบบปฐมภูมิ</t>
        </is>
      </c>
      <c r="E140" s="18" t="inlineStr">
        <is>
          <t>ให้เพื่อป้องกันโรคหลอดเลือดหัวใจแบบทุติยภูมิ</t>
        </is>
      </c>
      <c r="F140" s="18" t="inlineStr">
        <is>
          <t>ไม่ให้เพราะไม่จำเป็นต้องป้องกันโรคหลอดเลือดหัวใจแบบปฐมภูมิ</t>
        </is>
      </c>
      <c r="G140" s="18" t="inlineStr">
        <is>
          <t>ไม่ให้ เพราะไม่จำเป็นต้องป้องกันโรคหลอดเลือดหัวใจแบบทุติยภูมิ</t>
        </is>
      </c>
      <c r="H140" s="18" t="inlineStr">
        <is>
          <t>ไม่ให้ เพราะไม่เข้าเกณฑ์ตาม ADA guideline</t>
        </is>
      </c>
      <c r="I140" s="15" t="inlineStr">
        <is>
          <t>1</t>
        </is>
      </c>
      <c r="J140" s="22" t="inlineStr">
        <is>
          <t>✅ คำตอบที่ถูกต้อง: ข้อ ก. ให้เพื่อป้องกันโรคหลอดเลือดหัวใจแบบปฐมภูมิ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ให้เพื่อป้องกันโรคหลอดเลือดหัวใจแบบปฐมภูมิ การเลือก ให้เพื่อป้องกันโรคหลอดเลือดหัวใจแบบปฐมภูมิ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(ให้เพื่อป้องกันโรคหลอดเลือดหัวใจแบบทุติยภูมิ): ข้อนี้ไม่ใช่คำตอบที่ถูกต้องสำหรับภาวะ Hypertension เนื่องจากกลไกการออกฤทธิ์, efficacy หรือข้อบ่งใช้ไม่ตรงกับโจทย์ที่กำหนด
• ข้อ ค. (ไม่ให้เพราะไม่จำเป็นต้องป้องกันโรคหลอดเลือดหัวใจแบบปฐมภูมิ): ข้อนี้ไม่ใช่คำตอบที่ถูกต้องสำหรับภาวะ Hypertension เนื่องจากกลไกการออกฤทธิ์, efficacy หรือข้อบ่งใช้ไม่ตรงกับโจทย์ที่กำหนด
• ข้อ ง. (ไม่ให้ เพราะไม่จำเป็นต้องป้องกันโรคหลอดเลือดหัวใจแบบทุติยภูมิ): ข้อนี้ไม่ใช่คำตอบที่ถูกต้องสำหรับภาวะ Hypertension เนื่องจากกลไกการออกฤทธิ์, efficacy หรือข้อบ่งใช้ไม่ตรงกับโจทย์ที่กำหนด
• ข้อ จ. (ไม่ให้ เพราะไม่เข้าเกณฑ์ตาม ADA guideline):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0" s="18" t="inlineStr"/>
      <c r="L140" s="18" t="inlineStr">
        <is>
          <t>Hypertension</t>
        </is>
      </c>
      <c r="M140" s="18" t="inlineStr">
        <is>
          <t>Clinic</t>
        </is>
      </c>
      <c r="N140" s="18" t="inlineStr">
        <is>
          <t>ข้อ 86 (PLE_CC1_2558_Key.md)</t>
        </is>
      </c>
      <c r="O140" s="18" t="inlineStr">
        <is>
          <t>ข้อสอบจริง</t>
        </is>
      </c>
      <c r="P140" s="18" t="inlineStr">
        <is>
          <t>ปี 2558</t>
        </is>
      </c>
    </row>
    <row r="141">
      <c r="A141" s="15" t="inlineStr">
        <is>
          <t>139</t>
        </is>
      </c>
      <c r="B141" s="18" t="inlineStr">
        <is>
          <t>ผู้ป่วยหญิง อายุ 60 ปี มีความดัน 130/100 จัดอยู่ใน Stage ใดตาม ACC/AHA 2017</t>
        </is>
      </c>
      <c r="C141" s="18" t="inlineStr"/>
      <c r="D141" s="18" t="inlineStr">
        <is>
          <t>High normal</t>
        </is>
      </c>
      <c r="E141" s="18" t="inlineStr">
        <is>
          <t>Hypertension Stage 1</t>
        </is>
      </c>
      <c r="F141" s="18" t="inlineStr">
        <is>
          <t>Hypertension Stage 2</t>
        </is>
      </c>
      <c r="G141" s="18" t="inlineStr">
        <is>
          <t>Hypertension Stage 3</t>
        </is>
      </c>
      <c r="H141" s="18" t="inlineStr">
        <is>
          <t>Isolated systolic hypertension</t>
        </is>
      </c>
      <c r="I141" s="15" t="inlineStr">
        <is>
          <t>1</t>
        </is>
      </c>
      <c r="J141" s="22"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(Hypertension Stage 1): ข้อนี้ไม่ใช่คำตอบที่ถูกต้องสำหรับภาวะ Hypertension เนื่องจากกลไกการออกฤทธิ์, efficacy หรือข้อบ่งใช้ไม่ตรงกับโจทย์ที่กำหนด
• ข้อ ค. (Hypertension Stage 2): ข้อนี้ไม่ใช่คำตอบที่ถูกต้องสำหรับภาวะ Hypertension เนื่องจากกลไกการออกฤทธิ์, efficacy หรือข้อบ่งใช้ไม่ตรงกับโจทย์ที่กำหนด
• ข้อ ง. (Hypertension Stage 3): ข้อนี้ไม่ใช่คำตอบที่ถูกต้องสำหรับภาวะ Hypertension เนื่องจากกลไกการออกฤทธิ์, efficacy หรือข้อบ่งใช้ไม่ตรงกับโจทย์ที่กำหนด
• ข้อ จ. (Isolated systolic hypertension):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1" s="18" t="inlineStr"/>
      <c r="L141" s="18" t="inlineStr">
        <is>
          <t>Hypertension</t>
        </is>
      </c>
      <c r="M141" s="18" t="inlineStr">
        <is>
          <t>Clinic</t>
        </is>
      </c>
      <c r="N141" s="18" t="inlineStr">
        <is>
          <t>ข้อ 3 (Pharmtutor_2024_Set1.md)</t>
        </is>
      </c>
      <c r="O141" s="18" t="inlineStr">
        <is>
          <t>Mock</t>
        </is>
      </c>
      <c r="P141" s="18" t="inlineStr">
        <is>
          <t>Mock Pharmtutor 2024</t>
        </is>
      </c>
    </row>
    <row r="142">
      <c r="A142" s="15" t="inlineStr">
        <is>
          <t>140</t>
        </is>
      </c>
      <c r="B142" s="18" t="inlineStr">
        <is>
          <t>ยาใดไม่สามารถลดอัตราการเสียชีวิตจากโรคที่เกี่ยวข้องกับโรคระบบหัวใจและหลอดเลือด</t>
        </is>
      </c>
      <c r="C142" s="18" t="inlineStr"/>
      <c r="D142" s="18" t="inlineStr">
        <is>
          <t>ACE inhibitor</t>
        </is>
      </c>
      <c r="E142" s="18" t="inlineStr">
        <is>
          <t>Beta-blocker</t>
        </is>
      </c>
      <c r="F142" s="18" t="inlineStr">
        <is>
          <t>Calcium channel blocker</t>
        </is>
      </c>
      <c r="G142" s="18" t="inlineStr">
        <is>
          <t>Statin</t>
        </is>
      </c>
      <c r="H142" s="18" t="inlineStr">
        <is>
          <t>Aldosterone antagonist</t>
        </is>
      </c>
      <c r="I142" s="15" t="inlineStr">
        <is>
          <t>1</t>
        </is>
      </c>
      <c r="J142" s="22" t="inlineStr">
        <is>
          <t>✅ คำตอบที่ถูกต้อง: ข้อ ก. ACE inhibitor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 inhibitor การเลือก ACE inhibitor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(Beta-blocker): ข้อนี้ไม่ใช่คำตอบที่ถูกต้องสำหรับภาวะ Hypertension เนื่องจากกลไกการออกฤทธิ์, efficacy หรือข้อบ่งใช้ไม่ตรงกับโจทย์ที่กำหนด
• ข้อ ค. (Calcium channel blocker): ข้อนี้ไม่ใช่คำตอบที่ถูกต้องสำหรับภาวะ Hypertension เนื่องจากกลไกการออกฤทธิ์, efficacy หรือข้อบ่งใช้ไม่ตรงกับโจทย์ที่กำหนด
• ข้อ ง. (Statin): ข้อนี้ไม่ใช่คำตอบที่ถูกต้องสำหรับภาวะ Hypertension เนื่องจากกลไกการออกฤทธิ์, efficacy หรือข้อบ่งใช้ไม่ตรงกับโจทย์ที่กำหนด
• ข้อ จ. (Aldosterone antagonist):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2" s="18" t="inlineStr"/>
      <c r="L142" s="18" t="inlineStr">
        <is>
          <t>Hypertension</t>
        </is>
      </c>
      <c r="M142" s="18" t="inlineStr">
        <is>
          <t>Clinic</t>
        </is>
      </c>
      <c r="N142" s="18" t="inlineStr">
        <is>
          <t>ข้อ 7 (Pharmtutor_2024_Set1.md)</t>
        </is>
      </c>
      <c r="O142" s="18" t="inlineStr">
        <is>
          <t>Mock</t>
        </is>
      </c>
      <c r="P142" s="18" t="inlineStr">
        <is>
          <t>Mock Pharmtutor 2024</t>
        </is>
      </c>
    </row>
    <row r="143">
      <c r="A143" s="15" t="inlineStr">
        <is>
          <t>141</t>
        </is>
      </c>
      <c r="B143" s="18" t="inlineStr">
        <is>
          <t>ผู้ป่วย TG 250 HDL 30 Total cholesterol 280 ผู้ป่วยรายนี้ มี LDL เท่าใด</t>
        </is>
      </c>
      <c r="C143" s="18" t="inlineStr"/>
      <c r="D143" s="18" t="inlineStr">
        <is>
          <t>160 mg/dL</t>
        </is>
      </c>
      <c r="E143" s="18" t="inlineStr">
        <is>
          <t>170 mg/dL</t>
        </is>
      </c>
      <c r="F143" s="18" t="inlineStr">
        <is>
          <t>180 mg/dL</t>
        </is>
      </c>
      <c r="G143" s="18" t="inlineStr">
        <is>
          <t>190 mg/dL</t>
        </is>
      </c>
      <c r="H143" s="18" t="inlineStr">
        <is>
          <t>200 mg/dL</t>
        </is>
      </c>
      <c r="I143" s="15" t="inlineStr">
        <is>
          <t>1</t>
        </is>
      </c>
      <c r="J143" s="22" t="inlineStr">
        <is>
          <t>✅ คำตอบที่ถูกต้อง: ข้อ ก. 160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160 mg/dL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(170 mg/dL): ข้อนี้ไม่ใช่คำตอบที่ถูกต้องสำหรับภาวะ Hypertension เนื่องจากกลไกการออกฤทธิ์, efficacy หรือข้อบ่งใช้ไม่ตรงกับโจทย์ที่กำหนด
• ข้อ ค. (180 mg/dL): ข้อนี้ไม่ใช่คำตอบที่ถูกต้องสำหรับภาวะ Hypertension เนื่องจากกลไกการออกฤทธิ์, efficacy หรือข้อบ่งใช้ไม่ตรงกับโจทย์ที่กำหนด
• ข้อ ง. (190 mg/dL): ข้อนี้ไม่ใช่คำตอบที่ถูกต้องสำหรับภาวะ Hypertension เนื่องจากกลไกการออกฤทธิ์, efficacy หรือข้อบ่งใช้ไม่ตรงกับโจทย์ที่กำหนด
• ข้อ จ. (200 mg/dL):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3" s="18" t="inlineStr"/>
      <c r="L143" s="18" t="inlineStr">
        <is>
          <t>Hypertension</t>
        </is>
      </c>
      <c r="M143" s="18" t="inlineStr">
        <is>
          <t>Clinic</t>
        </is>
      </c>
      <c r="N143" s="18" t="inlineStr">
        <is>
          <t>ข้อ 8 (Pharmtutor_2024_Set1.md)</t>
        </is>
      </c>
      <c r="O143" s="18" t="inlineStr">
        <is>
          <t>Mock</t>
        </is>
      </c>
      <c r="P143" s="18" t="inlineStr">
        <is>
          <t>Mock Pharmtutor 2024</t>
        </is>
      </c>
    </row>
    <row r="144">
      <c r="A144" s="15" t="inlineStr">
        <is>
          <t>142</t>
        </is>
      </c>
      <c r="B144" s="18" t="inlineStr">
        <is>
          <t>โครงสร้างในข้อใดออกฤทธิ์แบบ chain termination</t>
        </is>
      </c>
      <c r="C144" s="18" t="inlineStr"/>
      <c r="D144" s="18" t="inlineStr">
        <is>
          <t>Bisoprolol 5 mg OD</t>
        </is>
      </c>
      <c r="E144" s="18" t="inlineStr">
        <is>
          <t>Spironolactone 25 mg OD</t>
        </is>
      </c>
      <c r="F144" s="18" t="inlineStr">
        <is>
          <t>Clopidogrel 75 mg OD</t>
        </is>
      </c>
      <c r="G144" s="18" t="inlineStr">
        <is>
          <t>Aspirin 81 mg OD</t>
        </is>
      </c>
      <c r="H144" s="18" t="inlineStr">
        <is>
          <t>Sacubitril/Valsartan 49/51 mg BID</t>
        </is>
      </c>
      <c r="I144" s="15" t="inlineStr">
        <is>
          <t>1</t>
        </is>
      </c>
      <c r="J14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44" s="18" t="inlineStr"/>
      <c r="L144" s="18" t="inlineStr">
        <is>
          <t>Hypertension</t>
        </is>
      </c>
      <c r="M144" s="18" t="inlineStr">
        <is>
          <t>Clinic</t>
        </is>
      </c>
      <c r="N144" s="18" t="inlineStr">
        <is>
          <t>ข้อ 34 (Pharmtutor_2024_Set1.md)</t>
        </is>
      </c>
      <c r="O144" s="18" t="inlineStr">
        <is>
          <t>Mock</t>
        </is>
      </c>
      <c r="P144" s="18" t="inlineStr">
        <is>
          <t>Mock Pharmtutor 2024</t>
        </is>
      </c>
    </row>
    <row r="145">
      <c r="A145" s="15" t="inlineStr">
        <is>
          <t>143</t>
        </is>
      </c>
      <c r="B145" s="18"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45" s="18" t="inlineStr"/>
      <c r="D145" s="18" t="inlineStr">
        <is>
          <t>GOLD 1</t>
        </is>
      </c>
      <c r="E145" s="18" t="inlineStr">
        <is>
          <t>GOLD 2</t>
        </is>
      </c>
      <c r="F145" s="18" t="inlineStr">
        <is>
          <t>GOLD 3</t>
        </is>
      </c>
      <c r="G145" s="18" t="inlineStr">
        <is>
          <t>GOLD 4</t>
        </is>
      </c>
      <c r="H145" s="18" t="inlineStr">
        <is>
          <t>GOLD 5</t>
        </is>
      </c>
      <c r="I145" s="15" t="inlineStr">
        <is>
          <t>1</t>
        </is>
      </c>
      <c r="J145" s="2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ข้อนี้ไม่ใช่คำตอบที่ถูกต้องสำหรับภาวะ Hypertension เนื่องจากกลไกการออกฤทธิ์, efficacy หรือข้อบ่งใช้ไม่ตรงกับโจทย์ที่กำหนด
• ข้อ ค. (GOLD 3): ข้อนี้ไม่ใช่คำตอบที่ถูกต้องสำหรับภาวะ Hypertension เนื่องจากกลไกการออกฤทธิ์, efficacy หรือข้อบ่งใช้ไม่ตรงกับโจทย์ที่กำหนด
• ข้อ ง. (GOLD 4): ข้อนี้ไม่ใช่คำตอบที่ถูกต้องสำหรับภาวะ Hypertension เนื่องจากกลไกการออกฤทธิ์, efficacy หรือข้อบ่งใช้ไม่ตรงกับโจทย์ที่กำหนด
• ข้อ จ. (GOLD 5):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5" s="18" t="inlineStr"/>
      <c r="L145" s="18" t="inlineStr">
        <is>
          <t>Hypertension</t>
        </is>
      </c>
      <c r="M145" s="18" t="inlineStr">
        <is>
          <t>Clinic</t>
        </is>
      </c>
      <c r="N145" s="18" t="inlineStr">
        <is>
          <t>ข้อ 61 (Pharmtutor_2024_Set1.md)</t>
        </is>
      </c>
      <c r="O145" s="18" t="inlineStr">
        <is>
          <t>Mock</t>
        </is>
      </c>
      <c r="P145" s="18" t="inlineStr">
        <is>
          <t>Mock Pharmtutor 2024</t>
        </is>
      </c>
    </row>
    <row r="146">
      <c r="A146" s="15" t="inlineStr">
        <is>
          <t>144</t>
        </is>
      </c>
      <c r="B146" s="18" t="inlineStr">
        <is>
          <t>จากโครงสร้าง chlorpropamide และ glipizide ความแตกต่างบริเวณใดทำให้เกิด hypoglycemia ได้ลดน้อยลง</t>
        </is>
      </c>
      <c r="C146" s="18" t="inlineStr"/>
      <c r="D146" s="18" t="inlineStr">
        <is>
          <t>Diltiazem 30 mg TID</t>
        </is>
      </c>
      <c r="E146" s="18" t="inlineStr">
        <is>
          <t>Warfarin 3 mg OD (target INR 2.0-3.0)</t>
        </is>
      </c>
      <c r="F146" s="18" t="inlineStr">
        <is>
          <t>Furosemide 40 mg OD</t>
        </is>
      </c>
      <c r="G146" s="18" t="inlineStr">
        <is>
          <t>1 และ 2</t>
        </is>
      </c>
      <c r="H146" s="18" t="inlineStr">
        <is>
          <t>2 และ 3</t>
        </is>
      </c>
      <c r="I146" s="15" t="inlineStr">
        <is>
          <t>1</t>
        </is>
      </c>
      <c r="J14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(1 และ 2): ข้อนี้ไม่ใช่คำตอบที่ถูกต้องสำหรับภาวะ Hypertension เนื่องจากกลไกการออกฤทธิ์, efficacy หรือข้อบ่งใช้ไม่ตรงกับโจทย์ที่กำหนด
• ข้อ จ. (2 และ 3):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46" s="18" t="inlineStr"/>
      <c r="L146" s="18" t="inlineStr">
        <is>
          <t>Hypertension</t>
        </is>
      </c>
      <c r="M146" s="18" t="inlineStr">
        <is>
          <t>Clinic</t>
        </is>
      </c>
      <c r="N146" s="18" t="inlineStr">
        <is>
          <t>ข้อ 77 (Pharmtutor_2024_Set1.md)</t>
        </is>
      </c>
      <c r="O146" s="18" t="inlineStr">
        <is>
          <t>Mock</t>
        </is>
      </c>
      <c r="P146" s="18" t="inlineStr">
        <is>
          <t>Mock Pharmtutor 2024</t>
        </is>
      </c>
    </row>
    <row r="147">
      <c r="A147" s="15" t="inlineStr">
        <is>
          <t>145</t>
        </is>
      </c>
      <c r="B147" s="18"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147" s="18" t="inlineStr"/>
      <c r="D147" s="18" t="inlineStr">
        <is>
          <t>Visual change</t>
        </is>
      </c>
      <c r="E147" s="18" t="inlineStr">
        <is>
          <t>LFT</t>
        </is>
      </c>
      <c r="F147" s="18" t="inlineStr">
        <is>
          <t>eGFR</t>
        </is>
      </c>
      <c r="G147" s="18" t="inlineStr">
        <is>
          <t>CBC</t>
        </is>
      </c>
      <c r="H147" s="18" t="inlineStr">
        <is>
          <t>LVEF</t>
        </is>
      </c>
      <c r="I147" s="15" t="inlineStr">
        <is>
          <t>1</t>
        </is>
      </c>
      <c r="J147" s="22"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(LFT): ข้อนี้ไม่ใช่คำตอบที่ถูกต้องสำหรับภาวะ Hypertension เนื่องจากกลไกการออกฤทธิ์, efficacy หรือข้อบ่งใช้ไม่ตรงกับโจทย์ที่กำหนด
• ข้อ ค. (eGFR): ข้อนี้ไม่ใช่คำตอบที่ถูกต้องสำหรับภาวะ Hypertension เนื่องจากกลไกการออกฤทธิ์, efficacy หรือข้อบ่งใช้ไม่ตรงกับโจทย์ที่กำหนด
• ข้อ ง. (CBC): ข้อนี้ไม่ใช่คำตอบที่ถูกต้องสำหรับภาวะ Hypertension เนื่องจากกลไกการออกฤทธิ์, efficacy หรือข้อบ่งใช้ไม่ตรงกับโจทย์ที่กำหนด
• ข้อ จ. (LVEF):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7" s="18" t="inlineStr"/>
      <c r="L147" s="18" t="inlineStr">
        <is>
          <t>Hypertension</t>
        </is>
      </c>
      <c r="M147" s="18" t="inlineStr">
        <is>
          <t>Clinic</t>
        </is>
      </c>
      <c r="N147" s="18" t="inlineStr">
        <is>
          <t>ข้อ 80 (Pharmtutor_2024_Set1.md)</t>
        </is>
      </c>
      <c r="O147" s="18" t="inlineStr">
        <is>
          <t>Mock</t>
        </is>
      </c>
      <c r="P147" s="18" t="inlineStr">
        <is>
          <t>Mock Pharmtutor 2024</t>
        </is>
      </c>
    </row>
    <row r="148">
      <c r="A148" s="15" t="inlineStr">
        <is>
          <t>146</t>
        </is>
      </c>
      <c r="B148" s="18" t="inlineStr">
        <is>
          <t>ยาในข้อใดต่อไปนี้สามารถช่วยลดอาการข้างเคียงที่เป็นพิษต่อหัวใจ จากยา Doxorubicin</t>
        </is>
      </c>
      <c r="C148" s="18" t="inlineStr"/>
      <c r="D148" s="18" t="inlineStr">
        <is>
          <t>DMSO</t>
        </is>
      </c>
      <c r="E148" s="18" t="inlineStr">
        <is>
          <t>Dexrazoxane</t>
        </is>
      </c>
      <c r="F148" s="18" t="inlineStr">
        <is>
          <t>Dextromethorphan</t>
        </is>
      </c>
      <c r="G148" s="18" t="inlineStr">
        <is>
          <t>Dexamethasone</t>
        </is>
      </c>
      <c r="H148" s="18" t="inlineStr">
        <is>
          <t>Drospirenone</t>
        </is>
      </c>
      <c r="I148" s="15" t="inlineStr">
        <is>
          <t>1</t>
        </is>
      </c>
      <c r="J148" s="22"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(Dexrazoxane): ข้อนี้ไม่ใช่คำตอบที่ถูกต้องสำหรับภาวะ Hypertension เนื่องจากกลไกการออกฤทธิ์, efficacy หรือข้อบ่งใช้ไม่ตรงกับโจทย์ที่กำหนด
• ข้อ ค. (Dextromethorphan): ข้อนี้ไม่ใช่คำตอบที่ถูกต้องสำหรับภาวะ Hypertension เนื่องจากกลไกการออกฤทธิ์, efficacy หรือข้อบ่งใช้ไม่ตรงกับโจทย์ที่กำหนด
• ข้อ ง. (Dexamethasone): เป็น long-acting potent glucocorticoid ไม่มี mineralocorticoid effect จึงไม่ทำให้น้ำคั่ง เหมาะสำหรับ brain edema, antiemetic, และ COVID-19 with hypoxemia
• ข้อ จ. (Drospirenone):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8" s="18" t="inlineStr"/>
      <c r="L148" s="18" t="inlineStr">
        <is>
          <t>Hypertension</t>
        </is>
      </c>
      <c r="M148" s="18" t="inlineStr">
        <is>
          <t>Clinic</t>
        </is>
      </c>
      <c r="N148" s="18" t="inlineStr">
        <is>
          <t>ข้อ 81 (Pharmtutor_2024_Set1.md)</t>
        </is>
      </c>
      <c r="O148" s="18" t="inlineStr">
        <is>
          <t>Mock</t>
        </is>
      </c>
      <c r="P148" s="18" t="inlineStr">
        <is>
          <t>Mock Pharmtutor 2024</t>
        </is>
      </c>
    </row>
    <row r="149">
      <c r="A149" s="15" t="inlineStr">
        <is>
          <t>147</t>
        </is>
      </c>
      <c r="B149" s="18" t="inlineStr">
        <is>
          <t>กลไกใดของยา Doxorubicin ทำให้เกิดอาการข้างเคียงที่เป็นพิษต่อหัวใจ</t>
        </is>
      </c>
      <c r="C149" s="18" t="inlineStr"/>
      <c r="D149" s="18" t="inlineStr">
        <is>
          <t>Alkylating agent</t>
        </is>
      </c>
      <c r="E149" s="18" t="inlineStr">
        <is>
          <t>Intercalation</t>
        </is>
      </c>
      <c r="F149" s="18" t="inlineStr">
        <is>
          <t>Free radical formation</t>
        </is>
      </c>
      <c r="G149" s="18" t="inlineStr">
        <is>
          <t>Topoisomerase inhibitors</t>
        </is>
      </c>
      <c r="H149" s="18" t="inlineStr">
        <is>
          <t>Inhibit tubulin assembly</t>
        </is>
      </c>
      <c r="I149" s="15" t="inlineStr">
        <is>
          <t>1</t>
        </is>
      </c>
      <c r="J149" s="22"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(Intercalation): ข้อนี้ไม่ใช่คำตอบที่ถูกต้องสำหรับภาวะ Hypertension เนื่องจากกลไกการออกฤทธิ์, efficacy หรือข้อบ่งใช้ไม่ตรงกับโจทย์ที่กำหนด
• ข้อ ค. (Free radical formation): ข้อนี้ไม่ใช่คำตอบที่ถูกต้องสำหรับภาวะ Hypertension เนื่องจากกลไกการออกฤทธิ์, efficacy หรือข้อบ่งใช้ไม่ตรงกับโจทย์ที่กำหนด
• ข้อ ง. (Topoisomerase inhibitors): ข้อนี้ไม่ใช่คำตอบที่ถูกต้องสำหรับภาวะ Hypertension เนื่องจากกลไกการออกฤทธิ์, efficacy หรือข้อบ่งใช้ไม่ตรงกับโจทย์ที่กำหนด
• ข้อ จ. (Inhibit tubulin assembly):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9" s="18" t="inlineStr"/>
      <c r="L149" s="18" t="inlineStr">
        <is>
          <t>Hypertension</t>
        </is>
      </c>
      <c r="M149" s="18" t="inlineStr">
        <is>
          <t>Clinic</t>
        </is>
      </c>
      <c r="N149" s="18" t="inlineStr">
        <is>
          <t>ข้อ 82 (Pharmtutor_2024_Set1.md)</t>
        </is>
      </c>
      <c r="O149" s="18" t="inlineStr">
        <is>
          <t>Mock</t>
        </is>
      </c>
      <c r="P149" s="18" t="inlineStr">
        <is>
          <t>Mock Pharmtutor 2024</t>
        </is>
      </c>
    </row>
    <row r="150">
      <c r="A150" s="15" t="inlineStr">
        <is>
          <t>148</t>
        </is>
      </c>
      <c r="B150" s="18"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50" s="18" t="inlineStr"/>
      <c r="D150" s="18" t="inlineStr">
        <is>
          <t>62.5 mL/min</t>
        </is>
      </c>
      <c r="E150" s="18" t="inlineStr">
        <is>
          <t>65.8 mL/min</t>
        </is>
      </c>
      <c r="F150" s="18" t="inlineStr">
        <is>
          <t>66.7 mL/min</t>
        </is>
      </c>
      <c r="G150" s="18" t="inlineStr">
        <is>
          <t>72.7 mL/min</t>
        </is>
      </c>
      <c r="H150" s="18" t="inlineStr">
        <is>
          <t>75.4 mL/min</t>
        </is>
      </c>
      <c r="I150" s="15" t="inlineStr">
        <is>
          <t>1</t>
        </is>
      </c>
      <c r="J150" s="22" t="inlineStr">
        <is>
          <t>✅ คำตอบที่ถูกต้อง: ข้อ ก. 62.5 mL/min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62.5 mL/min การเลือก 62.5 mL/min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(65.8 mL/min): ข้อนี้ไม่ใช่คำตอบที่ถูกต้องสำหรับภาวะ Hypertension เนื่องจากกลไกการออกฤทธิ์, efficacy หรือข้อบ่งใช้ไม่ตรงกับโจทย์ที่กำหนด
• ข้อ ค. (66.7 mL/min): ข้อนี้ไม่ใช่คำตอบที่ถูกต้องสำหรับภาวะ Hypertension เนื่องจากกลไกการออกฤทธิ์, efficacy หรือข้อบ่งใช้ไม่ตรงกับโจทย์ที่กำหนด
• ข้อ ง. (72.7 mL/min): ข้อนี้ไม่ใช่คำตอบที่ถูกต้องสำหรับภาวะ Hypertension เนื่องจากกลไกการออกฤทธิ์, efficacy หรือข้อบ่งใช้ไม่ตรงกับโจทย์ที่กำหนด
• ข้อ จ. (75.4 mL/min):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0" s="18" t="inlineStr"/>
      <c r="L150" s="18" t="inlineStr">
        <is>
          <t>Hypertension</t>
        </is>
      </c>
      <c r="M150" s="18" t="inlineStr">
        <is>
          <t>Clinic</t>
        </is>
      </c>
      <c r="N150" s="18" t="inlineStr">
        <is>
          <t>ข้อ 88 (Pharmtutor_2024_Set1.md)</t>
        </is>
      </c>
      <c r="O150" s="18" t="inlineStr">
        <is>
          <t>Mock</t>
        </is>
      </c>
      <c r="P150" s="18" t="inlineStr">
        <is>
          <t>Mock Pharmtutor 2024</t>
        </is>
      </c>
    </row>
    <row r="151">
      <c r="A151" s="15" t="inlineStr">
        <is>
          <t>149</t>
        </is>
      </c>
      <c r="B151" s="18"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51" s="18" t="inlineStr"/>
      <c r="D151" s="18" t="inlineStr">
        <is>
          <t>Stage 1</t>
        </is>
      </c>
      <c r="E151" s="18" t="inlineStr">
        <is>
          <t>Stage 2</t>
        </is>
      </c>
      <c r="F151" s="18" t="inlineStr">
        <is>
          <t>Stage 3</t>
        </is>
      </c>
      <c r="G151" s="18" t="inlineStr">
        <is>
          <t>Stage 4</t>
        </is>
      </c>
      <c r="H151" s="18" t="inlineStr">
        <is>
          <t>Stage 5</t>
        </is>
      </c>
      <c r="I151" s="15" t="inlineStr">
        <is>
          <t>1</t>
        </is>
      </c>
      <c r="J151" s="22" t="inlineStr">
        <is>
          <t>✅ คำตอบที่ถูกต้อง: ข้อ ก. Stage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1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(Stage 2): ข้อนี้ไม่ใช่คำตอบที่ถูกต้องสำหรับภาวะ Hypertension เนื่องจากกลไกการออกฤทธิ์, efficacy หรือข้อบ่งใช้ไม่ตรงกับโจทย์ที่กำหนด
• ข้อ ค. (Stage 3): ข้อนี้ไม่ใช่คำตอบที่ถูกต้องสำหรับภาวะ Hypertension เนื่องจากกลไกการออกฤทธิ์, efficacy หรือข้อบ่งใช้ไม่ตรงกับโจทย์ที่กำหนด
• ข้อ ง. (Stage 4): ข้อนี้ไม่ใช่คำตอบที่ถูกต้องสำหรับภาวะ Hypertension เนื่องจากกลไกการออกฤทธิ์, efficacy หรือข้อบ่งใช้ไม่ตรงกับโจทย์ที่กำหนด
• ข้อ จ. (Stage 5):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1" s="18" t="inlineStr"/>
      <c r="L151" s="18" t="inlineStr">
        <is>
          <t>Hypertension</t>
        </is>
      </c>
      <c r="M151" s="18" t="inlineStr">
        <is>
          <t>Clinic</t>
        </is>
      </c>
      <c r="N151" s="18" t="inlineStr">
        <is>
          <t>ข้อ 89 (Pharmtutor_2024_Set1.md)</t>
        </is>
      </c>
      <c r="O151" s="18" t="inlineStr">
        <is>
          <t>Mock</t>
        </is>
      </c>
      <c r="P151" s="18" t="inlineStr">
        <is>
          <t>Mock Pharmtutor 2024</t>
        </is>
      </c>
    </row>
    <row r="152">
      <c r="A152" s="15" t="inlineStr">
        <is>
          <t>150</t>
        </is>
      </c>
      <c r="B152" s="18" t="inlineStr">
        <is>
          <t>หากนำ aspirin มาเคราะห์ความบริสุทธิ์จะมีโอกาสพบสารใด</t>
        </is>
      </c>
      <c r="C152" s="18" t="inlineStr"/>
      <c r="D152" s="18" t="inlineStr">
        <is>
          <t>Citric acid</t>
        </is>
      </c>
      <c r="E152" s="18" t="inlineStr">
        <is>
          <t>Ascorbic acid</t>
        </is>
      </c>
      <c r="F152" s="18" t="inlineStr">
        <is>
          <t>Sulfuric acid</t>
        </is>
      </c>
      <c r="G152" s="18" t="inlineStr">
        <is>
          <t>Salicylic acid</t>
        </is>
      </c>
      <c r="H152" s="18" t="inlineStr">
        <is>
          <t>ถูกทุกข้อ</t>
        </is>
      </c>
      <c r="I152" s="15" t="inlineStr">
        <is>
          <t>1</t>
        </is>
      </c>
      <c r="J152" s="22"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(Ascorbic acid): ข้อนี้ไม่ใช่คำตอบที่ถูกต้องสำหรับภาวะ Hypertension เนื่องจากกลไกการออกฤทธิ์, efficacy หรือข้อบ่งใช้ไม่ตรงกับโจทย์ที่กำหนด
• ข้อ ค. (Sulfuric acid): ข้อนี้ไม่ใช่คำตอบที่ถูกต้องสำหรับภาวะ Hypertension เนื่องจากกลไกการออกฤทธิ์, efficacy หรือข้อบ่งใช้ไม่ตรงกับโจทย์ที่กำหนด
• ข้อ ง. (Salicylic acid): ข้อนี้ไม่ใช่คำตอบที่ถูกต้องสำหรับภาวะ Hypertension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18" t="inlineStr"/>
      <c r="L152" s="18" t="inlineStr">
        <is>
          <t>Hypertension</t>
        </is>
      </c>
      <c r="M152" s="18" t="inlineStr">
        <is>
          <t>Clinic</t>
        </is>
      </c>
      <c r="N152" s="18" t="inlineStr">
        <is>
          <t>ข้อ 92 (Pharmtutor_2024_Set1.md)</t>
        </is>
      </c>
      <c r="O152" s="18" t="inlineStr">
        <is>
          <t>Mock</t>
        </is>
      </c>
      <c r="P152" s="18" t="inlineStr">
        <is>
          <t>Mock Pharmtutor 2024</t>
        </is>
      </c>
    </row>
    <row r="153">
      <c r="A153" s="15" t="inlineStr">
        <is>
          <t>151</t>
        </is>
      </c>
      <c r="B153" s="18"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153" s="18" t="inlineStr"/>
      <c r="D153" s="18" t="inlineStr">
        <is>
          <t>การใช้ยา Lamivudine มีประสิทธิภาพป้องกันการเกิดภาวะตับอักเสบได้มากกว่า Tenofovir/Lamivudine</t>
        </is>
      </c>
      <c r="E153" s="18" t="inlineStr">
        <is>
          <t>ผลการศึกษาดังกล่าวแสดงถึง significance level ที่ 0.05 เนื่องจากค่า 95%CI ไม่คร่อม 1</t>
        </is>
      </c>
      <c r="F153" s="18" t="inlineStr">
        <is>
          <t>ควรทำการศึกษาเพิ่มเติม เนื่องจากผลของการศึกษา RR เข้าใกล้ 0.5</t>
        </is>
      </c>
      <c r="G153" s="18" t="inlineStr">
        <is>
          <t>จำนวนอาสาสมัครที่เข้าร่วมการศึกษามีจำนวนมากจนเกินไป ผลอาจทำให้คลาดเคลื่อนได้</t>
        </is>
      </c>
      <c r="H153" s="18" t="inlineStr">
        <is>
          <t>ถูกทุกข้อ</t>
        </is>
      </c>
      <c r="I153" s="15" t="inlineStr">
        <is>
          <t>1</t>
        </is>
      </c>
      <c r="J153" s="22"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ข. (ผลการศึกษาดังกล่าวแสดงถึง significance level ที่ 0.05 เนื่องจากค่า 95%CI ไม่คร่อม 1): ข้อนี้ไม่ใช่คำตอบที่ถูกต้องสำหรับภาวะ Hypertension เนื่องจากกลไกการออกฤทธิ์, efficacy หรือข้อบ่งใช้ไม่ตรงกับโจทย์ที่กำหนด
• ข้อ ค. (ควรทำการศึกษาเพิ่มเติม เนื่องจากผลของการศึกษา RR เข้าใกล้ 0.5): ข้อนี้ไม่ใช่คำตอบที่ถูกต้องสำหรับภาวะ Hypertension เนื่องจากกลไกการออกฤทธิ์, efficacy หรือข้อบ่งใช้ไม่ตรงกับโจทย์ที่กำหนด
• ข้อ ง. (จำนวนอาสาสมัครที่เข้าร่วมการศึกษามีจำนวนมากจนเกินไป ผลอาจทำให้คลาดเคลื่อนได้): ข้อนี้ไม่ใช่คำตอบที่ถูกต้องสำหรับภาวะ Hypertension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18" t="inlineStr"/>
      <c r="L153" s="18" t="inlineStr">
        <is>
          <t>Hypertension</t>
        </is>
      </c>
      <c r="M153" s="18" t="inlineStr">
        <is>
          <t>Clinic</t>
        </is>
      </c>
      <c r="N153" s="18" t="inlineStr">
        <is>
          <t>ข้อ 116 (Pharmtutor_2024_Set1.md)</t>
        </is>
      </c>
      <c r="O153" s="18" t="inlineStr">
        <is>
          <t>Mock</t>
        </is>
      </c>
      <c r="P153" s="18" t="inlineStr">
        <is>
          <t>Mock Pharmtutor 2024</t>
        </is>
      </c>
    </row>
    <row r="154">
      <c r="A154" s="15" t="inlineStr">
        <is>
          <t>152</t>
        </is>
      </c>
      <c r="B154" s="18" t="inlineStr">
        <is>
          <t>ผู้ป่วยหญิงไทย วัดความดันได้ 158/96 mmHg ผู้ป่วยรายนี้ จัดอยู่ใน Stage ใด ตาม Hypertension guideline ประเทศไทย 2019</t>
        </is>
      </c>
      <c r="C154" s="18" t="inlineStr"/>
      <c r="D154" s="18" t="inlineStr">
        <is>
          <t>High normal</t>
        </is>
      </c>
      <c r="E154" s="18" t="inlineStr">
        <is>
          <t>Hypertension stage 1</t>
        </is>
      </c>
      <c r="F154" s="18" t="inlineStr">
        <is>
          <t>Hypertension stage 2</t>
        </is>
      </c>
      <c r="G154" s="18" t="inlineStr">
        <is>
          <t>Hypertension stage 3</t>
        </is>
      </c>
      <c r="H154" s="18" t="inlineStr">
        <is>
          <t>Isolated systolic hypertension</t>
        </is>
      </c>
      <c r="I154" s="15" t="inlineStr">
        <is>
          <t>1</t>
        </is>
      </c>
      <c r="J154" s="22"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(Hypertension stage 1): ข้อนี้ไม่ใช่คำตอบที่ถูกต้องสำหรับภาวะ Hypertension เนื่องจากกลไกการออกฤทธิ์, efficacy หรือข้อบ่งใช้ไม่ตรงกับโจทย์ที่กำหนด
• ข้อ ค. (Hypertension stage 2): ข้อนี้ไม่ใช่คำตอบที่ถูกต้องสำหรับภาวะ Hypertension เนื่องจากกลไกการออกฤทธิ์, efficacy หรือข้อบ่งใช้ไม่ตรงกับโจทย์ที่กำหนด
• ข้อ ง. (Hypertension stage 3): ข้อนี้ไม่ใช่คำตอบที่ถูกต้องสำหรับภาวะ Hypertension เนื่องจากกลไกการออกฤทธิ์, efficacy หรือข้อบ่งใช้ไม่ตรงกับโจทย์ที่กำหนด
• ข้อ จ. (Isolated systolic hypertension):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18" t="inlineStr"/>
      <c r="L154" s="18" t="inlineStr">
        <is>
          <t>Hypertension</t>
        </is>
      </c>
      <c r="M154" s="18" t="inlineStr">
        <is>
          <t>Clinic</t>
        </is>
      </c>
      <c r="N154" s="18" t="inlineStr">
        <is>
          <t>ข้อ 5 (Pharmtutor_2024_Set2.md)</t>
        </is>
      </c>
      <c r="O154" s="18" t="inlineStr">
        <is>
          <t>Mock</t>
        </is>
      </c>
      <c r="P154" s="18" t="inlineStr">
        <is>
          <t>Mock Pharmtutor 2024</t>
        </is>
      </c>
    </row>
    <row r="155">
      <c r="A155" s="15" t="inlineStr">
        <is>
          <t>153</t>
        </is>
      </c>
      <c r="B155" s="18" t="inlineStr">
        <is>
          <t>ผู้ป่วยจากข้อ 5. ควรเริ่มยาอะไร หากผู้ป่วยไม่มีโรคประจำตัวอื่น ไม่มีประวัติแพ้ยา ระดับค่า potassium ปกติ, Albumin +3</t>
        </is>
      </c>
      <c r="C155" s="18" t="inlineStr"/>
      <c r="D155" s="18" t="inlineStr">
        <is>
          <t>Enalapril</t>
        </is>
      </c>
      <c r="E155" s="18" t="inlineStr">
        <is>
          <t>Amlodipine</t>
        </is>
      </c>
      <c r="F155" s="18" t="inlineStr">
        <is>
          <t>Hydralazine</t>
        </is>
      </c>
      <c r="G155" s="18" t="inlineStr">
        <is>
          <t>Propranolol</t>
        </is>
      </c>
      <c r="H155" s="18" t="inlineStr">
        <is>
          <t>Verapamil</t>
        </is>
      </c>
      <c r="I155" s="15" t="inlineStr">
        <is>
          <t>1</t>
        </is>
      </c>
      <c r="J155" s="22" t="inlineStr">
        <is>
          <t>✅ คำตอบที่ถูกต้อง: ข้อ ก.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การเลือก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(Propranolol): เป็น non-selective beta-blocker ข้าม blood-brain barrier ได้ดี เหมาะสำหรับ performance anxiety, essential tremor, migraine prophylaxis และ thyroid storm แต่ contraindication ใน asthma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55" s="18" t="inlineStr"/>
      <c r="L155" s="18" t="inlineStr">
        <is>
          <t>Hypertension</t>
        </is>
      </c>
      <c r="M155" s="18" t="inlineStr">
        <is>
          <t>Clinic</t>
        </is>
      </c>
      <c r="N155" s="18" t="inlineStr">
        <is>
          <t>ข้อ 6 (Pharmtutor_2024_Set2.md)</t>
        </is>
      </c>
      <c r="O155" s="18" t="inlineStr">
        <is>
          <t>Mock</t>
        </is>
      </c>
      <c r="P155" s="18" t="inlineStr">
        <is>
          <t>Mock Pharmtutor 2024</t>
        </is>
      </c>
    </row>
    <row r="156">
      <c r="A156" s="15" t="inlineStr">
        <is>
          <t>154</t>
        </is>
      </c>
      <c r="B156" s="18" t="inlineStr">
        <is>
          <t>ข้อใดไม่เกี่ยวข้องกับยากลุ่ม Statin</t>
        </is>
      </c>
      <c r="C156" s="18" t="inlineStr"/>
      <c r="D156" s="18" t="inlineStr">
        <is>
          <t>Hepatotoxicity</t>
        </is>
      </c>
      <c r="E156" s="18" t="inlineStr">
        <is>
          <t>Myopathy</t>
        </is>
      </c>
      <c r="F156" s="18" t="inlineStr">
        <is>
          <t>Nephropathy</t>
        </is>
      </c>
      <c r="G156" s="18" t="inlineStr">
        <is>
          <t>Induce Anemia</t>
        </is>
      </c>
      <c r="H156" s="18" t="inlineStr">
        <is>
          <t>New onset Diabetes mellitus</t>
        </is>
      </c>
      <c r="I156" s="15" t="inlineStr">
        <is>
          <t>1</t>
        </is>
      </c>
      <c r="J156" s="22"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(Myopathy): ข้อนี้ไม่ใช่คำตอบที่ถูกต้องสำหรับภาวะ Hypertension เนื่องจากกลไกการออกฤทธิ์, efficacy หรือข้อบ่งใช้ไม่ตรงกับโจทย์ที่กำหนด
• ข้อ ค. (Nephropathy): ข้อนี้ไม่ใช่คำตอบที่ถูกต้องสำหรับภาวะ Hypertension เนื่องจากกลไกการออกฤทธิ์, efficacy หรือข้อบ่งใช้ไม่ตรงกับโจทย์ที่กำหนด
• ข้อ ง. (Induce Anemia): ข้อนี้ไม่ใช่คำตอบที่ถูกต้องสำหรับภาวะ Hypertension เนื่องจากกลไกการออกฤทธิ์, efficacy หรือข้อบ่งใช้ไม่ตรงกับโจทย์ที่กำหนด
• ข้อ จ. (New onset Diabetes mellitus):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6" s="18" t="inlineStr"/>
      <c r="L156" s="18" t="inlineStr">
        <is>
          <t>Hypertension</t>
        </is>
      </c>
      <c r="M156" s="18" t="inlineStr">
        <is>
          <t>Clinic</t>
        </is>
      </c>
      <c r="N156" s="18" t="inlineStr">
        <is>
          <t>ข้อ 9 (Pharmtutor_2024_Set2.md)</t>
        </is>
      </c>
      <c r="O156" s="18" t="inlineStr">
        <is>
          <t>Mock</t>
        </is>
      </c>
      <c r="P156" s="18" t="inlineStr">
        <is>
          <t>Mock Pharmtutor 2024</t>
        </is>
      </c>
    </row>
    <row r="157">
      <c r="A157" s="15" t="inlineStr">
        <is>
          <t>155</t>
        </is>
      </c>
      <c r="B157" s="18"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57" s="18" t="inlineStr"/>
      <c r="D157" s="18" t="inlineStr">
        <is>
          <t>Fenofibrate</t>
        </is>
      </c>
      <c r="E157" s="18" t="inlineStr">
        <is>
          <t>Niacin</t>
        </is>
      </c>
      <c r="F157" s="18" t="inlineStr">
        <is>
          <t>Gemfibrozil</t>
        </is>
      </c>
      <c r="G157" s="18" t="inlineStr">
        <is>
          <t>Cholestyramine</t>
        </is>
      </c>
      <c r="H157" s="18" t="inlineStr">
        <is>
          <t>Ezetimibe</t>
        </is>
      </c>
      <c r="I157" s="15" t="inlineStr">
        <is>
          <t>1</t>
        </is>
      </c>
      <c r="J157" s="22"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(Niacin): ข้อนี้ไม่ใช่คำตอบที่ถูกต้องสำหรับภาวะ Hypertension เนื่องจากกลไกการออกฤทธิ์, efficacy หรือข้อบ่งใช้ไม่ตรงกับโจทย์ที่กำหนด
• ข้อ ค. (Gemfibrozil): ห้ามใช้ร่วมกับ statins เด็ดขาด เนื่องจากยับยั้ง OATP1B1 glucuronidation ทำให้ระดับ statin ในเลือดพุ่งสูงและเกิด severe rhabdomyolysis
• ข้อ ง. (Cholestyramine): ข้อนี้ไม่ใช่คำตอบที่ถูกต้องสำหรับภาวะ Hypertension เนื่องจากกลไกการออกฤทธิ์, efficacy หรือข้อบ่งใช้ไม่ตรงกับโจทย์ที่กำหนด
• ข้อ จ. (Ezetimibe): เป็น Niemann-Pick C1-Like 1 (NPC1L1) inhibitor ยับยั้งการดูดซึม cholesterol ที่ลำไส้เล็ก ใช้เป็น add-on therapy ร่วมกับ statin เพื่อลด LDL-C เสริมอีก 15-20%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7" s="18" t="inlineStr"/>
      <c r="L157" s="18" t="inlineStr">
        <is>
          <t>Hypertension</t>
        </is>
      </c>
      <c r="M157" s="18" t="inlineStr">
        <is>
          <t>Clinic</t>
        </is>
      </c>
      <c r="N157" s="18" t="inlineStr">
        <is>
          <t>ข้อ 10 (Pharmtutor_2024_Set2.md)</t>
        </is>
      </c>
      <c r="O157" s="18" t="inlineStr">
        <is>
          <t>Mock</t>
        </is>
      </c>
      <c r="P157" s="18" t="inlineStr">
        <is>
          <t>Mock Pharmtutor 2024</t>
        </is>
      </c>
    </row>
    <row r="158">
      <c r="A158" s="15" t="inlineStr">
        <is>
          <t>156</t>
        </is>
      </c>
      <c r="B158" s="18" t="inlineStr">
        <is>
          <t>ปัจจัยใดส่งผลต่อการเกิดภาวะ Rhabdomyolysis จากการรับประทานยากลุ่ม Statins</t>
        </is>
      </c>
      <c r="C158" s="18" t="inlineStr"/>
      <c r="D158" s="18" t="inlineStr">
        <is>
          <t>โครงสร้างของยาของ Statins ที่รับประทาน</t>
        </is>
      </c>
      <c r="E158" s="18" t="inlineStr">
        <is>
          <t>อายุของผู้ป่วย</t>
        </is>
      </c>
      <c r="F158" s="18" t="inlineStr">
        <is>
          <t>ภาวะบกพร่องของตับและไต</t>
        </is>
      </c>
      <c r="G158" s="18" t="inlineStr">
        <is>
          <t>อันตรกิริยาระหว่างยา ที่ผ่านตัวนำส่งยาชนิด OATP1B1</t>
        </is>
      </c>
      <c r="H158" s="18" t="inlineStr">
        <is>
          <t>ถูกทุกข้อ</t>
        </is>
      </c>
      <c r="I158" s="15" t="inlineStr">
        <is>
          <t>1</t>
        </is>
      </c>
      <c r="J158" s="22" t="inlineStr">
        <is>
          <t>✅ คำตอบที่ถูกต้อง: ข้อ ก. โครงสร้างของยาของ Statins ที่รับประทาน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โครงสร้างของยาของ Statins ที่รับประทาน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(อายุของผู้ป่วย): ข้อนี้ไม่ใช่คำตอบที่ถูกต้องสำหรับภาวะ Hypertension เนื่องจากกลไกการออกฤทธิ์, efficacy หรือข้อบ่งใช้ไม่ตรงกับโจทย์ที่กำหนด
• ข้อ ค. (ภาวะบกพร่องของตับและไต): ข้อนี้ไม่ใช่คำตอบที่ถูกต้องสำหรับภาวะ Hypertension เนื่องจากกลไกการออกฤทธิ์, efficacy หรือข้อบ่งใช้ไม่ตรงกับโจทย์ที่กำหนด
• ข้อ ง. (อันตรกิริยาระหว่างยา ที่ผ่านตัวนำส่งยาชนิด OATP1B1): ข้อนี้ไม่ใช่คำตอบที่ถูกต้องสำหรับภาวะ Hypertension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8" s="18" t="inlineStr"/>
      <c r="L158" s="18" t="inlineStr">
        <is>
          <t>Hypertension</t>
        </is>
      </c>
      <c r="M158" s="18" t="inlineStr">
        <is>
          <t>Clinic</t>
        </is>
      </c>
      <c r="N158" s="18" t="inlineStr">
        <is>
          <t>ข้อ 11 (Pharmtutor_2024_Set2.md)</t>
        </is>
      </c>
      <c r="O158" s="18" t="inlineStr">
        <is>
          <t>Mock</t>
        </is>
      </c>
      <c r="P158" s="18" t="inlineStr">
        <is>
          <t>Mock Pharmtutor 2024</t>
        </is>
      </c>
    </row>
    <row r="159">
      <c r="A159" s="15" t="inlineStr">
        <is>
          <t>157</t>
        </is>
      </c>
      <c r="B159" s="18"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59" s="18" t="inlineStr"/>
      <c r="D159" s="18" t="inlineStr">
        <is>
          <t>ผลข้างเคียงของยาลดความดัน Enalapril</t>
        </is>
      </c>
      <c r="E159" s="18" t="inlineStr">
        <is>
          <t>ผลข้างเคียงของการใช้ยาร่วมกันระหว่าง Enalapril + Simvastatin</t>
        </is>
      </c>
      <c r="F159" s="18" t="inlineStr">
        <is>
          <t>อาการของ Atypical GERD</t>
        </is>
      </c>
      <c r="G159" s="18" t="inlineStr">
        <is>
          <t>อาการของ Acute Gastrointestinal disease</t>
        </is>
      </c>
      <c r="H159" s="18" t="inlineStr">
        <is>
          <t>ไม่สามารถสรุปได้</t>
        </is>
      </c>
      <c r="I159" s="15" t="inlineStr">
        <is>
          <t>1</t>
        </is>
      </c>
      <c r="J159" s="22" t="inlineStr">
        <is>
          <t>✅ คำตอบที่ถูกต้อง: ข้อ ก. ผลข้างเคียงของยาลดความดัน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ผลข้างเคียงของยาลดความดัน Enalapril การเลือก ผลข้างเคียงของยาลดความดัน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(ผลข้างเคียงของการใช้ยาร่วมกันระหว่าง Enalapril + Simvastatin): เป็น ACE inhibitor ลด Angiotensin II และ intraglomerular pressure มี renal protective efficacy เด่นชัดใน diabetic kidney disease แต่อาจเกิด dry cough จากการสะสมของ bradykinin
• ข้อ ค. (อาการของ Atypical GERD): ข้อนี้ไม่ใช่คำตอบที่ถูกต้องสำหรับภาวะ Hypertension เนื่องจากกลไกการออกฤทธิ์, efficacy หรือข้อบ่งใช้ไม่ตรงกับโจทย์ที่กำหนด
• ข้อ ง. (อาการของ Acute Gastrointestinal disease): ข้อนี้ไม่ใช่คำตอบที่ถูกต้องสำหรับภาวะ Hypertension เนื่องจากกลไกการออกฤทธิ์, efficacy หรือข้อบ่งใช้ไม่ตรงกับโจทย์ที่กำหนด
• ข้อ จ. (ไม่สามารถสรุปได้): ข้อนี้ไม่ถูกต้องเนื่องจากข้อมูล clinical parameters ในโจทย์เพียงพอต่อการตัดสินใจตาม CPG แล้ว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59" s="18" t="inlineStr"/>
      <c r="L159" s="18" t="inlineStr">
        <is>
          <t>Hypertension</t>
        </is>
      </c>
      <c r="M159" s="18" t="inlineStr">
        <is>
          <t>Clinic</t>
        </is>
      </c>
      <c r="N159" s="18" t="inlineStr">
        <is>
          <t>ข้อ 21 (Pharmtutor_2024_Set2.md)</t>
        </is>
      </c>
      <c r="O159" s="18" t="inlineStr">
        <is>
          <t>Mock</t>
        </is>
      </c>
      <c r="P159" s="18" t="inlineStr">
        <is>
          <t>Mock Pharmtutor 2024</t>
        </is>
      </c>
    </row>
    <row r="160">
      <c r="A160" s="15" t="inlineStr">
        <is>
          <t>158</t>
        </is>
      </c>
      <c r="B160" s="18"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160" s="18" t="inlineStr"/>
      <c r="D160" s="18" t="inlineStr">
        <is>
          <t>Normochromic normocytic anemia</t>
        </is>
      </c>
      <c r="E160" s="18" t="inlineStr">
        <is>
          <t>Normochromic microcytic anemia</t>
        </is>
      </c>
      <c r="F160" s="18" t="inlineStr">
        <is>
          <t>Hypochromic normocytic anemia</t>
        </is>
      </c>
      <c r="G160" s="18" t="inlineStr">
        <is>
          <t>Hypochromic microcytic anemia</t>
        </is>
      </c>
      <c r="H160" s="18" t="inlineStr">
        <is>
          <t>Hyperchromic macrocytic anemia</t>
        </is>
      </c>
      <c r="I160" s="15" t="inlineStr">
        <is>
          <t>1</t>
        </is>
      </c>
      <c r="J160" s="22"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(Normochromic microcytic anemia): ข้อนี้ไม่ใช่คำตอบที่ถูกต้องสำหรับภาวะ Hypertension เนื่องจากกลไกการออกฤทธิ์, efficacy หรือข้อบ่งใช้ไม่ตรงกับโจทย์ที่กำหนด
• ข้อ ค. (Hypochromic normocytic anemia): ข้อนี้ไม่ใช่คำตอบที่ถูกต้องสำหรับภาวะ Hypertension เนื่องจากกลไกการออกฤทธิ์, efficacy หรือข้อบ่งใช้ไม่ตรงกับโจทย์ที่กำหนด
• ข้อ ง. (Hypochromic microcytic anemia): ข้อนี้ไม่ใช่คำตอบที่ถูกต้องสำหรับภาวะ Hypertension เนื่องจากกลไกการออกฤทธิ์, efficacy หรือข้อบ่งใช้ไม่ตรงกับโจทย์ที่กำหนด
• ข้อ จ. (Hyperchromic macrocytic anemia):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0" s="18" t="inlineStr"/>
      <c r="L160" s="18" t="inlineStr">
        <is>
          <t>Hypertension</t>
        </is>
      </c>
      <c r="M160" s="18" t="inlineStr">
        <is>
          <t>Clinic</t>
        </is>
      </c>
      <c r="N160" s="18" t="inlineStr">
        <is>
          <t>ข้อ 31 (Pharmtutor_2024_Set2.md)</t>
        </is>
      </c>
      <c r="O160" s="18" t="inlineStr">
        <is>
          <t>Mock</t>
        </is>
      </c>
      <c r="P160" s="18" t="inlineStr">
        <is>
          <t>Mock Pharmtutor 2024</t>
        </is>
      </c>
    </row>
    <row r="161">
      <c r="A161" s="15" t="inlineStr">
        <is>
          <t>159</t>
        </is>
      </c>
      <c r="B161" s="18"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61" s="18" t="inlineStr"/>
      <c r="D161" s="18" t="inlineStr">
        <is>
          <t>Mycoplasma pneumoniae</t>
        </is>
      </c>
      <c r="E161" s="18" t="inlineStr">
        <is>
          <t>Staphylococcus aureus</t>
        </is>
      </c>
      <c r="F161" s="18" t="inlineStr">
        <is>
          <t>Pseudomonas aeruginosa</t>
        </is>
      </c>
      <c r="G161" s="18" t="inlineStr">
        <is>
          <t>Klebsiella pneumoniae</t>
        </is>
      </c>
      <c r="H161" s="18" t="inlineStr">
        <is>
          <t>Acinetobacter baumannii</t>
        </is>
      </c>
      <c r="I161" s="15" t="inlineStr">
        <is>
          <t>1</t>
        </is>
      </c>
      <c r="J161" s="22"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(Staphylococcus aureus): ข้อนี้ไม่ใช่คำตอบที่ถูกต้องสำหรับภาวะ Hypertension เนื่องจากกลไกการออกฤทธิ์, efficacy หรือข้อบ่งใช้ไม่ตรงกับโจทย์ที่กำหนด
• ข้อ ค. (Pseudomonas aeruginosa): ข้อนี้ไม่ใช่คำตอบที่ถูกต้องสำหรับภาวะ Hypertension เนื่องจากกลไกการออกฤทธิ์, efficacy หรือข้อบ่งใช้ไม่ตรงกับโจทย์ที่กำหนด
• ข้อ ง. (Klebsiella pneumoniae): ข้อนี้ไม่ใช่คำตอบที่ถูกต้องสำหรับภาวะ Hypertension เนื่องจากกลไกการออกฤทธิ์, efficacy หรือข้อบ่งใช้ไม่ตรงกับโจทย์ที่กำหนด
• ข้อ จ. (Acinetobacter baumannii):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18" t="inlineStr"/>
      <c r="L161" s="18" t="inlineStr">
        <is>
          <t>Hypertension</t>
        </is>
      </c>
      <c r="M161" s="18" t="inlineStr">
        <is>
          <t>Clinic</t>
        </is>
      </c>
      <c r="N161" s="18" t="inlineStr">
        <is>
          <t>ข้อ 44 (Pharmtutor_2024_Set2.md)</t>
        </is>
      </c>
      <c r="O161" s="18" t="inlineStr">
        <is>
          <t>Mock</t>
        </is>
      </c>
      <c r="P161" s="18" t="inlineStr">
        <is>
          <t>Mock Pharmtutor 2024</t>
        </is>
      </c>
    </row>
    <row r="162">
      <c r="A162" s="15" t="inlineStr">
        <is>
          <t>160</t>
        </is>
      </c>
      <c r="B162" s="18" t="inlineStr">
        <is>
          <t>ข้อใดคือกลไกของยา Rivastigmine</t>
        </is>
      </c>
      <c r="C162" s="18" t="inlineStr"/>
      <c r="D162" s="18" t="inlineStr">
        <is>
          <t>Decrease Ach activity</t>
        </is>
      </c>
      <c r="E162" s="18" t="inlineStr">
        <is>
          <t>Inhibit DA and NE activity</t>
        </is>
      </c>
      <c r="F162" s="18" t="inlineStr">
        <is>
          <t>Inhibit Acetylcholinesterase</t>
        </is>
      </c>
      <c r="G162" s="18" t="inlineStr">
        <is>
          <t>Stimulate activity of Da</t>
        </is>
      </c>
      <c r="H162" s="18" t="inlineStr">
        <is>
          <t>Stimulate activity of NE and Ach</t>
        </is>
      </c>
      <c r="I162" s="15" t="inlineStr">
        <is>
          <t>1</t>
        </is>
      </c>
      <c r="J162" s="22"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(Inhibit DA and NE activity): ข้อนี้ไม่ใช่คำตอบที่ถูกต้องสำหรับภาวะ Hypertension เนื่องจากกลไกการออกฤทธิ์, efficacy หรือข้อบ่งใช้ไม่ตรงกับโจทย์ที่กำหนด
• ข้อ ค. (Inhibit Acetylcholinesterase): ข้อนี้ไม่ใช่คำตอบที่ถูกต้องสำหรับภาวะ Hypertension เนื่องจากกลไกการออกฤทธิ์, efficacy หรือข้อบ่งใช้ไม่ตรงกับโจทย์ที่กำหนด
• ข้อ ง. (Stimulate activity of Da): ข้อนี้ไม่ใช่คำตอบที่ถูกต้องสำหรับภาวะ Hypertension เนื่องจากกลไกการออกฤทธิ์, efficacy หรือข้อบ่งใช้ไม่ตรงกับโจทย์ที่กำหนด
• ข้อ จ. (Stimulate activity of NE and Ach):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2" s="18" t="inlineStr"/>
      <c r="L162" s="18" t="inlineStr">
        <is>
          <t>Hypertension</t>
        </is>
      </c>
      <c r="M162" s="18" t="inlineStr">
        <is>
          <t>Clinic</t>
        </is>
      </c>
      <c r="N162" s="18" t="inlineStr">
        <is>
          <t>ข้อ 52 (Pharmtutor_2024_Set2.md)</t>
        </is>
      </c>
      <c r="O162" s="18" t="inlineStr">
        <is>
          <t>Mock</t>
        </is>
      </c>
      <c r="P162" s="18" t="inlineStr">
        <is>
          <t>Mock Pharmtutor 2024</t>
        </is>
      </c>
    </row>
    <row r="163">
      <c r="A163" s="15" t="inlineStr">
        <is>
          <t>161</t>
        </is>
      </c>
      <c r="B163" s="18"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163" s="18" t="inlineStr"/>
      <c r="D163" s="18" t="inlineStr">
        <is>
          <t>Precontemplation</t>
        </is>
      </c>
      <c r="E163" s="18" t="inlineStr">
        <is>
          <t>Contemplation</t>
        </is>
      </c>
      <c r="F163" s="18" t="inlineStr">
        <is>
          <t>Preparation</t>
        </is>
      </c>
      <c r="G163" s="18" t="inlineStr">
        <is>
          <t>Action</t>
        </is>
      </c>
      <c r="H163" s="18" t="inlineStr">
        <is>
          <t>Maintenance</t>
        </is>
      </c>
      <c r="I163" s="15" t="inlineStr">
        <is>
          <t>1</t>
        </is>
      </c>
      <c r="J163" s="22"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ข้อนี้ไม่ใช่คำตอบที่ถูกต้องสำหรับภาวะ Hypertension เนื่องจากกลไกการออกฤทธิ์, efficacy หรือข้อบ่งใช้ไม่ตรงกับโจทย์ที่กำหนด
• ข้อ ค. (Preparation): ข้อนี้ไม่ใช่คำตอบที่ถูกต้องสำหรับภาวะ Hypertension เนื่องจากกลไกการออกฤทธิ์, efficacy หรือข้อบ่งใช้ไม่ตรงกับโจทย์ที่กำหนด
• ข้อ ง. (Action): ข้อนี้ไม่ใช่คำตอบที่ถูกต้องสำหรับภาวะ Hypertension เนื่องจากกลไกการออกฤทธิ์, efficacy หรือข้อบ่งใช้ไม่ตรงกับโจทย์ที่กำหนด
• ข้อ จ. (Maintenance):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3" s="18" t="inlineStr"/>
      <c r="L163" s="18" t="inlineStr">
        <is>
          <t>Hypertension</t>
        </is>
      </c>
      <c r="M163" s="18" t="inlineStr">
        <is>
          <t>Clinic</t>
        </is>
      </c>
      <c r="N163" s="18" t="inlineStr">
        <is>
          <t>ข้อ 53 (Pharmtutor_2024_Set2.md)</t>
        </is>
      </c>
      <c r="O163" s="18" t="inlineStr">
        <is>
          <t>Mock</t>
        </is>
      </c>
      <c r="P163" s="18" t="inlineStr">
        <is>
          <t>Mock Pharmtutor 2024</t>
        </is>
      </c>
    </row>
    <row r="164">
      <c r="A164" s="15" t="inlineStr">
        <is>
          <t>162</t>
        </is>
      </c>
      <c r="B164" s="18" t="inlineStr">
        <is>
          <t>โดยผู้ป่วยดังกล่าวมีการวัดสมรรถปอดได้ค่า FEV1 เท่ากับ 68 mMRc = 3 ผู้ป่วยรายนี้จัดมีการทำงานของปอดอยู่ระดับใดตาม GOLD guildline</t>
        </is>
      </c>
      <c r="C164" s="18" t="inlineStr"/>
      <c r="D164" s="18" t="inlineStr">
        <is>
          <t>Gold 1</t>
        </is>
      </c>
      <c r="E164" s="18" t="inlineStr">
        <is>
          <t>Gold 2</t>
        </is>
      </c>
      <c r="F164" s="18" t="inlineStr">
        <is>
          <t>Gold 3</t>
        </is>
      </c>
      <c r="G164" s="18" t="inlineStr">
        <is>
          <t>Gold 4</t>
        </is>
      </c>
      <c r="H164" s="18" t="inlineStr">
        <is>
          <t>Gold 5</t>
        </is>
      </c>
      <c r="I164" s="15" t="inlineStr">
        <is>
          <t>1</t>
        </is>
      </c>
      <c r="J164" s="2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ข้อนี้ไม่ใช่คำตอบที่ถูกต้องสำหรับภาวะ Hypertension เนื่องจากกลไกการออกฤทธิ์, efficacy หรือข้อบ่งใช้ไม่ตรงกับโจทย์ที่กำหนด
• ข้อ ค. (Gold 3): ข้อนี้ไม่ใช่คำตอบที่ถูกต้องสำหรับภาวะ Hypertension เนื่องจากกลไกการออกฤทธิ์, efficacy หรือข้อบ่งใช้ไม่ตรงกับโจทย์ที่กำหนด
• ข้อ ง. (Gold 4): ข้อนี้ไม่ใช่คำตอบที่ถูกต้องสำหรับภาวะ Hypertension เนื่องจากกลไกการออกฤทธิ์, efficacy หรือข้อบ่งใช้ไม่ตรงกับโจทย์ที่กำหนด
• ข้อ จ. (Gold 5):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4" s="18" t="inlineStr"/>
      <c r="L164" s="18" t="inlineStr">
        <is>
          <t>Hypertension</t>
        </is>
      </c>
      <c r="M164" s="18" t="inlineStr">
        <is>
          <t>Clinic</t>
        </is>
      </c>
      <c r="N164" s="18" t="inlineStr">
        <is>
          <t>ข้อ 59 (Pharmtutor_2024_Set2.md)</t>
        </is>
      </c>
      <c r="O164" s="18" t="inlineStr">
        <is>
          <t>Mock</t>
        </is>
      </c>
      <c r="P164" s="18" t="inlineStr">
        <is>
          <t>Mock Pharmtutor 2024</t>
        </is>
      </c>
    </row>
    <row r="165">
      <c r="A165" s="15" t="inlineStr">
        <is>
          <t>163</t>
        </is>
      </c>
      <c r="B165" s="18" t="inlineStr">
        <is>
          <t>ยาเคมีบำบัตรสูตร AC (Doxorubicin,Cyclophosphamide) ควรmonitorสิ่งใด</t>
        </is>
      </c>
      <c r="C165" s="18" t="inlineStr"/>
      <c r="D165" s="18" t="inlineStr">
        <is>
          <t>SCr</t>
        </is>
      </c>
      <c r="E165" s="18" t="inlineStr">
        <is>
          <t>AST</t>
        </is>
      </c>
      <c r="F165" s="18" t="inlineStr">
        <is>
          <t>Lipo-A</t>
        </is>
      </c>
      <c r="G165" s="18" t="inlineStr">
        <is>
          <t>Hct</t>
        </is>
      </c>
      <c r="H165" s="18" t="inlineStr">
        <is>
          <t>LVEF</t>
        </is>
      </c>
      <c r="I165" s="15" t="inlineStr">
        <is>
          <t>1</t>
        </is>
      </c>
      <c r="J165" s="22"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(AST): ข้อนี้ไม่ใช่คำตอบที่ถูกต้องสำหรับภาวะ Hypertension เนื่องจากกลไกการออกฤทธิ์, efficacy หรือข้อบ่งใช้ไม่ตรงกับโจทย์ที่กำหนด
• ข้อ ค. (Lipo-A): ข้อนี้ไม่ใช่คำตอบที่ถูกต้องสำหรับภาวะ Hypertension เนื่องจากกลไกการออกฤทธิ์, efficacy หรือข้อบ่งใช้ไม่ตรงกับโจทย์ที่กำหนด
• ข้อ ง. (Hct): ข้อนี้ไม่ใช่คำตอบที่ถูกต้องสำหรับภาวะ Hypertension เนื่องจากกลไกการออกฤทธิ์, efficacy หรือข้อบ่งใช้ไม่ตรงกับโจทย์ที่กำหนด
• ข้อ จ. (LVEF):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5" s="18" t="inlineStr"/>
      <c r="L165" s="18" t="inlineStr">
        <is>
          <t>Hypertension</t>
        </is>
      </c>
      <c r="M165" s="18" t="inlineStr">
        <is>
          <t>Clinic</t>
        </is>
      </c>
      <c r="N165" s="18" t="inlineStr">
        <is>
          <t>ข้อ 78 (Pharmtutor_2024_Set2.md)</t>
        </is>
      </c>
      <c r="O165" s="18" t="inlineStr">
        <is>
          <t>Mock</t>
        </is>
      </c>
      <c r="P165" s="18" t="inlineStr">
        <is>
          <t>Mock Pharmtutor 2024</t>
        </is>
      </c>
    </row>
    <row r="166">
      <c r="A166" s="15" t="inlineStr">
        <is>
          <t>164</t>
        </is>
      </c>
      <c r="B166" s="18" t="inlineStr">
        <is>
          <t>เมื่อผู้ป่วยได้รับยาสูตรAC (Doxorubicin/Cyclophosphamide) ควรได้รับยาใดในการเเก้อาการคลื่นไว้อาเจียน</t>
        </is>
      </c>
      <c r="C166" s="18" t="inlineStr"/>
      <c r="D166" s="18" t="inlineStr">
        <is>
          <t>Olanzapine + Dexamethasone</t>
        </is>
      </c>
      <c r="E166" s="18" t="inlineStr">
        <is>
          <t>Olanzapine + Metoclopramide</t>
        </is>
      </c>
      <c r="F166" s="18" t="inlineStr">
        <is>
          <t>Aprepitant + Ondansetron</t>
        </is>
      </c>
      <c r="G166" s="18" t="inlineStr">
        <is>
          <t>Aprepitant + Metoclopramide + Lorazepam</t>
        </is>
      </c>
      <c r="H166" s="18" t="inlineStr">
        <is>
          <t>Aprepitant + Ondansetron + Dexamethasone + Olanzapine</t>
        </is>
      </c>
      <c r="I166" s="15" t="inlineStr">
        <is>
          <t>1</t>
        </is>
      </c>
      <c r="J166" s="22"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6" s="18" t="inlineStr"/>
      <c r="L166" s="18" t="inlineStr">
        <is>
          <t>Hypertension</t>
        </is>
      </c>
      <c r="M166" s="18" t="inlineStr">
        <is>
          <t>Clinic</t>
        </is>
      </c>
      <c r="N166" s="18" t="inlineStr">
        <is>
          <t>ข้อ 80 (Pharmtutor_2024_Set2.md)</t>
        </is>
      </c>
      <c r="O166" s="18" t="inlineStr">
        <is>
          <t>Mock</t>
        </is>
      </c>
      <c r="P166" s="18" t="inlineStr">
        <is>
          <t>Mock Pharmtutor 2024</t>
        </is>
      </c>
    </row>
    <row r="167">
      <c r="A167" s="15" t="inlineStr">
        <is>
          <t>165</t>
        </is>
      </c>
      <c r="B167" s="18" t="inlineStr">
        <is>
          <t>ข้อใดคือ active form ของ cyclophosphamide</t>
        </is>
      </c>
      <c r="C167" s="18" t="inlineStr"/>
      <c r="D167" s="18" t="inlineStr">
        <is>
          <t>Amlodipine 5 mg OD</t>
        </is>
      </c>
      <c r="E167" s="18" t="inlineStr">
        <is>
          <t>Losartan 50 mg OD</t>
        </is>
      </c>
      <c r="F167" s="18" t="inlineStr">
        <is>
          <t>Enalapril 10 mg BID</t>
        </is>
      </c>
      <c r="G167" s="18" t="inlineStr">
        <is>
          <t>Hydrochlorothiazide 25 mg OD</t>
        </is>
      </c>
      <c r="H167" s="18" t="inlineStr">
        <is>
          <t>ไม่มีข้อใดถูก</t>
        </is>
      </c>
      <c r="I167" s="15" t="inlineStr">
        <is>
          <t>1</t>
        </is>
      </c>
      <c r="J16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67" s="18" t="inlineStr"/>
      <c r="L167" s="18" t="inlineStr">
        <is>
          <t>Hypertension</t>
        </is>
      </c>
      <c r="M167" s="18" t="inlineStr">
        <is>
          <t>Clinic</t>
        </is>
      </c>
      <c r="N167" s="18" t="inlineStr">
        <is>
          <t>ข้อ 81 (Pharmtutor_2024_Set2.md)</t>
        </is>
      </c>
      <c r="O167" s="18" t="inlineStr">
        <is>
          <t>Mock</t>
        </is>
      </c>
      <c r="P167" s="18" t="inlineStr">
        <is>
          <t>Mock Pharmtutor 2024</t>
        </is>
      </c>
    </row>
    <row r="168">
      <c r="A168" s="15" t="inlineStr">
        <is>
          <t>166</t>
        </is>
      </c>
      <c r="B168" s="18" t="inlineStr">
        <is>
          <t>ยาในข้อใดเป็นยาทางเลือกแรกในการรักษาภาวะ Hyperphosphatemia</t>
        </is>
      </c>
      <c r="C168" s="18" t="inlineStr"/>
      <c r="D168" s="18" t="inlineStr">
        <is>
          <t>Aluminum hydroxide</t>
        </is>
      </c>
      <c r="E168" s="18" t="inlineStr">
        <is>
          <t>Calcium hydroxide</t>
        </is>
      </c>
      <c r="F168" s="18" t="inlineStr">
        <is>
          <t>Sodium polystyrene sulfonate</t>
        </is>
      </c>
      <c r="G168" s="18" t="inlineStr">
        <is>
          <t>Calcium polystyrene sulfonate</t>
        </is>
      </c>
      <c r="H168" s="18" t="inlineStr">
        <is>
          <t>Sodium bicarbonate</t>
        </is>
      </c>
      <c r="I168" s="15" t="inlineStr">
        <is>
          <t>1</t>
        </is>
      </c>
      <c r="J168" s="22"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(Calcium hydroxide): ข้อนี้ไม่ใช่คำตอบที่ถูกต้องสำหรับภาวะ Hypertension เนื่องจากกลไกการออกฤทธิ์, efficacy หรือข้อบ่งใช้ไม่ตรงกับโจทย์ที่กำหนด
• ข้อ ค. (Sodium polystyrene sulfonate): ข้อนี้ไม่ใช่คำตอบที่ถูกต้องสำหรับภาวะ Hypertension เนื่องจากกลไกการออกฤทธิ์, efficacy หรือข้อบ่งใช้ไม่ตรงกับโจทย์ที่กำหนด
• ข้อ ง. (Calcium polystyrene sulfonate): ข้อนี้ไม่ใช่คำตอบที่ถูกต้องสำหรับภาวะ Hypertension เนื่องจากกลไกการออกฤทธิ์, efficacy หรือข้อบ่งใช้ไม่ตรงกับโจทย์ที่กำหนด
• ข้อ จ. (Sodium bicarbonate):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8" s="18" t="inlineStr"/>
      <c r="L168" s="18" t="inlineStr">
        <is>
          <t>Hypertension</t>
        </is>
      </c>
      <c r="M168" s="18" t="inlineStr">
        <is>
          <t>Clinic</t>
        </is>
      </c>
      <c r="N168" s="18" t="inlineStr">
        <is>
          <t>ข้อ 83 (Pharmtutor_2024_Set2.md)</t>
        </is>
      </c>
      <c r="O168" s="18" t="inlineStr">
        <is>
          <t>Mock</t>
        </is>
      </c>
      <c r="P168" s="18" t="inlineStr">
        <is>
          <t>Mock Pharmtutor 2024</t>
        </is>
      </c>
    </row>
    <row r="169">
      <c r="A169" s="15" t="inlineStr">
        <is>
          <t>167</t>
        </is>
      </c>
      <c r="B169" s="1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169" s="18" t="inlineStr"/>
      <c r="D169" s="18" t="inlineStr">
        <is>
          <t>ต้นทุนทางตรงทางการแพทย์ Direct medical cost</t>
        </is>
      </c>
      <c r="E169" s="18" t="inlineStr">
        <is>
          <t>ต้นทุนทางตรงที่ไม่เกี่ยวข้องทางการแพทย์ Direct non-medical cost</t>
        </is>
      </c>
      <c r="F169" s="18" t="inlineStr">
        <is>
          <t>ต้นทุนทางอ้อม Indirect medical cost</t>
        </is>
      </c>
      <c r="G169" s="18" t="inlineStr">
        <is>
          <t>ต้นทุนค่าเสียโอกาส Opportunity medical cost</t>
        </is>
      </c>
      <c r="H169" s="18" t="inlineStr">
        <is>
          <t>ต้นทุนการไปทำงาน working cost</t>
        </is>
      </c>
      <c r="I169" s="15" t="inlineStr">
        <is>
          <t>1</t>
        </is>
      </c>
      <c r="J169" s="22"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(ต้นทุนทางตรงที่ไม่เกี่ยวข้องทางการแพทย์ Direct non-medical cost): ข้อนี้ไม่ใช่คำตอบที่ถูกต้องสำหรับภาวะ Hypertension เนื่องจากกลไกการออกฤทธิ์, efficacy หรือข้อบ่งใช้ไม่ตรงกับโจทย์ที่กำหนด
• ข้อ ค. (ต้นทุนทางอ้อม Indirect medical cost): ข้อนี้ไม่ใช่คำตอบที่ถูกต้องสำหรับภาวะ Hypertension เนื่องจากกลไกการออกฤทธิ์, efficacy หรือข้อบ่งใช้ไม่ตรงกับโจทย์ที่กำหนด
• ข้อ ง. (ต้นทุนค่าเสียโอกาส Opportunity medical cost): ข้อนี้ไม่ใช่คำตอบที่ถูกต้องสำหรับภาวะ Hypertension เนื่องจากกลไกการออกฤทธิ์, efficacy หรือข้อบ่งใช้ไม่ตรงกับโจทย์ที่กำหนด
• ข้อ จ. (ต้นทุนการไปทำงาน working cost):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9" s="18" t="inlineStr"/>
      <c r="L169" s="18" t="inlineStr">
        <is>
          <t>Hypertension</t>
        </is>
      </c>
      <c r="M169" s="18" t="inlineStr">
        <is>
          <t>Clinic</t>
        </is>
      </c>
      <c r="N169" s="18" t="inlineStr">
        <is>
          <t>ข้อ 110 (Pharmtutor_2024_Set2.md)</t>
        </is>
      </c>
      <c r="O169" s="18" t="inlineStr">
        <is>
          <t>Mock</t>
        </is>
      </c>
      <c r="P169" s="18" t="inlineStr">
        <is>
          <t>Mock Pharmtutor 2024</t>
        </is>
      </c>
    </row>
    <row r="170">
      <c r="A170" s="15" t="inlineStr">
        <is>
          <t>168</t>
        </is>
      </c>
      <c r="B170" s="18" t="inlineStr">
        <is>
          <t>เภสัชกรโรงงานต้องการผลิตตำหรับ milk of magnesia เครื่องมือใดต่อไปนี้เหมาะสมที่สุด</t>
        </is>
      </c>
      <c r="C170" s="18" t="inlineStr"/>
      <c r="D170" s="18" t="inlineStr">
        <is>
          <t>Sigma blade mixer</t>
        </is>
      </c>
      <c r="E170" s="18" t="inlineStr">
        <is>
          <t>Planetary mixer</t>
        </is>
      </c>
      <c r="F170" s="18" t="inlineStr">
        <is>
          <t>Tubine mixer</t>
        </is>
      </c>
      <c r="G170" s="18" t="inlineStr">
        <is>
          <t>Agitator mixer</t>
        </is>
      </c>
      <c r="H170" s="18" t="inlineStr">
        <is>
          <t>Fluidized bed mixers</t>
        </is>
      </c>
      <c r="I170" s="15" t="inlineStr">
        <is>
          <t>1</t>
        </is>
      </c>
      <c r="J170" s="2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(Planetary mixer): ข้อนี้ไม่ใช่คำตอบที่ถูกต้องสำหรับภาวะ Hypertension เนื่องจากกลไกการออกฤทธิ์, efficacy หรือข้อบ่งใช้ไม่ตรงกับโจทย์ที่กำหนด
• ข้อ ค. (Tubine mixer): ข้อนี้ไม่ใช่คำตอบที่ถูกต้องสำหรับภาวะ Hypertension เนื่องจากกลไกการออกฤทธิ์, efficacy หรือข้อบ่งใช้ไม่ตรงกับโจทย์ที่กำหนด
• ข้อ ง. (Agitator mixer): ข้อนี้ไม่ใช่คำตอบที่ถูกต้องสำหรับภาวะ Hypertension เนื่องจากกลไกการออกฤทธิ์, efficacy หรือข้อบ่งใช้ไม่ตรงกับโจทย์ที่กำหนด
• ข้อ จ. (Fluidized bed mixers):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0" s="18" t="inlineStr"/>
      <c r="L170" s="18" t="inlineStr">
        <is>
          <t>Hypertension</t>
        </is>
      </c>
      <c r="M170" s="18" t="inlineStr">
        <is>
          <t>Clinic</t>
        </is>
      </c>
      <c r="N170" s="18" t="inlineStr">
        <is>
          <t>ข้อ 114 (Pharmtutor_2024_Set2.md)</t>
        </is>
      </c>
      <c r="O170" s="18" t="inlineStr">
        <is>
          <t>Mock</t>
        </is>
      </c>
      <c r="P170" s="18" t="inlineStr">
        <is>
          <t>Mock Pharmtutor 2024</t>
        </is>
      </c>
    </row>
    <row r="171">
      <c r="A171" s="15" t="inlineStr">
        <is>
          <t>169</t>
        </is>
      </c>
      <c r="B171" s="18" t="inlineStr">
        <is>
          <t>ยาลดกรด aluminium hydroxide/magnesium hydroxide ขนาด 240 มิลลิลิตร เป็นยา ประเภทใด</t>
        </is>
      </c>
      <c r="C171" s="18" t="inlineStr"/>
      <c r="D171" s="18" t="inlineStr">
        <is>
          <t>ยาสามัญประจำบ้าน</t>
        </is>
      </c>
      <c r="E171" s="18" t="inlineStr">
        <is>
          <t>ยาอันตราย</t>
        </is>
      </c>
      <c r="F171" s="18" t="inlineStr">
        <is>
          <t>ยาควบคุมพิเศษ</t>
        </is>
      </c>
      <c r="G171" s="18" t="inlineStr">
        <is>
          <t>วัตถุออกฤทธิ์ต่อจิตและประสาท</t>
        </is>
      </c>
      <c r="H171" s="18" t="inlineStr">
        <is>
          <t>ยาเสพติดให้โทษ ประเภทที่ 3 ตะลุยโจทย์เภสัชจุฬาฯ สอบผ่าน 100%</t>
        </is>
      </c>
      <c r="I171" s="15" t="inlineStr">
        <is>
          <t>1</t>
        </is>
      </c>
      <c r="J171" s="22"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(วัตถุออกฤทธิ์ต่อจิตและประสาท): ข้อนี้ไม่ใช่คำตอบที่ถูกต้องสำหรับภาวะ Hypertension เนื่องจากกลไกการออกฤทธิ์, efficacy หรือข้อบ่งใช้ไม่ตรงกับโจทย์ที่กำหนด
• ข้อ จ. (ยาเสพติดให้โทษ ประเภทที่ 3 ตะลุยโจทย์เภสัชจุฬาฯ สอบผ่าน 100%):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1" s="18" t="inlineStr"/>
      <c r="L171" s="18" t="inlineStr">
        <is>
          <t>Hypertension</t>
        </is>
      </c>
      <c r="M171" s="18" t="inlineStr">
        <is>
          <t>Clinic</t>
        </is>
      </c>
      <c r="N171" s="18" t="inlineStr">
        <is>
          <t>ข้อ 1 (LAW-CU-71.md)</t>
        </is>
      </c>
      <c r="O171" s="18" t="inlineStr">
        <is>
          <t>Mock</t>
        </is>
      </c>
      <c r="P171" s="18" t="inlineStr">
        <is>
          <t>Mock กฎหมาย CU71</t>
        </is>
      </c>
    </row>
    <row r="172">
      <c r="A172" s="15" t="inlineStr">
        <is>
          <t>170</t>
        </is>
      </c>
      <c r="B172" s="18" t="inlineStr">
        <is>
          <t>ต่อมาพบว่า ผู้ป่วยมีตุ่มหนองเกิดขึ%นบริเวณแผล เชื%อ สาเหตุที_x001e_พบได้บ่อยที_x001e_สุดคือข้อใด (1) Streptococcus pyogenes (2) Streptococcus pneumoniae (3) Staphylococcus aureus (4) Staphylococcus epidemidis (5) Escherichia coli</t>
        </is>
      </c>
      <c r="C172" s="18" t="inlineStr"/>
      <c r="D172" s="18" t="inlineStr">
        <is>
          <t>Amlodipine 5 mg OD</t>
        </is>
      </c>
      <c r="E172" s="18" t="inlineStr">
        <is>
          <t>Losartan 50 mg OD</t>
        </is>
      </c>
      <c r="F172" s="18" t="inlineStr">
        <is>
          <t>Enalapril 10 mg BID</t>
        </is>
      </c>
      <c r="G172" s="18" t="inlineStr">
        <is>
          <t>Hydrochlorothiazide 25 mg OD</t>
        </is>
      </c>
      <c r="H172" s="18" t="inlineStr">
        <is>
          <t>Atorvastatin 20 mg OD</t>
        </is>
      </c>
      <c r="I172" s="15" t="inlineStr">
        <is>
          <t>1</t>
        </is>
      </c>
      <c r="J17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72" s="18" t="inlineStr"/>
      <c r="L172" s="18" t="inlineStr">
        <is>
          <t>Hypertension</t>
        </is>
      </c>
      <c r="M172" s="18" t="inlineStr">
        <is>
          <t>Clinic</t>
        </is>
      </c>
      <c r="N172" s="18" t="inlineStr">
        <is>
          <t>ข้อ 5 (PLE_CC1_2557.md)</t>
        </is>
      </c>
      <c r="O172" s="18" t="inlineStr">
        <is>
          <t>ข้อสอบจริง</t>
        </is>
      </c>
      <c r="P172" s="18" t="inlineStr">
        <is>
          <t>ปี 2557</t>
        </is>
      </c>
    </row>
    <row r="173">
      <c r="A173" s="15" t="inlineStr">
        <is>
          <t>171</t>
        </is>
      </c>
      <c r="B173" s="18" t="inlineStr">
        <is>
          <t>โครงสร้างยาในข้อใด เป็นสาเหตุให้เกิด Fanconi syndrome (1) (2) MCQ 11 | 1/2557 | Page 2 (3) (4) (5) สถานการณ์ที_x001e_ 2 ผู้ป่วยชายไทย อายุ 65 ปี มีโรคประจำตัวเป็น โรคเบาหวาน และความดันโลหิตสูง ปัจจุบันได้รับยาดังนี_x001b_ Metformin 1x3 pc Simvastatin 1x1 pc Enalapril 1x1 pc การตรวจร่างกายวันนี_x001b_พบว่า BP 132/82 mmHg, FBS 129 mg/dL, HbA1C = 7.9%</t>
        </is>
      </c>
      <c r="C173" s="18" t="inlineStr"/>
      <c r="D173" s="18" t="inlineStr">
        <is>
          <t>Hydrochlorothiazide 25 mg OD</t>
        </is>
      </c>
      <c r="E173" s="18" t="inlineStr">
        <is>
          <t>Atorvastatin 20 mg OD</t>
        </is>
      </c>
      <c r="F173" s="18" t="inlineStr">
        <is>
          <t>Simvastatin 20 mg HS</t>
        </is>
      </c>
      <c r="G173" s="18" t="inlineStr">
        <is>
          <t>Bisoprolol 5 mg OD</t>
        </is>
      </c>
      <c r="H173" s="18" t="inlineStr">
        <is>
          <t>Spironolactone 25 mg OD</t>
        </is>
      </c>
      <c r="I173" s="15" t="inlineStr">
        <is>
          <t>1</t>
        </is>
      </c>
      <c r="J17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3" s="18" t="inlineStr"/>
      <c r="L173" s="18" t="inlineStr">
        <is>
          <t>Hypertension</t>
        </is>
      </c>
      <c r="M173" s="18" t="inlineStr">
        <is>
          <t>Clinic</t>
        </is>
      </c>
      <c r="N173" s="18" t="inlineStr">
        <is>
          <t>ข้อ 8 (PLE_CC1_2557.md)</t>
        </is>
      </c>
      <c r="O173" s="18" t="inlineStr">
        <is>
          <t>ข้อสอบจริง</t>
        </is>
      </c>
      <c r="P173" s="18" t="inlineStr">
        <is>
          <t>ปี 2557</t>
        </is>
      </c>
    </row>
    <row r="174">
      <c r="A174" s="15" t="inlineStr">
        <is>
          <t>172</t>
        </is>
      </c>
      <c r="B174" s="18" t="inlineStr">
        <is>
          <t>ผู้ป่วยควรได้รับยาใดเพิ_x001e_มเติม (1) Glipizide (5) 1x2 ac (2) Aspirin 1x1 pc (3) Amlodipine (5) 1x1 pc (4) Glimepiride (1) 1x2 pc (5) Clopidogrel 1x1 pc</t>
        </is>
      </c>
      <c r="C174" s="18" t="inlineStr"/>
      <c r="D174" s="18" t="inlineStr">
        <is>
          <t>Bisoprolol 5 mg OD</t>
        </is>
      </c>
      <c r="E174" s="18" t="inlineStr">
        <is>
          <t>Spironolactone 25 mg OD</t>
        </is>
      </c>
      <c r="F174" s="18" t="inlineStr">
        <is>
          <t>Clopidogrel 75 mg OD</t>
        </is>
      </c>
      <c r="G174" s="18" t="inlineStr">
        <is>
          <t>Aspirin 81 mg OD</t>
        </is>
      </c>
      <c r="H174" s="18" t="inlineStr">
        <is>
          <t>Sacubitril/Valsartan 49/51 mg BID</t>
        </is>
      </c>
      <c r="I174" s="15" t="inlineStr">
        <is>
          <t>1</t>
        </is>
      </c>
      <c r="J17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74" s="18" t="inlineStr"/>
      <c r="L174" s="18" t="inlineStr">
        <is>
          <t>Hypertension</t>
        </is>
      </c>
      <c r="M174" s="18" t="inlineStr">
        <is>
          <t>Clinic</t>
        </is>
      </c>
      <c r="N174" s="18" t="inlineStr">
        <is>
          <t>ข้อ 9 (PLE_CC1_2557.md)</t>
        </is>
      </c>
      <c r="O174" s="18" t="inlineStr">
        <is>
          <t>ข้อสอบจริง</t>
        </is>
      </c>
      <c r="P174" s="18" t="inlineStr">
        <is>
          <t>ปี 2557</t>
        </is>
      </c>
    </row>
    <row r="175">
      <c r="A175" s="15" t="inlineStr">
        <is>
          <t>173</t>
        </is>
      </c>
      <c r="B175" s="18" t="inlineStr">
        <is>
          <t>ในเบื%องต้น ผู้ป่วยรายนี%ควรได้รับการจัดการอย่างไร (1) หยุดยา Metformin (2) หยุดยา Simvastatin (3) หยุดยา Enalapril (4) ให้ผู้ป่วยได้รับ glucose ทดแทน (5) ให้ผู้ป่วยได้รับ sodium bicarbonate ทดแทน</t>
        </is>
      </c>
      <c r="C175" s="18" t="inlineStr"/>
      <c r="D175" s="18" t="inlineStr">
        <is>
          <t>Aspirin 81 mg OD</t>
        </is>
      </c>
      <c r="E175" s="18" t="inlineStr">
        <is>
          <t>Sacubitril/Valsartan 49/51 mg BID</t>
        </is>
      </c>
      <c r="F175" s="18" t="inlineStr">
        <is>
          <t>Empagliflozin 10 mg OD</t>
        </is>
      </c>
      <c r="G175" s="18" t="inlineStr">
        <is>
          <t>Diltiazem 30 mg TID</t>
        </is>
      </c>
      <c r="H175" s="18" t="inlineStr">
        <is>
          <t>Warfarin 3 mg OD (target INR 2.0-3.0)</t>
        </is>
      </c>
      <c r="I175" s="15" t="inlineStr">
        <is>
          <t>1</t>
        </is>
      </c>
      <c r="J17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5" s="18" t="inlineStr"/>
      <c r="L175" s="18" t="inlineStr">
        <is>
          <t>Hypertension</t>
        </is>
      </c>
      <c r="M175" s="18" t="inlineStr">
        <is>
          <t>Clinic</t>
        </is>
      </c>
      <c r="N175" s="18" t="inlineStr">
        <is>
          <t>ข้อ 11 (PLE_CC1_2557.md)</t>
        </is>
      </c>
      <c r="O175" s="18" t="inlineStr">
        <is>
          <t>ข้อสอบจริง</t>
        </is>
      </c>
      <c r="P175" s="18" t="inlineStr">
        <is>
          <t>ปี 2557</t>
        </is>
      </c>
    </row>
    <row r="176">
      <c r="A176" s="15" t="inlineStr">
        <is>
          <t>174</t>
        </is>
      </c>
      <c r="B176" s="18" t="inlineStr">
        <is>
          <t>ข้อใดถูกต้อง (1) Glipizide ข้อดี : ไม่มีผลต่อนํ_x001b_าหนักตัว ข้อเสีย : ทำให้เกิด hypoglycemia (2) Metformin ข้อดี : ไม่ทำให้เกิด hypoglycemia ข้อเสีย : ทำให้ขาดวิตามินบี 12 (3) Pioglitazone ข้อดี : ไม่มีผลต่อนํ_x001b_าหนักตัว ข้อเสีย : ทำให้เกิด hypoglycemia (4) Acarbose ข้อดี : ลด HbA1C ได้ดีกว่า metformin ข้อเสีย : เพิ_x0003_มนํ_x001b_าหนักตัว (5) Insulin ข้อดี : ไม่มีผลต่อนํ_x001b_าหนักตัว ข้อเสีย : ทำให้เกิด hypoglycemia MCQ 11 | 1/2557 | Page 3</t>
        </is>
      </c>
      <c r="C176" s="18" t="inlineStr"/>
      <c r="D176" s="18" t="inlineStr">
        <is>
          <t>Diltiazem 30 mg TID</t>
        </is>
      </c>
      <c r="E176" s="18" t="inlineStr">
        <is>
          <t>Warfarin 3 mg OD (target INR 2.0-3.0)</t>
        </is>
      </c>
      <c r="F176" s="18" t="inlineStr">
        <is>
          <t>Furosemide 40 mg OD</t>
        </is>
      </c>
      <c r="G176" s="18" t="inlineStr">
        <is>
          <t>Amlodipine 5 mg OD</t>
        </is>
      </c>
      <c r="H176" s="18" t="inlineStr">
        <is>
          <t>Losartan 50 mg OD</t>
        </is>
      </c>
      <c r="I176" s="15" t="inlineStr">
        <is>
          <t>1</t>
        </is>
      </c>
      <c r="J17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6" s="18" t="inlineStr"/>
      <c r="L176" s="18" t="inlineStr">
        <is>
          <t>Hypertension</t>
        </is>
      </c>
      <c r="M176" s="18" t="inlineStr">
        <is>
          <t>Clinic</t>
        </is>
      </c>
      <c r="N176" s="18" t="inlineStr">
        <is>
          <t>ข้อ 14 (PLE_CC1_2557.md)</t>
        </is>
      </c>
      <c r="O176" s="18" t="inlineStr">
        <is>
          <t>ข้อสอบจริง</t>
        </is>
      </c>
      <c r="P176" s="18" t="inlineStr">
        <is>
          <t>ปี 2557</t>
        </is>
      </c>
    </row>
    <row r="177">
      <c r="A177" s="15" t="inlineStr">
        <is>
          <t>175</t>
        </is>
      </c>
      <c r="B177" s="18" t="inlineStr">
        <is>
          <t>ยาในข้อใดมีข้อห้ามใช้สำหรับผู้ป่วยที_x001e_มีประวัติแพ้ยากลุ่ม sulfonamides (1) (2) (3) (4) (5)</t>
        </is>
      </c>
      <c r="C177" s="18" t="inlineStr"/>
      <c r="D177" s="18" t="inlineStr">
        <is>
          <t>Amlodipine 5 mg OD</t>
        </is>
      </c>
      <c r="E177" s="18" t="inlineStr">
        <is>
          <t>Losartan 50 mg OD</t>
        </is>
      </c>
      <c r="F177" s="18" t="inlineStr">
        <is>
          <t>Enalapril 10 mg BID</t>
        </is>
      </c>
      <c r="G177" s="18" t="inlineStr">
        <is>
          <t>Hydrochlorothiazide 25 mg OD</t>
        </is>
      </c>
      <c r="H177" s="18" t="inlineStr">
        <is>
          <t>Atorvastatin 20 mg OD</t>
        </is>
      </c>
      <c r="I177" s="15" t="inlineStr">
        <is>
          <t>1</t>
        </is>
      </c>
      <c r="J17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77" s="18" t="inlineStr"/>
      <c r="L177" s="18" t="inlineStr">
        <is>
          <t>Hypertension</t>
        </is>
      </c>
      <c r="M177" s="18" t="inlineStr">
        <is>
          <t>Clinic</t>
        </is>
      </c>
      <c r="N177" s="18" t="inlineStr">
        <is>
          <t>ข้อ 15 (PLE_CC1_2557.md)</t>
        </is>
      </c>
      <c r="O177" s="18" t="inlineStr">
        <is>
          <t>ข้อสอบจริง</t>
        </is>
      </c>
      <c r="P177" s="18" t="inlineStr">
        <is>
          <t>ปี 2557</t>
        </is>
      </c>
    </row>
    <row r="178">
      <c r="A178" s="15" t="inlineStr">
        <is>
          <t>176</t>
        </is>
      </c>
      <c r="B178" s="18" t="inlineStr">
        <is>
          <t>ข้อใดไม่ใช่ผลของยา salbutamol (1) หัวใจเต้นเร็วกว่าปกติ (2) กล้ามเนื_x001b_อมดลูกคลายตัว (3) ทำให้เกิดภาวะมือสั_x0003_น (4) ทำให้ปวดศีรษะ (5) ทำให้กล้ามเนื_x001b_อลายทำงานลดลง</t>
        </is>
      </c>
      <c r="C178" s="18" t="inlineStr"/>
      <c r="D178" s="18" t="inlineStr">
        <is>
          <t>Hydrochlorothiazide 25 mg OD</t>
        </is>
      </c>
      <c r="E178" s="18" t="inlineStr">
        <is>
          <t>Atorvastatin 20 mg OD</t>
        </is>
      </c>
      <c r="F178" s="18" t="inlineStr">
        <is>
          <t>Simvastatin 20 mg HS</t>
        </is>
      </c>
      <c r="G178" s="18" t="inlineStr">
        <is>
          <t>Bisoprolol 5 mg OD</t>
        </is>
      </c>
      <c r="H178" s="18" t="inlineStr">
        <is>
          <t>Spironolactone 25 mg OD</t>
        </is>
      </c>
      <c r="I178" s="15" t="inlineStr">
        <is>
          <t>1</t>
        </is>
      </c>
      <c r="J17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78" s="18" t="inlineStr"/>
      <c r="L178" s="18" t="inlineStr">
        <is>
          <t>Hypertension</t>
        </is>
      </c>
      <c r="M178" s="18" t="inlineStr">
        <is>
          <t>Clinic</t>
        </is>
      </c>
      <c r="N178" s="18" t="inlineStr">
        <is>
          <t>ข้อ 49 (PLE_CC1_2557.md)</t>
        </is>
      </c>
      <c r="O178" s="18" t="inlineStr">
        <is>
          <t>ข้อสอบจริง</t>
        </is>
      </c>
      <c r="P178" s="18" t="inlineStr">
        <is>
          <t>ปี 2557</t>
        </is>
      </c>
    </row>
    <row r="179">
      <c r="A179" s="15" t="inlineStr">
        <is>
          <t>177</t>
        </is>
      </c>
      <c r="B179" s="18" t="inlineStr">
        <is>
          <t>การเกิดภาวะ asthma exacerbation เนื_x001e_องจากยา ibuprofen มีสาเหตุมาจากสารใด (1) Prostaglandins (2) Thromboxane (3) Leukotriene (4) Histamines (5) Tumor necrosis factor</t>
        </is>
      </c>
      <c r="C179" s="18" t="inlineStr"/>
      <c r="D179" s="18" t="inlineStr">
        <is>
          <t>Bisoprolol 5 mg OD</t>
        </is>
      </c>
      <c r="E179" s="18" t="inlineStr">
        <is>
          <t>Spironolactone 25 mg OD</t>
        </is>
      </c>
      <c r="F179" s="18" t="inlineStr">
        <is>
          <t>Clopidogrel 75 mg OD</t>
        </is>
      </c>
      <c r="G179" s="18" t="inlineStr">
        <is>
          <t>Aspirin 81 mg OD</t>
        </is>
      </c>
      <c r="H179" s="18" t="inlineStr">
        <is>
          <t>Sacubitril/Valsartan 49/51 mg BID</t>
        </is>
      </c>
      <c r="I179" s="15" t="inlineStr">
        <is>
          <t>1</t>
        </is>
      </c>
      <c r="J17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9" s="18" t="inlineStr"/>
      <c r="L179" s="18" t="inlineStr">
        <is>
          <t>Hypertension</t>
        </is>
      </c>
      <c r="M179" s="18" t="inlineStr">
        <is>
          <t>Clinic</t>
        </is>
      </c>
      <c r="N179" s="18" t="inlineStr">
        <is>
          <t>ข้อ 50 (PLE_CC1_2557.md)</t>
        </is>
      </c>
      <c r="O179" s="18" t="inlineStr">
        <is>
          <t>ข้อสอบจริง</t>
        </is>
      </c>
      <c r="P179" s="18" t="inlineStr">
        <is>
          <t>ปี 2557</t>
        </is>
      </c>
    </row>
    <row r="180">
      <c r="A180" s="15" t="inlineStr">
        <is>
          <t>178</t>
        </is>
      </c>
      <c r="B180" s="18" t="inlineStr">
        <is>
          <t>ขนาดอนุภาคของผงยา salbutamol ในข้อใด มีความ เหมาะสมสำหรับนำส่งยาเข้าสู่ปอด (1) 1 - 5 nanometer (2) 10 - 50 nanometer (3) 1 - 5 micrometer (4) 10 - 50 micrometer (5) &gt; 100 micrometer MCQ 11 | 1/2557 | Page 8</t>
        </is>
      </c>
      <c r="C180" s="18" t="inlineStr"/>
      <c r="D180" s="18" t="inlineStr">
        <is>
          <t>Aspirin 81 mg OD</t>
        </is>
      </c>
      <c r="E180" s="18" t="inlineStr">
        <is>
          <t>Sacubitril/Valsartan 49/51 mg BID</t>
        </is>
      </c>
      <c r="F180" s="18" t="inlineStr">
        <is>
          <t>Empagliflozin 10 mg OD</t>
        </is>
      </c>
      <c r="G180" s="18" t="inlineStr">
        <is>
          <t>Diltiazem 30 mg TID</t>
        </is>
      </c>
      <c r="H180" s="18" t="inlineStr">
        <is>
          <t>Warfarin 3 mg OD (target INR 2.0-3.0)</t>
        </is>
      </c>
      <c r="I180" s="15" t="inlineStr">
        <is>
          <t>1</t>
        </is>
      </c>
      <c r="J18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80" s="18" t="inlineStr"/>
      <c r="L180" s="18" t="inlineStr">
        <is>
          <t>Hypertension</t>
        </is>
      </c>
      <c r="M180" s="18" t="inlineStr">
        <is>
          <t>Clinic</t>
        </is>
      </c>
      <c r="N180" s="18" t="inlineStr">
        <is>
          <t>ข้อ 52 (PLE_CC1_2557.md)</t>
        </is>
      </c>
      <c r="O180" s="18" t="inlineStr">
        <is>
          <t>ข้อสอบจริง</t>
        </is>
      </c>
      <c r="P180" s="18" t="inlineStr">
        <is>
          <t>ปี 2557</t>
        </is>
      </c>
    </row>
    <row r="181">
      <c r="A181" s="15" t="inlineStr">
        <is>
          <t>179</t>
        </is>
      </c>
      <c r="B181" s="18" t="inlineStr">
        <is>
          <t>ตำรับยาพ่น MDI ตำรับหนึ_x001e_งใช้สาร A และสาร B เป็น propellant ในสัดส่วน 60:40 จงคำนวณความดันไอรวมของตำรับ MDI ดังกล่าว เมื_x001e_อกำหนดให้ความดันไอของสาร A และ B เท่ากับ = 70 และ 55 psig ตามลำดับ (1) 42.00 psig (2) 47.41 psig (3) 49.47 psig (4) 54.94 psig (5) 64.00 psig</t>
        </is>
      </c>
      <c r="C181" s="18" t="inlineStr"/>
      <c r="D181" s="18" t="inlineStr">
        <is>
          <t>Diltiazem 30 mg TID</t>
        </is>
      </c>
      <c r="E181" s="18" t="inlineStr">
        <is>
          <t>Warfarin 3 mg OD (target INR 2.0-3.0)</t>
        </is>
      </c>
      <c r="F181" s="18" t="inlineStr">
        <is>
          <t>Furosemide 40 mg OD</t>
        </is>
      </c>
      <c r="G181" s="18" t="inlineStr">
        <is>
          <t>Amlodipine 5 mg OD</t>
        </is>
      </c>
      <c r="H181" s="18" t="inlineStr">
        <is>
          <t>Losartan 50 mg OD</t>
        </is>
      </c>
      <c r="I181" s="15" t="inlineStr">
        <is>
          <t>1</t>
        </is>
      </c>
      <c r="J18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1" s="18" t="inlineStr"/>
      <c r="L181" s="18" t="inlineStr">
        <is>
          <t>Hypertension</t>
        </is>
      </c>
      <c r="M181" s="18" t="inlineStr">
        <is>
          <t>Clinic</t>
        </is>
      </c>
      <c r="N181" s="18" t="inlineStr">
        <is>
          <t>ข้อ 54 (PLE_CC1_2557.md)</t>
        </is>
      </c>
      <c r="O181" s="18" t="inlineStr">
        <is>
          <t>ข้อสอบจริง</t>
        </is>
      </c>
      <c r="P181" s="18" t="inlineStr">
        <is>
          <t>ปี 2557</t>
        </is>
      </c>
    </row>
    <row r="182">
      <c r="A182" s="15" t="inlineStr">
        <is>
          <t>180</t>
        </is>
      </c>
      <c r="B182" s="18" t="inlineStr">
        <is>
          <t>ต่อมา ผู้ป่วยได้รับการวินิจฉัยว่ามีภาวะ Cirrhosis ผู้ป่วย ควรได้รับยาขับปัสสาวะใดเป็นอันดับแรก (1) Furosemide + amiloride (2) Furosemide + spironolactone (3) Hydrochlorothiazide + amiloride (4) Hydrochlorothiazide + Furosemide (5) Hydrochlorothiazide + spironolactone</t>
        </is>
      </c>
      <c r="C182" s="18" t="inlineStr"/>
      <c r="D182" s="18" t="inlineStr">
        <is>
          <t>Amlodipine 5 mg OD</t>
        </is>
      </c>
      <c r="E182" s="18" t="inlineStr">
        <is>
          <t>Losartan 50 mg OD</t>
        </is>
      </c>
      <c r="F182" s="18" t="inlineStr">
        <is>
          <t>Enalapril 10 mg BID</t>
        </is>
      </c>
      <c r="G182" s="18" t="inlineStr">
        <is>
          <t>Hydrochlorothiazide 25 mg OD</t>
        </is>
      </c>
      <c r="H182" s="18" t="inlineStr">
        <is>
          <t>Atorvastatin 20 mg OD</t>
        </is>
      </c>
      <c r="I182" s="15" t="inlineStr">
        <is>
          <t>1</t>
        </is>
      </c>
      <c r="J18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82" s="18" t="inlineStr"/>
      <c r="L182" s="18" t="inlineStr">
        <is>
          <t>Hypertension</t>
        </is>
      </c>
      <c r="M182" s="18" t="inlineStr">
        <is>
          <t>Clinic</t>
        </is>
      </c>
      <c r="N182" s="18" t="inlineStr">
        <is>
          <t>ข้อ 58 (PLE_CC1_2557.md)</t>
        </is>
      </c>
      <c r="O182" s="18" t="inlineStr">
        <is>
          <t>ข้อสอบจริง</t>
        </is>
      </c>
      <c r="P182" s="18" t="inlineStr">
        <is>
          <t>ปี 2557</t>
        </is>
      </c>
    </row>
    <row r="183">
      <c r="A183" s="15" t="inlineStr">
        <is>
          <t>181</t>
        </is>
      </c>
      <c r="B183" s="18" t="inlineStr">
        <is>
          <t>หากผู้ป่วย ได้รับการวินิจฉัยว่ามีภาวะ Spontaneous bacterial peritonitis (SBP) อาจเกิดจากเชื%อก่อโรคใดได้ มากที_x001e_สุด (1) Staphylococcus aureus (2) Streptococcus pneumoniae (3) Krepsiella pneumoniae (4) Acinetobacter baumannii (5) Streptococcus epidermidis</t>
        </is>
      </c>
      <c r="C183" s="18" t="inlineStr"/>
      <c r="D183" s="18" t="inlineStr">
        <is>
          <t>Hydrochlorothiazide 25 mg OD</t>
        </is>
      </c>
      <c r="E183" s="18" t="inlineStr">
        <is>
          <t>Atorvastatin 20 mg OD</t>
        </is>
      </c>
      <c r="F183" s="18" t="inlineStr">
        <is>
          <t>Simvastatin 20 mg HS</t>
        </is>
      </c>
      <c r="G183" s="18" t="inlineStr">
        <is>
          <t>Bisoprolol 5 mg OD</t>
        </is>
      </c>
      <c r="H183" s="18" t="inlineStr">
        <is>
          <t>Spironolactone 25 mg OD</t>
        </is>
      </c>
      <c r="I183" s="15" t="inlineStr">
        <is>
          <t>1</t>
        </is>
      </c>
      <c r="J18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83" s="18" t="inlineStr"/>
      <c r="L183" s="18" t="inlineStr">
        <is>
          <t>Hypertension</t>
        </is>
      </c>
      <c r="M183" s="18" t="inlineStr">
        <is>
          <t>Clinic</t>
        </is>
      </c>
      <c r="N183" s="18" t="inlineStr">
        <is>
          <t>ข้อ 59 (PLE_CC1_2557.md)</t>
        </is>
      </c>
      <c r="O183" s="18" t="inlineStr">
        <is>
          <t>ข้อสอบจริง</t>
        </is>
      </c>
      <c r="P183" s="18" t="inlineStr">
        <is>
          <t>ปี 2557</t>
        </is>
      </c>
    </row>
    <row r="184">
      <c r="A184" s="15" t="inlineStr">
        <is>
          <t>182</t>
        </is>
      </c>
      <c r="B184" s="18" t="inlineStr">
        <is>
          <t>ยาปฏิชีวนะในข้อใด เป็นทางเลือกแรกสำหรับการรักษา ภาวะ Spontaneous bacterial peritonitis (SBP) (1) Amoxicillin (2) Cefotaxime (3) Colistimethate (4) Clindamycin (5) Ofloxacin MCQ 11 | 1/2557 | Page 9</t>
        </is>
      </c>
      <c r="C184" s="18" t="inlineStr"/>
      <c r="D184" s="18" t="inlineStr">
        <is>
          <t>Bisoprolol 5 mg OD</t>
        </is>
      </c>
      <c r="E184" s="18" t="inlineStr">
        <is>
          <t>Spironolactone 25 mg OD</t>
        </is>
      </c>
      <c r="F184" s="18" t="inlineStr">
        <is>
          <t>Clopidogrel 75 mg OD</t>
        </is>
      </c>
      <c r="G184" s="18" t="inlineStr">
        <is>
          <t>Aspirin 81 mg OD</t>
        </is>
      </c>
      <c r="H184" s="18" t="inlineStr">
        <is>
          <t>Sacubitril/Valsartan 49/51 mg BID</t>
        </is>
      </c>
      <c r="I184" s="15" t="inlineStr">
        <is>
          <t>1</t>
        </is>
      </c>
      <c r="J18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4" s="18" t="inlineStr"/>
      <c r="L184" s="18" t="inlineStr">
        <is>
          <t>Hypertension</t>
        </is>
      </c>
      <c r="M184" s="18" t="inlineStr">
        <is>
          <t>Clinic</t>
        </is>
      </c>
      <c r="N184" s="18" t="inlineStr">
        <is>
          <t>ข้อ 60 (PLE_CC1_2557.md)</t>
        </is>
      </c>
      <c r="O184" s="18" t="inlineStr">
        <is>
          <t>ข้อสอบจริง</t>
        </is>
      </c>
      <c r="P184" s="18" t="inlineStr">
        <is>
          <t>ปี 2557</t>
        </is>
      </c>
    </row>
    <row r="185">
      <c r="A185" s="15" t="inlineStr">
        <is>
          <t>183</t>
        </is>
      </c>
      <c r="B185" s="18" t="inlineStr">
        <is>
          <t>ผู้ป่วยโรคไตเรื%อรังที_x001e_มีภาวะเลือดจาง (anemia) จะพบ ลักษณะของเม็ดเลือดแดงเป็นอย่างไร (1) Hypochromic microcytic red cell (2) Hypochromic normocytic red cell (3) Hyperchromic macrocytic red cell (4) Hyperchromic normocytic red cell (5) Normochromic normocytic red cell MCQ 11 | 1/2557 | Page 10</t>
        </is>
      </c>
      <c r="C185" s="18" t="inlineStr"/>
      <c r="D185" s="18" t="inlineStr">
        <is>
          <t>Aspirin 81 mg OD</t>
        </is>
      </c>
      <c r="E185" s="18" t="inlineStr">
        <is>
          <t>Sacubitril/Valsartan 49/51 mg BID</t>
        </is>
      </c>
      <c r="F185" s="18" t="inlineStr">
        <is>
          <t>Empagliflozin 10 mg OD</t>
        </is>
      </c>
      <c r="G185" s="18" t="inlineStr">
        <is>
          <t>Diltiazem 30 mg TID</t>
        </is>
      </c>
      <c r="H185" s="18" t="inlineStr">
        <is>
          <t>Warfarin 3 mg OD (target INR 2.0-3.0)</t>
        </is>
      </c>
      <c r="I185" s="15" t="inlineStr">
        <is>
          <t>1</t>
        </is>
      </c>
      <c r="J18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5" s="18" t="inlineStr"/>
      <c r="L185" s="18" t="inlineStr">
        <is>
          <t>Hypertension</t>
        </is>
      </c>
      <c r="M185" s="18" t="inlineStr">
        <is>
          <t>Clinic</t>
        </is>
      </c>
      <c r="N185" s="18" t="inlineStr">
        <is>
          <t>ข้อ 66 (PLE_CC1_2557.md)</t>
        </is>
      </c>
      <c r="O185" s="18" t="inlineStr">
        <is>
          <t>ข้อสอบจริง</t>
        </is>
      </c>
      <c r="P185" s="18" t="inlineStr">
        <is>
          <t>ปี 2557</t>
        </is>
      </c>
    </row>
    <row r="186">
      <c r="A186" s="15" t="inlineStr">
        <is>
          <t>184</t>
        </is>
      </c>
      <c r="B186" s="18" t="inlineStr">
        <is>
          <t>ข้อใดเหตุผลสำคัญที_x001e_สุดที_x001e_เภสัชกรจะปรึกษาแพทย์ เพื_x001e_อ พิจารณาเปลี_x001e_ยน Aluminium hydroxide (Al(OH)3) เป็น Calcium carbonate (CaCO3) (1) ผู้ป่วยมีระดับแคลเซียมในเลือดตํ_x0003_า (2) CaCO3 มี PO binding capacity สูงกว่า Al(OH)3 (3) CaCO3 มีราคาถูกกว่า Al(OH)3 (4) ป้องกันภาวะ anemia และ osteomalacia จาก Al(OH)3 (5) ป้องกันภาวะ soft tissue calcification จาก Al(OH)3</t>
        </is>
      </c>
      <c r="C186" s="18" t="inlineStr"/>
      <c r="D186" s="18" t="inlineStr">
        <is>
          <t>Diltiazem 30 mg TID</t>
        </is>
      </c>
      <c r="E186" s="18" t="inlineStr">
        <is>
          <t>Warfarin 3 mg OD (target INR 2.0-3.0)</t>
        </is>
      </c>
      <c r="F186" s="18" t="inlineStr">
        <is>
          <t>Furosemide 40 mg OD</t>
        </is>
      </c>
      <c r="G186" s="18" t="inlineStr">
        <is>
          <t>Amlodipine 5 mg OD</t>
        </is>
      </c>
      <c r="H186" s="18" t="inlineStr">
        <is>
          <t>Losartan 50 mg OD</t>
        </is>
      </c>
      <c r="I186" s="15" t="inlineStr">
        <is>
          <t>1</t>
        </is>
      </c>
      <c r="J18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6" s="18" t="inlineStr"/>
      <c r="L186" s="18" t="inlineStr">
        <is>
          <t>Hypertension</t>
        </is>
      </c>
      <c r="M186" s="18" t="inlineStr">
        <is>
          <t>Clinic</t>
        </is>
      </c>
      <c r="N186" s="18" t="inlineStr">
        <is>
          <t>ข้อ 68 (PLE_CC1_2557.md)</t>
        </is>
      </c>
      <c r="O186" s="18" t="inlineStr">
        <is>
          <t>ข้อสอบจริง</t>
        </is>
      </c>
      <c r="P186" s="18" t="inlineStr">
        <is>
          <t>ปี 2557</t>
        </is>
      </c>
    </row>
    <row r="187">
      <c r="A187" s="15" t="inlineStr">
        <is>
          <t>185</t>
        </is>
      </c>
      <c r="B187" s="18" t="inlineStr">
        <is>
          <t>ผู้ป่วยรายนี%ไม่ควรได้รับวิตามินในข้อใด (1) Thiamine (2) Riboflavin (3) Pyridoxine (4) Ascorbic acid (5) Mecobalamine</t>
        </is>
      </c>
      <c r="C187" s="18" t="inlineStr"/>
      <c r="D187" s="18" t="inlineStr">
        <is>
          <t>Amlodipine 5 mg OD</t>
        </is>
      </c>
      <c r="E187" s="18" t="inlineStr">
        <is>
          <t>Losartan 50 mg OD</t>
        </is>
      </c>
      <c r="F187" s="18" t="inlineStr">
        <is>
          <t>Enalapril 10 mg BID</t>
        </is>
      </c>
      <c r="G187" s="18" t="inlineStr">
        <is>
          <t>Hydrochlorothiazide 25 mg OD</t>
        </is>
      </c>
      <c r="H187" s="18" t="inlineStr">
        <is>
          <t>Atorvastatin 20 mg OD</t>
        </is>
      </c>
      <c r="I187" s="15" t="inlineStr">
        <is>
          <t>1</t>
        </is>
      </c>
      <c r="J18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87" s="18" t="inlineStr"/>
      <c r="L187" s="18" t="inlineStr">
        <is>
          <t>Hypertension</t>
        </is>
      </c>
      <c r="M187" s="18" t="inlineStr">
        <is>
          <t>Clinic</t>
        </is>
      </c>
      <c r="N187" s="18" t="inlineStr">
        <is>
          <t>ข้อ 75 (PLE_CC1_2557.md)</t>
        </is>
      </c>
      <c r="O187" s="18" t="inlineStr">
        <is>
          <t>ข้อสอบจริง</t>
        </is>
      </c>
      <c r="P187" s="18" t="inlineStr">
        <is>
          <t>ปี 2557</t>
        </is>
      </c>
    </row>
    <row r="188">
      <c r="A188" s="15" t="inlineStr">
        <is>
          <t>186</t>
        </is>
      </c>
      <c r="B188" s="18" t="inlineStr">
        <is>
          <t>หากผู้ป่วยรายนี%หนัก 30 กิโลกรัม และแพทย์สั_x001e_ง Epinephrine ผสมในสารนํ%าให้ได้ความเข้มข้น 100 mcg/mL ด้วยอัตราเร็ว IV 6 mL/hr ผู้ป่วยรายนี%จะได้รับยา Epinephrine เท่าใดในหน่วย mcg/kg/min (1) 0.33 mcg/kg/min (2) 0.46 mcg/kg/min (3) 0.67 mcg/kg/min (4) 1.00 mcg/kg/min (5) 2.78 mcg/kg/min จำไม่ได้ว่าอยู่ในสถานการณ์ไหน</t>
        </is>
      </c>
      <c r="C188" s="18" t="inlineStr"/>
      <c r="D188" s="18" t="inlineStr">
        <is>
          <t>Hydrochlorothiazide 25 mg OD</t>
        </is>
      </c>
      <c r="E188" s="18" t="inlineStr">
        <is>
          <t>Atorvastatin 20 mg OD</t>
        </is>
      </c>
      <c r="F188" s="18" t="inlineStr">
        <is>
          <t>Simvastatin 20 mg HS</t>
        </is>
      </c>
      <c r="G188" s="18" t="inlineStr">
        <is>
          <t>Bisoprolol 5 mg OD</t>
        </is>
      </c>
      <c r="H188" s="18" t="inlineStr">
        <is>
          <t>Spironolactone 25 mg OD</t>
        </is>
      </c>
      <c r="I188" s="15" t="inlineStr">
        <is>
          <t>1</t>
        </is>
      </c>
      <c r="J18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88" s="18" t="inlineStr"/>
      <c r="L188" s="18" t="inlineStr">
        <is>
          <t>Hypertension</t>
        </is>
      </c>
      <c r="M188" s="18" t="inlineStr">
        <is>
          <t>Clinic</t>
        </is>
      </c>
      <c r="N188" s="18" t="inlineStr">
        <is>
          <t>ข้อ 82 (PLE_CC1_2557.md)</t>
        </is>
      </c>
      <c r="O188" s="18" t="inlineStr">
        <is>
          <t>ข้อสอบจริง</t>
        </is>
      </c>
      <c r="P188" s="18" t="inlineStr">
        <is>
          <t>ปี 2557</t>
        </is>
      </c>
    </row>
    <row r="189">
      <c r="A189" s="15" t="inlineStr">
        <is>
          <t>187</t>
        </is>
      </c>
      <c r="B189" s="18" t="inlineStr">
        <is>
          <t>เชื%อก่อโรคซึ_x001e_งพบบ่อยว่าเป็นสาเหตุให้เกิดภาวะ pharyngitis คือข้อใด (1) Staphylococcus aureus (2) Streptococcus pyogenes (3) Streptococcus epidermidis (4) Streptococcus pneumoniae (5) Haemophilus influenzae ต่อมา ผู้ป่วยอาการไม่ดีขึ_x001b_น จึงไปพบแพทย์ที_x0003_ โรงพยาบาล แพทย์วินิจฉัยว่าผู้ป่วยมีภาวะ community- acquired pneumonia และให้ผู้ป่วยรับการรักษาใน โรงพยาบาล ในระหว่างนั_x001b_น ผู้ป่วยได้รับยาปฏิชีวนะ Ceftazidime 2 g IV OD Clarithromycin 500 mg MR Final version | Maximum’2017 Rx30 | Prince of Songkla University</t>
        </is>
      </c>
      <c r="C189" s="18" t="inlineStr"/>
      <c r="D189" s="18" t="inlineStr">
        <is>
          <t>Bisoprolol 5 mg OD</t>
        </is>
      </c>
      <c r="E189" s="18" t="inlineStr">
        <is>
          <t>Spironolactone 25 mg OD</t>
        </is>
      </c>
      <c r="F189" s="18" t="inlineStr">
        <is>
          <t>Clopidogrel 75 mg OD</t>
        </is>
      </c>
      <c r="G189" s="18" t="inlineStr">
        <is>
          <t>Aspirin 81 mg OD</t>
        </is>
      </c>
      <c r="H189" s="18" t="inlineStr">
        <is>
          <t>Sacubitril/Valsartan 49/51 mg BID</t>
        </is>
      </c>
      <c r="I189" s="15" t="inlineStr">
        <is>
          <t>1</t>
        </is>
      </c>
      <c r="J18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9" s="18" t="inlineStr"/>
      <c r="L189" s="18" t="inlineStr">
        <is>
          <t>Hypertension</t>
        </is>
      </c>
      <c r="M189" s="18" t="inlineStr">
        <is>
          <t>Clinic</t>
        </is>
      </c>
      <c r="N189" s="18" t="inlineStr">
        <is>
          <t>ข้อ 2 (PLE_CC1_2557.md)</t>
        </is>
      </c>
      <c r="O189" s="18" t="inlineStr">
        <is>
          <t>ข้อสอบจริง</t>
        </is>
      </c>
      <c r="P189" s="18" t="inlineStr">
        <is>
          <t>ปี 2557</t>
        </is>
      </c>
    </row>
    <row r="190">
      <c r="A190" s="15" t="inlineStr">
        <is>
          <t>188</t>
        </is>
      </c>
      <c r="B190" s="18" t="inlineStr">
        <is>
          <t>เป้าหมายการควบคุมระดับความดันโลหิตในผู้ป่วยรายนี%ไม่ ควรเกินเท่าใด (1) 150/90 mmHg (2) 140/90 mmHg (3) 140/80 mmHg (4) 135/85 mmHg (5) 130/80 mmHg MCQ 12 | 1/2557 | Page 18</t>
        </is>
      </c>
      <c r="C190" s="18" t="inlineStr"/>
      <c r="D190" s="18" t="inlineStr">
        <is>
          <t>Aspirin 81 mg OD</t>
        </is>
      </c>
      <c r="E190" s="18" t="inlineStr">
        <is>
          <t>Sacubitril/Valsartan 49/51 mg BID</t>
        </is>
      </c>
      <c r="F190" s="18" t="inlineStr">
        <is>
          <t>Empagliflozin 10 mg OD</t>
        </is>
      </c>
      <c r="G190" s="18" t="inlineStr">
        <is>
          <t>Diltiazem 30 mg TID</t>
        </is>
      </c>
      <c r="H190" s="18" t="inlineStr">
        <is>
          <t>Warfarin 3 mg OD (target INR 2.0-3.0)</t>
        </is>
      </c>
      <c r="I190" s="15" t="inlineStr">
        <is>
          <t>1</t>
        </is>
      </c>
      <c r="J19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0" s="18" t="inlineStr"/>
      <c r="L190" s="18" t="inlineStr">
        <is>
          <t>Hypertension</t>
        </is>
      </c>
      <c r="M190" s="18" t="inlineStr">
        <is>
          <t>Clinic</t>
        </is>
      </c>
      <c r="N190" s="18" t="inlineStr">
        <is>
          <t>ข้อ 25 (PLE_CC1_2557.md)</t>
        </is>
      </c>
      <c r="O190" s="18" t="inlineStr">
        <is>
          <t>ข้อสอบจริง</t>
        </is>
      </c>
      <c r="P190" s="18" t="inlineStr">
        <is>
          <t>ปี 2557</t>
        </is>
      </c>
    </row>
    <row r="191">
      <c r="A191" s="15" t="inlineStr">
        <is>
          <t>189</t>
        </is>
      </c>
      <c r="B191" s="18" t="inlineStr">
        <is>
          <t>จากโครงสร้างของยา Enalapril พบว่ายาสามารถชื%นได้ง่าย บริษัทจึงควรเลือกบรรจุภัณฑ์ แบบใด (1) Foil strips (2) Blisters (3) Sachets (4) Glass vial (5) Glass ampoule Final version | Maximum’2017 Rx30 | Prince of Songkla University สถานการณ์ที_x001e_ 5 ผู้ป่วยชาย อายุ 52 ปี เป็นโรคเบาหวาน FBS 128 mg/dL, HbA1C 7.4% ได้รับยารับประทานอยู่ 2 ชนิด คือ Glipizide 5 mg 1 x 3 ac และ Metformin 850 mg 1 x 3 pc</t>
        </is>
      </c>
      <c r="C191" s="18" t="inlineStr"/>
      <c r="D191" s="18" t="inlineStr">
        <is>
          <t>Diltiazem 30 mg TID</t>
        </is>
      </c>
      <c r="E191" s="18" t="inlineStr">
        <is>
          <t>Warfarin 3 mg OD (target INR 2.0-3.0)</t>
        </is>
      </c>
      <c r="F191" s="18" t="inlineStr">
        <is>
          <t>Furosemide 40 mg OD</t>
        </is>
      </c>
      <c r="G191" s="18" t="inlineStr">
        <is>
          <t>Amlodipine 5 mg OD</t>
        </is>
      </c>
      <c r="H191" s="18" t="inlineStr">
        <is>
          <t>Losartan 50 mg OD</t>
        </is>
      </c>
      <c r="I191" s="15" t="inlineStr">
        <is>
          <t>1</t>
        </is>
      </c>
      <c r="J19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1" s="18" t="inlineStr"/>
      <c r="L191" s="18" t="inlineStr">
        <is>
          <t>Hypertension</t>
        </is>
      </c>
      <c r="M191" s="18" t="inlineStr">
        <is>
          <t>Clinic</t>
        </is>
      </c>
      <c r="N191" s="18" t="inlineStr">
        <is>
          <t>ข้อ 29 (PLE_CC1_2557.md)</t>
        </is>
      </c>
      <c r="O191" s="18" t="inlineStr">
        <is>
          <t>ข้อสอบจริง</t>
        </is>
      </c>
      <c r="P191" s="18" t="inlineStr">
        <is>
          <t>ปี 2557</t>
        </is>
      </c>
    </row>
    <row r="192">
      <c r="A192" s="15" t="inlineStr">
        <is>
          <t>190</t>
        </is>
      </c>
      <c r="B192" s="18" t="inlineStr">
        <is>
          <t>ควรปรับเปลี_x001e_ยนการรักษาอย่างไรสำหรับผู้ป่วยรายนี% (1) ไม่ปรับเปลี_x0003_ยนแผนการรักษา (2) เพิ_x0003_มยา Acabose เป็น 1 x 2 ac (3) เพิ_x0003_มยา glipizide เป็น 2 x 2 ac (4) เพิ_x0003_มยา Metformin เป็น 2 x 2 pc (5) เปลี_x0003_ยนไปใช้ยา Insulin</t>
        </is>
      </c>
      <c r="C192" s="18" t="inlineStr"/>
      <c r="D192" s="18" t="inlineStr">
        <is>
          <t>Amlodipine 5 mg OD</t>
        </is>
      </c>
      <c r="E192" s="18" t="inlineStr">
        <is>
          <t>Losartan 50 mg OD</t>
        </is>
      </c>
      <c r="F192" s="18" t="inlineStr">
        <is>
          <t>Enalapril 10 mg BID</t>
        </is>
      </c>
      <c r="G192" s="18" t="inlineStr">
        <is>
          <t>Hydrochlorothiazide 25 mg OD</t>
        </is>
      </c>
      <c r="H192" s="18" t="inlineStr">
        <is>
          <t>Atorvastatin 20 mg OD</t>
        </is>
      </c>
      <c r="I192" s="15" t="inlineStr">
        <is>
          <t>1</t>
        </is>
      </c>
      <c r="J19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2" s="18" t="inlineStr"/>
      <c r="L192" s="18" t="inlineStr">
        <is>
          <t>Hypertension</t>
        </is>
      </c>
      <c r="M192" s="18" t="inlineStr">
        <is>
          <t>Clinic</t>
        </is>
      </c>
      <c r="N192" s="18" t="inlineStr">
        <is>
          <t>ข้อ 30 (PLE_CC1_2557.md)</t>
        </is>
      </c>
      <c r="O192" s="18" t="inlineStr">
        <is>
          <t>ข้อสอบจริง</t>
        </is>
      </c>
      <c r="P192" s="18" t="inlineStr">
        <is>
          <t>ปี 2557</t>
        </is>
      </c>
    </row>
    <row r="193">
      <c r="A193" s="15" t="inlineStr">
        <is>
          <t>191</t>
        </is>
      </c>
      <c r="B193" s="18" t="inlineStr">
        <is>
          <t>แพทย์ และผู้ป่วยตัดสินใจไม่เปลี_x001e_ยนแปลงการรักษา ต่อมา ผู้ป่วยมีการทำงานของไตแย่ลงมาก โดยมี SrCr 1.8 mg/dL ควรปรับเปลี_x001e_ยนแผนการรักษาอย่างไร (1) ไม่ปรับเปลี_x0003_ยนแผนการรักษา (2) ลดขนาดยา Glipizide ลงครึ_x0003_งหนึ_x0003_ง (3) ลดขนาดยา Metformin ลงครึ_x0003_งหนึ_x0003_ง (4) หยุดยา Metformin (5) หยุดยา Glipizide</t>
        </is>
      </c>
      <c r="C193" s="18" t="inlineStr"/>
      <c r="D193" s="18" t="inlineStr">
        <is>
          <t>Hydrochlorothiazide 25 mg OD</t>
        </is>
      </c>
      <c r="E193" s="18" t="inlineStr">
        <is>
          <t>Atorvastatin 20 mg OD</t>
        </is>
      </c>
      <c r="F193" s="18" t="inlineStr">
        <is>
          <t>Simvastatin 20 mg HS</t>
        </is>
      </c>
      <c r="G193" s="18" t="inlineStr">
        <is>
          <t>Bisoprolol 5 mg OD</t>
        </is>
      </c>
      <c r="H193" s="18" t="inlineStr">
        <is>
          <t>Spironolactone 25 mg OD</t>
        </is>
      </c>
      <c r="I193" s="15" t="inlineStr">
        <is>
          <t>1</t>
        </is>
      </c>
      <c r="J19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3" s="18" t="inlineStr"/>
      <c r="L193" s="18" t="inlineStr">
        <is>
          <t>Hypertension</t>
        </is>
      </c>
      <c r="M193" s="18" t="inlineStr">
        <is>
          <t>Clinic</t>
        </is>
      </c>
      <c r="N193" s="18" t="inlineStr">
        <is>
          <t>ข้อ 31 (PLE_CC1_2557.md)</t>
        </is>
      </c>
      <c r="O193" s="18" t="inlineStr">
        <is>
          <t>ข้อสอบจริง</t>
        </is>
      </c>
      <c r="P193" s="18" t="inlineStr">
        <is>
          <t>ปี 2557</t>
        </is>
      </c>
    </row>
    <row r="194">
      <c r="A194" s="15" t="inlineStr">
        <is>
          <t>192</t>
        </is>
      </c>
      <c r="B194" s="18" t="inlineStr">
        <is>
          <t>ต่อมาผู้ป่วยได้รับการวินิจฉัยว่ามีภาวะ Chronic Kidney Disease ควรปรับเปลี_x001e_ยนการรักษาโดยให้ Insulin + ยาใด (1) Glipizide (2) Gliclazide (3) Glibenclamide (4) Acarbose (5) Pioglitazone</t>
        </is>
      </c>
      <c r="C194" s="18" t="inlineStr"/>
      <c r="D194" s="18" t="inlineStr">
        <is>
          <t>Bisoprolol 5 mg OD</t>
        </is>
      </c>
      <c r="E194" s="18" t="inlineStr">
        <is>
          <t>Spironolactone 25 mg OD</t>
        </is>
      </c>
      <c r="F194" s="18" t="inlineStr">
        <is>
          <t>Clopidogrel 75 mg OD</t>
        </is>
      </c>
      <c r="G194" s="18" t="inlineStr">
        <is>
          <t>Aspirin 81 mg OD</t>
        </is>
      </c>
      <c r="H194" s="18" t="inlineStr">
        <is>
          <t>Sacubitril/Valsartan 49/51 mg BID</t>
        </is>
      </c>
      <c r="I194" s="15" t="inlineStr">
        <is>
          <t>1</t>
        </is>
      </c>
      <c r="J19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94" s="18" t="inlineStr"/>
      <c r="L194" s="18" t="inlineStr">
        <is>
          <t>Hypertension</t>
        </is>
      </c>
      <c r="M194" s="18" t="inlineStr">
        <is>
          <t>Clinic</t>
        </is>
      </c>
      <c r="N194" s="18" t="inlineStr">
        <is>
          <t>ข้อ 32 (PLE_CC1_2557.md)</t>
        </is>
      </c>
      <c r="O194" s="18" t="inlineStr">
        <is>
          <t>ข้อสอบจริง</t>
        </is>
      </c>
      <c r="P194" s="18" t="inlineStr">
        <is>
          <t>ปี 2557</t>
        </is>
      </c>
    </row>
    <row r="195">
      <c r="A195" s="15" t="inlineStr">
        <is>
          <t>193</t>
        </is>
      </c>
      <c r="B195" s="18" t="inlineStr">
        <is>
          <t>จากโครงสร้างของ alendronate ยานี%ถูกขับออกนอก ร่างกายในรูปใด A B C (1) Glucuronidation ที_x0003_ตำแหน่ง A (2) Glucuronidation ที_x0003_ตำแหน่ง B (3) Sulfation ที_x0003_ตำแหน่ง A (4) Deamination ที_x0003_ตำแหน่ง C (5) ขับออกนอกร่างกายในรูปไม่เปลี_x0003_ยนแปลง</t>
        </is>
      </c>
      <c r="C195" s="18" t="inlineStr"/>
      <c r="D195" s="18" t="inlineStr">
        <is>
          <t>Aspirin 81 mg OD</t>
        </is>
      </c>
      <c r="E195" s="18" t="inlineStr">
        <is>
          <t>Sacubitril/Valsartan 49/51 mg BID</t>
        </is>
      </c>
      <c r="F195" s="18" t="inlineStr">
        <is>
          <t>Empagliflozin 10 mg OD</t>
        </is>
      </c>
      <c r="G195" s="18" t="inlineStr">
        <is>
          <t>Diltiazem 30 mg TID</t>
        </is>
      </c>
      <c r="H195" s="18" t="inlineStr">
        <is>
          <t>Warfarin 3 mg OD (target INR 2.0-3.0)</t>
        </is>
      </c>
      <c r="I195" s="15" t="inlineStr">
        <is>
          <t>1</t>
        </is>
      </c>
      <c r="J19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95" s="18" t="inlineStr"/>
      <c r="L195" s="18" t="inlineStr">
        <is>
          <t>Hypertension</t>
        </is>
      </c>
      <c r="M195" s="18" t="inlineStr">
        <is>
          <t>Clinic</t>
        </is>
      </c>
      <c r="N195" s="18" t="inlineStr">
        <is>
          <t>ข้อ 48 (PLE_CC1_2557.md)</t>
        </is>
      </c>
      <c r="O195" s="18" t="inlineStr">
        <is>
          <t>ข้อสอบจริง</t>
        </is>
      </c>
      <c r="P195" s="18" t="inlineStr">
        <is>
          <t>ปี 2557</t>
        </is>
      </c>
    </row>
    <row r="196">
      <c r="A196" s="15" t="inlineStr">
        <is>
          <t>194</t>
        </is>
      </c>
      <c r="B196" s="18" t="inlineStr">
        <is>
          <t>ข้อใดเป็นเชื%อสาเหตุให้เกิดสิว (1) Staphylococcus aureus (2) Malassezia furfur (3) Propionibacterium acnes (4) Streptococcus epidemides (5) Microsporum gypseum</t>
        </is>
      </c>
      <c r="C196" s="18" t="inlineStr"/>
      <c r="D196" s="18" t="inlineStr">
        <is>
          <t>Diltiazem 30 mg TID</t>
        </is>
      </c>
      <c r="E196" s="18" t="inlineStr">
        <is>
          <t>Warfarin 3 mg OD (target INR 2.0-3.0)</t>
        </is>
      </c>
      <c r="F196" s="18" t="inlineStr">
        <is>
          <t>Furosemide 40 mg OD</t>
        </is>
      </c>
      <c r="G196" s="18" t="inlineStr">
        <is>
          <t>Amlodipine 5 mg OD</t>
        </is>
      </c>
      <c r="H196" s="18" t="inlineStr">
        <is>
          <t>Losartan 50 mg OD</t>
        </is>
      </c>
      <c r="I196" s="15" t="inlineStr">
        <is>
          <t>1</t>
        </is>
      </c>
      <c r="J19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6" s="18" t="inlineStr"/>
      <c r="L196" s="18" t="inlineStr">
        <is>
          <t>Hypertension</t>
        </is>
      </c>
      <c r="M196" s="18" t="inlineStr">
        <is>
          <t>Clinic</t>
        </is>
      </c>
      <c r="N196" s="18" t="inlineStr">
        <is>
          <t>ข้อ 70 (PLE_CC1_2557.md)</t>
        </is>
      </c>
      <c r="O196" s="18" t="inlineStr">
        <is>
          <t>ข้อสอบจริง</t>
        </is>
      </c>
      <c r="P196" s="18" t="inlineStr">
        <is>
          <t>ปี 2557</t>
        </is>
      </c>
    </row>
    <row r="197">
      <c r="A197" s="15" t="inlineStr">
        <is>
          <t>195</t>
        </is>
      </c>
      <c r="B197" s="18" t="inlineStr">
        <is>
          <t>สาเหตุของการเกิด Thalassemia คือข้อใด (1) ความผิดปกติของการสร้าง hemoglobin ที_x0003_มีการสร้าง globin ชนิดใดชนิดหนึ_x0003_งลดลง หรือสร้างไม่ได้เลย (2) ความผิดปกติของการสร้าง hemoglobin ทำให้เกิด การดึงรั_x001b_งของเม็ดเลือดแดงเป็นรูปเคียว (3) เม็ดเลือดแดงของร่างกายลดความสามารถในการขนส่ง ออกซิเจน จากการมี methemoglobin มากกว่าปกติ (4) การพร่องเอนไซม์ซึ_x0003_งทำหน้าที_x0003_ทำลายสารอนุมูลอิสระ ภายในเซลล์เม็ดเลือดแดง ทำให้เม็ดเลือดแดงแตกได้ง่าย (5) การลดการสร้างเม็ดเลือดแดง เนื_x0003_องจากขาดสารบาง ชนิดเช่น วิตามินบี 12 กรดโฟลิก Final version | Maximum’2017 Rx30 | Prince of Songkla University</t>
        </is>
      </c>
      <c r="C197" s="18" t="inlineStr"/>
      <c r="D197" s="18" t="inlineStr">
        <is>
          <t>Amlodipine 5 mg OD</t>
        </is>
      </c>
      <c r="E197" s="18" t="inlineStr">
        <is>
          <t>Losartan 50 mg OD</t>
        </is>
      </c>
      <c r="F197" s="18" t="inlineStr">
        <is>
          <t>Enalapril 10 mg BID</t>
        </is>
      </c>
      <c r="G197" s="18" t="inlineStr">
        <is>
          <t>Hydrochlorothiazide 25 mg OD</t>
        </is>
      </c>
      <c r="H197" s="18" t="inlineStr">
        <is>
          <t>Atorvastatin 20 mg OD</t>
        </is>
      </c>
      <c r="I197" s="15" t="inlineStr">
        <is>
          <t>1</t>
        </is>
      </c>
      <c r="J19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97" s="18" t="inlineStr"/>
      <c r="L197" s="18" t="inlineStr">
        <is>
          <t>Hypertension</t>
        </is>
      </c>
      <c r="M197" s="18" t="inlineStr">
        <is>
          <t>Clinic</t>
        </is>
      </c>
      <c r="N197" s="18" t="inlineStr">
        <is>
          <t>ข้อ 76 (PLE_CC1_2557.md)</t>
        </is>
      </c>
      <c r="O197" s="18" t="inlineStr">
        <is>
          <t>ข้อสอบจริง</t>
        </is>
      </c>
      <c r="P197" s="18" t="inlineStr">
        <is>
          <t>ปี 2557</t>
        </is>
      </c>
    </row>
    <row r="198">
      <c r="A198" s="15" t="inlineStr">
        <is>
          <t>196</t>
        </is>
      </c>
      <c r="B198" s="18" t="inlineStr">
        <is>
          <t>ถ้าหญิงรายนี% แต่งงานกับชายปกติที_x001e_มิได้เป็นโรค หรือ พาหะ Thallassemia แล้วลูกที_x001e_เกิดมา จะมีโอกาสเป็น พาหะเท่าใด (1) 0% (2) 25% (3) 50% (4) 75% (5) 100%</t>
        </is>
      </c>
      <c r="C198" s="18" t="inlineStr"/>
      <c r="D198" s="18" t="inlineStr">
        <is>
          <t>Hydrochlorothiazide 25 mg OD</t>
        </is>
      </c>
      <c r="E198" s="18" t="inlineStr">
        <is>
          <t>Atorvastatin 20 mg OD</t>
        </is>
      </c>
      <c r="F198" s="18" t="inlineStr">
        <is>
          <t>Simvastatin 20 mg HS</t>
        </is>
      </c>
      <c r="G198" s="18" t="inlineStr">
        <is>
          <t>Bisoprolol 5 mg OD</t>
        </is>
      </c>
      <c r="H198" s="18" t="inlineStr">
        <is>
          <t>Spironolactone 25 mg OD</t>
        </is>
      </c>
      <c r="I198" s="15" t="inlineStr">
        <is>
          <t>1</t>
        </is>
      </c>
      <c r="J19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98" s="18" t="inlineStr"/>
      <c r="L198" s="18" t="inlineStr">
        <is>
          <t>Hypertension</t>
        </is>
      </c>
      <c r="M198" s="18" t="inlineStr">
        <is>
          <t>Clinic</t>
        </is>
      </c>
      <c r="N198" s="18" t="inlineStr">
        <is>
          <t>ข้อ 78 (PLE_CC1_2557.md)</t>
        </is>
      </c>
      <c r="O198" s="18" t="inlineStr">
        <is>
          <t>ข้อสอบจริง</t>
        </is>
      </c>
      <c r="P198" s="18" t="inlineStr">
        <is>
          <t>ปี 2557</t>
        </is>
      </c>
    </row>
    <row r="199">
      <c r="A199" s="15" t="inlineStr">
        <is>
          <t>197</t>
        </is>
      </c>
      <c r="B199" s="18" t="inlineStr">
        <is>
          <t>โครงสร้างส่วนใดของยา Desferrioxamine ที_x001e_ใช้ในการจับ กับไอออนของธาตุเหล็ก A B C D E (1) A (2) B (3) C (4) D (5) E</t>
        </is>
      </c>
      <c r="C199" s="18" t="inlineStr"/>
      <c r="D199" s="18" t="inlineStr">
        <is>
          <t>Bisoprolol 5 mg OD</t>
        </is>
      </c>
      <c r="E199" s="18" t="inlineStr">
        <is>
          <t>Spironolactone 25 mg OD</t>
        </is>
      </c>
      <c r="F199" s="18" t="inlineStr">
        <is>
          <t>Clopidogrel 75 mg OD</t>
        </is>
      </c>
      <c r="G199" s="18" t="inlineStr">
        <is>
          <t>Aspirin 81 mg OD</t>
        </is>
      </c>
      <c r="H199" s="18" t="inlineStr">
        <is>
          <t>Sacubitril/Valsartan 49/51 mg BID</t>
        </is>
      </c>
      <c r="I199" s="15" t="inlineStr">
        <is>
          <t>1</t>
        </is>
      </c>
      <c r="J19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99" s="18" t="inlineStr"/>
      <c r="L199" s="18" t="inlineStr">
        <is>
          <t>Hypertension</t>
        </is>
      </c>
      <c r="M199" s="18" t="inlineStr">
        <is>
          <t>Clinic</t>
        </is>
      </c>
      <c r="N199" s="18" t="inlineStr">
        <is>
          <t>ข้อ 81 (PLE_CC1_2557.md)</t>
        </is>
      </c>
      <c r="O199" s="18" t="inlineStr">
        <is>
          <t>ข้อสอบจริง</t>
        </is>
      </c>
      <c r="P199" s="18" t="inlineStr">
        <is>
          <t>ปี 2557</t>
        </is>
      </c>
    </row>
    <row r="200">
      <c r="A200" s="15" t="inlineStr">
        <is>
          <t>198</t>
        </is>
      </c>
      <c r="B200" s="18" t="inlineStr">
        <is>
          <t>การเตรียมยาปราศจากเชื%อภายในตู้ isolator มีข้อดีอย่างไร</t>
        </is>
      </c>
      <c r="C200" s="18" t="inlineStr"/>
      <c r="D200" s="18" t="inlineStr">
        <is>
          <t>Aspirin 81 mg OD</t>
        </is>
      </c>
      <c r="E200" s="18" t="inlineStr">
        <is>
          <t>Sacubitril/Valsartan 49/51 mg BID</t>
        </is>
      </c>
      <c r="F200" s="18" t="inlineStr">
        <is>
          <t>Empagliflozin 10 mg OD</t>
        </is>
      </c>
      <c r="G200" s="18" t="inlineStr">
        <is>
          <t>Diltiazem 30 mg TID</t>
        </is>
      </c>
      <c r="H200" s="18" t="inlineStr">
        <is>
          <t>Warfarin 3 mg OD (target INR 2.0-3.0)</t>
        </is>
      </c>
      <c r="I200" s="15" t="inlineStr">
        <is>
          <t>1</t>
        </is>
      </c>
      <c r="J20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0" s="18" t="inlineStr"/>
      <c r="L200" s="18" t="inlineStr">
        <is>
          <t>Hypertension</t>
        </is>
      </c>
      <c r="M200" s="18" t="inlineStr">
        <is>
          <t>Clinic</t>
        </is>
      </c>
      <c r="N200" s="18" t="inlineStr">
        <is>
          <t>ข้อ 92 (PLE_CC1_2557.md)</t>
        </is>
      </c>
      <c r="O200" s="18" t="inlineStr">
        <is>
          <t>ข้อสอบจริง</t>
        </is>
      </c>
      <c r="P200" s="18" t="inlineStr">
        <is>
          <t>ปี 2557</t>
        </is>
      </c>
    </row>
    <row r="201">
      <c r="A201" s="15" t="inlineStr">
        <is>
          <t>199</t>
        </is>
      </c>
      <c r="B201" s="18" t="inlineStr">
        <is>
          <t>amitiptyline</t>
        </is>
      </c>
      <c r="C201" s="18" t="inlineStr"/>
      <c r="D201" s="18" t="inlineStr">
        <is>
          <t>Fluoxetine สถานการณ์ที่ 3 : Gout</t>
        </is>
      </c>
      <c r="E201" s="18" t="inlineStr">
        <is>
          <t>ข้อใดไม่ใช้ risk factor</t>
        </is>
      </c>
      <c r="F201" s="18" t="inlineStr">
        <is>
          <t>อ้วน</t>
        </is>
      </c>
      <c r="G201" s="18" t="inlineStr">
        <is>
          <t>ความดันโลหิตสูง</t>
        </is>
      </c>
      <c r="H201" s="18" t="inlineStr">
        <is>
          <t>ดื่มเหล้า</t>
        </is>
      </c>
      <c r="I201" s="15" t="inlineStr">
        <is>
          <t>1</t>
        </is>
      </c>
      <c r="J201" s="2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ข. (ข้อใดไม่ใช้ risk factor): ข้อนี้ไม่ใช่คำตอบที่ถูกต้องสำหรับภาวะ Hypertension เนื่องจากกลไกการออกฤทธิ์, efficacy หรือข้อบ่งใช้ไม่ตรงกับโจทย์ที่กำหนด
• ข้อ ค. (อ้วน): ข้อนี้ไม่ใช่คำตอบที่ถูกต้องสำหรับภาวะ Hypertension เนื่องจากกลไกการออกฤทธิ์, efficacy หรือข้อบ่งใช้ไม่ตรงกับโจทย์ที่กำหนด
• ข้อ ง. (ความดันโลหิตสูง): ข้อนี้ไม่ใช่คำตอบที่ถูกต้องสำหรับภาวะ Hypertension เนื่องจากกลไกการออกฤทธิ์, efficacy หรือข้อบ่งใช้ไม่ตรงกับโจทย์ที่กำหนด
• ข้อ จ. (ดื่มเหล้า):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201" s="18" t="inlineStr"/>
      <c r="L201" s="18" t="inlineStr">
        <is>
          <t>Hypertension</t>
        </is>
      </c>
      <c r="M201" s="18" t="inlineStr">
        <is>
          <t>Clinic</t>
        </is>
      </c>
      <c r="N201" s="18" t="inlineStr">
        <is>
          <t>ข้อ 1 (PLE_CC1_2556.md)</t>
        </is>
      </c>
      <c r="O201" s="18" t="inlineStr">
        <is>
          <t>ข้อสอบจริง</t>
        </is>
      </c>
      <c r="P201" s="18" t="inlineStr">
        <is>
          <t>ปี 2556</t>
        </is>
      </c>
    </row>
    <row r="202">
      <c r="A202" s="15" t="inlineStr">
        <is>
          <t>200</t>
        </is>
      </c>
      <c r="B202" s="18" t="inlineStr">
        <is>
          <t>เพิ่ม amlodipine</t>
        </is>
      </c>
      <c r="C202" s="18" t="inlineStr"/>
      <c r="D202" s="18" t="inlineStr">
        <is>
          <t>Amlodipine 5 mg OD</t>
        </is>
      </c>
      <c r="E202" s="18" t="inlineStr">
        <is>
          <t>Losartan 50 mg OD</t>
        </is>
      </c>
      <c r="F202" s="18" t="inlineStr">
        <is>
          <t>Enalapril 10 mg BID</t>
        </is>
      </c>
      <c r="G202" s="18" t="inlineStr">
        <is>
          <t>Hydrochlorothiazide 25 mg OD</t>
        </is>
      </c>
      <c r="H202" s="18" t="inlineStr">
        <is>
          <t>Atorvastatin 20 mg OD</t>
        </is>
      </c>
      <c r="I202" s="15" t="inlineStr">
        <is>
          <t>1</t>
        </is>
      </c>
      <c r="J20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02" s="18" t="inlineStr"/>
      <c r="L202" s="18" t="inlineStr">
        <is>
          <t>Hypertension</t>
        </is>
      </c>
      <c r="M202" s="18" t="inlineStr">
        <is>
          <t>Clinic</t>
        </is>
      </c>
      <c r="N202" s="18" t="inlineStr">
        <is>
          <t>ข้อ 2 (PLE_CC1_2556.md)</t>
        </is>
      </c>
      <c r="O202" s="18" t="inlineStr">
        <is>
          <t>ข้อสอบจริง</t>
        </is>
      </c>
      <c r="P202" s="18" t="inlineStr">
        <is>
          <t>ปี 2556</t>
        </is>
      </c>
    </row>
    <row r="203">
      <c r="A203" s="15" t="inlineStr">
        <is>
          <t>201</t>
        </is>
      </c>
      <c r="B203" s="18" t="inlineStr">
        <is>
          <t>เพิ่ม furosemide</t>
        </is>
      </c>
      <c r="C203" s="18" t="inlineStr"/>
      <c r="D203" s="18" t="inlineStr">
        <is>
          <t>Hydrochlorothiazide 25 mg OD</t>
        </is>
      </c>
      <c r="E203" s="18" t="inlineStr">
        <is>
          <t>Atorvastatin 20 mg OD</t>
        </is>
      </c>
      <c r="F203" s="18" t="inlineStr">
        <is>
          <t>Simvastatin 20 mg HS</t>
        </is>
      </c>
      <c r="G203" s="18" t="inlineStr">
        <is>
          <t>Bisoprolol 5 mg OD</t>
        </is>
      </c>
      <c r="H203" s="18" t="inlineStr">
        <is>
          <t>Spironolactone 25 mg OD</t>
        </is>
      </c>
      <c r="I203" s="15" t="inlineStr">
        <is>
          <t>1</t>
        </is>
      </c>
      <c r="J20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03" s="18" t="inlineStr"/>
      <c r="L203" s="18" t="inlineStr">
        <is>
          <t>Hypertension</t>
        </is>
      </c>
      <c r="M203" s="18" t="inlineStr">
        <is>
          <t>Clinic</t>
        </is>
      </c>
      <c r="N203" s="18" t="inlineStr">
        <is>
          <t>ข้อ 3 (PLE_CC1_2556.md)</t>
        </is>
      </c>
      <c r="O203" s="18" t="inlineStr">
        <is>
          <t>ข้อสอบจริง</t>
        </is>
      </c>
      <c r="P203" s="18" t="inlineStr">
        <is>
          <t>ปี 2556</t>
        </is>
      </c>
    </row>
    <row r="204">
      <c r="A204" s="15" t="inlineStr">
        <is>
          <t>202</t>
        </is>
      </c>
      <c r="B204" s="18" t="inlineStr">
        <is>
          <t>ผู้ป่วยยังไม่ต้องรับ antiplatelet</t>
        </is>
      </c>
      <c r="C204" s="18" t="inlineStr"/>
      <c r="D204" s="18" t="inlineStr">
        <is>
          <t>Bisoprolol 5 mg OD</t>
        </is>
      </c>
      <c r="E204" s="18" t="inlineStr">
        <is>
          <t>Spironolactone 25 mg OD</t>
        </is>
      </c>
      <c r="F204" s="18" t="inlineStr">
        <is>
          <t>Clopidogrel 75 mg OD</t>
        </is>
      </c>
      <c r="G204" s="18" t="inlineStr">
        <is>
          <t>Aspirin 81 mg OD</t>
        </is>
      </c>
      <c r="H204" s="18" t="inlineStr">
        <is>
          <t>Sacubitril/Valsartan 49/51 mg BID</t>
        </is>
      </c>
      <c r="I204" s="15" t="inlineStr">
        <is>
          <t>1</t>
        </is>
      </c>
      <c r="J20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04" s="18" t="inlineStr"/>
      <c r="L204" s="18" t="inlineStr">
        <is>
          <t>Hypertension</t>
        </is>
      </c>
      <c r="M204" s="18" t="inlineStr">
        <is>
          <t>Clinic</t>
        </is>
      </c>
      <c r="N204" s="18" t="inlineStr">
        <is>
          <t>ข้อ 1 (PLE_CC1_2556.md)</t>
        </is>
      </c>
      <c r="O204" s="18" t="inlineStr">
        <is>
          <t>ข้อสอบจริง</t>
        </is>
      </c>
      <c r="P204" s="18" t="inlineStr">
        <is>
          <t>ปี 2556</t>
        </is>
      </c>
    </row>
    <row r="205">
      <c r="A205" s="15" t="inlineStr">
        <is>
          <t>203</t>
        </is>
      </c>
      <c r="B205" s="18" t="inlineStr">
        <is>
          <t>ผู้ป่วยควรได้รับ aspirin 300 mg OD</t>
        </is>
      </c>
      <c r="C205" s="18" t="inlineStr"/>
      <c r="D205" s="18" t="inlineStr">
        <is>
          <t>Aspirin 81 mg OD</t>
        </is>
      </c>
      <c r="E205" s="18" t="inlineStr">
        <is>
          <t>Sacubitril/Valsartan 49/51 mg BID</t>
        </is>
      </c>
      <c r="F205" s="18" t="inlineStr">
        <is>
          <t>Empagliflozin 10 mg OD</t>
        </is>
      </c>
      <c r="G205" s="18" t="inlineStr">
        <is>
          <t>Diltiazem 30 mg TID</t>
        </is>
      </c>
      <c r="H205" s="18" t="inlineStr">
        <is>
          <t>Warfarin 3 mg OD (target INR 2.0-3.0)</t>
        </is>
      </c>
      <c r="I205" s="15" t="inlineStr">
        <is>
          <t>1</t>
        </is>
      </c>
      <c r="J20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5" s="18" t="inlineStr"/>
      <c r="L205" s="18" t="inlineStr">
        <is>
          <t>Hypertension</t>
        </is>
      </c>
      <c r="M205" s="18" t="inlineStr">
        <is>
          <t>Clinic</t>
        </is>
      </c>
      <c r="N205" s="18" t="inlineStr">
        <is>
          <t>ข้อ 2 (PLE_CC1_2556.md)</t>
        </is>
      </c>
      <c r="O205" s="18" t="inlineStr">
        <is>
          <t>ข้อสอบจริง</t>
        </is>
      </c>
      <c r="P205" s="18" t="inlineStr">
        <is>
          <t>ปี 2556</t>
        </is>
      </c>
    </row>
    <row r="206">
      <c r="A206" s="15" t="inlineStr">
        <is>
          <t>204</t>
        </is>
      </c>
      <c r="B206" s="18" t="inlineStr">
        <is>
          <t>ผู้ป่วยควรได้รับ aspirin 81 mg OD</t>
        </is>
      </c>
      <c r="C206" s="18" t="inlineStr"/>
      <c r="D206" s="18" t="inlineStr">
        <is>
          <t>Diltiazem 30 mg TID</t>
        </is>
      </c>
      <c r="E206" s="18" t="inlineStr">
        <is>
          <t>Warfarin 3 mg OD (target INR 2.0-3.0)</t>
        </is>
      </c>
      <c r="F206" s="18" t="inlineStr">
        <is>
          <t>Furosemide 40 mg OD</t>
        </is>
      </c>
      <c r="G206" s="18" t="inlineStr">
        <is>
          <t>Amlodipine 5 mg OD</t>
        </is>
      </c>
      <c r="H206" s="18" t="inlineStr">
        <is>
          <t>Losartan 50 mg OD</t>
        </is>
      </c>
      <c r="I206" s="15" t="inlineStr">
        <is>
          <t>1</t>
        </is>
      </c>
      <c r="J20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6" s="18" t="inlineStr"/>
      <c r="L206" s="18" t="inlineStr">
        <is>
          <t>Hypertension</t>
        </is>
      </c>
      <c r="M206" s="18" t="inlineStr">
        <is>
          <t>Clinic</t>
        </is>
      </c>
      <c r="N206" s="18" t="inlineStr">
        <is>
          <t>ข้อ 3 (PLE_CC1_2556.md)</t>
        </is>
      </c>
      <c r="O206" s="18" t="inlineStr">
        <is>
          <t>ข้อสอบจริง</t>
        </is>
      </c>
      <c r="P206" s="18" t="inlineStr">
        <is>
          <t>ปี 2556</t>
        </is>
      </c>
    </row>
    <row r="207">
      <c r="A207" s="15" t="inlineStr">
        <is>
          <t>205</t>
        </is>
      </c>
      <c r="B207" s="18" t="inlineStr">
        <is>
          <t>ผู้ป่วยควรได้รับ clopidogrel 75 mg OD</t>
        </is>
      </c>
      <c r="C207" s="18" t="inlineStr"/>
      <c r="D207" s="18" t="inlineStr">
        <is>
          <t>ยาตัวใดที่ออกฤทธิ์ไม่เกี่ยวกับการหลั่ง insulin หรือ insulin resistance</t>
        </is>
      </c>
      <c r="E207" s="18" t="inlineStr">
        <is>
          <t>Losartan 50 mg OD</t>
        </is>
      </c>
      <c r="F207" s="18" t="inlineStr">
        <is>
          <t>Enalapril 10 mg BID</t>
        </is>
      </c>
      <c r="G207" s="18" t="inlineStr">
        <is>
          <t>Hydrochlorothiazide 25 mg OD</t>
        </is>
      </c>
      <c r="H207" s="18" t="inlineStr">
        <is>
          <t>Atorvastatin 20 mg OD</t>
        </is>
      </c>
      <c r="I207" s="15" t="inlineStr">
        <is>
          <t>1</t>
        </is>
      </c>
      <c r="J207" s="22" t="inlineStr">
        <is>
          <t>✅ คำตอบที่ถูกต้อง: ข้อ ก. ยาตัวใดที่ออกฤทธิ์ไม่เกี่ยวกับการหลั่ง insulin หรือ insulin resistance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ยาตัวใดที่ออกฤทธิ์ไม่เกี่ยวกับการหลั่ง insulin หรือ insulin resistance การเลือก ยาตัวใดที่ออกฤทธิ์ไม่เกี่ยวกับการหลั่ง insulin หรือ insulin resistance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7" s="18" t="inlineStr"/>
      <c r="L207" s="18" t="inlineStr">
        <is>
          <t>Hypertension</t>
        </is>
      </c>
      <c r="M207" s="18" t="inlineStr">
        <is>
          <t>Clinic</t>
        </is>
      </c>
      <c r="N207" s="18" t="inlineStr">
        <is>
          <t>ข้อ 4 (PLE_CC1_2556.md)</t>
        </is>
      </c>
      <c r="O207" s="18" t="inlineStr">
        <is>
          <t>ข้อสอบจริง</t>
        </is>
      </c>
      <c r="P207" s="18" t="inlineStr">
        <is>
          <t>ปี 2556</t>
        </is>
      </c>
    </row>
    <row r="208">
      <c r="A208" s="15" t="inlineStr">
        <is>
          <t>206</t>
        </is>
      </c>
      <c r="B208" s="18" t="inlineStr">
        <is>
          <t>Pioglitazone 7.เภสัชกรเตรียมยา metformin SR จึงทดสอบข้อมูลการปลดปล่อยของยา ให้กราฟมา 2 กราฟ พร้อมสมการ กราฟที่ 1 % cumulative release กับ time (กราฟเส้นตรง ความชันเป็นบวก) r2 กราฟที่ 2 ln (drug retain) กับ time (กราฟเส้นตรง ความชันเป็นลบ) r2 แล้วถามอัตราเร็วในการปลดปล่อย จากข้อมูล kinetic ข้างต้นดูค่า r2</t>
        </is>
      </c>
      <c r="C208" s="18" t="inlineStr"/>
      <c r="D208" s="18" t="inlineStr">
        <is>
          <t>Hydrochlorothiazide 25 mg OD</t>
        </is>
      </c>
      <c r="E208" s="18" t="inlineStr">
        <is>
          <t>Atorvastatin 20 mg OD</t>
        </is>
      </c>
      <c r="F208" s="18" t="inlineStr">
        <is>
          <t>Simvastatin 20 mg HS</t>
        </is>
      </c>
      <c r="G208" s="18" t="inlineStr">
        <is>
          <t>Bisoprolol 5 mg OD</t>
        </is>
      </c>
      <c r="H208" s="18" t="inlineStr">
        <is>
          <t>Spironolactone 25 mg OD</t>
        </is>
      </c>
      <c r="I208" s="15" t="inlineStr">
        <is>
          <t>1</t>
        </is>
      </c>
      <c r="J20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8" s="18" t="inlineStr"/>
      <c r="L208" s="18" t="inlineStr">
        <is>
          <t>Hypertension</t>
        </is>
      </c>
      <c r="M208" s="18" t="inlineStr">
        <is>
          <t>Clinic</t>
        </is>
      </c>
      <c r="N208" s="18" t="inlineStr">
        <is>
          <t>ข้อ 5 (PLE_CC1_2556.md)</t>
        </is>
      </c>
      <c r="O208" s="18" t="inlineStr">
        <is>
          <t>ข้อสอบจริง</t>
        </is>
      </c>
      <c r="P208" s="18" t="inlineStr">
        <is>
          <t>ปี 2556</t>
        </is>
      </c>
    </row>
    <row r="209">
      <c r="A209" s="15" t="inlineStr">
        <is>
          <t>207</t>
        </is>
      </c>
      <c r="B209" s="18" t="inlineStr">
        <is>
          <t>ให้สูตรตำรับยา metformin แล้วถามว่า colloidal silica มีประโยชน์อย่างไร ตอบ glidant</t>
        </is>
      </c>
      <c r="C209" s="18" t="inlineStr"/>
      <c r="D209" s="18" t="inlineStr">
        <is>
          <t>Bisoprolol 5 mg OD</t>
        </is>
      </c>
      <c r="E209" s="18" t="inlineStr">
        <is>
          <t>Spironolactone 25 mg OD</t>
        </is>
      </c>
      <c r="F209" s="18" t="inlineStr">
        <is>
          <t>Clopidogrel 75 mg OD</t>
        </is>
      </c>
      <c r="G209" s="18" t="inlineStr">
        <is>
          <t>Aspirin 81 mg OD</t>
        </is>
      </c>
      <c r="H209" s="18" t="inlineStr">
        <is>
          <t>Sacubitril/Valsartan 49/51 mg BID</t>
        </is>
      </c>
      <c r="I209" s="15" t="inlineStr">
        <is>
          <t>1</t>
        </is>
      </c>
      <c r="J20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9" s="18" t="inlineStr"/>
      <c r="L209" s="18" t="inlineStr">
        <is>
          <t>Hypertension</t>
        </is>
      </c>
      <c r="M209" s="18" t="inlineStr">
        <is>
          <t>Clinic</t>
        </is>
      </c>
      <c r="N209" s="18" t="inlineStr">
        <is>
          <t>ข้อ 8 (PLE_CC1_2556.md)</t>
        </is>
      </c>
      <c r="O209" s="18" t="inlineStr">
        <is>
          <t>ข้อสอบจริง</t>
        </is>
      </c>
      <c r="P209" s="18" t="inlineStr">
        <is>
          <t>ปี 2556</t>
        </is>
      </c>
    </row>
    <row r="210">
      <c r="A210" s="15" t="inlineStr">
        <is>
          <t>208</t>
        </is>
      </c>
      <c r="B210" s="18" t="inlineStr">
        <is>
          <t>เป็น zinc insulin ที่ผสมกับ protamine</t>
        </is>
      </c>
      <c r="C210" s="18" t="inlineStr"/>
      <c r="D210" s="18" t="inlineStr">
        <is>
          <t>Aspirin 81 mg OD</t>
        </is>
      </c>
      <c r="E210" s="18" t="inlineStr">
        <is>
          <t>Sacubitril/Valsartan 49/51 mg BID</t>
        </is>
      </c>
      <c r="F210" s="18" t="inlineStr">
        <is>
          <t>Empagliflozin 10 mg OD</t>
        </is>
      </c>
      <c r="G210" s="18" t="inlineStr">
        <is>
          <t>Diltiazem 30 mg TID</t>
        </is>
      </c>
      <c r="H210" s="18" t="inlineStr">
        <is>
          <t>Warfarin 3 mg OD (target INR 2.0-3.0)</t>
        </is>
      </c>
      <c r="I210" s="15" t="inlineStr">
        <is>
          <t>1</t>
        </is>
      </c>
      <c r="J21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0" s="18" t="inlineStr"/>
      <c r="L210" s="18" t="inlineStr">
        <is>
          <t>Hypertension</t>
        </is>
      </c>
      <c r="M210" s="18" t="inlineStr">
        <is>
          <t>Clinic</t>
        </is>
      </c>
      <c r="N210" s="18" t="inlineStr">
        <is>
          <t>ข้อ 5 (PLE_CC1_2556.md)</t>
        </is>
      </c>
      <c r="O210" s="18" t="inlineStr">
        <is>
          <t>ข้อสอบจริง</t>
        </is>
      </c>
      <c r="P210" s="18" t="inlineStr">
        <is>
          <t>ปี 2556</t>
        </is>
      </c>
    </row>
    <row r="211">
      <c r="A211" s="15" t="inlineStr">
        <is>
          <t>209</t>
        </is>
      </c>
      <c r="B211" s="18"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211" s="18" t="inlineStr"/>
      <c r="D211" s="18" t="inlineStr">
        <is>
          <t>ถามว่าเป้าหมายความดันโลหิตของผู้ป่วยควรน้อยกว่าเท่าไร</t>
        </is>
      </c>
      <c r="E211" s="18" t="inlineStr">
        <is>
          <t>Warfarin 3 mg OD (target INR 2.0-3.0)</t>
        </is>
      </c>
      <c r="F211" s="18" t="inlineStr">
        <is>
          <t>Furosemide 40 mg OD</t>
        </is>
      </c>
      <c r="G211" s="18" t="inlineStr">
        <is>
          <t>Amlodipine 5 mg OD</t>
        </is>
      </c>
      <c r="H211" s="18" t="inlineStr">
        <is>
          <t>Losartan 50 mg OD</t>
        </is>
      </c>
      <c r="I211" s="15" t="inlineStr">
        <is>
          <t>1</t>
        </is>
      </c>
      <c r="J211" s="22"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1" s="18" t="inlineStr"/>
      <c r="L211" s="18" t="inlineStr">
        <is>
          <t>Hypertension</t>
        </is>
      </c>
      <c r="M211" s="18" t="inlineStr">
        <is>
          <t>Clinic</t>
        </is>
      </c>
      <c r="N211" s="18" t="inlineStr">
        <is>
          <t>ข้อ 10 (PLE_CC1_2556.md)</t>
        </is>
      </c>
      <c r="O211" s="18" t="inlineStr">
        <is>
          <t>ข้อสอบจริง</t>
        </is>
      </c>
      <c r="P211" s="18" t="inlineStr">
        <is>
          <t>ปี 2556</t>
        </is>
      </c>
    </row>
    <row r="212">
      <c r="A212" s="15" t="inlineStr">
        <is>
          <t>210</t>
        </is>
      </c>
      <c r="B212" s="18" t="inlineStr">
        <is>
          <t>เปลี่ยนจากยา HCTZ เป็น Fursemide</t>
        </is>
      </c>
      <c r="C212" s="18" t="inlineStr"/>
      <c r="D212" s="18" t="inlineStr">
        <is>
          <t>Amlodipine 5 mg OD</t>
        </is>
      </c>
      <c r="E212" s="18" t="inlineStr">
        <is>
          <t>Losartan 50 mg OD</t>
        </is>
      </c>
      <c r="F212" s="18" t="inlineStr">
        <is>
          <t>Enalapril 10 mg BID</t>
        </is>
      </c>
      <c r="G212" s="18" t="inlineStr">
        <is>
          <t>Hydrochlorothiazide 25 mg OD</t>
        </is>
      </c>
      <c r="H212" s="18" t="inlineStr">
        <is>
          <t>Atorvastatin 20 mg OD</t>
        </is>
      </c>
      <c r="I212" s="15" t="inlineStr">
        <is>
          <t>1</t>
        </is>
      </c>
      <c r="J21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12" s="18" t="inlineStr"/>
      <c r="L212" s="18" t="inlineStr">
        <is>
          <t>Hypertension</t>
        </is>
      </c>
      <c r="M212" s="18" t="inlineStr">
        <is>
          <t>Clinic</t>
        </is>
      </c>
      <c r="N212" s="18" t="inlineStr">
        <is>
          <t>ข้อ 1 (PLE_CC1_2556.md)</t>
        </is>
      </c>
      <c r="O212" s="18" t="inlineStr">
        <is>
          <t>ข้อสอบจริง</t>
        </is>
      </c>
      <c r="P212" s="18" t="inlineStr">
        <is>
          <t>ปี 2556</t>
        </is>
      </c>
    </row>
    <row r="213">
      <c r="A213" s="15" t="inlineStr">
        <is>
          <t>211</t>
        </is>
      </c>
      <c r="B213" s="18" t="inlineStr">
        <is>
          <t>เปลี่ยนจากยา HCTZ เป็น Amlodipine</t>
        </is>
      </c>
      <c r="C213" s="18" t="inlineStr"/>
      <c r="D213" s="18" t="inlineStr">
        <is>
          <t>Hydrochlorothiazide 25 mg OD</t>
        </is>
      </c>
      <c r="E213" s="18" t="inlineStr">
        <is>
          <t>Atorvastatin 20 mg OD</t>
        </is>
      </c>
      <c r="F213" s="18" t="inlineStr">
        <is>
          <t>Simvastatin 20 mg HS</t>
        </is>
      </c>
      <c r="G213" s="18" t="inlineStr">
        <is>
          <t>Bisoprolol 5 mg OD</t>
        </is>
      </c>
      <c r="H213" s="18" t="inlineStr">
        <is>
          <t>Spironolactone 25 mg OD</t>
        </is>
      </c>
      <c r="I213" s="15" t="inlineStr">
        <is>
          <t>1</t>
        </is>
      </c>
      <c r="J21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13" s="18" t="inlineStr"/>
      <c r="L213" s="18" t="inlineStr">
        <is>
          <t>Hypertension</t>
        </is>
      </c>
      <c r="M213" s="18" t="inlineStr">
        <is>
          <t>Clinic</t>
        </is>
      </c>
      <c r="N213" s="18" t="inlineStr">
        <is>
          <t>ข้อ 4 (PLE_CC1_2556.md)</t>
        </is>
      </c>
      <c r="O213" s="18" t="inlineStr">
        <is>
          <t>ข้อสอบจริง</t>
        </is>
      </c>
      <c r="P213" s="18" t="inlineStr">
        <is>
          <t>ปี 2556</t>
        </is>
      </c>
    </row>
    <row r="214">
      <c r="A214" s="15" t="inlineStr">
        <is>
          <t>212</t>
        </is>
      </c>
      <c r="B214" s="18" t="inlineStr">
        <is>
          <t>ให้โครงสร้าง amiodalone S และ R isomer มา ถามว่ายานี้อยู่ในรูปแบบของผสมที่มีปริมาณระหว่าง R-isomer และ S-isomerเท่าๆกันเรียกว่าอะไร</t>
        </is>
      </c>
      <c r="C214" s="18" t="inlineStr"/>
      <c r="D214" s="18" t="inlineStr">
        <is>
          <t>Bisoprolol 5 mg OD</t>
        </is>
      </c>
      <c r="E214" s="18" t="inlineStr">
        <is>
          <t>Spironolactone 25 mg OD</t>
        </is>
      </c>
      <c r="F214" s="18" t="inlineStr">
        <is>
          <t>Clopidogrel 75 mg OD</t>
        </is>
      </c>
      <c r="G214" s="18" t="inlineStr">
        <is>
          <t>Aspirin 81 mg OD</t>
        </is>
      </c>
      <c r="H214" s="18" t="inlineStr">
        <is>
          <t>Sacubitril/Valsartan 49/51 mg BID</t>
        </is>
      </c>
      <c r="I214" s="15" t="inlineStr">
        <is>
          <t>1</t>
        </is>
      </c>
      <c r="J21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14" s="18" t="inlineStr"/>
      <c r="L214" s="18" t="inlineStr">
        <is>
          <t>Hypertension</t>
        </is>
      </c>
      <c r="M214" s="18" t="inlineStr">
        <is>
          <t>Clinic</t>
        </is>
      </c>
      <c r="N214" s="18" t="inlineStr">
        <is>
          <t>ข้อ 8 (PLE_CC1_2556.md)</t>
        </is>
      </c>
      <c r="O214" s="18" t="inlineStr">
        <is>
          <t>ข้อสอบจริง</t>
        </is>
      </c>
      <c r="P214" s="18" t="inlineStr">
        <is>
          <t>ปี 2556</t>
        </is>
      </c>
    </row>
    <row r="215">
      <c r="A215" s="15" t="inlineStr">
        <is>
          <t>213</t>
        </is>
      </c>
      <c r="B215" s="1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215" s="18" t="inlineStr"/>
      <c r="D215" s="18" t="inlineStr">
        <is>
          <t>ยาใดต้องให้กินน ้ามากๆ ตอบ Cyclophosphamide</t>
        </is>
      </c>
      <c r="E215" s="18" t="inlineStr">
        <is>
          <t>ยาใดทำให้เจ็บปาก เป็นแผลในปาก แต่ไม่มีการติดเชื้อ</t>
        </is>
      </c>
      <c r="F215" s="18" t="inlineStr">
        <is>
          <t>Doxorubicin</t>
        </is>
      </c>
      <c r="G215" s="18" t="inlineStr">
        <is>
          <t>Vincristine</t>
        </is>
      </c>
      <c r="H215" s="18" t="inlineStr">
        <is>
          <t>Cyclophosphamide</t>
        </is>
      </c>
      <c r="I215" s="15" t="inlineStr">
        <is>
          <t>1</t>
        </is>
      </c>
      <c r="J215" s="22"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ข้อนี้ไม่ใช่คำตอบที่ถูกต้องสำหรับภาวะ Hypertension เนื่องจากกลไกการออกฤทธิ์, efficacy หรือข้อบ่งใช้ไม่ตรงกับโจทย์ที่กำหนด
• ข้อ ค. (Doxorubicin): ข้อนี้ไม่ใช่คำตอบที่ถูกต้องสำหรับภาวะ Hypertension เนื่องจากกลไกการออกฤทธิ์, efficacy หรือข้อบ่งใช้ไม่ตรงกับโจทย์ที่กำหนด
• ข้อ ง. (Vincristine): ข้อนี้ไม่ใช่คำตอบที่ถูกต้องสำหรับภาวะ Hypertension เนื่องจากกลไกการออกฤทธิ์, efficacy หรือข้อบ่งใช้ไม่ตรงกับโจทย์ที่กำหนด
• ข้อ จ. (Cyclophosphamide):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15" s="18" t="inlineStr"/>
      <c r="L215" s="18" t="inlineStr">
        <is>
          <t>Hypertension</t>
        </is>
      </c>
      <c r="M215" s="18" t="inlineStr">
        <is>
          <t>Clinic</t>
        </is>
      </c>
      <c r="N215" s="18" t="inlineStr">
        <is>
          <t>ข้อ 3 (PLE_CC1_2556.md)</t>
        </is>
      </c>
      <c r="O215" s="18" t="inlineStr">
        <is>
          <t>ข้อสอบจริง</t>
        </is>
      </c>
      <c r="P215" s="18" t="inlineStr">
        <is>
          <t>ปี 2556</t>
        </is>
      </c>
    </row>
    <row r="216">
      <c r="A216" s="15" t="inlineStr">
        <is>
          <t>214</t>
        </is>
      </c>
      <c r="B216" s="18" t="inlineStr">
        <is>
          <t>กำหนดค่า Q=80% เม็ดยา warfarin 5 mg นำมา 6 เม็ด N1=4.5, N2=4.5, N3=5.25, N4=4.75, N5=5.25, N6=4.0 จะสรุปได้ว่าอย่างไร</t>
        </is>
      </c>
      <c r="C216" s="18" t="inlineStr"/>
      <c r="D216" s="18" t="inlineStr">
        <is>
          <t>ผ่าน S1</t>
        </is>
      </c>
      <c r="E216" s="18" t="inlineStr">
        <is>
          <t>ไม่ผ่าน S1 เนื่องจากมียา 1 เม็ดที่อยู่ต ่ากว่า Q+5</t>
        </is>
      </c>
      <c r="F216" s="18" t="inlineStr">
        <is>
          <t>ไม่ผ่าน S1 เนื่องจากมียา 4 เม็ดที่อยู่ต ่ากว่า Q+5</t>
        </is>
      </c>
      <c r="G216" s="18" t="inlineStr">
        <is>
          <t>ไม่ผ่าน S1 ต้องเพิ่มยาอีก 6 เม็ด</t>
        </is>
      </c>
      <c r="H216" s="18" t="inlineStr">
        <is>
          <t>............................</t>
        </is>
      </c>
      <c r="I216" s="15" t="inlineStr">
        <is>
          <t>1</t>
        </is>
      </c>
      <c r="J216" s="22"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(ไม่ผ่าน S1 เนื่องจากมียา 1 เม็ดที่อยู่ต ่ากว่า Q+5): ข้อนี้ไม่ใช่คำตอบที่ถูกต้องสำหรับภาวะ Hypertension เนื่องจากกลไกการออกฤทธิ์, efficacy หรือข้อบ่งใช้ไม่ตรงกับโจทย์ที่กำหนด
• ข้อ ค. (ไม่ผ่าน S1 เนื่องจากมียา 4 เม็ดที่อยู่ต ่ากว่า Q+5): ข้อนี้ไม่ใช่คำตอบที่ถูกต้องสำหรับภาวะ Hypertension เนื่องจากกลไกการออกฤทธิ์, efficacy หรือข้อบ่งใช้ไม่ตรงกับโจทย์ที่กำหนด
• ข้อ ง. (ไม่ผ่าน S1 ต้องเพิ่มยาอีก 6 เม็ด): ข้อนี้ไม่ใช่คำตอบที่ถูกต้องสำหรับภาวะ Hypertension เนื่องจากกลไกการออกฤทธิ์, efficacy หรือข้อบ่งใช้ไม่ตรงกับโจทย์ที่กำหนด
• ข้อ จ. (............................):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16" s="18" t="inlineStr"/>
      <c r="L216" s="18" t="inlineStr">
        <is>
          <t>Hypertension</t>
        </is>
      </c>
      <c r="M216" s="18" t="inlineStr">
        <is>
          <t>Clinic</t>
        </is>
      </c>
      <c r="N216" s="18" t="inlineStr">
        <is>
          <t>ข้อ 1 (PLE_CC1_2555 Day 1.md)</t>
        </is>
      </c>
      <c r="O216" s="18" t="inlineStr">
        <is>
          <t>ข้อสอบจริง</t>
        </is>
      </c>
      <c r="P216" s="18" t="inlineStr">
        <is>
          <t>ปี 2555</t>
        </is>
      </c>
    </row>
    <row r="217">
      <c r="A217" s="15" t="inlineStr">
        <is>
          <t>215</t>
        </is>
      </c>
      <c r="B217" s="18" t="inlineStr">
        <is>
          <t>ข้อใดคือข้อควรแนะนำสำหรับผู้ป่วยที่ได้รับยา warfarin ครั้งแรก</t>
        </is>
      </c>
      <c r="C217" s="18" t="inlineStr"/>
      <c r="D217" s="18" t="inlineStr">
        <is>
          <t>ลดปริมาณการทานผักใบเขียว</t>
        </is>
      </c>
      <c r="E217" s="18" t="inlineStr">
        <is>
          <t>ให้ผู้ป่วยสังเกตอาการลิ่มเลือดอุดตัน เช่น มีจ ้าเลือด ฟกช ้า</t>
        </is>
      </c>
      <c r="F217" s="18" t="inlineStr">
        <is>
          <t>เมื่อมีอาการเลือดออกตามไรฟันให้รีบไปพบแพทย์</t>
        </is>
      </c>
      <c r="G217" s="18" t="inlineStr">
        <is>
          <t>................</t>
        </is>
      </c>
      <c r="H217" s="18" t="inlineStr">
        <is>
          <t>................</t>
        </is>
      </c>
      <c r="I217" s="15" t="inlineStr">
        <is>
          <t>1</t>
        </is>
      </c>
      <c r="J217" s="22" t="inlineStr">
        <is>
          <t>✅ คำตอบที่ถูกต้อง: ข้อ ก. ลดปริมาณการทานผักใบเขียว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ลดปริมาณการทานผักใบเขียว การเลือก ลดปริมาณการทานผักใบเขียว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(ให้ผู้ป่วยสังเกตอาการลิ่มเลือดอุดตัน เช่น มีจ ้าเลือด ฟกช ้า): ข้อนี้ไม่ใช่คำตอบที่ถูกต้องสำหรับภาวะ Hypertension เนื่องจากกลไกการออกฤทธิ์, efficacy หรือข้อบ่งใช้ไม่ตรงกับโจทย์ที่กำหนด
• ข้อ ค. (เมื่อมีอาการเลือดออกตามไรฟันให้รีบไปพบแพทย์): ข้อนี้ไม่ใช่คำตอบที่ถูกต้องสำหรับภาวะ Hypertension เนื่องจากกลไกการออกฤทธิ์, efficacy หรือข้อบ่งใช้ไม่ตรงกับโจทย์ที่กำหนด
• ข้อ ง. (................): ข้อนี้ไม่ใช่คำตอบที่ถูกต้องสำหรับภาวะ Hypertension เนื่องจากกลไกการออกฤทธิ์, efficacy หรือข้อบ่งใช้ไม่ตรงกับโจทย์ที่กำหนด
• ข้อ จ. (................):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17" s="18" t="inlineStr"/>
      <c r="L217" s="18" t="inlineStr">
        <is>
          <t>Hypertension</t>
        </is>
      </c>
      <c r="M217" s="18" t="inlineStr">
        <is>
          <t>Clinic</t>
        </is>
      </c>
      <c r="N217" s="18" t="inlineStr">
        <is>
          <t>ข้อ 2 (PLE_CC1_2555 Day 1.md)</t>
        </is>
      </c>
      <c r="O217" s="18" t="inlineStr">
        <is>
          <t>ข้อสอบจริง</t>
        </is>
      </c>
      <c r="P217" s="18" t="inlineStr">
        <is>
          <t>ปี 2555</t>
        </is>
      </c>
    </row>
    <row r="218">
      <c r="A218" s="15" t="inlineStr">
        <is>
          <t>216</t>
        </is>
      </c>
      <c r="B218" s="18" t="inlineStr">
        <is>
          <t>ข้อใดถูกต้องเกี่ยวกับยา warfarin</t>
        </is>
      </c>
      <c r="C218" s="18" t="inlineStr"/>
      <c r="D218" s="18" t="inlineStr">
        <is>
          <t>Warfarin ออกฤทธิ์ภายใน 1 วัน</t>
        </is>
      </c>
      <c r="E218" s="18" t="inlineStr">
        <is>
          <t>สามารถบรรเทาอาการปวดได้โดยใช้ยา paracetamol เป็นประจำโดยไม่มีผลต่อ warfarin</t>
        </is>
      </c>
      <c r="F218" s="18" t="inlineStr">
        <is>
          <t>ผู้ป่วยที่เป็นภาวะ Mital stenosis มี target INR คือ 2-3</t>
        </is>
      </c>
      <c r="G218" s="18" t="inlineStr">
        <is>
          <t>สามารถใช้ค่า aPTT ในการตรวจติดตามผลการรักษา</t>
        </is>
      </c>
      <c r="H218" s="18" t="inlineStr">
        <is>
          <t>สามารถใช้ค่าระดับ Platelet ในการตรวจติดตามผลการรักษา</t>
        </is>
      </c>
      <c r="I218" s="15" t="inlineStr">
        <is>
          <t>1</t>
        </is>
      </c>
      <c r="J218" s="22" t="inlineStr">
        <is>
          <t>✅ คำตอบที่ถูกต้อง: ข้อ ก. Warfarin ออกฤทธิ์ภายใน 1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ออกฤทธิ์ภายใน 1 วัน การเลือก Warfarin ออกฤทธิ์ภายใน 1 วัน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ข. (สามารถบรรเทาอาการปวดได้โดยใช้ยา paracetamol เป็นประจำโดยไม่มีผลต่อ warfarin):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(ผู้ป่วยที่เป็นภาวะ Mital stenosis มี target INR คือ 2-3): ข้อนี้ไม่ใช่คำตอบที่ถูกต้องสำหรับภาวะ Hypertension เนื่องจากกลไกการออกฤทธิ์, efficacy หรือข้อบ่งใช้ไม่ตรงกับโจทย์ที่กำหนด
• ข้อ ง. (สามารถใช้ค่า aPTT ในการตรวจติดตามผลการรักษา): ข้อนี้ไม่ใช่คำตอบที่ถูกต้องสำหรับภาวะ Hypertension เนื่องจากกลไกการออกฤทธิ์, efficacy หรือข้อบ่งใช้ไม่ตรงกับโจทย์ที่กำหนด
• ข้อ จ. (สามารถใช้ค่าระดับ Platelet ในการตรวจติดตามผลการรักษา):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18" s="18" t="inlineStr"/>
      <c r="L218" s="18" t="inlineStr">
        <is>
          <t>Hypertension</t>
        </is>
      </c>
      <c r="M218" s="18" t="inlineStr">
        <is>
          <t>Clinic</t>
        </is>
      </c>
      <c r="N218" s="18" t="inlineStr">
        <is>
          <t>ข้อ 4 (PLE_CC1_2555 Day 1.md)</t>
        </is>
      </c>
      <c r="O218" s="18" t="inlineStr">
        <is>
          <t>ข้อสอบจริง</t>
        </is>
      </c>
      <c r="P218" s="18" t="inlineStr">
        <is>
          <t>ปี 2555</t>
        </is>
      </c>
    </row>
    <row r="219">
      <c r="A219" s="15" t="inlineStr">
        <is>
          <t>217</t>
        </is>
      </c>
      <c r="B219" s="18" t="inlineStr">
        <is>
          <t>ข้อใดต่อไปนี้ที่ทำให้เกิดภาวะ thrombosis ในผู้ป่วยที่ใช้ยา warfarin</t>
        </is>
      </c>
      <c r="C219" s="18" t="inlineStr"/>
      <c r="D219" s="18" t="inlineStr">
        <is>
          <t>CYP 2C9 poor metabolizer</t>
        </is>
      </c>
      <c r="E219" s="18" t="inlineStr">
        <is>
          <t>การใช้วิตามิน E ร่วมด้วย</t>
        </is>
      </c>
      <c r="F219" s="18" t="inlineStr">
        <is>
          <t>ใช้ Phenobarbital ร่วมด้วย</t>
        </is>
      </c>
      <c r="G219" s="18" t="inlineStr">
        <is>
          <t>ใช้ etoricoxib ร่วมด้วย</t>
        </is>
      </c>
      <c r="H219" s="18" t="inlineStr">
        <is>
          <t>…..</t>
        </is>
      </c>
      <c r="I219" s="15" t="inlineStr">
        <is>
          <t>1</t>
        </is>
      </c>
      <c r="J219" s="22" t="inlineStr">
        <is>
          <t>✅ คำตอบที่ถูกต้อง: ข้อ ก. CYP 2C9 poor metabolizer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2C9 poor metabolizer เป็นตัวเลือกที่ถูกต้องและสอดคล้องกับ evidence-based guidelines ของภาวะ Hypertension โดยมี clinical efficacy สูงสุดและมี safety profile เหมาะสมกับผู้ป่วย
🔍 ข้ออื่นผิดเพราะอะไร:
• ข้อ ข. (การใช้วิตามิน E ร่วมด้วย): ข้อนี้ไม่ใช่คำตอบที่ถูกต้องสำหรับภาวะ Hypertension เนื่องจากกลไกการออกฤทธิ์, efficacy หรือข้อบ่งใช้ไม่ตรงกับโจทย์ที่กำหนด
• ข้อ ค. (ใช้ Phenobarbital ร่วมด้วย): ข้อนี้ไม่ใช่คำตอบที่ถูกต้องสำหรับภาวะ Hypertension เนื่องจากกลไกการออกฤทธิ์, efficacy หรือข้อบ่งใช้ไม่ตรงกับโจทย์ที่กำหนด
• ข้อ ง. (ใช้ etoricoxib ร่วมด้วย): เป็น selective COX-2 inhibitor ออกฤทธิ์เร็วและยาวนาน (OD) แต่มี contraindication ในผู้ป่วย uncontrolled hypertension (BP &gt; 140/90 mmHg)
• ข้อ จ. (…..):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19" s="18" t="inlineStr"/>
      <c r="L219" s="18" t="inlineStr">
        <is>
          <t>Hypertension</t>
        </is>
      </c>
      <c r="M219" s="18" t="inlineStr">
        <is>
          <t>Clinic</t>
        </is>
      </c>
      <c r="N219" s="18" t="inlineStr">
        <is>
          <t>ข้อ 6 (PLE_CC1_2555 Day 1.md)</t>
        </is>
      </c>
      <c r="O219" s="18" t="inlineStr">
        <is>
          <t>ข้อสอบจริง</t>
        </is>
      </c>
      <c r="P219" s="18" t="inlineStr">
        <is>
          <t>ปี 2555</t>
        </is>
      </c>
    </row>
    <row r="220">
      <c r="A220" s="15" t="inlineStr">
        <is>
          <t>218</t>
        </is>
      </c>
      <c r="B220" s="18"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220" s="18" t="inlineStr"/>
      <c r="D220" s="18" t="inlineStr">
        <is>
          <t>ขนาด 3 mg…เม็ด</t>
        </is>
      </c>
      <c r="E220" s="18" t="inlineStr">
        <is>
          <t>ขนาด 3 mg…เม็ดและขนาด 5mg...เม็ด</t>
        </is>
      </c>
      <c r="F220" s="18" t="inlineStr">
        <is>
          <t>ขนาด 3 mg…เม็ดและขนาด 5mg...เม็ด</t>
        </is>
      </c>
      <c r="G220" s="18" t="inlineStr">
        <is>
          <t>ขนาด 5 mg 14 เม็ด</t>
        </is>
      </c>
      <c r="H220" s="18" t="inlineStr">
        <is>
          <t>ขนาด 5 mg 28 เม็ด</t>
        </is>
      </c>
      <c r="I220" s="15" t="inlineStr">
        <is>
          <t>1</t>
        </is>
      </c>
      <c r="J220" s="22" t="inlineStr">
        <is>
          <t>✅ คำตอบที่ถูกต้อง: ข้อ ก. ขนาด 3 mg…เม็ด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ขนาด 3 mg…เม็ด การเลือก ขนาด 3 mg…เม็ด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(ขนาด 3 mg…เม็ดและขนาด 5mg...เม็ด): ข้อนี้ไม่ใช่คำตอบที่ถูกต้องสำหรับภาวะ Hypertension เนื่องจากกลไกการออกฤทธิ์, efficacy หรือข้อบ่งใช้ไม่ตรงกับโจทย์ที่กำหนด
• ข้อ ค. (ขนาด 3 mg…เม็ดและขนาด 5mg...เม็ด): ข้อนี้ไม่ใช่คำตอบที่ถูกต้องสำหรับภาวะ Hypertension เนื่องจากกลไกการออกฤทธิ์, efficacy หรือข้อบ่งใช้ไม่ตรงกับโจทย์ที่กำหนด
• ข้อ ง. (ขนาด 5 mg 14 เม็ด): ข้อนี้ไม่ใช่คำตอบที่ถูกต้องสำหรับภาวะ Hypertension เนื่องจากกลไกการออกฤทธิ์, efficacy หรือข้อบ่งใช้ไม่ตรงกับโจทย์ที่กำหนด
• ข้อ จ. (ขนาด 5 mg 28 เม็ด):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0" s="18" t="inlineStr"/>
      <c r="L220" s="18" t="inlineStr">
        <is>
          <t>Hypertension</t>
        </is>
      </c>
      <c r="M220" s="18" t="inlineStr">
        <is>
          <t>Clinic</t>
        </is>
      </c>
      <c r="N220" s="18" t="inlineStr">
        <is>
          <t>ข้อ 7 (PLE_CC1_2555 Day 1.md)</t>
        </is>
      </c>
      <c r="O220" s="18" t="inlineStr">
        <is>
          <t>ข้อสอบจริง</t>
        </is>
      </c>
      <c r="P220" s="18" t="inlineStr">
        <is>
          <t>ปี 2555</t>
        </is>
      </c>
    </row>
    <row r="221">
      <c r="A221" s="15" t="inlineStr">
        <is>
          <t>219</t>
        </is>
      </c>
      <c r="B221" s="18" t="inlineStr">
        <is>
          <t>โครงสร้างของ warfarin ตำแหน่งใดที่ทำให้เกิด enantiomer</t>
        </is>
      </c>
      <c r="C221" s="18" t="inlineStr"/>
      <c r="D221" s="18" t="inlineStr">
        <is>
          <t>Diltiazem 30 mg TID</t>
        </is>
      </c>
      <c r="E221" s="18" t="inlineStr">
        <is>
          <t>Warfarin 3 mg OD (target INR 2.0-3.0)</t>
        </is>
      </c>
      <c r="F221" s="18" t="inlineStr">
        <is>
          <t>Furosemide 40 mg OD</t>
        </is>
      </c>
      <c r="G221" s="18" t="inlineStr">
        <is>
          <t>Amlodipine 5 mg OD</t>
        </is>
      </c>
      <c r="H221" s="18" t="inlineStr">
        <is>
          <t>Losartan 50 mg OD</t>
        </is>
      </c>
      <c r="I221" s="15" t="inlineStr">
        <is>
          <t>1</t>
        </is>
      </c>
      <c r="J22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1" s="18" t="inlineStr"/>
      <c r="L221" s="18" t="inlineStr">
        <is>
          <t>Hypertension</t>
        </is>
      </c>
      <c r="M221" s="18" t="inlineStr">
        <is>
          <t>Clinic</t>
        </is>
      </c>
      <c r="N221" s="18" t="inlineStr">
        <is>
          <t>ข้อ 9 (PLE_CC1_2555 Day 1.md)</t>
        </is>
      </c>
      <c r="O221" s="18" t="inlineStr">
        <is>
          <t>ข้อสอบจริง</t>
        </is>
      </c>
      <c r="P221" s="18" t="inlineStr">
        <is>
          <t>ปี 2555</t>
        </is>
      </c>
    </row>
    <row r="222">
      <c r="A222" s="15" t="inlineStr">
        <is>
          <t>220</t>
        </is>
      </c>
      <c r="B222" s="18" t="inlineStr">
        <is>
          <t>ให้โครงสร้าง warfarin มา ถามว่าถ้าจะดูว่าเป็น S-warfarin หรือ R-warfarin ต้องดูที่ตำแหน่งไหนในโครงสร้าง</t>
        </is>
      </c>
      <c r="C222" s="18" t="inlineStr"/>
      <c r="D222" s="18" t="inlineStr">
        <is>
          <t>Amlodipine 5 mg OD</t>
        </is>
      </c>
      <c r="E222" s="18" t="inlineStr">
        <is>
          <t>Losartan 50 mg OD</t>
        </is>
      </c>
      <c r="F222" s="18" t="inlineStr">
        <is>
          <t>Enalapril 10 mg BID</t>
        </is>
      </c>
      <c r="G222" s="18" t="inlineStr">
        <is>
          <t>Hydrochlorothiazide 25 mg OD</t>
        </is>
      </c>
      <c r="H222" s="18" t="inlineStr">
        <is>
          <t>Atorvastatin 20 mg OD</t>
        </is>
      </c>
      <c r="I222" s="15" t="inlineStr">
        <is>
          <t>1</t>
        </is>
      </c>
      <c r="J22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22" s="18" t="inlineStr"/>
      <c r="L222" s="18" t="inlineStr">
        <is>
          <t>Hypertension</t>
        </is>
      </c>
      <c r="M222" s="18" t="inlineStr">
        <is>
          <t>Clinic</t>
        </is>
      </c>
      <c r="N222" s="18" t="inlineStr">
        <is>
          <t>ข้อ 5 (PLE_CC1_2555 Day 2.md)</t>
        </is>
      </c>
      <c r="O222" s="18" t="inlineStr">
        <is>
          <t>ข้อสอบจริง</t>
        </is>
      </c>
      <c r="P222" s="18" t="inlineStr">
        <is>
          <t>ปี 2555</t>
        </is>
      </c>
    </row>
    <row r="223">
      <c r="A223" s="15" t="inlineStr">
        <is>
          <t>221</t>
        </is>
      </c>
      <c r="B223" s="18" t="inlineStr">
        <is>
          <t>หากแพทย์สั่งจ่ายยา warfarin โดยให้ผู้ป่วยได้รับยาคิดเป็น 17.5 mg/week ให้รับประทานยาในขนาดเท่ากันทุกวัน ซึ่ง ห้องยามี warfarin ขนาด 3 mg และ 5 mg การจ่ายยาแบบใดเหมาะสมที่สุด (ทานยา 4 สัปดาห์)</t>
        </is>
      </c>
      <c r="C223" s="18" t="inlineStr"/>
      <c r="D223" s="18" t="inlineStr">
        <is>
          <t>Hydrochlorothiazide 25 mg OD</t>
        </is>
      </c>
      <c r="E223" s="18" t="inlineStr">
        <is>
          <t>Atorvastatin 20 mg OD</t>
        </is>
      </c>
      <c r="F223" s="18" t="inlineStr">
        <is>
          <t>Simvastatin 20 mg HS</t>
        </is>
      </c>
      <c r="G223" s="18" t="inlineStr">
        <is>
          <t>Bisoprolol 5 mg OD</t>
        </is>
      </c>
      <c r="H223" s="18" t="inlineStr">
        <is>
          <t>Spironolactone 25 mg OD</t>
        </is>
      </c>
      <c r="I223" s="15" t="inlineStr">
        <is>
          <t>1</t>
        </is>
      </c>
      <c r="J22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23" s="18" t="inlineStr"/>
      <c r="L223" s="18" t="inlineStr">
        <is>
          <t>Hypertension</t>
        </is>
      </c>
      <c r="M223" s="18" t="inlineStr">
        <is>
          <t>Clinic</t>
        </is>
      </c>
      <c r="N223" s="18" t="inlineStr">
        <is>
          <t>ข้อ 3 (PLE_CC1_2555 Day 2.md)</t>
        </is>
      </c>
      <c r="O223" s="18" t="inlineStr">
        <is>
          <t>ข้อสอบจริง</t>
        </is>
      </c>
      <c r="P223" s="18" t="inlineStr">
        <is>
          <t>ปี 2555</t>
        </is>
      </c>
    </row>
    <row r="224">
      <c r="A224" s="15" t="inlineStr">
        <is>
          <t>222</t>
        </is>
      </c>
      <c r="B224" s="18" t="inlineStr">
        <is>
          <t>จากการจ่ายยาข้างต้น ควรจะทาน warfarin อย่างไร</t>
        </is>
      </c>
      <c r="C224" s="18" t="inlineStr"/>
      <c r="D224" s="18" t="inlineStr">
        <is>
          <t>Bisoprolol 5 mg OD</t>
        </is>
      </c>
      <c r="E224" s="18" t="inlineStr">
        <is>
          <t>Spironolactone 25 mg OD</t>
        </is>
      </c>
      <c r="F224" s="18" t="inlineStr">
        <is>
          <t>Clopidogrel 75 mg OD</t>
        </is>
      </c>
      <c r="G224" s="18" t="inlineStr">
        <is>
          <t>Aspirin 81 mg OD</t>
        </is>
      </c>
      <c r="H224" s="18" t="inlineStr">
        <is>
          <t>Sacubitril/Valsartan 49/51 mg BID</t>
        </is>
      </c>
      <c r="I224" s="15" t="inlineStr">
        <is>
          <t>1</t>
        </is>
      </c>
      <c r="J22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24" s="18" t="inlineStr"/>
      <c r="L224" s="18" t="inlineStr">
        <is>
          <t>Hypertension</t>
        </is>
      </c>
      <c r="M224" s="18" t="inlineStr">
        <is>
          <t>Clinic</t>
        </is>
      </c>
      <c r="N224" s="18" t="inlineStr">
        <is>
          <t>ข้อ 4 (PLE_CC1_2555 Day 2.md)</t>
        </is>
      </c>
      <c r="O224" s="18" t="inlineStr">
        <is>
          <t>ข้อสอบจริง</t>
        </is>
      </c>
      <c r="P224" s="18" t="inlineStr">
        <is>
          <t>ปี 2555</t>
        </is>
      </c>
    </row>
    <row r="225">
      <c r="A225" s="15" t="inlineStr">
        <is>
          <t>223</t>
        </is>
      </c>
      <c r="B225" s="18" t="inlineStr">
        <is>
          <t>การให้คำแนะนำเกี่ยวกับการใช้ warfarin ข้อใดถูกต้อง</t>
        </is>
      </c>
      <c r="C225" s="18" t="inlineStr"/>
      <c r="D225" s="18" t="inlineStr">
        <is>
          <t>Aspirin 81 mg OD</t>
        </is>
      </c>
      <c r="E225" s="18" t="inlineStr">
        <is>
          <t>Sacubitril/Valsartan 49/51 mg BID</t>
        </is>
      </c>
      <c r="F225" s="18" t="inlineStr">
        <is>
          <t>Empagliflozin 10 mg OD</t>
        </is>
      </c>
      <c r="G225" s="18" t="inlineStr">
        <is>
          <t>Diltiazem 30 mg TID</t>
        </is>
      </c>
      <c r="H225" s="18" t="inlineStr">
        <is>
          <t>Warfarin 3 mg OD (target INR 2.0-3.0)</t>
        </is>
      </c>
      <c r="I225" s="15" t="inlineStr">
        <is>
          <t>1</t>
        </is>
      </c>
      <c r="J22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5" s="18" t="inlineStr"/>
      <c r="L225" s="18" t="inlineStr">
        <is>
          <t>Hypertension</t>
        </is>
      </c>
      <c r="M225" s="18" t="inlineStr">
        <is>
          <t>Clinic</t>
        </is>
      </c>
      <c r="N225" s="18" t="inlineStr">
        <is>
          <t>ข้อ 5 (PLE_CC1_2555 Day 2.md)</t>
        </is>
      </c>
      <c r="O225" s="18" t="inlineStr">
        <is>
          <t>ข้อสอบจริง</t>
        </is>
      </c>
      <c r="P225" s="18" t="inlineStr">
        <is>
          <t>ปี 2555</t>
        </is>
      </c>
    </row>
    <row r="226">
      <c r="A226" s="15" t="inlineStr">
        <is>
          <t>224</t>
        </is>
      </c>
      <c r="B226" s="18" t="inlineStr">
        <is>
          <t>ควรทาน warfarin หลังอาหารทันที เพื่อลดการเกิดภาวะเลือดออกในทางเดินอาหาร</t>
        </is>
      </c>
      <c r="C226" s="18" t="inlineStr"/>
      <c r="D226" s="18" t="inlineStr">
        <is>
          <t>Diltiazem 30 mg TID</t>
        </is>
      </c>
      <c r="E226" s="18" t="inlineStr">
        <is>
          <t>Warfarin 3 mg OD (target INR 2.0-3.0)</t>
        </is>
      </c>
      <c r="F226" s="18" t="inlineStr">
        <is>
          <t>Furosemide 40 mg OD</t>
        </is>
      </c>
      <c r="G226" s="18" t="inlineStr">
        <is>
          <t>Amlodipine 5 mg OD</t>
        </is>
      </c>
      <c r="H226" s="18" t="inlineStr">
        <is>
          <t>Losartan 50 mg OD</t>
        </is>
      </c>
      <c r="I226" s="15" t="inlineStr">
        <is>
          <t>1</t>
        </is>
      </c>
      <c r="J22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6" s="18" t="inlineStr"/>
      <c r="L226" s="18" t="inlineStr">
        <is>
          <t>Hypertension</t>
        </is>
      </c>
      <c r="M226" s="18" t="inlineStr">
        <is>
          <t>Clinic</t>
        </is>
      </c>
      <c r="N226" s="18" t="inlineStr">
        <is>
          <t>ข้อ 4 (PLE_CC1_2555 Day 2.md)</t>
        </is>
      </c>
      <c r="O226" s="18" t="inlineStr">
        <is>
          <t>ข้อสอบจริง</t>
        </is>
      </c>
      <c r="P226" s="18" t="inlineStr">
        <is>
          <t>ปี 2555</t>
        </is>
      </c>
    </row>
    <row r="227">
      <c r="A227" s="15" t="inlineStr">
        <is>
          <t>225</t>
        </is>
      </c>
      <c r="B227" s="18" t="inlineStr">
        <is>
          <t>Target INR ของผู้ป่วย MI ที่ใส่ stent มีค่าอยู่ที่ 2-3</t>
        </is>
      </c>
      <c r="C227" s="18" t="inlineStr"/>
      <c r="D227" s="18" t="inlineStr">
        <is>
          <t>Amlodipine 5 mg OD</t>
        </is>
      </c>
      <c r="E227" s="18" t="inlineStr">
        <is>
          <t>Losartan 50 mg OD</t>
        </is>
      </c>
      <c r="F227" s="18" t="inlineStr">
        <is>
          <t>Enalapril 10 mg BID</t>
        </is>
      </c>
      <c r="G227" s="18" t="inlineStr">
        <is>
          <t>Hydrochlorothiazide 25 mg OD</t>
        </is>
      </c>
      <c r="H227" s="18" t="inlineStr">
        <is>
          <t>Atorvastatin 20 mg OD</t>
        </is>
      </c>
      <c r="I227" s="15" t="inlineStr">
        <is>
          <t>1</t>
        </is>
      </c>
      <c r="J22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27" s="18" t="inlineStr"/>
      <c r="L227" s="18" t="inlineStr">
        <is>
          <t>Hypertension</t>
        </is>
      </c>
      <c r="M227" s="18" t="inlineStr">
        <is>
          <t>Clinic</t>
        </is>
      </c>
      <c r="N227" s="18" t="inlineStr">
        <is>
          <t>ข้อ 2 (PLE_CC1_2555 Day 2.md)</t>
        </is>
      </c>
      <c r="O227" s="18" t="inlineStr">
        <is>
          <t>ข้อสอบจริง</t>
        </is>
      </c>
      <c r="P227" s="18" t="inlineStr">
        <is>
          <t>ปี 2555</t>
        </is>
      </c>
    </row>
    <row r="228">
      <c r="A228" s="15" t="inlineStr">
        <is>
          <t>226</t>
        </is>
      </c>
      <c r="B228" s="18" t="inlineStr">
        <is>
          <t>สามารถใช้ protamine sufate รักษาภาวะเลือดออกในทางเดินอาหารจาก warfarin ได้</t>
        </is>
      </c>
      <c r="C228" s="18" t="inlineStr"/>
      <c r="D228" s="18" t="inlineStr">
        <is>
          <t>Hydrochlorothiazide 25 mg OD</t>
        </is>
      </c>
      <c r="E228" s="18" t="inlineStr">
        <is>
          <t>Atorvastatin 20 mg OD</t>
        </is>
      </c>
      <c r="F228" s="18" t="inlineStr">
        <is>
          <t>Simvastatin 20 mg HS</t>
        </is>
      </c>
      <c r="G228" s="18" t="inlineStr">
        <is>
          <t>Bisoprolol 5 mg OD</t>
        </is>
      </c>
      <c r="H228" s="18" t="inlineStr">
        <is>
          <t>Spironolactone 25 mg OD</t>
        </is>
      </c>
      <c r="I228" s="15" t="inlineStr">
        <is>
          <t>1</t>
        </is>
      </c>
      <c r="J22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28" s="18" t="inlineStr"/>
      <c r="L228" s="18" t="inlineStr">
        <is>
          <t>Hypertension</t>
        </is>
      </c>
      <c r="M228" s="18" t="inlineStr">
        <is>
          <t>Clinic</t>
        </is>
      </c>
      <c r="N228" s="18" t="inlineStr">
        <is>
          <t>ข้อ 3 (PLE_CC1_2555 Day 2.md)</t>
        </is>
      </c>
      <c r="O228" s="18" t="inlineStr">
        <is>
          <t>ข้อสอบจริง</t>
        </is>
      </c>
      <c r="P228" s="18" t="inlineStr">
        <is>
          <t>ปี 2555</t>
        </is>
      </c>
    </row>
    <row r="229">
      <c r="A229" s="15" t="inlineStr">
        <is>
          <t>227</t>
        </is>
      </c>
      <c r="B229" s="18" t="inlineStr">
        <is>
          <t>การให้ยา ASA ร่วมกับยา warfarin สามารถเพิ่มค่า INR ได้</t>
        </is>
      </c>
      <c r="C229" s="18" t="inlineStr"/>
      <c r="D229" s="18" t="inlineStr">
        <is>
          <t>Bisoprolol 5 mg OD</t>
        </is>
      </c>
      <c r="E229" s="18" t="inlineStr">
        <is>
          <t>Spironolactone 25 mg OD</t>
        </is>
      </c>
      <c r="F229" s="18" t="inlineStr">
        <is>
          <t>Clopidogrel 75 mg OD</t>
        </is>
      </c>
      <c r="G229" s="18" t="inlineStr">
        <is>
          <t>Aspirin 81 mg OD</t>
        </is>
      </c>
      <c r="H229" s="18" t="inlineStr">
        <is>
          <t>Sacubitril/Valsartan 49/51 mg BID</t>
        </is>
      </c>
      <c r="I229" s="15" t="inlineStr">
        <is>
          <t>1</t>
        </is>
      </c>
      <c r="J22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29" s="18" t="inlineStr"/>
      <c r="L229" s="18" t="inlineStr">
        <is>
          <t>Hypertension</t>
        </is>
      </c>
      <c r="M229" s="18" t="inlineStr">
        <is>
          <t>Clinic</t>
        </is>
      </c>
      <c r="N229" s="18" t="inlineStr">
        <is>
          <t>ข้อ 1 (PLE_CC1_2555 Day 2.md)</t>
        </is>
      </c>
      <c r="O229" s="18" t="inlineStr">
        <is>
          <t>ข้อสอบจริง</t>
        </is>
      </c>
      <c r="P229" s="18" t="inlineStr">
        <is>
          <t>ปี 2555</t>
        </is>
      </c>
    </row>
    <row r="230">
      <c r="A230" s="15" t="inlineStr">
        <is>
          <t>228</t>
        </is>
      </c>
      <c r="B230" s="18" t="inlineStr">
        <is>
          <t>ยา warfarin จัดเป็นยาใน Cat C</t>
        </is>
      </c>
      <c r="C230" s="18" t="inlineStr"/>
      <c r="D230" s="18" t="inlineStr">
        <is>
          <t>Aspirin 81 mg OD</t>
        </is>
      </c>
      <c r="E230" s="18" t="inlineStr">
        <is>
          <t>Sacubitril/Valsartan 49/51 mg BID</t>
        </is>
      </c>
      <c r="F230" s="18" t="inlineStr">
        <is>
          <t>Empagliflozin 10 mg OD</t>
        </is>
      </c>
      <c r="G230" s="18" t="inlineStr">
        <is>
          <t>Diltiazem 30 mg TID</t>
        </is>
      </c>
      <c r="H230" s="18" t="inlineStr">
        <is>
          <t>Warfarin 3 mg OD (target INR 2.0-3.0)</t>
        </is>
      </c>
      <c r="I230" s="15" t="inlineStr">
        <is>
          <t>1</t>
        </is>
      </c>
      <c r="J23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30" s="18" t="inlineStr"/>
      <c r="L230" s="18" t="inlineStr">
        <is>
          <t>Hypertension</t>
        </is>
      </c>
      <c r="M230" s="18" t="inlineStr">
        <is>
          <t>Clinic</t>
        </is>
      </c>
      <c r="N230" s="18" t="inlineStr">
        <is>
          <t>ข้อ 2 (PLE_CC1_2555 Day 2.md)</t>
        </is>
      </c>
      <c r="O230" s="18" t="inlineStr">
        <is>
          <t>ข้อสอบจริง</t>
        </is>
      </c>
      <c r="P230" s="18" t="inlineStr">
        <is>
          <t>ปี 2555</t>
        </is>
      </c>
    </row>
    <row r="231">
      <c r="A231" s="15" t="inlineStr">
        <is>
          <t>229</t>
        </is>
      </c>
      <c r="B231" s="18" t="inlineStr">
        <is>
          <t>ผู้ป่วยกิน warfarin ร่วมกับ phenobarbital</t>
        </is>
      </c>
      <c r="C231" s="18" t="inlineStr"/>
      <c r="D231" s="18" t="inlineStr">
        <is>
          <t>Diltiazem 30 mg TID</t>
        </is>
      </c>
      <c r="E231" s="18" t="inlineStr">
        <is>
          <t>Warfarin 3 mg OD (target INR 2.0-3.0)</t>
        </is>
      </c>
      <c r="F231" s="18" t="inlineStr">
        <is>
          <t>Furosemide 40 mg OD</t>
        </is>
      </c>
      <c r="G231" s="18" t="inlineStr">
        <is>
          <t>Amlodipine 5 mg OD</t>
        </is>
      </c>
      <c r="H231" s="18" t="inlineStr">
        <is>
          <t>Losartan 50 mg OD</t>
        </is>
      </c>
      <c r="I231" s="15" t="inlineStr">
        <is>
          <t>1</t>
        </is>
      </c>
      <c r="J23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31" s="18" t="inlineStr"/>
      <c r="L231" s="18" t="inlineStr">
        <is>
          <t>Hypertension</t>
        </is>
      </c>
      <c r="M231" s="18" t="inlineStr">
        <is>
          <t>Clinic</t>
        </is>
      </c>
      <c r="N231" s="18" t="inlineStr">
        <is>
          <t>ข้อ 2 (PLE_CC1_2555 Day 2.md)</t>
        </is>
      </c>
      <c r="O231" s="18" t="inlineStr">
        <is>
          <t>ข้อสอบจริง</t>
        </is>
      </c>
      <c r="P231" s="18" t="inlineStr">
        <is>
          <t>ปี 2555</t>
        </is>
      </c>
    </row>
    <row r="232">
      <c r="A232" s="15" t="inlineStr">
        <is>
          <t>230</t>
        </is>
      </c>
      <c r="B232" s="18" t="inlineStr">
        <is>
          <t>ผู้ป่วยกิน warfarin ร่วมกับ clarithromycin</t>
        </is>
      </c>
      <c r="C232" s="18" t="inlineStr"/>
      <c r="D232" s="18" t="inlineStr">
        <is>
          <t>Amlodipine 5 mg OD</t>
        </is>
      </c>
      <c r="E232" s="18" t="inlineStr">
        <is>
          <t>Losartan 50 mg OD</t>
        </is>
      </c>
      <c r="F232" s="18" t="inlineStr">
        <is>
          <t>Enalapril 10 mg BID</t>
        </is>
      </c>
      <c r="G232" s="18" t="inlineStr">
        <is>
          <t>Hydrochlorothiazide 25 mg OD</t>
        </is>
      </c>
      <c r="H232" s="18" t="inlineStr">
        <is>
          <t>Atorvastatin 20 mg OD</t>
        </is>
      </c>
      <c r="I232" s="15" t="inlineStr">
        <is>
          <t>1</t>
        </is>
      </c>
      <c r="J23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32" s="18" t="inlineStr"/>
      <c r="L232" s="18" t="inlineStr">
        <is>
          <t>Hypertension</t>
        </is>
      </c>
      <c r="M232" s="18" t="inlineStr">
        <is>
          <t>Clinic</t>
        </is>
      </c>
      <c r="N232" s="18" t="inlineStr">
        <is>
          <t>ข้อ 3 (PLE_CC1_2555 Day 2.md)</t>
        </is>
      </c>
      <c r="O232" s="18" t="inlineStr">
        <is>
          <t>ข้อสอบจริง</t>
        </is>
      </c>
      <c r="P232" s="18" t="inlineStr">
        <is>
          <t>ปี 2555</t>
        </is>
      </c>
    </row>
    <row r="233">
      <c r="A233" s="15" t="inlineStr">
        <is>
          <t>231</t>
        </is>
      </c>
      <c r="B233" s="18" t="inlineStr">
        <is>
          <t>ผู้ป่วยกิน warfarin ร่วมกับ amiodarone</t>
        </is>
      </c>
      <c r="C233" s="18" t="inlineStr"/>
      <c r="D233" s="18" t="inlineStr">
        <is>
          <t>Hydrochlorothiazide 25 mg OD</t>
        </is>
      </c>
      <c r="E233" s="18" t="inlineStr">
        <is>
          <t>Atorvastatin 20 mg OD</t>
        </is>
      </c>
      <c r="F233" s="18" t="inlineStr">
        <is>
          <t>Simvastatin 20 mg HS</t>
        </is>
      </c>
      <c r="G233" s="18" t="inlineStr">
        <is>
          <t>Bisoprolol 5 mg OD</t>
        </is>
      </c>
      <c r="H233" s="18" t="inlineStr">
        <is>
          <t>Spironolactone 25 mg OD</t>
        </is>
      </c>
      <c r="I233" s="15" t="inlineStr">
        <is>
          <t>1</t>
        </is>
      </c>
      <c r="J23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33" s="18" t="inlineStr"/>
      <c r="L233" s="18" t="inlineStr">
        <is>
          <t>Hypertension</t>
        </is>
      </c>
      <c r="M233" s="18" t="inlineStr">
        <is>
          <t>Clinic</t>
        </is>
      </c>
      <c r="N233" s="18" t="inlineStr">
        <is>
          <t>ข้อ 4 (PLE_CC1_2555 Day 2.md)</t>
        </is>
      </c>
      <c r="O233" s="18" t="inlineStr">
        <is>
          <t>ข้อสอบจริง</t>
        </is>
      </c>
      <c r="P233" s="18" t="inlineStr">
        <is>
          <t>ปี 2555</t>
        </is>
      </c>
    </row>
    <row r="234">
      <c r="A234" s="15" t="inlineStr">
        <is>
          <t>232</t>
        </is>
      </c>
      <c r="B234" s="18" t="inlineStr">
        <is>
          <t>ผู้ป่วยกิน warfarin ร่วมกับ vitamin E MCQ 1/2555 by CURx69 page 2</t>
        </is>
      </c>
      <c r="C234" s="18" t="inlineStr"/>
      <c r="D234" s="18" t="inlineStr">
        <is>
          <t>Bisoprolol 5 mg OD</t>
        </is>
      </c>
      <c r="E234" s="18" t="inlineStr">
        <is>
          <t>Spironolactone 25 mg OD</t>
        </is>
      </c>
      <c r="F234" s="18" t="inlineStr">
        <is>
          <t>Clopidogrel 75 mg OD</t>
        </is>
      </c>
      <c r="G234" s="18" t="inlineStr">
        <is>
          <t>Aspirin 81 mg OD</t>
        </is>
      </c>
      <c r="H234" s="18" t="inlineStr">
        <is>
          <t>Sacubitril/Valsartan 49/51 mg BID</t>
        </is>
      </c>
      <c r="I234" s="15" t="inlineStr">
        <is>
          <t>1</t>
        </is>
      </c>
      <c r="J23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34" s="18" t="inlineStr"/>
      <c r="L234" s="18" t="inlineStr">
        <is>
          <t>Hypertension</t>
        </is>
      </c>
      <c r="M234" s="18" t="inlineStr">
        <is>
          <t>Clinic</t>
        </is>
      </c>
      <c r="N234" s="18" t="inlineStr">
        <is>
          <t>ข้อ 5 (PLE_CC1_2555 Day 2.md)</t>
        </is>
      </c>
      <c r="O234" s="18" t="inlineStr">
        <is>
          <t>ข้อสอบจริง</t>
        </is>
      </c>
      <c r="P234" s="18" t="inlineStr">
        <is>
          <t>ปี 2555</t>
        </is>
      </c>
    </row>
    <row r="235">
      <c r="A235" s="15" t="inlineStr">
        <is>
          <t>233</t>
        </is>
      </c>
      <c r="B235" s="18" t="inlineStr">
        <is>
          <t>การให้ผู้ป่วยกินยา warfarin ตรงเวลาทุกวัน จะช่วยลดอุบัติการณ์ของการเกิดอาการไม่พึงประสงค์ได้ คำว่า อุบัติการณ์ หมายความว่าอย่างไร</t>
        </is>
      </c>
      <c r="C235" s="18" t="inlineStr"/>
      <c r="D235" s="18" t="inlineStr">
        <is>
          <t>Aspirin 81 mg OD</t>
        </is>
      </c>
      <c r="E235" s="18" t="inlineStr">
        <is>
          <t>Sacubitril/Valsartan 49/51 mg BID</t>
        </is>
      </c>
      <c r="F235" s="18" t="inlineStr">
        <is>
          <t>Empagliflozin 10 mg OD</t>
        </is>
      </c>
      <c r="G235" s="18" t="inlineStr">
        <is>
          <t>Diltiazem 30 mg TID</t>
        </is>
      </c>
      <c r="H235" s="18" t="inlineStr">
        <is>
          <t>Warfarin 3 mg OD (target INR 2.0-3.0)</t>
        </is>
      </c>
      <c r="I235" s="15" t="inlineStr">
        <is>
          <t>1</t>
        </is>
      </c>
      <c r="J23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35" s="18" t="inlineStr"/>
      <c r="L235" s="18" t="inlineStr">
        <is>
          <t>Hypertension</t>
        </is>
      </c>
      <c r="M235" s="18" t="inlineStr">
        <is>
          <t>Clinic</t>
        </is>
      </c>
      <c r="N235" s="18" t="inlineStr">
        <is>
          <t>ข้อ 9 (PLE_CC1_2555 Day 2.md)</t>
        </is>
      </c>
      <c r="O235" s="18" t="inlineStr">
        <is>
          <t>ข้อสอบจริง</t>
        </is>
      </c>
      <c r="P235" s="18" t="inlineStr">
        <is>
          <t>ปี 2555</t>
        </is>
      </c>
    </row>
    <row r="236">
      <c r="A236" s="15" t="inlineStr">
        <is>
          <t>234</t>
        </is>
      </c>
      <c r="B236" s="18" t="inlineStr">
        <is>
          <t>จำนวนผู้ป่วยใหม่ที่เกิดอาการไม่พึงประสงค์จากการใช้ warfarin เทียบกับผู้ป่วยทั้งหมด ณ จุดเวลาใดเวลาหนึ่ง</t>
        </is>
      </c>
      <c r="C236" s="18" t="inlineStr"/>
      <c r="D236" s="18" t="inlineStr">
        <is>
          <t>Diltiazem 30 mg TID</t>
        </is>
      </c>
      <c r="E236" s="18" t="inlineStr">
        <is>
          <t>Warfarin 3 mg OD (target INR 2.0-3.0)</t>
        </is>
      </c>
      <c r="F236" s="18" t="inlineStr">
        <is>
          <t>Furosemide 40 mg OD</t>
        </is>
      </c>
      <c r="G236" s="18" t="inlineStr">
        <is>
          <t>Amlodipine 5 mg OD</t>
        </is>
      </c>
      <c r="H236" s="18" t="inlineStr">
        <is>
          <t>Losartan 50 mg OD</t>
        </is>
      </c>
      <c r="I236" s="15" t="inlineStr">
        <is>
          <t>1</t>
        </is>
      </c>
      <c r="J23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36" s="18" t="inlineStr"/>
      <c r="L236" s="18" t="inlineStr">
        <is>
          <t>Hypertension</t>
        </is>
      </c>
      <c r="M236" s="18" t="inlineStr">
        <is>
          <t>Clinic</t>
        </is>
      </c>
      <c r="N236" s="18" t="inlineStr">
        <is>
          <t>ข้อ 2 (PLE_CC1_2555 Day 2.md)</t>
        </is>
      </c>
      <c r="O236" s="18" t="inlineStr">
        <is>
          <t>ข้อสอบจริง</t>
        </is>
      </c>
      <c r="P236" s="18" t="inlineStr">
        <is>
          <t>ปี 2555</t>
        </is>
      </c>
    </row>
    <row r="237">
      <c r="A237" s="15" t="inlineStr">
        <is>
          <t>235</t>
        </is>
      </c>
      <c r="B237" s="18" t="inlineStr">
        <is>
          <t>Bromphenilamine</t>
        </is>
      </c>
      <c r="C237" s="18" t="inlineStr"/>
      <c r="D237" s="18" t="inlineStr">
        <is>
          <t>Amlodipine 5 mg OD</t>
        </is>
      </c>
      <c r="E237" s="18" t="inlineStr">
        <is>
          <t>Losartan 50 mg OD</t>
        </is>
      </c>
      <c r="F237" s="18" t="inlineStr">
        <is>
          <t>Enalapril 10 mg BID</t>
        </is>
      </c>
      <c r="G237" s="18" t="inlineStr">
        <is>
          <t>Hydrochlorothiazide 25 mg OD</t>
        </is>
      </c>
      <c r="H237" s="18" t="inlineStr">
        <is>
          <t>Atorvastatin 20 mg OD</t>
        </is>
      </c>
      <c r="I237" s="15" t="inlineStr">
        <is>
          <t>1</t>
        </is>
      </c>
      <c r="J23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37" s="18" t="inlineStr"/>
      <c r="L237" s="18" t="inlineStr">
        <is>
          <t>Hypertension</t>
        </is>
      </c>
      <c r="M237" s="18" t="inlineStr">
        <is>
          <t>Clinic</t>
        </is>
      </c>
      <c r="N237" s="18" t="inlineStr">
        <is>
          <t>ข้อ 4 (PLE_CC1_2555 Day 2.md)</t>
        </is>
      </c>
      <c r="O237" s="18" t="inlineStr">
        <is>
          <t>ข้อสอบจริง</t>
        </is>
      </c>
      <c r="P237" s="18" t="inlineStr">
        <is>
          <t>ปี 2555</t>
        </is>
      </c>
    </row>
    <row r="238">
      <c r="A238" s="15" t="inlineStr">
        <is>
          <t>236</t>
        </is>
      </c>
      <c r="B238" s="18" t="inlineStr">
        <is>
          <t>Uniformity of content</t>
        </is>
      </c>
      <c r="C238" s="18" t="inlineStr"/>
      <c r="D238" s="18" t="inlineStr">
        <is>
          <t>Hydrochlorothiazide 25 mg OD</t>
        </is>
      </c>
      <c r="E238" s="18" t="inlineStr">
        <is>
          <t>Atorvastatin 20 mg OD</t>
        </is>
      </c>
      <c r="F238" s="18" t="inlineStr">
        <is>
          <t>Simvastatin 20 mg HS</t>
        </is>
      </c>
      <c r="G238" s="18" t="inlineStr">
        <is>
          <t>Bisoprolol 5 mg OD</t>
        </is>
      </c>
      <c r="H238" s="18" t="inlineStr">
        <is>
          <t>Spironolactone 25 mg OD</t>
        </is>
      </c>
      <c r="I238" s="15" t="inlineStr">
        <is>
          <t>1</t>
        </is>
      </c>
      <c r="J23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38" s="18" t="inlineStr"/>
      <c r="L238" s="18" t="inlineStr">
        <is>
          <t>Hypertension</t>
        </is>
      </c>
      <c r="M238" s="18" t="inlineStr">
        <is>
          <t>Clinic</t>
        </is>
      </c>
      <c r="N238" s="18" t="inlineStr">
        <is>
          <t>ข้อ 4 (PLE_CC1_2555 Day 2.md)</t>
        </is>
      </c>
      <c r="O238" s="18" t="inlineStr">
        <is>
          <t>ข้อสอบจริง</t>
        </is>
      </c>
      <c r="P238" s="18" t="inlineStr">
        <is>
          <t>ปี 2555</t>
        </is>
      </c>
    </row>
    <row r="239">
      <c r="A239" s="15" t="inlineStr">
        <is>
          <t>237</t>
        </is>
      </c>
      <c r="B239" s="18" t="inlineStr">
        <is>
          <t>Sulfacetamide eyedrop</t>
        </is>
      </c>
      <c r="C239" s="18" t="inlineStr"/>
      <c r="D239" s="18" t="inlineStr">
        <is>
          <t>Bisoprolol 5 mg OD</t>
        </is>
      </c>
      <c r="E239" s="18" t="inlineStr">
        <is>
          <t>Spironolactone 25 mg OD</t>
        </is>
      </c>
      <c r="F239" s="18" t="inlineStr">
        <is>
          <t>Clopidogrel 75 mg OD</t>
        </is>
      </c>
      <c r="G239" s="18" t="inlineStr">
        <is>
          <t>Aspirin 81 mg OD</t>
        </is>
      </c>
      <c r="H239" s="18" t="inlineStr">
        <is>
          <t>Sacubitril/Valsartan 49/51 mg BID</t>
        </is>
      </c>
      <c r="I239" s="15" t="inlineStr">
        <is>
          <t>1</t>
        </is>
      </c>
      <c r="J23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39" s="18" t="inlineStr"/>
      <c r="L239" s="18" t="inlineStr">
        <is>
          <t>Hypertension</t>
        </is>
      </c>
      <c r="M239" s="18" t="inlineStr">
        <is>
          <t>Clinic</t>
        </is>
      </c>
      <c r="N239" s="18" t="inlineStr">
        <is>
          <t>ข้อ 2 (PLE_CC1_2555 Day 2.md)</t>
        </is>
      </c>
      <c r="O239" s="18" t="inlineStr">
        <is>
          <t>ข้อสอบจริง</t>
        </is>
      </c>
      <c r="P239" s="18" t="inlineStr">
        <is>
          <t>ปี 2555</t>
        </is>
      </c>
    </row>
    <row r="240">
      <c r="A240" s="15" t="inlineStr">
        <is>
          <t>238</t>
        </is>
      </c>
      <c r="B240" s="18" t="inlineStr">
        <is>
          <t>Polymicin (ATB combine)</t>
        </is>
      </c>
      <c r="C240" s="18" t="inlineStr"/>
      <c r="D240" s="18" t="inlineStr">
        <is>
          <t>Aspirin 81 mg OD</t>
        </is>
      </c>
      <c r="E240" s="18" t="inlineStr">
        <is>
          <t>Sacubitril/Valsartan 49/51 mg BID</t>
        </is>
      </c>
      <c r="F240" s="18" t="inlineStr">
        <is>
          <t>Empagliflozin 10 mg OD</t>
        </is>
      </c>
      <c r="G240" s="18" t="inlineStr">
        <is>
          <t>Diltiazem 30 mg TID</t>
        </is>
      </c>
      <c r="H240" s="18" t="inlineStr">
        <is>
          <t>Warfarin 3 mg OD (target INR 2.0-3.0)</t>
        </is>
      </c>
      <c r="I240" s="15" t="inlineStr">
        <is>
          <t>1</t>
        </is>
      </c>
      <c r="J24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0" s="18" t="inlineStr"/>
      <c r="L240" s="18" t="inlineStr">
        <is>
          <t>Hypertension</t>
        </is>
      </c>
      <c r="M240" s="18" t="inlineStr">
        <is>
          <t>Clinic</t>
        </is>
      </c>
      <c r="N240" s="18" t="inlineStr">
        <is>
          <t>ข้อ 5 (PLE_CC1_2555 Day 2.md)</t>
        </is>
      </c>
      <c r="O240" s="18" t="inlineStr">
        <is>
          <t>ข้อสอบจริง</t>
        </is>
      </c>
      <c r="P240" s="18" t="inlineStr">
        <is>
          <t>ปี 2555</t>
        </is>
      </c>
    </row>
    <row r="241">
      <c r="A241" s="15" t="inlineStr">
        <is>
          <t>239</t>
        </is>
      </c>
      <c r="B241" s="18" t="inlineStr">
        <is>
          <t>Content Uniformity</t>
        </is>
      </c>
      <c r="C241" s="18" t="inlineStr"/>
      <c r="D241" s="18" t="inlineStr">
        <is>
          <t>Diltiazem 30 mg TID</t>
        </is>
      </c>
      <c r="E241" s="18" t="inlineStr">
        <is>
          <t>Warfarin 3 mg OD (target INR 2.0-3.0)</t>
        </is>
      </c>
      <c r="F241" s="18" t="inlineStr">
        <is>
          <t>Furosemide 40 mg OD</t>
        </is>
      </c>
      <c r="G241" s="18" t="inlineStr">
        <is>
          <t>Amlodipine 5 mg OD</t>
        </is>
      </c>
      <c r="H241" s="18" t="inlineStr">
        <is>
          <t>Losartan 50 mg OD</t>
        </is>
      </c>
      <c r="I241" s="15" t="inlineStr">
        <is>
          <t>1</t>
        </is>
      </c>
      <c r="J24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1" s="18" t="inlineStr"/>
      <c r="L241" s="18" t="inlineStr">
        <is>
          <t>Hypertension</t>
        </is>
      </c>
      <c r="M241" s="18" t="inlineStr">
        <is>
          <t>Clinic</t>
        </is>
      </c>
      <c r="N241" s="18" t="inlineStr">
        <is>
          <t>ข้อ 4 (PLE_CC1_2555 Day 2.md)</t>
        </is>
      </c>
      <c r="O241" s="18" t="inlineStr">
        <is>
          <t>ข้อสอบจริง</t>
        </is>
      </c>
      <c r="P241" s="18" t="inlineStr">
        <is>
          <t>ปี 2555</t>
        </is>
      </c>
    </row>
    <row r="242">
      <c r="A242" s="15" t="inlineStr">
        <is>
          <t>240</t>
        </is>
      </c>
      <c r="B242" s="18" t="inlineStr">
        <is>
          <t>HCTZ induced hypronatremia</t>
        </is>
      </c>
      <c r="C242" s="18" t="inlineStr"/>
      <c r="D242" s="18" t="inlineStr">
        <is>
          <t>Amlodipine 5 mg OD</t>
        </is>
      </c>
      <c r="E242" s="18" t="inlineStr">
        <is>
          <t>Losartan 50 mg OD</t>
        </is>
      </c>
      <c r="F242" s="18" t="inlineStr">
        <is>
          <t>Enalapril 10 mg BID</t>
        </is>
      </c>
      <c r="G242" s="18" t="inlineStr">
        <is>
          <t>Hydrochlorothiazide 25 mg OD</t>
        </is>
      </c>
      <c r="H242" s="18" t="inlineStr">
        <is>
          <t>Atorvastatin 20 mg OD</t>
        </is>
      </c>
      <c r="I242" s="15" t="inlineStr">
        <is>
          <t>1</t>
        </is>
      </c>
      <c r="J24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2" s="18" t="inlineStr"/>
      <c r="L242" s="18" t="inlineStr">
        <is>
          <t>Hypertension</t>
        </is>
      </c>
      <c r="M242" s="18" t="inlineStr">
        <is>
          <t>Clinic</t>
        </is>
      </c>
      <c r="N242" s="18" t="inlineStr">
        <is>
          <t>ข้อ 1 (PLE_CC1_2555 Day 2.md)</t>
        </is>
      </c>
      <c r="O242" s="18" t="inlineStr">
        <is>
          <t>ข้อสอบจริง</t>
        </is>
      </c>
      <c r="P242" s="18" t="inlineStr">
        <is>
          <t>ปี 2555</t>
        </is>
      </c>
    </row>
    <row r="243">
      <c r="A243" s="15" t="inlineStr">
        <is>
          <t>241</t>
        </is>
      </c>
      <c r="B243" s="18" t="inlineStr">
        <is>
          <t>complication จากโรคความดันโลหิตสูง</t>
        </is>
      </c>
      <c r="C243" s="18" t="inlineStr"/>
      <c r="D243" s="18" t="inlineStr">
        <is>
          <t>Hydrochlorothiazide 25 mg OD</t>
        </is>
      </c>
      <c r="E243" s="18" t="inlineStr">
        <is>
          <t>Atorvastatin 20 mg OD</t>
        </is>
      </c>
      <c r="F243" s="18" t="inlineStr">
        <is>
          <t>Simvastatin 20 mg HS</t>
        </is>
      </c>
      <c r="G243" s="18" t="inlineStr">
        <is>
          <t>Bisoprolol 5 mg OD</t>
        </is>
      </c>
      <c r="H243" s="18" t="inlineStr">
        <is>
          <t>Spironolactone 25 mg OD</t>
        </is>
      </c>
      <c r="I243" s="15" t="inlineStr">
        <is>
          <t>1</t>
        </is>
      </c>
      <c r="J24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3" s="18" t="inlineStr"/>
      <c r="L243" s="18" t="inlineStr">
        <is>
          <t>Hypertension</t>
        </is>
      </c>
      <c r="M243" s="18" t="inlineStr">
        <is>
          <t>Clinic</t>
        </is>
      </c>
      <c r="N243" s="18" t="inlineStr">
        <is>
          <t>ข้อ 2 (PLE_CC1_2555 Day 2.md)</t>
        </is>
      </c>
      <c r="O243" s="18" t="inlineStr">
        <is>
          <t>ข้อสอบจริง</t>
        </is>
      </c>
      <c r="P243" s="18" t="inlineStr">
        <is>
          <t>ปี 2555</t>
        </is>
      </c>
    </row>
    <row r="244">
      <c r="A244" s="15" t="inlineStr">
        <is>
          <t>242</t>
        </is>
      </c>
      <c r="B244" s="18" t="inlineStr">
        <is>
          <t>ได้รับยา amiloride เพิ่ม</t>
        </is>
      </c>
      <c r="C244" s="18" t="inlineStr"/>
      <c r="D244" s="18" t="inlineStr">
        <is>
          <t>Bisoprolol 5 mg OD</t>
        </is>
      </c>
      <c r="E244" s="18" t="inlineStr">
        <is>
          <t>Spironolactone 25 mg OD</t>
        </is>
      </c>
      <c r="F244" s="18" t="inlineStr">
        <is>
          <t>Clopidogrel 75 mg OD</t>
        </is>
      </c>
      <c r="G244" s="18" t="inlineStr">
        <is>
          <t>Aspirin 81 mg OD</t>
        </is>
      </c>
      <c r="H244" s="18" t="inlineStr">
        <is>
          <t>Sacubitril/Valsartan 49/51 mg BID</t>
        </is>
      </c>
      <c r="I244" s="15" t="inlineStr">
        <is>
          <t>1</t>
        </is>
      </c>
      <c r="J24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44" s="18" t="inlineStr"/>
      <c r="L244" s="18" t="inlineStr">
        <is>
          <t>Hypertension</t>
        </is>
      </c>
      <c r="M244" s="18" t="inlineStr">
        <is>
          <t>Clinic</t>
        </is>
      </c>
      <c r="N244" s="18" t="inlineStr">
        <is>
          <t>ข้อ 4 (PLE_CC1_2555 Day 2.md)</t>
        </is>
      </c>
      <c r="O244" s="18" t="inlineStr">
        <is>
          <t>ข้อสอบจริง</t>
        </is>
      </c>
      <c r="P244" s="18" t="inlineStr">
        <is>
          <t>ปี 2555</t>
        </is>
      </c>
    </row>
    <row r="245">
      <c r="A245" s="15" t="inlineStr">
        <is>
          <t>243</t>
        </is>
      </c>
      <c r="B245" s="18" t="inlineStr">
        <is>
          <t>Ethanolamine ether</t>
        </is>
      </c>
      <c r="C245" s="18" t="inlineStr"/>
      <c r="D245" s="18" t="inlineStr">
        <is>
          <t>Aspirin 81 mg OD</t>
        </is>
      </c>
      <c r="E245" s="18" t="inlineStr">
        <is>
          <t>Sacubitril/Valsartan 49/51 mg BID</t>
        </is>
      </c>
      <c r="F245" s="18" t="inlineStr">
        <is>
          <t>Empagliflozin 10 mg OD</t>
        </is>
      </c>
      <c r="G245" s="18" t="inlineStr">
        <is>
          <t>Diltiazem 30 mg TID</t>
        </is>
      </c>
      <c r="H245" s="18" t="inlineStr">
        <is>
          <t>Warfarin 3 mg OD (target INR 2.0-3.0)</t>
        </is>
      </c>
      <c r="I245" s="15" t="inlineStr">
        <is>
          <t>1</t>
        </is>
      </c>
      <c r="J24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5" s="18" t="inlineStr"/>
      <c r="L245" s="18" t="inlineStr">
        <is>
          <t>Hypertension</t>
        </is>
      </c>
      <c r="M245" s="18" t="inlineStr">
        <is>
          <t>Clinic</t>
        </is>
      </c>
      <c r="N245" s="18" t="inlineStr">
        <is>
          <t>ข้อ 1 (PLE_CC1_2555 Day 2.md)</t>
        </is>
      </c>
      <c r="O245" s="18" t="inlineStr">
        <is>
          <t>ข้อสอบจริง</t>
        </is>
      </c>
      <c r="P245" s="18" t="inlineStr">
        <is>
          <t>ปี 2555</t>
        </is>
      </c>
    </row>
    <row r="246">
      <c r="A246" s="15" t="inlineStr">
        <is>
          <t>244</t>
        </is>
      </c>
      <c r="B246" s="18" t="inlineStr">
        <is>
          <t>Ethylenediamine</t>
        </is>
      </c>
      <c r="C246" s="18" t="inlineStr"/>
      <c r="D246" s="18" t="inlineStr">
        <is>
          <t>Diltiazem 30 mg TID</t>
        </is>
      </c>
      <c r="E246" s="18" t="inlineStr">
        <is>
          <t>Warfarin 3 mg OD (target INR 2.0-3.0)</t>
        </is>
      </c>
      <c r="F246" s="18" t="inlineStr">
        <is>
          <t>Furosemide 40 mg OD</t>
        </is>
      </c>
      <c r="G246" s="18" t="inlineStr">
        <is>
          <t>Amlodipine 5 mg OD</t>
        </is>
      </c>
      <c r="H246" s="18" t="inlineStr">
        <is>
          <t>Losartan 50 mg OD</t>
        </is>
      </c>
      <c r="I246" s="15" t="inlineStr">
        <is>
          <t>1</t>
        </is>
      </c>
      <c r="J24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6" s="18" t="inlineStr"/>
      <c r="L246" s="18" t="inlineStr">
        <is>
          <t>Hypertension</t>
        </is>
      </c>
      <c r="M246" s="18" t="inlineStr">
        <is>
          <t>Clinic</t>
        </is>
      </c>
      <c r="N246" s="18" t="inlineStr">
        <is>
          <t>ข้อ 2 (PLE_CC1_2555 Day 2.md)</t>
        </is>
      </c>
      <c r="O246" s="18" t="inlineStr">
        <is>
          <t>ข้อสอบจริง</t>
        </is>
      </c>
      <c r="P246" s="18" t="inlineStr">
        <is>
          <t>ปี 2555</t>
        </is>
      </c>
    </row>
    <row r="247">
      <c r="A247" s="15" t="inlineStr">
        <is>
          <t>245</t>
        </is>
      </c>
      <c r="B247" s="18" t="inlineStr">
        <is>
          <t>ความดันโลหิตสูง</t>
        </is>
      </c>
      <c r="C247" s="18" t="inlineStr"/>
      <c r="D247" s="18" t="inlineStr">
        <is>
          <t>Amlodipine 5 mg OD</t>
        </is>
      </c>
      <c r="E247" s="18" t="inlineStr">
        <is>
          <t>Losartan 50 mg OD</t>
        </is>
      </c>
      <c r="F247" s="18" t="inlineStr">
        <is>
          <t>Enalapril 10 mg BID</t>
        </is>
      </c>
      <c r="G247" s="18" t="inlineStr">
        <is>
          <t>Hydrochlorothiazide 25 mg OD</t>
        </is>
      </c>
      <c r="H247" s="18" t="inlineStr">
        <is>
          <t>Atorvastatin 20 mg OD</t>
        </is>
      </c>
      <c r="I247" s="15" t="inlineStr">
        <is>
          <t>1</t>
        </is>
      </c>
      <c r="J24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7" s="18" t="inlineStr"/>
      <c r="L247" s="18" t="inlineStr">
        <is>
          <t>Hypertension</t>
        </is>
      </c>
      <c r="M247" s="18" t="inlineStr">
        <is>
          <t>Clinic</t>
        </is>
      </c>
      <c r="N247" s="18" t="inlineStr">
        <is>
          <t>ข้อ 1 (PLE_CC1_2555 Day 2.md)</t>
        </is>
      </c>
      <c r="O247" s="18" t="inlineStr">
        <is>
          <t>ข้อสอบจริง</t>
        </is>
      </c>
      <c r="P247" s="18" t="inlineStr">
        <is>
          <t>ปี 2555</t>
        </is>
      </c>
    </row>
    <row r="248">
      <c r="A248" s="15" t="inlineStr">
        <is>
          <t>246</t>
        </is>
      </c>
      <c r="B248" s="18" t="inlineStr">
        <is>
          <t>เปลี่ยนยา Hyoscine เป็น Mefenamic acid</t>
        </is>
      </c>
      <c r="C248" s="18" t="inlineStr"/>
      <c r="D248" s="18" t="inlineStr">
        <is>
          <t>Hydrochlorothiazide 25 mg OD</t>
        </is>
      </c>
      <c r="E248" s="18" t="inlineStr">
        <is>
          <t>Atorvastatin 20 mg OD</t>
        </is>
      </c>
      <c r="F248" s="18" t="inlineStr">
        <is>
          <t>Simvastatin 20 mg HS</t>
        </is>
      </c>
      <c r="G248" s="18" t="inlineStr">
        <is>
          <t>Bisoprolol 5 mg OD</t>
        </is>
      </c>
      <c r="H248" s="18" t="inlineStr">
        <is>
          <t>Spironolactone 25 mg OD</t>
        </is>
      </c>
      <c r="I248" s="15" t="inlineStr">
        <is>
          <t>1</t>
        </is>
      </c>
      <c r="J24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8" s="18" t="inlineStr"/>
      <c r="L248" s="18" t="inlineStr">
        <is>
          <t>Hypertension</t>
        </is>
      </c>
      <c r="M248" s="18" t="inlineStr">
        <is>
          <t>Clinic</t>
        </is>
      </c>
      <c r="N248" s="18" t="inlineStr">
        <is>
          <t>ข้อ 3 (PLE_CC1_2555 Day 2.md)</t>
        </is>
      </c>
      <c r="O248" s="18" t="inlineStr">
        <is>
          <t>ข้อสอบจริง</t>
        </is>
      </c>
      <c r="P248" s="18" t="inlineStr">
        <is>
          <t>ปี 2555</t>
        </is>
      </c>
    </row>
    <row r="249">
      <c r="A249" s="15" t="inlineStr">
        <is>
          <t>247</t>
        </is>
      </c>
      <c r="B249" s="18" t="inlineStr">
        <is>
          <t>Chemical treatment</t>
        </is>
      </c>
      <c r="C249" s="18" t="inlineStr"/>
      <c r="D249" s="18" t="inlineStr">
        <is>
          <t>Bisoprolol 5 mg OD</t>
        </is>
      </c>
      <c r="E249" s="18" t="inlineStr">
        <is>
          <t>Spironolactone 25 mg OD</t>
        </is>
      </c>
      <c r="F249" s="18" t="inlineStr">
        <is>
          <t>Clopidogrel 75 mg OD</t>
        </is>
      </c>
      <c r="G249" s="18" t="inlineStr">
        <is>
          <t>Aspirin 81 mg OD</t>
        </is>
      </c>
      <c r="H249" s="18" t="inlineStr">
        <is>
          <t>Sacubitril/Valsartan 49/51 mg BID</t>
        </is>
      </c>
      <c r="I249" s="15" t="inlineStr">
        <is>
          <t>1</t>
        </is>
      </c>
      <c r="J24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49" s="18" t="inlineStr"/>
      <c r="L249" s="18" t="inlineStr">
        <is>
          <t>Hypertension</t>
        </is>
      </c>
      <c r="M249" s="18" t="inlineStr">
        <is>
          <t>Clinic</t>
        </is>
      </c>
      <c r="N249" s="18" t="inlineStr">
        <is>
          <t>ข้อ 5 (PLE_CC1_2555 Day 2.md)</t>
        </is>
      </c>
      <c r="O249" s="18" t="inlineStr">
        <is>
          <t>ข้อสอบจริง</t>
        </is>
      </c>
      <c r="P249" s="18" t="inlineStr">
        <is>
          <t>ปี 2555</t>
        </is>
      </c>
    </row>
    <row r="250">
      <c r="A250" s="15" t="inlineStr">
        <is>
          <t>248</t>
        </is>
      </c>
      <c r="B250" s="18" t="inlineStr">
        <is>
          <t>150 micromoles per litre</t>
        </is>
      </c>
      <c r="C250" s="18" t="inlineStr"/>
      <c r="D250" s="18" t="inlineStr">
        <is>
          <t>Aspirin 81 mg OD</t>
        </is>
      </c>
      <c r="E250" s="18" t="inlineStr">
        <is>
          <t>Sacubitril/Valsartan 49/51 mg BID</t>
        </is>
      </c>
      <c r="F250" s="18" t="inlineStr">
        <is>
          <t>Empagliflozin 10 mg OD</t>
        </is>
      </c>
      <c r="G250" s="18" t="inlineStr">
        <is>
          <t>Diltiazem 30 mg TID</t>
        </is>
      </c>
      <c r="H250" s="18" t="inlineStr">
        <is>
          <t>Warfarin 3 mg OD (target INR 2.0-3.0)</t>
        </is>
      </c>
      <c r="I250" s="15" t="inlineStr">
        <is>
          <t>1</t>
        </is>
      </c>
      <c r="J25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50" s="18" t="inlineStr"/>
      <c r="L250" s="18" t="inlineStr">
        <is>
          <t>Hypertension</t>
        </is>
      </c>
      <c r="M250" s="18" t="inlineStr">
        <is>
          <t>Clinic</t>
        </is>
      </c>
      <c r="N250" s="18" t="inlineStr">
        <is>
          <t>ข้อ 1 (PLE_CC1_2555 Day 2.md)</t>
        </is>
      </c>
      <c r="O250" s="18" t="inlineStr">
        <is>
          <t>ข้อสอบจริง</t>
        </is>
      </c>
      <c r="P250" s="18" t="inlineStr">
        <is>
          <t>ปี 2555</t>
        </is>
      </c>
    </row>
    <row r="251">
      <c r="A251" s="15" t="inlineStr">
        <is>
          <t>249</t>
        </is>
      </c>
      <c r="B251" s="18" t="inlineStr">
        <is>
          <t>200 micromoles per litre</t>
        </is>
      </c>
      <c r="C251" s="18" t="inlineStr"/>
      <c r="D251" s="18" t="inlineStr">
        <is>
          <t>Diltiazem 30 mg TID</t>
        </is>
      </c>
      <c r="E251" s="18" t="inlineStr">
        <is>
          <t>Warfarin 3 mg OD (target INR 2.0-3.0)</t>
        </is>
      </c>
      <c r="F251" s="18" t="inlineStr">
        <is>
          <t>Furosemide 40 mg OD</t>
        </is>
      </c>
      <c r="G251" s="18" t="inlineStr">
        <is>
          <t>Amlodipine 5 mg OD</t>
        </is>
      </c>
      <c r="H251" s="18" t="inlineStr">
        <is>
          <t>Losartan 50 mg OD</t>
        </is>
      </c>
      <c r="I251" s="15" t="inlineStr">
        <is>
          <t>1</t>
        </is>
      </c>
      <c r="J25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51" s="18" t="inlineStr"/>
      <c r="L251" s="18" t="inlineStr">
        <is>
          <t>Hypertension</t>
        </is>
      </c>
      <c r="M251" s="18" t="inlineStr">
        <is>
          <t>Clinic</t>
        </is>
      </c>
      <c r="N251" s="18" t="inlineStr">
        <is>
          <t>ข้อ 2 (PLE_CC1_2555 Day 2.md)</t>
        </is>
      </c>
      <c r="O251" s="18" t="inlineStr">
        <is>
          <t>ข้อสอบจริง</t>
        </is>
      </c>
      <c r="P251" s="18" t="inlineStr">
        <is>
          <t>ปี 2555</t>
        </is>
      </c>
    </row>
    <row r="252">
      <c r="A252" s="15" t="inlineStr">
        <is>
          <t>250</t>
        </is>
      </c>
      <c r="B252" s="18" t="inlineStr">
        <is>
          <t>400 micromoles per litre</t>
        </is>
      </c>
      <c r="C252" s="18" t="inlineStr"/>
      <c r="D252" s="18" t="inlineStr">
        <is>
          <t>Amlodipine 5 mg OD</t>
        </is>
      </c>
      <c r="E252" s="18" t="inlineStr">
        <is>
          <t>Losartan 50 mg OD</t>
        </is>
      </c>
      <c r="F252" s="18" t="inlineStr">
        <is>
          <t>Enalapril 10 mg BID</t>
        </is>
      </c>
      <c r="G252" s="18" t="inlineStr">
        <is>
          <t>Hydrochlorothiazide 25 mg OD</t>
        </is>
      </c>
      <c r="H252" s="18" t="inlineStr">
        <is>
          <t>Atorvastatin 20 mg OD</t>
        </is>
      </c>
      <c r="I252" s="15" t="inlineStr">
        <is>
          <t>1</t>
        </is>
      </c>
      <c r="J25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52" s="18" t="inlineStr"/>
      <c r="L252" s="18" t="inlineStr">
        <is>
          <t>Hypertension</t>
        </is>
      </c>
      <c r="M252" s="18" t="inlineStr">
        <is>
          <t>Clinic</t>
        </is>
      </c>
      <c r="N252" s="18" t="inlineStr">
        <is>
          <t>ข้อ 3 (PLE_CC1_2555 Day 2.md)</t>
        </is>
      </c>
      <c r="O252" s="18" t="inlineStr">
        <is>
          <t>ข้อสอบจริง</t>
        </is>
      </c>
      <c r="P252" s="18" t="inlineStr">
        <is>
          <t>ปี 2555</t>
        </is>
      </c>
    </row>
    <row r="253">
      <c r="A253" s="15" t="inlineStr">
        <is>
          <t>251</t>
        </is>
      </c>
      <c r="B253" s="18" t="inlineStr">
        <is>
          <t>1000 micromoles per litre</t>
        </is>
      </c>
      <c r="C253" s="18" t="inlineStr"/>
      <c r="D253" s="18" t="inlineStr">
        <is>
          <t>Hydrochlorothiazide 25 mg OD</t>
        </is>
      </c>
      <c r="E253" s="18" t="inlineStr">
        <is>
          <t>Atorvastatin 20 mg OD</t>
        </is>
      </c>
      <c r="F253" s="18" t="inlineStr">
        <is>
          <t>Simvastatin 20 mg HS</t>
        </is>
      </c>
      <c r="G253" s="18" t="inlineStr">
        <is>
          <t>Bisoprolol 5 mg OD</t>
        </is>
      </c>
      <c r="H253" s="18" t="inlineStr">
        <is>
          <t>Spironolactone 25 mg OD</t>
        </is>
      </c>
      <c r="I253" s="15" t="inlineStr">
        <is>
          <t>1</t>
        </is>
      </c>
      <c r="J25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3" s="18" t="inlineStr"/>
      <c r="L253" s="18" t="inlineStr">
        <is>
          <t>Hypertension</t>
        </is>
      </c>
      <c r="M253" s="18" t="inlineStr">
        <is>
          <t>Clinic</t>
        </is>
      </c>
      <c r="N253" s="18" t="inlineStr">
        <is>
          <t>ข้อ 4 (PLE_CC1_2555 Day 2.md)</t>
        </is>
      </c>
      <c r="O253" s="18" t="inlineStr">
        <is>
          <t>ข้อสอบจริง</t>
        </is>
      </c>
      <c r="P253" s="18" t="inlineStr">
        <is>
          <t>ปี 2555</t>
        </is>
      </c>
    </row>
    <row r="254">
      <c r="A254" s="15" t="inlineStr">
        <is>
          <t>252</t>
        </is>
      </c>
      <c r="B254" s="18" t="inlineStr">
        <is>
          <t>Microcrystalline cellulose</t>
        </is>
      </c>
      <c r="C254" s="18" t="inlineStr"/>
      <c r="D254" s="18" t="inlineStr">
        <is>
          <t>Bisoprolol 5 mg OD</t>
        </is>
      </c>
      <c r="E254" s="18" t="inlineStr">
        <is>
          <t>Spironolactone 25 mg OD</t>
        </is>
      </c>
      <c r="F254" s="18" t="inlineStr">
        <is>
          <t>Clopidogrel 75 mg OD</t>
        </is>
      </c>
      <c r="G254" s="18" t="inlineStr">
        <is>
          <t>Aspirin 81 mg OD</t>
        </is>
      </c>
      <c r="H254" s="18" t="inlineStr">
        <is>
          <t>Sacubitril/Valsartan 49/51 mg BID</t>
        </is>
      </c>
      <c r="I254" s="15" t="inlineStr">
        <is>
          <t>1</t>
        </is>
      </c>
      <c r="J25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54" s="18" t="inlineStr"/>
      <c r="L254" s="18" t="inlineStr">
        <is>
          <t>Hypertension</t>
        </is>
      </c>
      <c r="M254" s="18" t="inlineStr">
        <is>
          <t>Clinic</t>
        </is>
      </c>
      <c r="N254" s="18" t="inlineStr">
        <is>
          <t>ข้อ 3 (PLE_CC1_2555 Day 2.md)</t>
        </is>
      </c>
      <c r="O254" s="18" t="inlineStr">
        <is>
          <t>ข้อสอบจริง</t>
        </is>
      </c>
      <c r="P254" s="18" t="inlineStr">
        <is>
          <t>ปี 2555</t>
        </is>
      </c>
    </row>
    <row r="255">
      <c r="A255" s="15" t="inlineStr">
        <is>
          <t>253</t>
        </is>
      </c>
      <c r="B255" s="18" t="inlineStr">
        <is>
          <t>AUC + Elimination half-life</t>
        </is>
      </c>
      <c r="C255" s="18" t="inlineStr"/>
      <c r="D255" s="18" t="inlineStr">
        <is>
          <t>Aspirin 81 mg OD</t>
        </is>
      </c>
      <c r="E255" s="18" t="inlineStr">
        <is>
          <t>Sacubitril/Valsartan 49/51 mg BID</t>
        </is>
      </c>
      <c r="F255" s="18" t="inlineStr">
        <is>
          <t>Empagliflozin 10 mg OD</t>
        </is>
      </c>
      <c r="G255" s="18" t="inlineStr">
        <is>
          <t>Diltiazem 30 mg TID</t>
        </is>
      </c>
      <c r="H255" s="18" t="inlineStr">
        <is>
          <t>Warfarin 3 mg OD (target INR 2.0-3.0)</t>
        </is>
      </c>
      <c r="I255" s="15" t="inlineStr">
        <is>
          <t>1</t>
        </is>
      </c>
      <c r="J25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55" s="18" t="inlineStr"/>
      <c r="L255" s="18" t="inlineStr">
        <is>
          <t>Hypertension</t>
        </is>
      </c>
      <c r="M255" s="18" t="inlineStr">
        <is>
          <t>Clinic</t>
        </is>
      </c>
      <c r="N255" s="18" t="inlineStr">
        <is>
          <t>ข้อ 3 (PLE_CC1_2555 Day 2.md)</t>
        </is>
      </c>
      <c r="O255" s="18" t="inlineStr">
        <is>
          <t>ข้อสอบจริง</t>
        </is>
      </c>
      <c r="P255" s="18" t="inlineStr">
        <is>
          <t>ปี 2555</t>
        </is>
      </c>
    </row>
    <row r="256">
      <c r="A256" s="15" t="inlineStr">
        <is>
          <t>254</t>
        </is>
      </c>
      <c r="B256" s="18" t="inlineStr">
        <is>
          <t>Tmax + Elimination half-life MCQ 1/2555 by CURx69 page 25 MCQ 1/2555 by CURx69 page 26</t>
        </is>
      </c>
      <c r="C256" s="18" t="inlineStr"/>
      <c r="D256" s="18" t="inlineStr">
        <is>
          <t>Diltiazem 30 mg TID</t>
        </is>
      </c>
      <c r="E256" s="18" t="inlineStr">
        <is>
          <t>Warfarin 3 mg OD (target INR 2.0-3.0)</t>
        </is>
      </c>
      <c r="F256" s="18" t="inlineStr">
        <is>
          <t>Furosemide 40 mg OD</t>
        </is>
      </c>
      <c r="G256" s="18" t="inlineStr">
        <is>
          <t>Amlodipine 5 mg OD</t>
        </is>
      </c>
      <c r="H256" s="18" t="inlineStr">
        <is>
          <t>Losartan 50 mg OD</t>
        </is>
      </c>
      <c r="I256" s="15" t="inlineStr">
        <is>
          <t>1</t>
        </is>
      </c>
      <c r="J25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56" s="18" t="inlineStr"/>
      <c r="L256" s="18" t="inlineStr">
        <is>
          <t>Hypertension</t>
        </is>
      </c>
      <c r="M256" s="18" t="inlineStr">
        <is>
          <t>Clinic</t>
        </is>
      </c>
      <c r="N256" s="18" t="inlineStr">
        <is>
          <t>ข้อ 5 (PLE_CC1_2555 Day 2.md)</t>
        </is>
      </c>
      <c r="O256" s="18" t="inlineStr">
        <is>
          <t>ข้อสอบจริง</t>
        </is>
      </c>
      <c r="P256" s="18" t="inlineStr">
        <is>
          <t>ปี 2555</t>
        </is>
      </c>
    </row>
    <row r="257">
      <c r="A257" s="15" t="inlineStr">
        <is>
          <t>255</t>
        </is>
      </c>
      <c r="B257" s="18" t="inlineStr">
        <is>
          <t>การจัดการกับ electrolyte imbalance ในผู้ป่วยรายนี้ ผป.เป็น AKI มีภาวะ hyperK ถ้าไม่รุนแรง ให้ resin 1 g/kg repeat q 1 hr, Kayexalateห: Na resin (ระวังhyperNa, HTN), Kalimateห: Ca resin (ระวัง hyperCa) ถ้ารุนแรง :ให้ Insulin+dextrose(form D-glucose) (กลไก shift K เข้าเซลล์), NaHCO3 (กลไก K movement), Cagluconate (ต้านฤทธิ์ K ที่หัวใจ) Ref.ชีทติวพี่โอ๊ตอบจ.</t>
        </is>
      </c>
      <c r="C257" s="18" t="inlineStr"/>
      <c r="D257" s="18" t="inlineStr">
        <is>
          <t>Amlodipine 5 mg OD</t>
        </is>
      </c>
      <c r="E257" s="18" t="inlineStr">
        <is>
          <t>Losartan 50 mg OD</t>
        </is>
      </c>
      <c r="F257" s="18" t="inlineStr">
        <is>
          <t>Enalapril 10 mg BID</t>
        </is>
      </c>
      <c r="G257" s="18" t="inlineStr">
        <is>
          <t>Hydrochlorothiazide 25 mg OD</t>
        </is>
      </c>
      <c r="H257" s="18" t="inlineStr">
        <is>
          <t>Atorvastatin 20 mg OD</t>
        </is>
      </c>
      <c r="I257" s="15" t="inlineStr">
        <is>
          <t>3</t>
        </is>
      </c>
      <c r="J257" s="22" t="inlineStr">
        <is>
          <t>✅ คำตอบที่ถูกต้อง: ข้อ ค. Enalapril 10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57" s="18" t="inlineStr"/>
      <c r="L257" s="18" t="inlineStr">
        <is>
          <t>Hypertension</t>
        </is>
      </c>
      <c r="M257" s="18" t="inlineStr">
        <is>
          <t>Clinic</t>
        </is>
      </c>
      <c r="N257" s="18" t="inlineStr">
        <is>
          <t>ข้อ 2 (PLE_CC1_2554 SET2.md)</t>
        </is>
      </c>
      <c r="O257" s="18" t="inlineStr">
        <is>
          <t>ข้อสอบจริง</t>
        </is>
      </c>
      <c r="P257" s="18" t="inlineStr">
        <is>
          <t>ปี 2554</t>
        </is>
      </c>
    </row>
    <row r="258">
      <c r="A258" s="15" t="inlineStr">
        <is>
          <t>256</t>
        </is>
      </c>
      <c r="B258" s="18" t="inlineStr">
        <is>
          <t>GI side effect (most common) dyspepsia, N/V, abdominal pain, diarrhea, constipation</t>
        </is>
      </c>
      <c r="C258" s="18" t="inlineStr"/>
      <c r="D258" s="18" t="inlineStr">
        <is>
          <t>Hydrochlorothiazide 25 mg OD</t>
        </is>
      </c>
      <c r="E258" s="18" t="inlineStr">
        <is>
          <t>Atorvastatin 20 mg OD</t>
        </is>
      </c>
      <c r="F258" s="18" t="inlineStr">
        <is>
          <t>Simvastatin 20 mg HS</t>
        </is>
      </c>
      <c r="G258" s="18" t="inlineStr">
        <is>
          <t>Bisoprolol 5 mg OD</t>
        </is>
      </c>
      <c r="H258" s="18" t="inlineStr">
        <is>
          <t>Spironolactone 25 mg OD</t>
        </is>
      </c>
      <c r="I258" s="15" t="inlineStr">
        <is>
          <t>1</t>
        </is>
      </c>
      <c r="J25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8" s="18" t="inlineStr"/>
      <c r="L258" s="18" t="inlineStr">
        <is>
          <t>Hypertension</t>
        </is>
      </c>
      <c r="M258" s="18" t="inlineStr">
        <is>
          <t>Clinic</t>
        </is>
      </c>
      <c r="N258" s="18" t="inlineStr">
        <is>
          <t>ข้อ 1 (PLE_CC1_2554 SET2.md)</t>
        </is>
      </c>
      <c r="O258" s="18" t="inlineStr">
        <is>
          <t>ข้อสอบจริง</t>
        </is>
      </c>
      <c r="P258" s="18" t="inlineStr">
        <is>
          <t>ปี 2554</t>
        </is>
      </c>
    </row>
    <row r="259">
      <c r="A259" s="15" t="inlineStr">
        <is>
          <t>257</t>
        </is>
      </c>
      <c r="B259" s="18" t="inlineStr">
        <is>
          <t>FeSO4 100 เม็ด จัดเป็นยาอะไร Refชีทเรียนวิชากฏหมาย กรณีศึกษา 6 ผู้ป่วยชายมีอาการปวดเค้นหน้าอกเหงื่อออกใจสั่นเลยอม IDN ใต้ลิ้นไป 1 เม็ดไม่ดีขึ้นก็เลย ไปโรงพยาบาลระหว่างทางก็เลยอมไปอีก 2 เม็ดมาถึงโรงพยาบาลหมอบอกว่าเป็น acute MI</t>
        </is>
      </c>
      <c r="C259" s="18" t="inlineStr"/>
      <c r="D259" s="18" t="inlineStr">
        <is>
          <t>การตรวจอะไรที่จะยืนยันได้ว่าเป็นMI</t>
        </is>
      </c>
      <c r="E259" s="18" t="inlineStr">
        <is>
          <t>Cardiac enzyme</t>
        </is>
      </c>
      <c r="F259" s="18" t="inlineStr">
        <is>
          <t>คลื่นไฟฟ้าหัวใจ</t>
        </is>
      </c>
      <c r="G259" s="18" t="inlineStr">
        <is>
          <t>ตรวจตับ</t>
        </is>
      </c>
      <c r="H259" s="18" t="inlineStr">
        <is>
          <t>ดูอาการเจ็บหน้าอก</t>
        </is>
      </c>
      <c r="I259" s="15" t="inlineStr">
        <is>
          <t>1</t>
        </is>
      </c>
      <c r="J259" s="22" t="inlineStr">
        <is>
          <t>✅ คำตอบที่ถูกต้อง: ข้อ ก. การตรวจอะไรที่จะยืนยันได้ว่าเป็นMI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การตรวจอะไรที่จะยืนยันได้ว่าเป็นMI การตรวจอะไรที่จะยืนยันได้ว่าเป็น MI การตรวจอะไรที่จะยืนยันได้ว่าเป็น MI การตรวจอะไรที่จะยืนยันได้ว่าเป็น MI การตรวจอะไรที่จะยืนยันได้ว่าเป็น MI กิตติยศ)เอนไซม์ที่จำเพาะต่อกล้ามเนื้อหัวใจ เช่น cardiac troponin , creatinine kinase myocardial band
🔍 ข้ออื่นผิดเพราะอะไร:
• ข้อ ข. (Cardiac enzyme): ข้อนี้ไม่ใช่คำตอบที่ถูกต้องสำหรับภาวะ Hypertension เนื่องจากกลไกการออกฤทธิ์, efficacy หรือข้อบ่งใช้ไม่ตรงกับโจทย์ที่กำหนด
• ข้อ ค. (คลื่นไฟฟ้าหัวใจ): ข้อนี้ไม่ใช่คำตอบที่ถูกต้องสำหรับภาวะ Hypertension เนื่องจากกลไกการออกฤทธิ์, efficacy หรือข้อบ่งใช้ไม่ตรงกับโจทย์ที่กำหนด
• ข้อ ง. (ตรวจตับ): ข้อนี้ไม่ใช่คำตอบที่ถูกต้องสำหรับภาวะ Hypertension เนื่องจากกลไกการออกฤทธิ์, efficacy หรือข้อบ่งใช้ไม่ตรงกับโจทย์ที่กำหนด
• ข้อ จ. (ดูอาการเจ็บหน้าอก):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59" s="18" t="inlineStr"/>
      <c r="L259" s="18" t="inlineStr">
        <is>
          <t>Hypertension</t>
        </is>
      </c>
      <c r="M259" s="18" t="inlineStr">
        <is>
          <t>Clinic</t>
        </is>
      </c>
      <c r="N259" s="18" t="inlineStr">
        <is>
          <t>ข้อ 8 (PLE_CC1_2554 SET2.md)</t>
        </is>
      </c>
      <c r="O259" s="18" t="inlineStr">
        <is>
          <t>ข้อสอบจริง</t>
        </is>
      </c>
      <c r="P259" s="18" t="inlineStr">
        <is>
          <t>ปี 2554</t>
        </is>
      </c>
    </row>
    <row r="260">
      <c r="A260" s="15" t="inlineStr">
        <is>
          <t>258</t>
        </is>
      </c>
      <c r="B260" s="18" t="inlineStr">
        <is>
          <t>ต้องใช้ยา Cyclophosphamide กับผู้ป่วยวันละเท่าไหร่ เมื่อคิดพื้นที่ผิวตามสูตร</t>
        </is>
      </c>
      <c r="C260" s="18" t="inlineStr"/>
      <c r="D260" s="18" t="inlineStr">
        <is>
          <t>728 mg/day</t>
        </is>
      </c>
      <c r="E260" s="18" t="inlineStr">
        <is>
          <t>748 mg/day</t>
        </is>
      </c>
      <c r="F260" s="18" t="inlineStr">
        <is>
          <t>768 mg/day</t>
        </is>
      </c>
      <c r="G260" s="18" t="inlineStr">
        <is>
          <t>788 mg/day</t>
        </is>
      </c>
      <c r="H260" s="18" t="inlineStr">
        <is>
          <t>798 mg/day สูตร body surface area (BSA) = ℎ𝑒𝑖𝑔ℎ𝑡(𝑐𝑚)ข𝑤𝑒𝑖𝑔ℎ𝑡(𝑘𝑔) = 160ข40 3600 =</t>
        </is>
      </c>
      <c r="I260" s="15" t="inlineStr">
        <is>
          <t>5</t>
        </is>
      </c>
      <c r="J260" s="22"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ข้อนี้ไม่ใช่คำตอบที่ถูกต้องสำหรับภาวะ Hypertension เนื่องจากกลไกการออกฤทธิ์, efficacy หรือข้อบ่งใช้ไม่ตรงกับโจทย์ที่กำหนด
• ข้อ ข. (748 mg/day): ข้อนี้ไม่ใช่คำตอบที่ถูกต้องสำหรับภาวะ Hypertension เนื่องจากกลไกการออกฤทธิ์, efficacy หรือข้อบ่งใช้ไม่ตรงกับโจทย์ที่กำหนด
• ข้อ ค. (768 mg/day): ข้อนี้ไม่ใช่คำตอบที่ถูกต้องสำหรับภาวะ Hypertension เนื่องจากกลไกการออกฤทธิ์, efficacy หรือข้อบ่งใช้ไม่ตรงกับโจทย์ที่กำหนด
• ข้อ ง. (788 mg/day):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0" s="18" t="inlineStr"/>
      <c r="L260" s="18" t="inlineStr">
        <is>
          <t>Hypertension</t>
        </is>
      </c>
      <c r="M260" s="18" t="inlineStr">
        <is>
          <t>Clinic</t>
        </is>
      </c>
      <c r="N260" s="18" t="inlineStr">
        <is>
          <t>ข้อ 1 (PLE_CC1_2554 SET2.md)</t>
        </is>
      </c>
      <c r="O260" s="18" t="inlineStr">
        <is>
          <t>ข้อสอบจริง</t>
        </is>
      </c>
      <c r="P260" s="18" t="inlineStr">
        <is>
          <t>ปี 2554</t>
        </is>
      </c>
    </row>
    <row r="261">
      <c r="A261" s="15" t="inlineStr">
        <is>
          <t>259</t>
        </is>
      </c>
      <c r="B261" s="18" t="inlineStr">
        <is>
          <t>ข้อใดออกฤทธิ์เหมือน Cyclophosphamide</t>
        </is>
      </c>
      <c r="C261" s="18" t="inlineStr"/>
      <c r="D261" s="18" t="inlineStr">
        <is>
          <t>Docetaxel</t>
        </is>
      </c>
      <c r="E261" s="18" t="inlineStr">
        <is>
          <t>Cytarabine</t>
        </is>
      </c>
      <c r="F261" s="18" t="inlineStr">
        <is>
          <t>Cisplatin</t>
        </is>
      </c>
      <c r="G261" s="18" t="inlineStr">
        <is>
          <t>Ifosfamide</t>
        </is>
      </c>
      <c r="H261" s="18" t="inlineStr">
        <is>
          <t>Navelbine mustard, cyclophosphamide, ifosfamide, cisplatin และ dacarbazine</t>
        </is>
      </c>
      <c r="I261" s="15" t="inlineStr">
        <is>
          <t>4</t>
        </is>
      </c>
      <c r="J261" s="22"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ข้อนี้ไม่ใช่คำตอบที่ถูกต้องสำหรับภาวะ Hypertension เนื่องจากกลไกการออกฤทธิ์, efficacy หรือข้อบ่งใช้ไม่ตรงกับโจทย์ที่กำหนด
• ข้อ ข. (Cytarabine): ข้อนี้ไม่ใช่คำตอบที่ถูกต้องสำหรับภาวะ Hypertension เนื่องจากกลไกการออกฤทธิ์, efficacy หรือข้อบ่งใช้ไม่ตรงกับโจทย์ที่กำหนด
• ข้อ ค. (Cisplatin): ข้อนี้ไม่ใช่คำตอบที่ถูกต้องสำหรับภาวะ Hypertension เนื่องจากกลไกการออกฤทธิ์, efficacy หรือข้อบ่งใช้ไม่ตรงกับโจทย์ที่กำหนด
• ข้อ จ. (Navelbine mustard, cyclophosphamide, ifosfamide, cisplatin และ dacarbazine):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1" s="18" t="inlineStr"/>
      <c r="L261" s="18" t="inlineStr">
        <is>
          <t>Hypertension</t>
        </is>
      </c>
      <c r="M261" s="18" t="inlineStr">
        <is>
          <t>Clinic</t>
        </is>
      </c>
      <c r="N261" s="18" t="inlineStr">
        <is>
          <t>ข้อ 4 (PLE_CC1_2554 SET2.md)</t>
        </is>
      </c>
      <c r="O261" s="18" t="inlineStr">
        <is>
          <t>ข้อสอบจริง</t>
        </is>
      </c>
      <c r="P261" s="18" t="inlineStr">
        <is>
          <t>ปี 2554</t>
        </is>
      </c>
    </row>
    <row r="262">
      <c r="A262" s="15" t="inlineStr">
        <is>
          <t>260</t>
        </is>
      </c>
      <c r="B262" s="18"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262" s="18" t="inlineStr"/>
      <c r="D262" s="18" t="inlineStr">
        <is>
          <t>400 ml.</t>
        </is>
      </c>
      <c r="E262" s="18" t="inlineStr">
        <is>
          <t>420 ml.</t>
        </is>
      </c>
      <c r="F262" s="18" t="inlineStr">
        <is>
          <t>440 ml.</t>
        </is>
      </c>
      <c r="G262" s="18" t="inlineStr">
        <is>
          <t>460 ml.</t>
        </is>
      </c>
      <c r="H262" s="18"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262" s="15" t="inlineStr">
        <is>
          <t>2</t>
        </is>
      </c>
      <c r="J262" s="22"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ข้อนี้ไม่ใช่คำตอบที่ถูกต้องสำหรับภาวะ Hypertension เนื่องจากกลไกการออกฤทธิ์, efficacy หรือข้อบ่งใช้ไม่ตรงกับโจทย์ที่กำหนด
• ข้อ ค. (440 ml.): ข้อนี้ไม่ใช่คำตอบที่ถูกต้องสำหรับภาวะ Hypertension เนื่องจากกลไกการออกฤทธิ์, efficacy หรือข้อบ่งใช้ไม่ตรงกับโจทย์ที่กำหนด
• ข้อ ง. (460 ml.): ข้อนี้ไม่ใช่คำตอบที่ถูกต้องสำหรับภาวะ Hypertension เนื่องจากกลไกการออกฤทธิ์, efficacy หรือข้อบ่งใช้ไม่ตรงกับโจทย์ที่กำหนด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2" s="18" t="inlineStr"/>
      <c r="L262" s="18" t="inlineStr">
        <is>
          <t>Hypertension</t>
        </is>
      </c>
      <c r="M262" s="18" t="inlineStr">
        <is>
          <t>Clinic</t>
        </is>
      </c>
      <c r="N262" s="18" t="inlineStr">
        <is>
          <t>ข้อ 5 (PLE_CC1_2554 SET2.md)</t>
        </is>
      </c>
      <c r="O262" s="18" t="inlineStr">
        <is>
          <t>ข้อสอบจริง</t>
        </is>
      </c>
      <c r="P262" s="18" t="inlineStr">
        <is>
          <t>ปี 2554</t>
        </is>
      </c>
    </row>
    <row r="263">
      <c r="A263" s="15" t="inlineStr">
        <is>
          <t>261</t>
        </is>
      </c>
      <c r="B263" s="18" t="inlineStr">
        <is>
          <t>Brown mixture 60 ml ขายได้ในร้านขายยาหรือไม่</t>
        </is>
      </c>
      <c r="C263" s="18" t="inlineStr"/>
      <c r="D263" s="18" t="inlineStr">
        <is>
          <t>ขายไม่ได้เนื่องจากเป็นวัตถุออกฤทธิ์ต่อจิตและประสาท</t>
        </is>
      </c>
      <c r="E263" s="18" t="inlineStr">
        <is>
          <t>ขายได้แต่ต้องมีใบสั่งแพทย์เท่านั้น</t>
        </is>
      </c>
      <c r="F263" s="18" t="inlineStr">
        <is>
          <t>ขายได้โดยเภสัชกรเท่านั้น</t>
        </is>
      </c>
      <c r="G263" s="18" t="inlineStr">
        <is>
          <t>ขายได้โดยเป็นยาสามัญประจำบ้าน</t>
        </is>
      </c>
      <c r="H263" s="18" t="inlineStr">
        <is>
          <t>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t>
        </is>
      </c>
      <c r="I263" s="15" t="inlineStr">
        <is>
          <t>4</t>
        </is>
      </c>
      <c r="J263" s="22"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ข้อนี้ไม่ใช่คำตอบที่ถูกต้องสำหรับภาวะ Hypertension เนื่องจากกลไกการออกฤทธิ์, efficacy หรือข้อบ่งใช้ไม่ตรงกับโจทย์ที่กำหนด
• ข้อ ข. (ขายได้แต่ต้องมีใบสั่งแพทย์เท่านั้น): ข้อนี้ไม่ใช่คำตอบที่ถูกต้องสำหรับภาวะ Hypertension เนื่องจากกลไกการออกฤทธิ์, efficacy หรือข้อบ่งใช้ไม่ตรงกับโจทย์ที่กำหนด
• ข้อ ค. (ขายได้โดยเภสัชกรเท่านั้น): ข้อนี้ไม่ใช่คำตอบที่ถูกต้องสำหรับภาวะ Hypertension เนื่องจากกลไกการออกฤทธิ์, efficacy หรือข้อบ่งใช้ไม่ตรงกับโจทย์ที่กำหนด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3" s="18" t="inlineStr"/>
      <c r="L263" s="18" t="inlineStr">
        <is>
          <t>Hypertension</t>
        </is>
      </c>
      <c r="M263" s="18" t="inlineStr">
        <is>
          <t>Clinic</t>
        </is>
      </c>
      <c r="N263" s="18" t="inlineStr">
        <is>
          <t>ข้อ 7 (PLE_CC1_2554 SET2.md)</t>
        </is>
      </c>
      <c r="O263" s="18" t="inlineStr">
        <is>
          <t>ข้อสอบจริง</t>
        </is>
      </c>
      <c r="P263" s="18" t="inlineStr">
        <is>
          <t>ปี 2554</t>
        </is>
      </c>
    </row>
    <row r="264">
      <c r="A264" s="15" t="inlineStr">
        <is>
          <t>262</t>
        </is>
      </c>
      <c r="B264" s="18" t="inlineStr">
        <is>
          <t>ข้อใดต่อไปนี้ ไม่ใช่ ยาในกลุ่ม ophthalmic vasoconstrictors</t>
        </is>
      </c>
      <c r="C264" s="18" t="inlineStr"/>
      <c r="D264" s="18" t="inlineStr">
        <is>
          <t>Phenylephrine</t>
        </is>
      </c>
      <c r="E264" s="18" t="inlineStr">
        <is>
          <t>Oxymetazoline</t>
        </is>
      </c>
      <c r="F264" s="18" t="inlineStr">
        <is>
          <t>Naphazoline</t>
        </is>
      </c>
      <c r="G264" s="18" t="inlineStr">
        <is>
          <t>Tetrahydrozoline</t>
        </is>
      </c>
      <c r="H264" s="18" t="inlineStr">
        <is>
          <t>Antazoline pharmacotherapy Rx30 care&amp; Rx31 science,Pharmacy, PSU)</t>
        </is>
      </c>
      <c r="I264" s="15" t="inlineStr">
        <is>
          <t>5</t>
        </is>
      </c>
      <c r="J264" s="22"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ข้อนี้ไม่ใช่คำตอบที่ถูกต้องสำหรับภาวะ Hypertension เนื่องจากกลไกการออกฤทธิ์, efficacy หรือข้อบ่งใช้ไม่ตรงกับโจทย์ที่กำหนด
• ข้อ ข. (Oxymetazoline): เป็น topical alpha-1 agonist ยาพ่นจมูกลดบวม ห้ามใช้ติดต่อกันเกิน 3-5 วัน เนื่องจากเสี่ยงต่อการเกิด rebound congestion (Rhinitis medicamentosa)
• ข้อ ค. (Naphazoline): ข้อนี้ไม่ใช่คำตอบที่ถูกต้องสำหรับภาวะ Hypertension เนื่องจากกลไกการออกฤทธิ์, efficacy หรือข้อบ่งใช้ไม่ตรงกับโจทย์ที่กำหนด
• ข้อ ง. (Tetrahydrozoline):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4" s="18" t="inlineStr"/>
      <c r="L264" s="18" t="inlineStr">
        <is>
          <t>Hypertension</t>
        </is>
      </c>
      <c r="M264" s="18" t="inlineStr">
        <is>
          <t>Clinic</t>
        </is>
      </c>
      <c r="N264" s="18" t="inlineStr">
        <is>
          <t>ข้อ 4 (PLE_CC1_2554 SET2.md)</t>
        </is>
      </c>
      <c r="O264" s="18" t="inlineStr">
        <is>
          <t>ข้อสอบจริง</t>
        </is>
      </c>
      <c r="P264" s="18" t="inlineStr">
        <is>
          <t>ปี 2554</t>
        </is>
      </c>
    </row>
    <row r="265">
      <c r="A265" s="15" t="inlineStr">
        <is>
          <t>263</t>
        </is>
      </c>
      <c r="B265" s="18"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265" s="18" t="inlineStr"/>
      <c r="D265" s="18" t="inlineStr">
        <is>
          <t>0.015 g</t>
        </is>
      </c>
      <c r="E265" s="18" t="inlineStr">
        <is>
          <t>0.45 g</t>
        </is>
      </c>
      <c r="F265" s="18" t="inlineStr">
        <is>
          <t>0.435 g</t>
        </is>
      </c>
      <c r="G265" s="18" t="inlineStr">
        <is>
          <t>0.465 g</t>
        </is>
      </c>
      <c r="H265" s="18" t="inlineStr">
        <is>
          <t>0.9 g NaCl จาก gentamicin = 1x50x0.3 = 15 mg = 0.015 g NaCl ใน 50 mL = 50/100x0.9 = 0.45g ต้องเติม NaCl อีก 0.45-0.015 = 0.435g (ref: ชีท Isotonic buffer อ.ศิริรัศมิ์)</t>
        </is>
      </c>
      <c r="I265" s="15" t="inlineStr">
        <is>
          <t>3</t>
        </is>
      </c>
      <c r="J265" s="22"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ข้อนี้ไม่ใช่คำตอบที่ถูกต้องสำหรับภาวะ Hypertension เนื่องจากกลไกการออกฤทธิ์, efficacy หรือข้อบ่งใช้ไม่ตรงกับโจทย์ที่กำหนด
• ข้อ ข. (0.45 g): ข้อนี้ไม่ใช่คำตอบที่ถูกต้องสำหรับภาวะ Hypertension เนื่องจากกลไกการออกฤทธิ์, efficacy หรือข้อบ่งใช้ไม่ตรงกับโจทย์ที่กำหนด
• ข้อ ง. (0.465 g): ข้อนี้ไม่ใช่คำตอบที่ถูกต้องสำหรับภาวะ Hypertension เนื่องจากกลไกการออกฤทธิ์, efficacy หรือข้อบ่งใช้ไม่ตรงกับโจทย์ที่กำหนด
• ข้อ จ. (0.9 g NaCl จาก gentamicin = 1x50x0.3 = 15 mg = 0.015 g NaCl ใน 50 mL = 50/100x0.9 = 0.45g ต้องเติม NaCl อีก 0.45-0.015 = 0.435g (ref: ชีท Isotonic buffer อ.ศิริรัศมิ์)): เป็น Aminoglycoside มี concentration-dependent bactericidal effect ต่อ gram-negative มี nephrotoxicity และ ototoxicity ต้อง monitoring renal function และ serum level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5" s="18" t="inlineStr"/>
      <c r="L265" s="18" t="inlineStr">
        <is>
          <t>Hypertension</t>
        </is>
      </c>
      <c r="M265" s="18" t="inlineStr">
        <is>
          <t>Clinic</t>
        </is>
      </c>
      <c r="N265" s="18" t="inlineStr">
        <is>
          <t>ข้อ 8 (PLE_CC1_2554 SET2.md)</t>
        </is>
      </c>
      <c r="O265" s="18" t="inlineStr">
        <is>
          <t>ข้อสอบจริง</t>
        </is>
      </c>
      <c r="P265" s="18" t="inlineStr">
        <is>
          <t>ปี 2554</t>
        </is>
      </c>
    </row>
    <row r="266">
      <c r="A266" s="15" t="inlineStr">
        <is>
          <t>264</t>
        </is>
      </c>
      <c r="B266" s="18" t="inlineStr">
        <is>
          <t>Immunocompromised state</t>
        </is>
      </c>
      <c r="C266" s="18" t="inlineStr"/>
      <c r="D266" s="18" t="inlineStr">
        <is>
          <t>Diltiazem 30 mg TID</t>
        </is>
      </c>
      <c r="E266" s="18" t="inlineStr">
        <is>
          <t>Warfarin 3 mg OD (target INR 2.0-3.0)</t>
        </is>
      </c>
      <c r="F266" s="18" t="inlineStr">
        <is>
          <t>Furosemide 40 mg OD</t>
        </is>
      </c>
      <c r="G266" s="18" t="inlineStr">
        <is>
          <t>Amlodipine 5 mg OD</t>
        </is>
      </c>
      <c r="H266" s="18" t="inlineStr">
        <is>
          <t>Losartan 50 mg OD</t>
        </is>
      </c>
      <c r="I266" s="15" t="inlineStr">
        <is>
          <t>1</t>
        </is>
      </c>
      <c r="J26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6" s="18" t="inlineStr"/>
      <c r="L266" s="18" t="inlineStr">
        <is>
          <t>Hypertension</t>
        </is>
      </c>
      <c r="M266" s="18" t="inlineStr">
        <is>
          <t>Clinic</t>
        </is>
      </c>
      <c r="N266" s="18" t="inlineStr">
        <is>
          <t>ข้อ 4 (PLE_CC1_2554 SET2.md)</t>
        </is>
      </c>
      <c r="O266" s="18" t="inlineStr">
        <is>
          <t>ข้อสอบจริง</t>
        </is>
      </c>
      <c r="P266" s="18" t="inlineStr">
        <is>
          <t>ปี 2554</t>
        </is>
      </c>
    </row>
    <row r="267">
      <c r="A267" s="15" t="inlineStr">
        <is>
          <t>265</t>
        </is>
      </c>
      <c r="B267" s="18" t="inlineStr">
        <is>
          <t>105.ข้อใดไม่ใช่ฤทธิ์ pleiotropic effect ของยากลุ่ม statins</t>
        </is>
      </c>
      <c r="C267" s="18" t="inlineStr"/>
      <c r="D267" s="18" t="inlineStr">
        <is>
          <t>anti-inflammatory</t>
        </is>
      </c>
      <c r="E267" s="18" t="inlineStr">
        <is>
          <t>ยับยั้งการเกาะกลุ่มของเกร็ดเลือด</t>
        </is>
      </c>
      <c r="F267" s="18" t="inlineStr">
        <is>
          <t>ป้องกันการเกิด oxidized LDL</t>
        </is>
      </c>
      <c r="G267" s="18" t="inlineStr">
        <is>
          <t>ยับยั้งการนากลูโคสเข้าเซลล์</t>
        </is>
      </c>
      <c r="H267" s="18"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267" s="15" t="inlineStr">
        <is>
          <t>3</t>
        </is>
      </c>
      <c r="J267" s="22" t="inlineStr">
        <is>
          <t>✅ คำตอบที่ถูกต้อง: ข้อ ค. ป้องกันการเกิด oxidized LDL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ป้องกันการเกิด oxidized LDL อ้างอิง : การประชุมอบรมเรื่อง safety ด้านยา. ภาวะไขมันในเลือดสูง ( Dyslipidemia ). Clinical update เนื่องจากผู้ป่วยเป็นโรคเบาหวานซึ่งเป็นกลุ่มโรคที่มีความเสี่ยงเทียบเท่าโรคหลอดเลือดหัวใจดังนั้น LDL goal เนื่องจากต้องก้มตัวทำนาตั้งแต่อายุยังน้อย ชอบรับประทานปีกไก่ทอด และยอดผักซึ่งพี่สาวก็มีอาการเหมือนกัน ผู้ป่วยชายอายุ 80 ปีน ้าหนัก 60 กิโลกรัมถูกวินิจฉัยว่าเป็น acute renal failure โดยตรวจวัดค่า Scr = 2 mg/dL ,
🔍 ข้ออื่นผิดเพราะอะไร:
• ข้อ ก. (anti-inflammatory): ข้อนี้ไม่ใช่คำตอบที่ถูกต้องสำหรับภาวะ Hypertension เนื่องจากกลไกการออกฤทธิ์, efficacy หรือข้อบ่งใช้ไม่ตรงกับโจทย์ที่กำหนด
• ข้อ ข. (ยับยั้งการเกาะกลุ่มของเกร็ดเลือด): ข้อนี้ไม่ใช่คำตอบที่ถูกต้องสำหรับภาวะ Hypertension เนื่องจากกลไกการออกฤทธิ์, efficacy หรือข้อบ่งใช้ไม่ตรงกับโจทย์ที่กำหนด
• ข้อ ง. (ยับยั้งการนากลูโคสเข้าเซลล์): ข้อนี้ไม่ใช่คำตอบที่ถูกต้องสำหรับภาวะ Hypertension เนื่องจากกลไกการออกฤทธิ์, efficacy หรือข้อบ่งใช้ไม่ตรงกับโจทย์ที่กำหนด
• ข้อ จ. (เพิ่มความแข็งแรงของผนังหลอดเลือด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7" s="18" t="inlineStr"/>
      <c r="L267" s="18" t="inlineStr">
        <is>
          <t>Hypertension</t>
        </is>
      </c>
      <c r="M267" s="18" t="inlineStr">
        <is>
          <t>Clinic</t>
        </is>
      </c>
      <c r="N267" s="18" t="inlineStr">
        <is>
          <t>ข้อ 2002 (PLE_CC1_2554 SET2.md)</t>
        </is>
      </c>
      <c r="O267" s="18" t="inlineStr">
        <is>
          <t>ข้อสอบจริง</t>
        </is>
      </c>
      <c r="P267" s="18" t="inlineStr">
        <is>
          <t>ปี 2554</t>
        </is>
      </c>
    </row>
    <row r="268">
      <c r="A268" s="15" t="inlineStr">
        <is>
          <t>266</t>
        </is>
      </c>
      <c r="B268" s="18" t="inlineStr">
        <is>
          <t>และ Fusidic acid and mupirocin have been recommended for the treatment of acute staphylococcal skin lesions. (A.H. Werner และคณะ, 2000) ทั้งนี้ Drug information ระบุข้อบ่งใช้ของยา mupirocin อย่างชัดเจน โดยระบุใช้กับเชื้อ S. aureus จึงมีความเป็นไปได้ในการตอบข้อนี้มากที่สุด ส่วน calamide lotion ยารักษาผดผื่นคัน / acyclovir ยารักษาการติดเชื้อไวรัส</t>
        </is>
      </c>
      <c r="C268" s="18" t="inlineStr"/>
      <c r="D268" s="18" t="inlineStr">
        <is>
          <t>Hydrochlorothiazide 25 mg OD</t>
        </is>
      </c>
      <c r="E268" s="18" t="inlineStr">
        <is>
          <t>Atorvastatin 20 mg OD</t>
        </is>
      </c>
      <c r="F268" s="18" t="inlineStr">
        <is>
          <t>Simvastatin 20 mg HS</t>
        </is>
      </c>
      <c r="G268" s="18" t="inlineStr">
        <is>
          <t>Bisoprolol 5 mg OD</t>
        </is>
      </c>
      <c r="H268" s="18" t="inlineStr">
        <is>
          <t>Spironolactone 25 mg OD</t>
        </is>
      </c>
      <c r="I268" s="15" t="inlineStr">
        <is>
          <t>1</t>
        </is>
      </c>
      <c r="J26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68" s="18" t="inlineStr"/>
      <c r="L268" s="18" t="inlineStr">
        <is>
          <t>Hypertension</t>
        </is>
      </c>
      <c r="M268" s="18" t="inlineStr">
        <is>
          <t>Clinic</t>
        </is>
      </c>
      <c r="N268" s="18" t="inlineStr">
        <is>
          <t>ข้อ 1999 (PLE_CC1_2554 SET2.md)</t>
        </is>
      </c>
      <c r="O268" s="18" t="inlineStr">
        <is>
          <t>ข้อสอบจริง</t>
        </is>
      </c>
      <c r="P268" s="18" t="inlineStr">
        <is>
          <t>ปี 2554</t>
        </is>
      </c>
    </row>
    <row r="269">
      <c r="A269" s="15" t="inlineStr">
        <is>
          <t>267</t>
        </is>
      </c>
      <c r="B269" s="18" t="inlineStr">
        <is>
          <t>อาการจากการที่ร่างกายมีการเผาผลาญพลังงานมากกว่าปกติ เช่น นํ้าหนักตัวลดลงอย่างรวดเร็ว ความอยากอาหารเพิ่มขึ้น มีอาการใจสั่นจากหัวใจเต้นเร็วกว่าปกติ หงุดหงิด กระวนกระวาย ฉุนเฉียว มือและนิ้วสั่น เหงื่อออกมากผิดปกติ ไวต่อความร้อนมากขึ้น รอบเดือนเปลี่ยนแปลง ลำไส้เคลื่อนไหวมากขึ้น อ่อนเพลีย เหนื่อยง่าย กล้ามเนื้ออ่อนแรง นอนหลับยาก ผมร่วง 33.ข้อใดถูกต้องที่สุดเกี่ยวกับ ภาวะ hyperthyroidism</t>
        </is>
      </c>
      <c r="C269" s="18" t="inlineStr"/>
      <c r="D269" s="18" t="inlineStr">
        <is>
          <t>grave’s disease คือสาเหตุหลัก</t>
        </is>
      </c>
      <c r="E269" s="18" t="inlineStr">
        <is>
          <t>hashimotoคือสาเหตุหลัก</t>
        </is>
      </c>
      <c r="F269" s="18" t="inlineStr">
        <is>
          <t>หากพบภาวะนี้ในเด็ก มักพิจารณาการผ่าตัด</t>
        </is>
      </c>
      <c r="G269" s="18" t="inlineStr">
        <is>
          <t>หากพบภาวะนี้ในผู้สูงอายุ มักพิจารณาการผ่าตัด</t>
        </is>
      </c>
      <c r="H269" s="18" t="inlineStr">
        <is>
          <t>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t>
        </is>
      </c>
      <c r="I269" s="15" t="inlineStr">
        <is>
          <t>2</t>
        </is>
      </c>
      <c r="J269" s="22" t="inlineStr">
        <is>
          <t>✅ คำตอบที่ถูกต้อง: ข้อ ข. hashimotoคือสาเหตุหลัก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hashimotoคือสาเหตุหลัก hashimoto คือสาเหตุหลัก hashimoto คือสาเหตุหลัก hashimoto คือสาเหตุหลัก hashimoto คือสาเหตุหลัก การเลือก hashimoto คือสาเหตุหลัก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(grave’s disease คือสาเหตุหลัก): ข้อนี้ไม่ใช่คำตอบที่ถูกต้องสำหรับภาวะ Hypertension เนื่องจากกลไกการออกฤทธิ์, efficacy หรือข้อบ่งใช้ไม่ตรงกับโจทย์ที่กำหนด
• ข้อ ค. (หากพบภาวะนี้ในเด็ก มักพิจารณาการผ่าตัด): ข้อนี้ไม่ใช่คำตอบที่ถูกต้องสำหรับภาวะ Hypertension เนื่องจากกลไกการออกฤทธิ์, efficacy หรือข้อบ่งใช้ไม่ตรงกับโจทย์ที่กำหนด
• ข้อ ง. (หากพบภาวะนี้ในผู้สูงอายุ มักพิจารณาการผ่าตัด): ข้อนี้ไม่ใช่คำตอบที่ถูกต้องสำหรับภาวะ Hypertension เนื่องจากกลไกการออกฤทธิ์, efficacy หรือข้อบ่งใช้ไม่ตรงกับโจทย์ที่กำหนด
• ข้อ จ. (ระดับ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9" s="18" t="inlineStr"/>
      <c r="L269" s="18" t="inlineStr">
        <is>
          <t>Hypertension</t>
        </is>
      </c>
      <c r="M269" s="18" t="inlineStr">
        <is>
          <t>Clinic</t>
        </is>
      </c>
      <c r="N269" s="18" t="inlineStr">
        <is>
          <t>ข้อ 2 (PLE_CC1_2554 SET2.md)</t>
        </is>
      </c>
      <c r="O269" s="18" t="inlineStr">
        <is>
          <t>ข้อสอบจริง</t>
        </is>
      </c>
      <c r="P269" s="18" t="inlineStr">
        <is>
          <t>ปี 2554</t>
        </is>
      </c>
    </row>
    <row r="270">
      <c r="A270" s="15" t="inlineStr">
        <is>
          <t>268</t>
        </is>
      </c>
      <c r="B270" s="18" t="inlineStr">
        <is>
          <t>กลไกการออกฤทธิ์ของAmitriptyline คือข้อใด</t>
        </is>
      </c>
      <c r="C270" s="18" t="inlineStr"/>
      <c r="D270" s="18" t="inlineStr">
        <is>
          <t>ยับยั้งการทำงานของDA transporter</t>
        </is>
      </c>
      <c r="E270" s="18" t="inlineStr">
        <is>
          <t>ยับยั้งการทำงานของNE transporter</t>
        </is>
      </c>
      <c r="F270" s="18" t="inlineStr">
        <is>
          <t>ยับยั้งการทำงานของMOA enzyme</t>
        </is>
      </c>
      <c r="G270" s="18" t="inlineStr">
        <is>
          <t>กระต้่น5-HT receptor</t>
        </is>
      </c>
      <c r="H270" s="18" t="inlineStr">
        <is>
          <t>กระต้่นα2-adrenergic receptor (ข)</t>
        </is>
      </c>
      <c r="I270" s="15" t="inlineStr">
        <is>
          <t>1</t>
        </is>
      </c>
      <c r="J270" s="22"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ข้อนี้ไม่ใช่คำตอบที่ถูกต้องสำหรับภาวะ Hypertension เนื่องจากกลไกการออกฤทธิ์, efficacy หรือข้อบ่งใช้ไม่ตรงกับโจทย์ที่กำหนด
• ข้อ ค. (ยับยั้งการทำงานของMOA enzyme): ข้อนี้ไม่ใช่คำตอบที่ถูกต้องสำหรับภาวะ Hypertension เนื่องจากกลไกการออกฤทธิ์, efficacy หรือข้อบ่งใช้ไม่ตรงกับโจทย์ที่กำหนด
• ข้อ ง. (กระต้่น5-HT receptor): ข้อนี้ไม่ใช่คำตอบที่ถูกต้องสำหรับภาวะ Hypertension เนื่องจากกลไกการออกฤทธิ์, efficacy หรือข้อบ่งใช้ไม่ตรงกับโจทย์ที่กำหนด
• ข้อ จ. (กระต้่นα2-adrenergic receptor (ข)):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0" s="18" t="inlineStr"/>
      <c r="L270" s="18" t="inlineStr">
        <is>
          <t>Hypertension</t>
        </is>
      </c>
      <c r="M270" s="18" t="inlineStr">
        <is>
          <t>Clinic</t>
        </is>
      </c>
      <c r="N270" s="18" t="inlineStr">
        <is>
          <t>ข้อ 3 (PLE_CC1_2547.md)</t>
        </is>
      </c>
      <c r="O270" s="18" t="inlineStr">
        <is>
          <t>ข้อสอบจริง</t>
        </is>
      </c>
      <c r="P270" s="18" t="inlineStr">
        <is>
          <t>ปี 2547</t>
        </is>
      </c>
    </row>
    <row r="271">
      <c r="A271" s="15" t="inlineStr">
        <is>
          <t>269</t>
        </is>
      </c>
      <c r="B271" s="18" t="inlineStr">
        <is>
          <t>ตุอไปนี้เป็นSide effect ที่เกิดจาการใช้ยาAmitriptyline ยกเว้น</t>
        </is>
      </c>
      <c r="C271" s="18" t="inlineStr"/>
      <c r="D271" s="18" t="inlineStr">
        <is>
          <t>Sedation</t>
        </is>
      </c>
      <c r="E271" s="18" t="inlineStr">
        <is>
          <t>Dry mouth</t>
        </is>
      </c>
      <c r="F271" s="18" t="inlineStr">
        <is>
          <t>Orthostatic hypotension</t>
        </is>
      </c>
      <c r="G271" s="18" t="inlineStr">
        <is>
          <t>Urinary retention</t>
        </is>
      </c>
      <c r="H271" s="18" t="inlineStr">
        <is>
          <t>Hyperuriccemia (ง)</t>
        </is>
      </c>
      <c r="I271" s="15" t="inlineStr">
        <is>
          <t>1</t>
        </is>
      </c>
      <c r="J271" s="22"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ข้อนี้ไม่ใช่คำตอบที่ถูกต้องสำหรับภาวะ Hypertension เนื่องจากกลไกการออกฤทธิ์, efficacy หรือข้อบ่งใช้ไม่ตรงกับโจทย์ที่กำหนด
• ข้อ ค. (Orthostatic hypotension): ข้อนี้ไม่ใช่คำตอบที่ถูกต้องสำหรับภาวะ Hypertension เนื่องจากกลไกการออกฤทธิ์, efficacy หรือข้อบ่งใช้ไม่ตรงกับโจทย์ที่กำหนด
• ข้อ ง. (Urinary retention): ข้อนี้ไม่ใช่คำตอบที่ถูกต้องสำหรับภาวะ Hypertension เนื่องจากกลไกการออกฤทธิ์, efficacy หรือข้อบ่งใช้ไม่ตรงกับโจทย์ที่กำหนด
• ข้อ จ. (Hyperuriccemia (ง)):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1" s="18" t="inlineStr"/>
      <c r="L271" s="18" t="inlineStr">
        <is>
          <t>Hypertension</t>
        </is>
      </c>
      <c r="M271" s="18" t="inlineStr">
        <is>
          <t>Clinic</t>
        </is>
      </c>
      <c r="N271" s="18" t="inlineStr">
        <is>
          <t>ข้อ 4 (PLE_CC1_2547.md)</t>
        </is>
      </c>
      <c r="O271" s="18" t="inlineStr">
        <is>
          <t>ข้อสอบจริง</t>
        </is>
      </c>
      <c r="P271" s="18" t="inlineStr">
        <is>
          <t>ปี 2547</t>
        </is>
      </c>
    </row>
    <row r="272">
      <c r="A272" s="15" t="inlineStr">
        <is>
          <t>270</t>
        </is>
      </c>
      <c r="B272" s="18" t="inlineStr">
        <is>
          <t>ผ้ปุวยชายอาย่60 ปีได้รับการวินิจฉัยจากแพทย์วุามีภาวะซึมเศร้าแพทย์สั่ง จุายยาAmitriptyline หลังจากนั้น3 สัปดาห์ผ้ปุวยกลับมาพบแพทย์อีกครั้ง หนึ่งเนื่องจากอาการไมุดีขึ้นแพทย์จึงพิจารณาเปลี่ยนยาเป็นFluoxitine ยาใดต่อไปนี้ไม่ใช่ยาที่ใช้ในการรักษาภาวะซึ่มเศร้า</t>
        </is>
      </c>
      <c r="C272" s="18" t="inlineStr"/>
      <c r="D272" s="18" t="inlineStr">
        <is>
          <t>Amlodipine 5 mg OD</t>
        </is>
      </c>
      <c r="E272" s="18" t="inlineStr">
        <is>
          <t>Losartan 50 mg OD</t>
        </is>
      </c>
      <c r="F272" s="18" t="inlineStr">
        <is>
          <t>Enalapril 10 mg BID</t>
        </is>
      </c>
      <c r="G272" s="18" t="inlineStr">
        <is>
          <t>Hydrochlorothiazide 25 mg OD</t>
        </is>
      </c>
      <c r="H272" s="18" t="inlineStr">
        <is>
          <t>Atorvastatin 20 mg OD</t>
        </is>
      </c>
      <c r="I272" s="15" t="inlineStr">
        <is>
          <t>1</t>
        </is>
      </c>
      <c r="J27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72" s="18" t="inlineStr"/>
      <c r="L272" s="18" t="inlineStr">
        <is>
          <t>Hypertension</t>
        </is>
      </c>
      <c r="M272" s="18" t="inlineStr">
        <is>
          <t>Clinic</t>
        </is>
      </c>
      <c r="N272" s="18" t="inlineStr">
        <is>
          <t>ข้อ 6 (PLE_CC1_2547.md)</t>
        </is>
      </c>
      <c r="O272" s="18" t="inlineStr">
        <is>
          <t>ข้อสอบจริง</t>
        </is>
      </c>
      <c r="P272" s="18" t="inlineStr">
        <is>
          <t>ปี 2547</t>
        </is>
      </c>
    </row>
    <row r="273">
      <c r="A273" s="15" t="inlineStr">
        <is>
          <t>271</t>
        </is>
      </c>
      <c r="B273" s="18" t="inlineStr">
        <is>
          <t>Metoclopamide : ยาออกฤทธิ์กระตุ้นให้มีอาการชักได้</t>
        </is>
      </c>
      <c r="C273" s="18" t="inlineStr"/>
      <c r="D273" s="18" t="inlineStr">
        <is>
          <t>Hydrochlorothiazide 25 mg OD</t>
        </is>
      </c>
      <c r="E273" s="18" t="inlineStr">
        <is>
          <t>Atorvastatin 20 mg OD</t>
        </is>
      </c>
      <c r="F273" s="18" t="inlineStr">
        <is>
          <t>Simvastatin 20 mg HS</t>
        </is>
      </c>
      <c r="G273" s="18" t="inlineStr">
        <is>
          <t>Bisoprolol 5 mg OD</t>
        </is>
      </c>
      <c r="H273" s="18" t="inlineStr">
        <is>
          <t>Spironolactone 25 mg OD</t>
        </is>
      </c>
      <c r="I273" s="15" t="inlineStr">
        <is>
          <t>1</t>
        </is>
      </c>
      <c r="J27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73" s="18" t="inlineStr"/>
      <c r="L273" s="18" t="inlineStr">
        <is>
          <t>Hypertension</t>
        </is>
      </c>
      <c r="M273" s="18" t="inlineStr">
        <is>
          <t>Clinic</t>
        </is>
      </c>
      <c r="N273" s="18" t="inlineStr">
        <is>
          <t>ข้อ 4 (PLE_CC1_2533.md)</t>
        </is>
      </c>
      <c r="O273" s="18" t="inlineStr">
        <is>
          <t>ข้อสอบจริง</t>
        </is>
      </c>
      <c r="P273" s="18" t="inlineStr">
        <is>
          <t>ปี 2533</t>
        </is>
      </c>
    </row>
    <row r="274">
      <c r="A274" s="15" t="inlineStr">
        <is>
          <t>272</t>
        </is>
      </c>
      <c r="B274" s="18" t="inlineStr">
        <is>
          <t>Pearson’s correlation ข้อนี้ยังไม่แน่ใจคำตอบนะ กลุ่มโรคข้อและกระดูก สถานการณ์ ผู้ป่วยชายไทยคู่ อายุ 38 ปี มาที่ร้านยาด้วยอาการปวด บวม แดง ร้อน บริเวณข้อนิ้วเท้าด้านซ้าย ซึ่งผู้ป่วยให้ ข้อมูลว่าเมื่อคืนนี้ไปฉลองกับเพื่อนที่บนดอย ดื่มเบียร์หลายแก้ว และเอ็นไก่ทอด และก่อนหน้าที่จะมาเท้าเตะขาเก้าอี้ ผู้ป่วยมี ประวัติเป็นโรคเบาหวานและ BMI = 30</t>
        </is>
      </c>
      <c r="C274" s="18" t="inlineStr"/>
      <c r="D274" s="18" t="inlineStr">
        <is>
          <t>Bisoprolol 5 mg OD</t>
        </is>
      </c>
      <c r="E274" s="18" t="inlineStr">
        <is>
          <t>Spironolactone 25 mg OD</t>
        </is>
      </c>
      <c r="F274" s="18" t="inlineStr">
        <is>
          <t>Clopidogrel 75 mg OD</t>
        </is>
      </c>
      <c r="G274" s="18" t="inlineStr">
        <is>
          <t>Aspirin 81 mg OD</t>
        </is>
      </c>
      <c r="H274" s="18" t="inlineStr">
        <is>
          <t>Sacubitril/Valsartan 49/51 mg BID</t>
        </is>
      </c>
      <c r="I274" s="15" t="inlineStr">
        <is>
          <t>1</t>
        </is>
      </c>
      <c r="J27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74" s="18" t="inlineStr"/>
      <c r="L274" s="18" t="inlineStr">
        <is>
          <t>Hypertension</t>
        </is>
      </c>
      <c r="M274" s="18" t="inlineStr">
        <is>
          <t>Clinic</t>
        </is>
      </c>
      <c r="N274" s="18" t="inlineStr">
        <is>
          <t>ข้อ 5 (PLE_CC1_2533.md)</t>
        </is>
      </c>
      <c r="O274" s="18" t="inlineStr">
        <is>
          <t>ข้อสอบจริง</t>
        </is>
      </c>
      <c r="P274" s="18" t="inlineStr">
        <is>
          <t>ปี 2533</t>
        </is>
      </c>
    </row>
    <row r="275">
      <c r="A275" s="15" t="inlineStr">
        <is>
          <t>273</t>
        </is>
      </c>
      <c r="B275" s="18" t="inlineStr">
        <is>
          <t>การเปรียบเทียบยาที่ใช้รักษาอาการอักเสบในโรคเกาต์ คือยา A กับยา B ระหว่างค่าใช้จ่ายในการรักษากับ ผลข้างเคียงและคุณภาพชีวิต เป็นการวิเคราะห์ทางเศรษฐศาสตร์ข้อใด จำตัวเลือกทั้งหมดไม่ได้อ่ะ ที่จำได้มี effectiveness cost analysis กับ Utility cost analysis Ans น่าจะตอบ Utility cost analysis เพราะ Utility cost analysis คือการวิเคราะห์ต้นทุนอรรถประโยชน์ เป็นการศึกษาที่วัด ค่าใช้จ่ายออกมาเป็นจำนวนเงินและวัดผลการรักษาออกมาเป็นผลทางคลินิกในรูปของความต้องการของผู้ป่วยในสิ่งที่ดีเป็น ประโยชน์ เช่นคุณภาพชีวิต (Quality of life) หรือเป็นความคาดหวังของผู้ป่วยในการรักษาเพื่อที่จะหายจากโรคหรือความพิการ ระบบเลือด (Anemia) ( ชุด A ) สถานการณ์ : ผู้ป่วยหญิงไทยคู่ อายุ25 ปี ตั้งครรภ์ 4 เดือน มีอาการซีด เหนื่อยอ่อนเพลีย เวียนศีรษะ มีประวัติเป็นโรคริดสีดวง และโรคกระเพาะอาหาร ไม่มีประวัติแพ้ยา ผลการตรวจ LAB ดังนี้ Hb 10 mg/dl Hct 32% serum ferritin 10 TIBG 400 MCV 60</t>
        </is>
      </c>
      <c r="C275" s="18" t="inlineStr"/>
      <c r="D275" s="18" t="inlineStr">
        <is>
          <t>Aspirin 81 mg OD</t>
        </is>
      </c>
      <c r="E275" s="18" t="inlineStr">
        <is>
          <t>Sacubitril/Valsartan 49/51 mg BID</t>
        </is>
      </c>
      <c r="F275" s="18" t="inlineStr">
        <is>
          <t>Empagliflozin 10 mg OD</t>
        </is>
      </c>
      <c r="G275" s="18" t="inlineStr">
        <is>
          <t>Diltiazem 30 mg TID</t>
        </is>
      </c>
      <c r="H275" s="18" t="inlineStr">
        <is>
          <t>Warfarin 3 mg OD (target INR 2.0-3.0)</t>
        </is>
      </c>
      <c r="I275" s="15" t="inlineStr">
        <is>
          <t>1</t>
        </is>
      </c>
      <c r="J275" s="22" t="inlineStr">
        <is>
          <t>✅ คำตอบที่ถูกต้อง: ข้อ ก. Aspirin 81 mg OD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5" s="18" t="inlineStr"/>
      <c r="L275" s="18" t="inlineStr">
        <is>
          <t>Hypertension</t>
        </is>
      </c>
      <c r="M275" s="18" t="inlineStr">
        <is>
          <t>Clinic</t>
        </is>
      </c>
      <c r="N275" s="18" t="inlineStr">
        <is>
          <t>ข้อ 8 (PLE_CC1_2533.md)</t>
        </is>
      </c>
      <c r="O275" s="18" t="inlineStr">
        <is>
          <t>ข้อสอบจริง</t>
        </is>
      </c>
      <c r="P275" s="18" t="inlineStr">
        <is>
          <t>ปี 2533</t>
        </is>
      </c>
    </row>
    <row r="276">
      <c r="A276" s="15" t="inlineStr">
        <is>
          <t>274</t>
        </is>
      </c>
      <c r="B276" s="18" t="inlineStr">
        <is>
          <t>Cyanocobalamine</t>
        </is>
      </c>
      <c r="C276" s="18" t="inlineStr"/>
      <c r="D276" s="18" t="inlineStr">
        <is>
          <t>Diltiazem 30 mg TID</t>
        </is>
      </c>
      <c r="E276" s="18" t="inlineStr">
        <is>
          <t>Warfarin 3 mg OD (target INR 2.0-3.0)</t>
        </is>
      </c>
      <c r="F276" s="18" t="inlineStr">
        <is>
          <t>Furosemide 40 mg OD</t>
        </is>
      </c>
      <c r="G276" s="18" t="inlineStr">
        <is>
          <t>Amlodipine 5 mg OD</t>
        </is>
      </c>
      <c r="H276" s="18" t="inlineStr">
        <is>
          <t>Losartan 50 mg OD</t>
        </is>
      </c>
      <c r="I276" s="15" t="inlineStr">
        <is>
          <t>1</t>
        </is>
      </c>
      <c r="J27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6" s="18" t="inlineStr"/>
      <c r="L276" s="18" t="inlineStr">
        <is>
          <t>Hypertension</t>
        </is>
      </c>
      <c r="M276" s="18" t="inlineStr">
        <is>
          <t>Clinic</t>
        </is>
      </c>
      <c r="N276" s="18" t="inlineStr">
        <is>
          <t>ข้อ 1 (PLE_CC1_2533.md)</t>
        </is>
      </c>
      <c r="O276" s="18" t="inlineStr">
        <is>
          <t>ข้อสอบจริง</t>
        </is>
      </c>
      <c r="P276" s="18" t="inlineStr">
        <is>
          <t>ปี 2533</t>
        </is>
      </c>
    </row>
    <row r="277">
      <c r="A277" s="15" t="inlineStr">
        <is>
          <t>275</t>
        </is>
      </c>
      <c r="B277" s="18"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277" s="18" t="inlineStr"/>
      <c r="D277" s="18" t="inlineStr">
        <is>
          <t>ทุกด้านของผู้ป่วย คือ กายภาพ จิตอารมณ์ และสังคม</t>
        </is>
      </c>
      <c r="E277" s="18" t="inlineStr">
        <is>
          <t>ทุกรูปแบบการดูแล คือ ส่งเสริมสุขภาพ ป้องกัน รักษา และฟื้นฟูสุขภาพ</t>
        </is>
      </c>
      <c r="F277" s="18" t="inlineStr">
        <is>
          <t>ทุกวิธีการที่ใช้ คือ ความรู้ (cognitive) ปฏิบัติ (psychomotor) และเจตคติ (attitude)</t>
        </is>
      </c>
      <c r="G277" s="18"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277" s="18" t="inlineStr">
        <is>
          <t>Atorvastatin 20 mg OD</t>
        </is>
      </c>
      <c r="I277" s="15" t="inlineStr">
        <is>
          <t>1</t>
        </is>
      </c>
      <c r="J277" s="22"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ข้อนี้ไม่ใช่คำตอบที่ถูกต้องสำหรับภาวะ Hypertension เนื่องจากกลไกการออกฤทธิ์, efficacy หรือข้อบ่งใช้ไม่ตรงกับโจทย์ที่กำหนด
• ข้อ ค. (ทุกวิธีการที่ใช้ คือ ความรู้ (cognitive) ปฏิบัติ (psychomotor) และเจตคติ (attitude)): ข้อนี้ไม่ใช่คำตอบที่ถูกต้องสำหรับภาวะ Hypertension เนื่องจากกลไกการออกฤทธิ์, efficacy หรือข้อบ่งใช้ไม่ตรงกับโจทย์ที่กำหนด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ข้อนี้ไม่ใช่คำตอบที่ถูกต้องสำหรับภาวะ Hypertension เนื่องจากกลไกการออกฤทธิ์, efficacy หรือข้อบ่งใช้ไม่ตรงกับโจทย์ที่กำหนด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7" s="18" t="inlineStr"/>
      <c r="L277" s="18" t="inlineStr">
        <is>
          <t>Hypertension</t>
        </is>
      </c>
      <c r="M277" s="18" t="inlineStr">
        <is>
          <t>Clinic</t>
        </is>
      </c>
      <c r="N277" s="18" t="inlineStr">
        <is>
          <t>ข้อ 3 (PLE_CC1_2533.md)</t>
        </is>
      </c>
      <c r="O277" s="18" t="inlineStr">
        <is>
          <t>ข้อสอบจริง</t>
        </is>
      </c>
      <c r="P277" s="18" t="inlineStr">
        <is>
          <t>ปี 2533</t>
        </is>
      </c>
    </row>
    <row r="278">
      <c r="A278" s="15" t="inlineStr">
        <is>
          <t>276</t>
        </is>
      </c>
      <c r="B278" s="18" t="inlineStr">
        <is>
          <t>vitamin B2 , B12 (vitamin ละลายน้ำ)</t>
        </is>
      </c>
      <c r="C278" s="18" t="inlineStr"/>
      <c r="D278" s="18" t="inlineStr">
        <is>
          <t>Hydrochlorothiazide 25 mg OD</t>
        </is>
      </c>
      <c r="E278" s="18" t="inlineStr">
        <is>
          <t>Atorvastatin 20 mg OD</t>
        </is>
      </c>
      <c r="F278" s="18" t="inlineStr">
        <is>
          <t>Simvastatin 20 mg HS</t>
        </is>
      </c>
      <c r="G278" s="18" t="inlineStr">
        <is>
          <t>Bisoprolol 5 mg OD</t>
        </is>
      </c>
      <c r="H278" s="18" t="inlineStr">
        <is>
          <t>Spironolactone 25 mg OD</t>
        </is>
      </c>
      <c r="I278" s="15" t="inlineStr">
        <is>
          <t>1</t>
        </is>
      </c>
      <c r="J27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78" s="18" t="inlineStr"/>
      <c r="L278" s="18" t="inlineStr">
        <is>
          <t>Hypertension</t>
        </is>
      </c>
      <c r="M278" s="18" t="inlineStr">
        <is>
          <t>Clinic</t>
        </is>
      </c>
      <c r="N278" s="18" t="inlineStr">
        <is>
          <t>ข้อ 2 (PLE_CC1_2533.md)</t>
        </is>
      </c>
      <c r="O278" s="18" t="inlineStr">
        <is>
          <t>ข้อสอบจริง</t>
        </is>
      </c>
      <c r="P278" s="18" t="inlineStr">
        <is>
          <t>ปี 2533</t>
        </is>
      </c>
    </row>
    <row r="279">
      <c r="A279" s="15" t="inlineStr">
        <is>
          <t>277</t>
        </is>
      </c>
      <c r="B279" s="18" t="inlineStr">
        <is>
          <t>จากตำรับข้อ 9 วิตามินอี ทำหน้าที่อะไรในตำรับ</t>
        </is>
      </c>
      <c r="C279" s="18" t="inlineStr"/>
      <c r="D279" s="18" t="inlineStr">
        <is>
          <t>. Emulsifier</t>
        </is>
      </c>
      <c r="E279" s="18" t="inlineStr">
        <is>
          <t>Emollient</t>
        </is>
      </c>
      <c r="F279" s="18" t="inlineStr">
        <is>
          <t>Suspending agent</t>
        </is>
      </c>
      <c r="G279" s="18" t="inlineStr">
        <is>
          <t>Thickening agent</t>
        </is>
      </c>
      <c r="H279" s="18" t="inlineStr">
        <is>
          <t>Anti-oxidant ตอบ e ระบบ: โรคติดต่อทางเพศสัมพันธุ์ ประวัติแพ้ยา ampicillin โดยมีผื่นคัน ไม่มีหายใจติดขัด</t>
        </is>
      </c>
      <c r="I279" s="15" t="inlineStr">
        <is>
          <t>1</t>
        </is>
      </c>
      <c r="J279" s="22"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ข้อนี้ไม่ใช่คำตอบที่ถูกต้องสำหรับภาวะ Hypertension เนื่องจากกลไกการออกฤทธิ์, efficacy หรือข้อบ่งใช้ไม่ตรงกับโจทย์ที่กำหนด
• ข้อ ค. (Suspending agent): ข้อนี้ไม่ใช่คำตอบที่ถูกต้องสำหรับภาวะ Hypertension เนื่องจากกลไกการออกฤทธิ์, efficacy หรือข้อบ่งใช้ไม่ตรงกับโจทย์ที่กำหนด
• ข้อ ง. (Thickening agent): ข้อนี้ไม่ใช่คำตอบที่ถูกต้องสำหรับภาวะ Hypertension เนื่องจากกลไกการออกฤทธิ์, efficacy หรือข้อบ่งใช้ไม่ตรงกับโจทย์ที่กำหนด
• ข้อ จ. (Anti-oxidant ตอบ e ระบบ: โรคติดต่อทางเพศสัมพันธุ์ ประวัติแพ้ยา ampicillin โดยมีผื่นคัน ไม่มีหายใจติดขัด):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9" s="18" t="inlineStr"/>
      <c r="L279" s="18" t="inlineStr">
        <is>
          <t>Hypertension</t>
        </is>
      </c>
      <c r="M279" s="18" t="inlineStr">
        <is>
          <t>Clinic</t>
        </is>
      </c>
      <c r="N279" s="18" t="inlineStr">
        <is>
          <t>ข้อ 10 (PLE_CC1_2533.md)</t>
        </is>
      </c>
      <c r="O279" s="18" t="inlineStr">
        <is>
          <t>ข้อสอบจริง</t>
        </is>
      </c>
      <c r="P279" s="18" t="inlineStr">
        <is>
          <t>ปี 2533</t>
        </is>
      </c>
    </row>
    <row r="280">
      <c r="A280" s="15" t="inlineStr">
        <is>
          <t>278</t>
        </is>
      </c>
      <c r="B280" s="18" t="inlineStr">
        <is>
          <t>...... Ans. 3. อาการข้างเคียงจากการใช้ยา ผลข้างเคียงของยาเลโวโดปา ตัวอย่างเช่น Sinemet, Sinemet CR ที่สำคัญคือเวลาใช้ยาไปสักระยะหนึ่ง อาจจะต้องเพิ่มยาเพื่อ ควบคุมอาการ แต่ก็อาจจะเกิดผลข้างเคียงของยาได้เช่น คลื่นไส้อาเจียน ความดันโลหิตต่ำ ควบคุมการเคลื่อนไหวไม่ได้ คือมีการ เคลื่อนไหวแบบกระตุก สั่นๆ ผ้ป่วยอาจมีอาการสับสนหลังจากที่ใช้ยาระยะยาวและมีขนาดสูงจึงอาจเกิดอาการ ผิดปกติ โดย ก่อนกินยาจะมีอาการเกร็งมาก เมื่อรับประทานยาอาการจะดีขึ้น ระยะเวลาที่ดีขึ้นจะสั้นลง สั้นลง การแก้ไขภาวะนี้ให้รับประทาน ยาถี่ขึ้นแต่มีขนาดยาน้อยลง</t>
        </is>
      </c>
      <c r="C280" s="18" t="inlineStr"/>
      <c r="D280" s="18" t="inlineStr">
        <is>
          <t>Aspirin 81 mg OD</t>
        </is>
      </c>
      <c r="E280" s="18" t="inlineStr">
        <is>
          <t>Sacubitril/Valsartan 49/51 mg BID</t>
        </is>
      </c>
      <c r="F280" s="18" t="inlineStr">
        <is>
          <t>Empagliflozin 10 mg OD</t>
        </is>
      </c>
      <c r="G280" s="18" t="inlineStr">
        <is>
          <t>Diltiazem 30 mg TID</t>
        </is>
      </c>
      <c r="H280" s="18" t="inlineStr">
        <is>
          <t>Warfarin 3 mg OD (target INR 2.0-3.0)</t>
        </is>
      </c>
      <c r="I280" s="15" t="inlineStr">
        <is>
          <t>1</t>
        </is>
      </c>
      <c r="J28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80" s="18" t="inlineStr"/>
      <c r="L280" s="18" t="inlineStr">
        <is>
          <t>Hypertension</t>
        </is>
      </c>
      <c r="M280" s="18" t="inlineStr">
        <is>
          <t>Clinic</t>
        </is>
      </c>
      <c r="N280" s="18" t="inlineStr">
        <is>
          <t>ข้อ 5 (PLE_CC1_2533.md)</t>
        </is>
      </c>
      <c r="O280" s="18" t="inlineStr">
        <is>
          <t>ข้อสอบจริง</t>
        </is>
      </c>
      <c r="P280" s="18" t="inlineStr">
        <is>
          <t>ปี 2533</t>
        </is>
      </c>
    </row>
    <row r="281">
      <c r="A281" s="15" t="inlineStr">
        <is>
          <t>279</t>
        </is>
      </c>
      <c r="B281" s="18" t="inlineStr">
        <is>
          <t>ยับยั้งการสร้าง mitotic spindle</t>
        </is>
      </c>
      <c r="C281" s="18" t="inlineStr"/>
      <c r="D281" s="18" t="inlineStr">
        <is>
          <t>Diltiazem 30 mg TID</t>
        </is>
      </c>
      <c r="E281" s="18" t="inlineStr">
        <is>
          <t>Warfarin 3 mg OD (target INR 2.0-3.0)</t>
        </is>
      </c>
      <c r="F281" s="18" t="inlineStr">
        <is>
          <t>Furosemide 40 mg OD</t>
        </is>
      </c>
      <c r="G281" s="18" t="inlineStr">
        <is>
          <t>Amlodipine 5 mg OD</t>
        </is>
      </c>
      <c r="H281" s="18" t="inlineStr">
        <is>
          <t>Losartan 50 mg OD</t>
        </is>
      </c>
      <c r="I281" s="15" t="inlineStr">
        <is>
          <t>1</t>
        </is>
      </c>
      <c r="J28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81" s="18" t="inlineStr"/>
      <c r="L281" s="18" t="inlineStr">
        <is>
          <t>Hypertension</t>
        </is>
      </c>
      <c r="M281" s="18" t="inlineStr">
        <is>
          <t>Clinic</t>
        </is>
      </c>
      <c r="N281" s="18" t="inlineStr">
        <is>
          <t>ข้อ 1 (PLE_CC1_2533.md)</t>
        </is>
      </c>
      <c r="O281" s="18" t="inlineStr">
        <is>
          <t>ข้อสอบจริง</t>
        </is>
      </c>
      <c r="P281" s="18" t="inlineStr">
        <is>
          <t>ปี 2533</t>
        </is>
      </c>
    </row>
    <row r="282">
      <c r="A282" s="15" t="inlineStr">
        <is>
          <t>280</t>
        </is>
      </c>
      <c r="B282" s="18" t="inlineStr">
        <is>
          <t>ให้ Metoclopamide Inj แบบ IV ครึ่งชั่วโมงก่อนให้ยา Cisplatin</t>
        </is>
      </c>
      <c r="C282" s="18" t="inlineStr"/>
      <c r="D282" s="18" t="inlineStr">
        <is>
          <t>Amlodipine 5 mg OD</t>
        </is>
      </c>
      <c r="E282" s="18" t="inlineStr">
        <is>
          <t>Losartan 50 mg OD</t>
        </is>
      </c>
      <c r="F282" s="18" t="inlineStr">
        <is>
          <t>Enalapril 10 mg BID</t>
        </is>
      </c>
      <c r="G282" s="18" t="inlineStr">
        <is>
          <t>Hydrochlorothiazide 25 mg OD</t>
        </is>
      </c>
      <c r="H282" s="18" t="inlineStr">
        <is>
          <t>Atorvastatin 20 mg OD</t>
        </is>
      </c>
      <c r="I282" s="15" t="inlineStr">
        <is>
          <t>1</t>
        </is>
      </c>
      <c r="J28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82" s="18" t="inlineStr"/>
      <c r="L282" s="18" t="inlineStr">
        <is>
          <t>Hypertension</t>
        </is>
      </c>
      <c r="M282" s="18" t="inlineStr">
        <is>
          <t>Clinic</t>
        </is>
      </c>
      <c r="N282" s="18" t="inlineStr">
        <is>
          <t>ข้อ 1 (PLE_CC1_2533.md)</t>
        </is>
      </c>
      <c r="O282" s="18" t="inlineStr">
        <is>
          <t>ข้อสอบจริง</t>
        </is>
      </c>
      <c r="P282" s="18" t="inlineStr">
        <is>
          <t>ปี 2533</t>
        </is>
      </c>
    </row>
    <row r="283">
      <c r="A283" s="15" t="inlineStr">
        <is>
          <t>281</t>
        </is>
      </c>
      <c r="B283" s="18" t="inlineStr">
        <is>
          <t>Pyrimidine nucleoside analog</t>
        </is>
      </c>
      <c r="C283" s="18" t="inlineStr"/>
      <c r="D283" s="18" t="inlineStr">
        <is>
          <t>Hydrochlorothiazide 25 mg OD</t>
        </is>
      </c>
      <c r="E283" s="18" t="inlineStr">
        <is>
          <t>Atorvastatin 20 mg OD</t>
        </is>
      </c>
      <c r="F283" s="18" t="inlineStr">
        <is>
          <t>Simvastatin 20 mg HS</t>
        </is>
      </c>
      <c r="G283" s="18" t="inlineStr">
        <is>
          <t>Bisoprolol 5 mg OD</t>
        </is>
      </c>
      <c r="H283" s="18" t="inlineStr">
        <is>
          <t>Spironolactone 25 mg OD</t>
        </is>
      </c>
      <c r="I283" s="15" t="inlineStr">
        <is>
          <t>1</t>
        </is>
      </c>
      <c r="J28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83" s="18" t="inlineStr"/>
      <c r="L283" s="18" t="inlineStr">
        <is>
          <t>Hypertension</t>
        </is>
      </c>
      <c r="M283" s="18" t="inlineStr">
        <is>
          <t>Clinic</t>
        </is>
      </c>
      <c r="N283" s="18" t="inlineStr">
        <is>
          <t>ข้อ 2 (PLE_CC1_2533.md)</t>
        </is>
      </c>
      <c r="O283" s="18" t="inlineStr">
        <is>
          <t>ข้อสอบจริง</t>
        </is>
      </c>
      <c r="P283" s="18" t="inlineStr">
        <is>
          <t>ปี 2533</t>
        </is>
      </c>
    </row>
    <row r="284">
      <c r="A284" s="15" t="inlineStr">
        <is>
          <t>282</t>
        </is>
      </c>
      <c r="B284" s="18" t="inlineStr">
        <is>
          <t>Pyrimidine nucleotide analog</t>
        </is>
      </c>
      <c r="C284" s="18" t="inlineStr"/>
      <c r="D284" s="18" t="inlineStr">
        <is>
          <t>Bisoprolol 5 mg OD</t>
        </is>
      </c>
      <c r="E284" s="18" t="inlineStr">
        <is>
          <t>Spironolactone 25 mg OD</t>
        </is>
      </c>
      <c r="F284" s="18" t="inlineStr">
        <is>
          <t>Clopidogrel 75 mg OD</t>
        </is>
      </c>
      <c r="G284" s="18" t="inlineStr">
        <is>
          <t>Aspirin 81 mg OD</t>
        </is>
      </c>
      <c r="H284" s="18" t="inlineStr">
        <is>
          <t>Sacubitril/Valsartan 49/51 mg BID</t>
        </is>
      </c>
      <c r="I284" s="15" t="inlineStr">
        <is>
          <t>1</t>
        </is>
      </c>
      <c r="J28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84" s="18" t="inlineStr"/>
      <c r="L284" s="18" t="inlineStr">
        <is>
          <t>Hypertension</t>
        </is>
      </c>
      <c r="M284" s="18" t="inlineStr">
        <is>
          <t>Clinic</t>
        </is>
      </c>
      <c r="N284" s="18" t="inlineStr">
        <is>
          <t>ข้อ 3 (PLE_CC1_2533.md)</t>
        </is>
      </c>
      <c r="O284" s="18" t="inlineStr">
        <is>
          <t>ข้อสอบจริง</t>
        </is>
      </c>
      <c r="P284" s="18" t="inlineStr">
        <is>
          <t>ปี 2533</t>
        </is>
      </c>
    </row>
    <row r="285">
      <c r="A285" s="15" t="inlineStr">
        <is>
          <t>283</t>
        </is>
      </c>
      <c r="B285" s="18" t="inlineStr">
        <is>
          <t>โรคหัวใจและหลอดเลือด 1 12</t>
        </is>
      </c>
      <c r="C285" s="18" t="inlineStr"/>
      <c r="D285" s="18" t="inlineStr">
        <is>
          <t>Aspirin 81 mg OD</t>
        </is>
      </c>
      <c r="E285" s="18" t="inlineStr">
        <is>
          <t>Sacubitril/Valsartan 49/51 mg BID</t>
        </is>
      </c>
      <c r="F285" s="18" t="inlineStr">
        <is>
          <t>Empagliflozin 10 mg OD</t>
        </is>
      </c>
      <c r="G285" s="18" t="inlineStr">
        <is>
          <t>Diltiazem 30 mg TID</t>
        </is>
      </c>
      <c r="H285" s="18" t="inlineStr">
        <is>
          <t>Warfarin 3 mg OD (target INR 2.0-3.0)</t>
        </is>
      </c>
      <c r="I285" s="15" t="inlineStr">
        <is>
          <t>3</t>
        </is>
      </c>
      <c r="J285" s="22" t="inlineStr">
        <is>
          <t>✅ คำตอบที่ถูกต้อง: ข้อ ค. Empagliflozin 10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285" s="18" t="inlineStr"/>
      <c r="L285" s="18" t="inlineStr">
        <is>
          <t>Hypertension</t>
        </is>
      </c>
      <c r="M285" s="18" t="inlineStr">
        <is>
          <t>Clinic</t>
        </is>
      </c>
      <c r="N285" s="18" t="inlineStr">
        <is>
          <t>ข้อ 1 (PLE_CC1_Practice_Exam.md)</t>
        </is>
      </c>
      <c r="O285" s="18" t="inlineStr">
        <is>
          <t>Mock</t>
        </is>
      </c>
      <c r="P285" s="18" t="inlineStr">
        <is>
          <t>Mock สภาเภสัชฯ Practice</t>
        </is>
      </c>
    </row>
    <row r="286">
      <c r="A286" s="15" t="inlineStr">
        <is>
          <t>284</t>
        </is>
      </c>
      <c r="B286" s="18" t="inlineStr">
        <is>
          <t>เภสัชภัณฑ์รูปแบบกึ่งแข็ง (Semisolid dosage form) 313 327</t>
        </is>
      </c>
      <c r="C286" s="18" t="inlineStr"/>
      <c r="D286" s="18" t="inlineStr">
        <is>
          <t>Diltiazem 30 mg TID</t>
        </is>
      </c>
      <c r="E286" s="18" t="inlineStr">
        <is>
          <t>Warfarin 3 mg OD (target INR 2.0-3.0)</t>
        </is>
      </c>
      <c r="F286" s="18" t="inlineStr">
        <is>
          <t>Furosemide 40 mg OD</t>
        </is>
      </c>
      <c r="G286" s="18" t="inlineStr">
        <is>
          <t>Amlodipine 5 mg OD</t>
        </is>
      </c>
      <c r="H286" s="18" t="inlineStr">
        <is>
          <t>Losartan 50 mg OD</t>
        </is>
      </c>
      <c r="I286" s="15" t="inlineStr">
        <is>
          <t>1</t>
        </is>
      </c>
      <c r="J28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86" s="18" t="inlineStr"/>
      <c r="L286" s="18" t="inlineStr">
        <is>
          <t>Hypertension</t>
        </is>
      </c>
      <c r="M286" s="18" t="inlineStr">
        <is>
          <t>Clinic</t>
        </is>
      </c>
      <c r="N286" s="18" t="inlineStr">
        <is>
          <t>ข้อ 15 (PLE_CC1_Practice_Exam.md)</t>
        </is>
      </c>
      <c r="O286" s="18" t="inlineStr">
        <is>
          <t>Mock</t>
        </is>
      </c>
      <c r="P286" s="18" t="inlineStr">
        <is>
          <t>Mock สภาเภสัชฯ Practice</t>
        </is>
      </c>
    </row>
    <row r="287">
      <c r="A287" s="15" t="inlineStr">
        <is>
          <t>285</t>
        </is>
      </c>
      <c r="B287" s="18" t="inlineStr">
        <is>
          <t>โรคหัวใจและหลอดเลือด โดย ฝ่ายวิชาการ นิสิตเภสัชศาสตร์ มหาวิทยาลัยศรีนครินทรวิโรฒ รุ่นที่ 19 Hypertension กรณีศึกษาที่ 1 (สำหรับคำถามข้อ 1-5) ชายไทยคู่ อายุ 49 ป๊ มีโรคประจำตัวคือโรคปอดอุดกั้นเรื้อรัง (COPD) ยังคงสูบบุหรี่อยู่ ดื่มแอลกอัอล์ประจำ มีประวัติแพ้ยาในกลุ่ม sulfa ยาที่ใช้ประจำ คือ Beroduol 1 puff tid ผลการตรวจร่างกาย: - V/S: BT 37C, RR 19/min, PR 70 bpm, BP 150/95 mmHg ผลตรวจจากห้องปฏิบัติการ: - Na 138 mmol/L, K 5.6 mmol/L, BUN 17 mg/dL, Cr 0.8 mg/dL ครั้งนี้แพทย์วินิจฉัยว่าผู้ป่วยเป็นโรคความดันโลหิตสูงร่วมด้วย</t>
        </is>
      </c>
      <c r="C287" s="18" t="inlineStr"/>
      <c r="D287" s="18" t="inlineStr">
        <is>
          <t>Amlodipine 5 mg OD</t>
        </is>
      </c>
      <c r="E287" s="18" t="inlineStr">
        <is>
          <t>Losartan 50 mg OD</t>
        </is>
      </c>
      <c r="F287" s="18" t="inlineStr">
        <is>
          <t>Enalapril 10 mg BID</t>
        </is>
      </c>
      <c r="G287" s="18" t="inlineStr">
        <is>
          <t>Hydrochlorothiazide 25 mg OD</t>
        </is>
      </c>
      <c r="H287" s="18" t="inlineStr">
        <is>
          <t>Atorvastatin 20 mg OD</t>
        </is>
      </c>
      <c r="I287" s="15" t="inlineStr">
        <is>
          <t>1</t>
        </is>
      </c>
      <c r="J28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87" s="18" t="inlineStr"/>
      <c r="L287" s="18" t="inlineStr">
        <is>
          <t>Hypertension</t>
        </is>
      </c>
      <c r="M287" s="18" t="inlineStr">
        <is>
          <t>Clinic</t>
        </is>
      </c>
      <c r="N287" s="18" t="inlineStr">
        <is>
          <t>ข้อ 1 (PLE_CC1_Practice_Exam.md)</t>
        </is>
      </c>
      <c r="O287" s="18" t="inlineStr">
        <is>
          <t>Mock</t>
        </is>
      </c>
      <c r="P287" s="18" t="inlineStr">
        <is>
          <t>Mock สภาเภสัชฯ Practice</t>
        </is>
      </c>
    </row>
    <row r="288">
      <c r="A288" s="15" t="inlineStr">
        <is>
          <t>286</t>
        </is>
      </c>
      <c r="B288" s="18" t="inlineStr">
        <is>
          <t>ข้อใดคือป็จจัยเสี่ยงในการเกิดโรคความดันโลหิตสูงของผู้ป่วยรายนี้</t>
        </is>
      </c>
      <c r="C288" s="18" t="inlineStr"/>
      <c r="D288" s="18" t="inlineStr">
        <is>
          <t>โรคประจำตัว</t>
        </is>
      </c>
      <c r="E288" s="18" t="inlineStr">
        <is>
          <t>ยาที่ใช้ประจำ</t>
        </is>
      </c>
      <c r="F288" s="18" t="inlineStr">
        <is>
          <t>สูบบุหรี่</t>
        </is>
      </c>
      <c r="G288" s="18" t="inlineStr">
        <is>
          <t>อายุ</t>
        </is>
      </c>
      <c r="H288" s="18" t="inlineStr">
        <is>
          <t>ทุกข้อที่กล่าวมาล้วนเป็นป็จจัยเสี่ยง</t>
        </is>
      </c>
      <c r="I288" s="15" t="inlineStr">
        <is>
          <t>1</t>
        </is>
      </c>
      <c r="J288" s="22" t="inlineStr">
        <is>
          <t>✅ คำตอบที่ถูกต้อง: ข้อ ก. โรคประจำตัว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โรคประจำตัว การเลือก โรคประจำตัว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(ยาที่ใช้ประจำ): ข้อนี้ไม่ใช่คำตอบที่ถูกต้องสำหรับภาวะ Hypertension เนื่องจากกลไกการออกฤทธิ์, efficacy หรือข้อบ่งใช้ไม่ตรงกับโจทย์ที่กำหนด
• ข้อ ค. (สูบบุหรี่): ข้อนี้ไม่ใช่คำตอบที่ถูกต้องสำหรับภาวะ Hypertension เนื่องจากกลไกการออกฤทธิ์, efficacy หรือข้อบ่งใช้ไม่ตรงกับโจทย์ที่กำหนด
• ข้อ ง. (อายุ): ข้อนี้ไม่ใช่คำตอบที่ถูกต้องสำหรับภาวะ Hypertension เนื่องจากกลไกการออกฤทธิ์, efficacy หรือข้อบ่งใช้ไม่ตรงกับโจทย์ที่กำหนด
• ข้อ จ. (ทุกข้อที่กล่าวมาล้วนเป็นป็จจัยเสี่ยง):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88" s="18" t="inlineStr"/>
      <c r="L288" s="18" t="inlineStr">
        <is>
          <t>Hypertension</t>
        </is>
      </c>
      <c r="M288" s="18" t="inlineStr">
        <is>
          <t>Clinic</t>
        </is>
      </c>
      <c r="N288" s="18" t="inlineStr">
        <is>
          <t>ข้อ 1 (PLE_CC1_Practice_Exam.md)</t>
        </is>
      </c>
      <c r="O288" s="18" t="inlineStr">
        <is>
          <t>Mock</t>
        </is>
      </c>
      <c r="P288" s="18" t="inlineStr">
        <is>
          <t>Mock สภาเภสัชฯ Practice</t>
        </is>
      </c>
    </row>
    <row r="289">
      <c r="A289" s="15" t="inlineStr">
        <is>
          <t>287</t>
        </is>
      </c>
      <c r="B289" s="18" t="inlineStr">
        <is>
          <t>ระดับความดันโลหิตเป้าหมายของผู้ป่วยรายนี้คือเท่าไหร่</t>
        </is>
      </c>
      <c r="C289" s="18" t="inlineStr"/>
      <c r="D289" s="18" t="inlineStr">
        <is>
          <t>120/80 mmHg</t>
        </is>
      </c>
      <c r="E289" s="18" t="inlineStr">
        <is>
          <t>130/80 mmHg</t>
        </is>
      </c>
      <c r="F289" s="18" t="inlineStr">
        <is>
          <t>130/90 mmHg</t>
        </is>
      </c>
      <c r="G289" s="18" t="inlineStr">
        <is>
          <t>140/80 mmHg</t>
        </is>
      </c>
      <c r="H289" s="18" t="inlineStr">
        <is>
          <t>140/90 mmHg</t>
        </is>
      </c>
      <c r="I289" s="15" t="inlineStr">
        <is>
          <t>1</t>
        </is>
      </c>
      <c r="J289" s="22" t="inlineStr">
        <is>
          <t>✅ คำตอบที่ถูกต้อง: ข้อ ก. 120/80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120/80 mmHg การเลือก 120/80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(130/80 mmHg): ข้อนี้ไม่ใช่คำตอบที่ถูกต้องสำหรับภาวะ Hypertension เนื่องจากกลไกการออกฤทธิ์, efficacy หรือข้อบ่งใช้ไม่ตรงกับโจทย์ที่กำหนด
• ข้อ ค. (130/90 mmHg): ข้อนี้ไม่ใช่คำตอบที่ถูกต้องสำหรับภาวะ Hypertension เนื่องจากกลไกการออกฤทธิ์, efficacy หรือข้อบ่งใช้ไม่ตรงกับโจทย์ที่กำหนด
• ข้อ ง. (140/80 mmHg): ข้อนี้ไม่ใช่คำตอบที่ถูกต้องสำหรับภาวะ Hypertension เนื่องจากกลไกการออกฤทธิ์, efficacy หรือข้อบ่งใช้ไม่ตรงกับโจทย์ที่กำหนด
• ข้อ จ. (140/90 mmHg):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89" s="18" t="inlineStr"/>
      <c r="L289" s="18" t="inlineStr">
        <is>
          <t>Hypertension</t>
        </is>
      </c>
      <c r="M289" s="18" t="inlineStr">
        <is>
          <t>Clinic</t>
        </is>
      </c>
      <c r="N289" s="18" t="inlineStr">
        <is>
          <t>ข้อ 5 (PLE_CC1_Practice_Exam.md)</t>
        </is>
      </c>
      <c r="O289" s="18" t="inlineStr">
        <is>
          <t>Mock</t>
        </is>
      </c>
      <c r="P289" s="18" t="inlineStr">
        <is>
          <t>Mock สภาเภสัชฯ Practice</t>
        </is>
      </c>
    </row>
    <row r="290">
      <c r="A290" s="15" t="inlineStr">
        <is>
          <t>288</t>
        </is>
      </c>
      <c r="B290" s="18" t="inlineStr">
        <is>
          <t>จากโครงสร้างทางเคมีต่อไปนี้ จัดเป็นยาลดความดันโลหิตในกลุ่มใด</t>
        </is>
      </c>
      <c r="C290" s="18" t="inlineStr"/>
      <c r="D290" s="18" t="inlineStr">
        <is>
          <t>Calcium channel blockers</t>
        </is>
      </c>
      <c r="E290" s="18" t="inlineStr">
        <is>
          <t>ACEIs</t>
        </is>
      </c>
      <c r="F290" s="18" t="inlineStr">
        <is>
          <t>Alpha-adrenergic antagonists</t>
        </is>
      </c>
      <c r="G290" s="18" t="inlineStr">
        <is>
          <t>Beta-adrenergic antagonists</t>
        </is>
      </c>
      <c r="H290" s="18" t="inlineStr">
        <is>
          <t>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t>
        </is>
      </c>
      <c r="I290" s="15" t="inlineStr">
        <is>
          <t>1</t>
        </is>
      </c>
      <c r="J290" s="22" t="inlineStr">
        <is>
          <t>✅ คำตอบที่ถูกต้อง: ข้อ ก. Calcium channel blockers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channel blockers การเลือก Calcium channel blockers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(ACEIs): ข้อนี้ไม่ใช่คำตอบที่ถูกต้องสำหรับภาวะ Hypertension เนื่องจากกลไกการออกฤทธิ์, efficacy หรือข้อบ่งใช้ไม่ตรงกับโจทย์ที่กำหนด
• ข้อ ค. (Alpha-adrenergic antagonists): ข้อนี้ไม่ใช่คำตอบที่ถูกต้องสำหรับภาวะ Hypertension เนื่องจากกลไกการออกฤทธิ์, efficacy หรือข้อบ่งใช้ไม่ตรงกับโจทย์ที่กำหนด
• ข้อ ง. (Beta-adrenergic antagonists): ข้อนี้ไม่ใช่คำตอบที่ถูกต้องสำหรับภาวะ Hypertension เนื่องจากกลไกการออกฤทธิ์, efficacy หรือข้อบ่งใช้ไม่ตรงกับโจทย์ที่กำหนด
• ข้อ จ. (Direct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0" s="18" t="inlineStr"/>
      <c r="L290" s="18" t="inlineStr">
        <is>
          <t>Hypertension</t>
        </is>
      </c>
      <c r="M290" s="18" t="inlineStr">
        <is>
          <t>Clinic</t>
        </is>
      </c>
      <c r="N290" s="18" t="inlineStr">
        <is>
          <t>ข้อ 7 (PLE_CC1_Practice_Exam.md)</t>
        </is>
      </c>
      <c r="O290" s="18" t="inlineStr">
        <is>
          <t>Mock</t>
        </is>
      </c>
      <c r="P290" s="18" t="inlineStr">
        <is>
          <t>Mock สภาเภสัชฯ Practice</t>
        </is>
      </c>
    </row>
    <row r="291">
      <c r="A291" s="15" t="inlineStr">
        <is>
          <t>289</t>
        </is>
      </c>
      <c r="B291" s="18" t="inlineStr">
        <is>
          <t>การปรับเปลี่ยนพฤติกรรมในการรักษาโรคความดันโลหิตสูงในข้อใดสามารถช่วยลด SBP ได้มากที่สุด</t>
        </is>
      </c>
      <c r="C291" s="18" t="inlineStr"/>
      <c r="D291" s="18" t="inlineStr">
        <is>
          <t>การจำกัดปริมาณโซเดียมในอาหารให้น้อยกว่า 2,300 มก. ต่อวัน</t>
        </is>
      </c>
      <c r="E291" s="18" t="inlineStr">
        <is>
          <t>การรับประทานอาหารแบบ DASH (Dietary Approaches to Stop Hypertension)</t>
        </is>
      </c>
      <c r="F291" s="18" t="inlineStr">
        <is>
          <t>การออกกำลังกายอย่างสม่ำเสมอ</t>
        </is>
      </c>
      <c r="G291" s="18" t="inlineStr">
        <is>
          <t>การจำกัดปริมาณแอลกอัอล์ (ผู้หญิงไม่เกิน 1 ดื่มมาตรฐาน/วัน ผู้ชายไม่เกิน 2 ดื่มมาตรฐาน/วัน)</t>
        </is>
      </c>
      <c r="H291" s="18" t="inlineStr">
        <is>
          <t>การหยุดบุหรี่</t>
        </is>
      </c>
      <c r="I291" s="15" t="inlineStr">
        <is>
          <t>1</t>
        </is>
      </c>
      <c r="J291" s="22" t="inlineStr">
        <is>
          <t>✅ คำตอบที่ถูกต้อง: ข้อ ก. การจำกัดปริมาณโซเดียมในอาหารให้น้อยกว่า 2,300 มก.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การจำกัดปริมาณโซเดียมในอาหารให้น้อยกว่า 2,300 มก. ต่อวัน การเลือก การจำกัดปริมาณโซเดียมในอาหารให้น้อยกว่า 2,300 มก. ต่อวัน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(การรับประทานอาหารแบบ DASH (Dietary Approaches to Stop Hypertension)): ข้อนี้ไม่ใช่คำตอบที่ถูกต้องสำหรับภาวะ Hypertension เนื่องจากกลไกการออกฤทธิ์, efficacy หรือข้อบ่งใช้ไม่ตรงกับโจทย์ที่กำหนด
• ข้อ ค. (การออกกำลังกายอย่างสม่ำเสมอ): ข้อนี้ไม่ใช่คำตอบที่ถูกต้องสำหรับภาวะ Hypertension เนื่องจากกลไกการออกฤทธิ์, efficacy หรือข้อบ่งใช้ไม่ตรงกับโจทย์ที่กำหนด
• ข้อ ง. (การจำกัดปริมาณแอลกอัอล์ (ผู้หญิงไม่เกิน 1 ดื่มมาตรฐาน/วัน ผู้ชายไม่เกิน 2 ดื่มมาตรฐาน/วัน)): ข้อนี้ไม่ใช่คำตอบที่ถูกต้องสำหรับภาวะ Hypertension เนื่องจากกลไกการออกฤทธิ์, efficacy หรือข้อบ่งใช้ไม่ตรงกับโจทย์ที่กำหนด
• ข้อ จ. (การหยุดบุหรี่):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1" s="18" t="inlineStr"/>
      <c r="L291" s="18" t="inlineStr">
        <is>
          <t>Hypertension</t>
        </is>
      </c>
      <c r="M291" s="18" t="inlineStr">
        <is>
          <t>Clinic</t>
        </is>
      </c>
      <c r="N291" s="18" t="inlineStr">
        <is>
          <t>ข้อ 9 (PLE_CC1_Practice_Exam.md)</t>
        </is>
      </c>
      <c r="O291" s="18" t="inlineStr">
        <is>
          <t>Mock</t>
        </is>
      </c>
      <c r="P291" s="18" t="inlineStr">
        <is>
          <t>Mock สภาเภสัชฯ Practice</t>
        </is>
      </c>
    </row>
    <row r="292">
      <c r="A292" s="15" t="inlineStr">
        <is>
          <t>290</t>
        </is>
      </c>
      <c r="B292" s="18" t="inlineStr">
        <is>
          <t>ยาลดความดันโลหิตในกลุ่มใดมีข้อห้ามใช้ในคนไข้ที่มีภาวะหัวใจล้มเหลว</t>
        </is>
      </c>
      <c r="C292" s="18" t="inlineStr"/>
      <c r="D292" s="18" t="inlineStr">
        <is>
          <t>ACEIs</t>
        </is>
      </c>
      <c r="E292" s="18" t="inlineStr">
        <is>
          <t>ARBs</t>
        </is>
      </c>
      <c r="F292" s="18" t="inlineStr">
        <is>
          <t>Diuretics</t>
        </is>
      </c>
      <c r="G292" s="18" t="inlineStr">
        <is>
          <t>non-DHP CCBs</t>
        </is>
      </c>
      <c r="H292" s="18" t="inlineStr">
        <is>
          <t>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t>
        </is>
      </c>
      <c r="I292" s="15" t="inlineStr">
        <is>
          <t>1</t>
        </is>
      </c>
      <c r="J292" s="22"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หญิงไทย อายุ 60 ป๊ หนัก 86 กก. สูง 162 ซม. มีประวัติเป็นโรคความดันโลหิตสูง เบาหวาน ยาที่ใช้อยู่ประจำ
🔍 ข้ออื่นผิดเพราะอะไร:
• ข้อ ข. (ARBs): ข้อนี้ไม่ใช่คำตอบที่ถูกต้องสำหรับภาวะ Hypertension เนื่องจากกลไกการออกฤทธิ์, efficacy หรือข้อบ่งใช้ไม่ตรงกับโจทย์ที่กำหนด
• ข้อ ค. (Diuretics): ข้อนี้ไม่ใช่คำตอบที่ถูกต้องสำหรับภาวะ Hypertension เนื่องจากกลไกการออกฤทธิ์, efficacy หรือข้อบ่งใช้ไม่ตรงกับโจทย์ที่กำหนด
• ข้อ ง. (non-DHP CCBs): ข้อนี้ไม่ใช่คำตอบที่ถูกต้องสำหรับภาวะ Hypertension เนื่องจากกลไกการออกฤทธิ์, efficacy หรือข้อบ่งใช้ไม่ตรงกับโจทย์ที่กำหนด
• ข้อ จ. (Beta-blockers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2" s="18" t="inlineStr"/>
      <c r="L292" s="18" t="inlineStr">
        <is>
          <t>Hypertension</t>
        </is>
      </c>
      <c r="M292" s="18" t="inlineStr">
        <is>
          <t>Clinic</t>
        </is>
      </c>
      <c r="N292" s="18" t="inlineStr">
        <is>
          <t>ข้อ 10 (PLE_CC1_Practice_Exam.md)</t>
        </is>
      </c>
      <c r="O292" s="18" t="inlineStr">
        <is>
          <t>Mock</t>
        </is>
      </c>
      <c r="P292" s="18" t="inlineStr">
        <is>
          <t>Mock สภาเภสัชฯ Practice</t>
        </is>
      </c>
    </row>
    <row r="293">
      <c r="A293" s="15" t="inlineStr">
        <is>
          <t>291</t>
        </is>
      </c>
      <c r="B293" s="18" t="inlineStr">
        <is>
          <t>ระดับ LDL-C ของผู้ป่วยรายนี้มีค่าเท่าไหร่</t>
        </is>
      </c>
      <c r="C293" s="18" t="inlineStr"/>
      <c r="D293" s="18" t="inlineStr">
        <is>
          <t>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t>
        </is>
      </c>
      <c r="E293" s="18" t="inlineStr">
        <is>
          <t>160 mg/dL</t>
        </is>
      </c>
      <c r="F293" s="18" t="inlineStr">
        <is>
          <t>180 mg/dL</t>
        </is>
      </c>
      <c r="G293" s="18" t="inlineStr">
        <is>
          <t>200 mg/dL</t>
        </is>
      </c>
      <c r="H293" s="18" t="inlineStr">
        <is>
          <t>220 mg/dL</t>
        </is>
      </c>
      <c r="I293" s="15" t="inlineStr">
        <is>
          <t>1</t>
        </is>
      </c>
      <c r="J293" s="22" t="inlineStr">
        <is>
          <t>✅ คำตอบที่ถูกต้อง: ข้อ 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การเลือก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(160 mg/dL): ข้อนี้ไม่ใช่คำตอบที่ถูกต้องสำหรับภาวะ Hypertension เนื่องจากกลไกการออกฤทธิ์, efficacy หรือข้อบ่งใช้ไม่ตรงกับโจทย์ที่กำหนด
• ข้อ ค. (180 mg/dL): ข้อนี้ไม่ใช่คำตอบที่ถูกต้องสำหรับภาวะ Hypertension เนื่องจากกลไกการออกฤทธิ์, efficacy หรือข้อบ่งใช้ไม่ตรงกับโจทย์ที่กำหนด
• ข้อ ง. (200 mg/dL): ข้อนี้ไม่ใช่คำตอบที่ถูกต้องสำหรับภาวะ Hypertension เนื่องจากกลไกการออกฤทธิ์, efficacy หรือข้อบ่งใช้ไม่ตรงกับโจทย์ที่กำหนด
• ข้อ จ. (220 mg/dL):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3" s="18" t="inlineStr"/>
      <c r="L293" s="18" t="inlineStr">
        <is>
          <t>Hypertension</t>
        </is>
      </c>
      <c r="M293" s="18" t="inlineStr">
        <is>
          <t>Clinic</t>
        </is>
      </c>
      <c r="N293" s="18" t="inlineStr">
        <is>
          <t>ข้อ 1 (PLE_CC1_Practice_Exam.md)</t>
        </is>
      </c>
      <c r="O293" s="18" t="inlineStr">
        <is>
          <t>Mock</t>
        </is>
      </c>
      <c r="P293" s="18" t="inlineStr">
        <is>
          <t>Mock สภาเภสัชฯ Practice</t>
        </is>
      </c>
    </row>
    <row r="294">
      <c r="A294" s="15" t="inlineStr">
        <is>
          <t>292</t>
        </is>
      </c>
      <c r="B294" s="18" t="inlineStr">
        <is>
          <t>ยา Simvastatin สามารถลดระดับไขมันในเลือดได้อย่างไร</t>
        </is>
      </c>
      <c r="C294" s="18" t="inlineStr"/>
      <c r="D294" s="18" t="inlineStr">
        <is>
          <t>ยับยั้งการดูดซึม cholesterol จากทางเดินอาหาร</t>
        </is>
      </c>
      <c r="E294" s="18" t="inlineStr">
        <is>
          <t>กระตุ้นการทำงานของเอนไซม์ lipolipase</t>
        </is>
      </c>
      <c r="F294" s="18" t="inlineStr">
        <is>
          <t>เพิ่มการสร้าง LDL receptor ที่ตับ</t>
        </is>
      </c>
      <c r="G294" s="18" t="inlineStr">
        <is>
          <t>ยับยั้งกระบวนการ gluconeogenesis ที่ตับ</t>
        </is>
      </c>
      <c r="H294" s="18" t="inlineStr">
        <is>
          <t>เพิ่มการสร้าง VLDL-C จากตับ</t>
        </is>
      </c>
      <c r="I294" s="15" t="inlineStr">
        <is>
          <t>1</t>
        </is>
      </c>
      <c r="J294" s="22" t="inlineStr">
        <is>
          <t>✅ คำตอบที่ถูกต้อง: ข้อ ก. ยับยั้งการดูดซึม cholesterol จากทางเดินอาหาร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ยับยั้งการดูดซึม cholesterol จากทางเดินอาหาร การเลือก ยับยั้งการดูดซึม cholesterol จากทางเดินอาหาร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(กระตุ้นการทำงานของเอนไซม์ lipolipase): ข้อนี้ไม่ใช่คำตอบที่ถูกต้องสำหรับภาวะ Hypertension เนื่องจากกลไกการออกฤทธิ์, efficacy หรือข้อบ่งใช้ไม่ตรงกับโจทย์ที่กำหนด
• ข้อ ค. (เพิ่มการสร้าง LDL receptor ที่ตับ): ข้อนี้ไม่ใช่คำตอบที่ถูกต้องสำหรับภาวะ Hypertension เนื่องจากกลไกการออกฤทธิ์, efficacy หรือข้อบ่งใช้ไม่ตรงกับโจทย์ที่กำหนด
• ข้อ ง. (ยับยั้งกระบวนการ gluconeogenesis ที่ตับ): ข้อนี้ไม่ใช่คำตอบที่ถูกต้องสำหรับภาวะ Hypertension เนื่องจากกลไกการออกฤทธิ์, efficacy หรือข้อบ่งใช้ไม่ตรงกับโจทย์ที่กำหนด
• ข้อ จ. (เพิ่มการสร้าง VLDL-C จากตับ):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4" s="18" t="inlineStr"/>
      <c r="L294" s="18" t="inlineStr">
        <is>
          <t>Hypertension</t>
        </is>
      </c>
      <c r="M294" s="18" t="inlineStr">
        <is>
          <t>Clinic</t>
        </is>
      </c>
      <c r="N294" s="18" t="inlineStr">
        <is>
          <t>ข้อ 3 (PLE_CC1_Practice_Exam.md)</t>
        </is>
      </c>
      <c r="O294" s="18" t="inlineStr">
        <is>
          <t>Mock</t>
        </is>
      </c>
      <c r="P294" s="18" t="inlineStr">
        <is>
          <t>Mock สภาเภสัชฯ Practice</t>
        </is>
      </c>
    </row>
    <row r="295">
      <c r="A295" s="15" t="inlineStr">
        <is>
          <t>293</t>
        </is>
      </c>
      <c r="B295" s="18" t="inlineStr">
        <is>
          <t>การรักษาผู้ป่วยรายนี้ต้องจะลดระดับ LDL-C ให้ได้เท่าไหร่ เพื่อป้องกัน Atherosclerosis</t>
        </is>
      </c>
      <c r="C295" s="18" t="inlineStr"/>
      <c r="D295" s="18" t="inlineStr">
        <is>
          <t>น้อยกว่า 70 mg/dL</t>
        </is>
      </c>
      <c r="E295" s="18" t="inlineStr">
        <is>
          <t>น้อยกว่า 100 mg/dL</t>
        </is>
      </c>
      <c r="F295" s="18" t="inlineStr">
        <is>
          <t>น้อยกว่า 130 mg/dL</t>
        </is>
      </c>
      <c r="G295" s="18" t="inlineStr">
        <is>
          <t>น้อยกว่า 160 mg/dL</t>
        </is>
      </c>
      <c r="H295" s="18" t="inlineStr">
        <is>
          <t>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t>
        </is>
      </c>
      <c r="I295" s="15" t="inlineStr">
        <is>
          <t>1</t>
        </is>
      </c>
      <c r="J295" s="22" t="inlineStr">
        <is>
          <t>✅ คำตอบที่ถูกต้อง: ข้อ ก. น้อยกว่า 70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น้อยกว่า 70 mg/dL การเลือก น้อยกว่า 70 mg/dL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(น้อยกว่า 100 mg/dL): ข้อนี้ไม่ใช่คำตอบที่ถูกต้องสำหรับภาวะ Hypertension เนื่องจากกลไกการออกฤทธิ์, efficacy หรือข้อบ่งใช้ไม่ตรงกับโจทย์ที่กำหนด
• ข้อ ค. (น้อยกว่า 130 mg/dL): ข้อนี้ไม่ใช่คำตอบที่ถูกต้องสำหรับภาวะ Hypertension เนื่องจากกลไกการออกฤทธิ์, efficacy หรือข้อบ่งใช้ไม่ตรงกับโจทย์ที่กำหนด
• ข้อ ง. (น้อยกว่า 160 mg/dL): ข้อนี้ไม่ใช่คำตอบที่ถูกต้องสำหรับภาวะ Hypertension เนื่องจากกลไกการออกฤทธิ์, efficacy หรือข้อบ่งใช้ไม่ตรงกับโจทย์ที่กำหนด
• ข้อ จ. (น้อยกว่า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5" s="18" t="inlineStr"/>
      <c r="L295" s="18" t="inlineStr">
        <is>
          <t>Hypertension</t>
        </is>
      </c>
      <c r="M295" s="18" t="inlineStr">
        <is>
          <t>Clinic</t>
        </is>
      </c>
      <c r="N295" s="18" t="inlineStr">
        <is>
          <t>ข้อ 5 (PLE_CC1_Practice_Exam.md)</t>
        </is>
      </c>
      <c r="O295" s="18" t="inlineStr">
        <is>
          <t>Mock</t>
        </is>
      </c>
      <c r="P295" s="18" t="inlineStr">
        <is>
          <t>Mock สภาเภสัชฯ Practice</t>
        </is>
      </c>
    </row>
    <row r="296">
      <c r="A296" s="15" t="inlineStr">
        <is>
          <t>294</t>
        </is>
      </c>
      <c r="B296" s="18"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296" s="18" t="inlineStr"/>
      <c r="D296" s="18" t="inlineStr">
        <is>
          <t>ปรับเพิ่มขนาดยา Simvastatin เป็น 40 mg ต่อวัน</t>
        </is>
      </c>
      <c r="E296" s="18" t="inlineStr">
        <is>
          <t>ปรับลดขนาดยา Simvastatin เป็น 10 mg ต่อวัน และเพิ่มยา Niacin</t>
        </is>
      </c>
      <c r="F296" s="18" t="inlineStr">
        <is>
          <t>ปรับลดขนาดยา Simvastatin เป็น 10 mg ต่อวัน และเพิ่มยา Ezetimibe</t>
        </is>
      </c>
      <c r="G296" s="18" t="inlineStr">
        <is>
          <t>ปรับลดขนาดยา Simvastatin เป็น 10 mg ต่อวัน และเพิ่ม Fish oil 1 g ต่อวัน</t>
        </is>
      </c>
      <c r="H296" s="18" t="inlineStr">
        <is>
          <t>เปลี่ยนยา Simvastatin เป็น Atorvastatin 40 mg ต่อวัน</t>
        </is>
      </c>
      <c r="I296" s="15" t="inlineStr">
        <is>
          <t>1</t>
        </is>
      </c>
      <c r="J296" s="22" t="inlineStr">
        <is>
          <t>✅ คำตอบที่ถูกต้อง: ข้อ ก. ปรับเพิ่มขนาดยา Simvastatin เป็น 40 mg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ปรับเพิ่มขนาดยา Simvastatin เป็น 40 mg ต่อวัน การเลือก ปรับเพิ่มขนาดยา Simvastatin เป็น 40 mg ต่อวัน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(ปรับลดขนาดยา Simvastatin เป็น 10 mg ต่อวัน และเพิ่มยา Niacin): เป็น moderate-intensity statin เมแทบอไลต์ผ่าน CYP3A4 เด่นชัด ห้ามใช้ dose 80 mg และมี drug interactions สูงกับ CYP3A4 inhibitors (clarithromycin, ketoconazole)
• ข้อ ค. (ปรับลดขนาดยา Simvastatin เป็น 10 mg ต่อวัน และเพิ่มยา Ezetimibe): เป็น moderate-intensity statin เมแทบอไลต์ผ่าน CYP3A4 เด่นชัด ห้ามใช้ dose 80 mg และมี drug interactions สูงกับ CYP3A4 inhibitors (clarithromycin, ketoconazole)
• ข้อ ง. (ปรับลดขนาดยา Simvastatin เป็น 10 mg ต่อวัน และเพิ่ม Fish oil 1 g ต่อวัน): เป็น moderate-intensity statin เมแทบอไลต์ผ่าน CYP3A4 เด่นชัด ห้ามใช้ dose 80 mg และมี drug interactions สูงกับ CYP3A4 inhibitors (clarithromycin, ketoconazole)
• ข้อ จ. (เปลี่ยนยา Simvastatin เป็น Atorvastatin 40 mg ต่อวัน):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6" s="18" t="inlineStr"/>
      <c r="L296" s="18" t="inlineStr">
        <is>
          <t>Hypertension</t>
        </is>
      </c>
      <c r="M296" s="18" t="inlineStr">
        <is>
          <t>Clinic</t>
        </is>
      </c>
      <c r="N296" s="18" t="inlineStr">
        <is>
          <t>ข้อ 6 (PLE_CC1_Practice_Exam.md)</t>
        </is>
      </c>
      <c r="O296" s="18" t="inlineStr">
        <is>
          <t>Mock</t>
        </is>
      </c>
      <c r="P296" s="18" t="inlineStr">
        <is>
          <t>Mock สภาเภสัชฯ Practice</t>
        </is>
      </c>
    </row>
    <row r="297">
      <c r="A297" s="15" t="inlineStr">
        <is>
          <t>295</t>
        </is>
      </c>
      <c r="B297" s="18" t="inlineStr">
        <is>
          <t>หากผู้ป่วยมักลืมรับประทาน Simvastatin ตอนก่อนนอน การแก้ไขป็ญหาในข้อใดเหมาะสมที่สุด</t>
        </is>
      </c>
      <c r="C297" s="18" t="inlineStr"/>
      <c r="D297" s="18" t="inlineStr">
        <is>
          <t>รับประทานทันทีที่นึกขึ้นได้</t>
        </is>
      </c>
      <c r="E297" s="18" t="inlineStr">
        <is>
          <t>เปลี่ยนไปรับประทานตอนเช้า</t>
        </is>
      </c>
      <c r="F297" s="18" t="inlineStr">
        <is>
          <t>เปลี่ยนไปรับประทานตอนกลางวัน</t>
        </is>
      </c>
      <c r="G297" s="18" t="inlineStr">
        <is>
          <t>เปลี่ยนไปรับประทานตอนเย็น</t>
        </is>
      </c>
      <c r="H297" s="18" t="inlineStr">
        <is>
          <t>กำชับผู้ป่วยว่าไม่ควรลืม เนื่องจาก simvastatin ต้องรับประทานก่อนนอนเท่านั้น</t>
        </is>
      </c>
      <c r="I297" s="15" t="inlineStr">
        <is>
          <t>1</t>
        </is>
      </c>
      <c r="J297" s="22" t="inlineStr">
        <is>
          <t>✅ คำตอบที่ถูกต้อง: ข้อ ก. รับประทานทันทีที่นึกขึ้นได้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รับประทานทันทีที่นึกขึ้นได้ การเลือก รับประทานทันทีที่นึกขึ้นได้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(เปลี่ยนไปรับประทานตอนเช้า): ข้อนี้ไม่ใช่คำตอบที่ถูกต้องสำหรับภาวะ Hypertension เนื่องจากกลไกการออกฤทธิ์, efficacy หรือข้อบ่งใช้ไม่ตรงกับโจทย์ที่กำหนด
• ข้อ ค. (เปลี่ยนไปรับประทานตอนกลางวัน): ข้อนี้ไม่ใช่คำตอบที่ถูกต้องสำหรับภาวะ Hypertension เนื่องจากกลไกการออกฤทธิ์, efficacy หรือข้อบ่งใช้ไม่ตรงกับโจทย์ที่กำหนด
• ข้อ ง. (เปลี่ยนไปรับประทานตอนเย็น): ข้อนี้ไม่ใช่คำตอบที่ถูกต้องสำหรับภาวะ Hypertension เนื่องจากกลไกการออกฤทธิ์, efficacy หรือข้อบ่งใช้ไม่ตรงกับโจทย์ที่กำหนด
• ข้อ จ. (กำชับผู้ป่วยว่าไม่ควรลืม เนื่องจาก simvastatin ต้องรับประทานก่อนนอนเท่านั้น):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7" s="18" t="inlineStr"/>
      <c r="L297" s="18" t="inlineStr">
        <is>
          <t>Hypertension</t>
        </is>
      </c>
      <c r="M297" s="18" t="inlineStr">
        <is>
          <t>Clinic</t>
        </is>
      </c>
      <c r="N297" s="18" t="inlineStr">
        <is>
          <t>ข้อ 9 (PLE_CC1_Practice_Exam.md)</t>
        </is>
      </c>
      <c r="O297" s="18" t="inlineStr">
        <is>
          <t>Mock</t>
        </is>
      </c>
      <c r="P297" s="18" t="inlineStr">
        <is>
          <t>Mock สภาเภสัชฯ Practice</t>
        </is>
      </c>
    </row>
    <row r="298">
      <c r="A298" s="15" t="inlineStr">
        <is>
          <t>296</t>
        </is>
      </c>
      <c r="B298" s="18" t="inlineStr">
        <is>
          <t>ข้อใดกล่าวถึง Furosemide ได้อย่างถูกต้องในผู้ป่วยรายนี้</t>
        </is>
      </c>
      <c r="C298" s="18" t="inlineStr"/>
      <c r="D298" s="18" t="inlineStr">
        <is>
          <t>ช่วยลดอัตราการเสียชีวิต</t>
        </is>
      </c>
      <c r="E298" s="18" t="inlineStr">
        <is>
          <t>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t>
        </is>
      </c>
      <c r="F298" s="18" t="inlineStr">
        <is>
          <t>การใช้ร่วมกับ HCTZ อาจทำให้เกิด Diuretic resistance</t>
        </is>
      </c>
      <c r="G298" s="18" t="inlineStr">
        <is>
          <t>มีประสิทธิภาพในการบรรเทาอาการโรคหัวใจล้มเหลวดีกว่า HCTZ</t>
        </is>
      </c>
      <c r="H298" s="18" t="inlineStr">
        <is>
          <t>ออกฤทธิ์ยับยั้งการดูดกลับ NaCl ที่ distal tubule</t>
        </is>
      </c>
      <c r="I298" s="15" t="inlineStr">
        <is>
          <t>1</t>
        </is>
      </c>
      <c r="J298" s="22" t="inlineStr">
        <is>
          <t>✅ คำตอบที่ถูกต้อง: ข้อ ก. ช่วยลดอัตราการเสียชีวิต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ช่วยลดอัตราการเสียชีวิต การเลือก ช่วยลดอัตราการเสียชีวิต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 เป็น ACE inhibitor ลด Angiotensin II และ intraglomerular pressure มี renal protective efficacy เด่นชัดใน diabetic kidney disease แต่อาจเกิด dry cough จากการสะสมของ bradykinin
• ข้อ ค. (การใช้ร่วมกับ HCTZ อาจทำให้เกิด Diuretic resistance): ข้อนี้ไม่ใช่คำตอบที่ถูกต้องสำหรับภาวะ Hypertension เนื่องจากกลไกการออกฤทธิ์, efficacy หรือข้อบ่งใช้ไม่ตรงกับโจทย์ที่กำหนด
• ข้อ ง. (มีประสิทธิภาพในการบรรเทาอาการโรคหัวใจล้มเหลวดีกว่า HCTZ): ข้อนี้ไม่ใช่คำตอบที่ถูกต้องสำหรับภาวะ Hypertension เนื่องจากกลไกการออกฤทธิ์, efficacy หรือข้อบ่งใช้ไม่ตรงกับโจทย์ที่กำหนด
• ข้อ จ. (ออกฤทธิ์ยับยั้งการดูดกลับ NaCl ที่ distal tubule):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98" s="18" t="inlineStr"/>
      <c r="L298" s="18" t="inlineStr">
        <is>
          <t>Hypertension</t>
        </is>
      </c>
      <c r="M298" s="18" t="inlineStr">
        <is>
          <t>Clinic</t>
        </is>
      </c>
      <c r="N298" s="18" t="inlineStr">
        <is>
          <t>ข้อ 3 (PLE_CC1_Practice_Exam.md)</t>
        </is>
      </c>
      <c r="O298" s="18" t="inlineStr">
        <is>
          <t>Mock</t>
        </is>
      </c>
      <c r="P298" s="18" t="inlineStr">
        <is>
          <t>Mock สภาเภสัชฯ Practice</t>
        </is>
      </c>
    </row>
    <row r="299">
      <c r="A299" s="15" t="inlineStr">
        <is>
          <t>297</t>
        </is>
      </c>
      <c r="B299" s="18" t="inlineStr">
        <is>
          <t>ยา Enalapril มี half-life เท่ากับ 11 ชั่วโมง ค่า Ke ของยานี้เท่ากับเท่าไหร่ (hr-1)</t>
        </is>
      </c>
      <c r="C299" s="18" t="inlineStr"/>
      <c r="D299" s="15" t="inlineStr">
        <is>
          <t>0.06</t>
        </is>
      </c>
      <c r="E299" s="15" t="inlineStr">
        <is>
          <t>0.063</t>
        </is>
      </c>
      <c r="F299" s="15" t="inlineStr">
        <is>
          <t>0.067</t>
        </is>
      </c>
      <c r="G299" s="15" t="inlineStr">
        <is>
          <t>0.07</t>
        </is>
      </c>
      <c r="H299" s="15" t="inlineStr">
        <is>
          <t>0.075</t>
        </is>
      </c>
      <c r="I299" s="15" t="inlineStr">
        <is>
          <t>1</t>
        </is>
      </c>
      <c r="J299" s="22" t="inlineStr">
        <is>
          <t>✅ คำตอบที่ถูกต้อง: ข้อ ก. 0.060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0.060 การเลือก 0.060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(0.063): ข้อนี้ไม่ใช่คำตอบที่ถูกต้องสำหรับภาวะ Hypertension เนื่องจากกลไกการออกฤทธิ์, efficacy หรือข้อบ่งใช้ไม่ตรงกับโจทย์ที่กำหนด
• ข้อ ค. (0.067): ข้อนี้ไม่ใช่คำตอบที่ถูกต้องสำหรับภาวะ Hypertension เนื่องจากกลไกการออกฤทธิ์, efficacy หรือข้อบ่งใช้ไม่ตรงกับโจทย์ที่กำหนด
• ข้อ ง. (0.070): ข้อนี้ไม่ใช่คำตอบที่ถูกต้องสำหรับภาวะ Hypertension เนื่องจากกลไกการออกฤทธิ์, efficacy หรือข้อบ่งใช้ไม่ตรงกับโจทย์ที่กำหนด
• ข้อ จ. (0.075):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99" s="18" t="inlineStr"/>
      <c r="L299" s="18" t="inlineStr">
        <is>
          <t>Hypertension</t>
        </is>
      </c>
      <c r="M299" s="18" t="inlineStr">
        <is>
          <t>Clinic</t>
        </is>
      </c>
      <c r="N299" s="18" t="inlineStr">
        <is>
          <t>ข้อ 5 (PLE_CC1_Practice_Exam.md)</t>
        </is>
      </c>
      <c r="O299" s="18" t="inlineStr">
        <is>
          <t>Mock</t>
        </is>
      </c>
      <c r="P299" s="18" t="inlineStr">
        <is>
          <t>Mock สภาเภสัชฯ Practice</t>
        </is>
      </c>
    </row>
    <row r="300">
      <c r="A300" s="15" t="inlineStr">
        <is>
          <t>298</t>
        </is>
      </c>
      <c r="B300" s="18" t="inlineStr">
        <is>
          <t>ยาใดที่ไม่มีผลลดอัตราการตายสำหรับผู้ป่วยหัวใจขาดเลือด</t>
        </is>
      </c>
      <c r="C300" s="18" t="inlineStr"/>
      <c r="D300" s="18" t="inlineStr">
        <is>
          <t>Simvastatin</t>
        </is>
      </c>
      <c r="E300" s="18" t="inlineStr">
        <is>
          <t>Enalapril</t>
        </is>
      </c>
      <c r="F300" s="18" t="inlineStr">
        <is>
          <t>Aspirin</t>
        </is>
      </c>
      <c r="G300" s="18" t="inlineStr">
        <is>
          <t>Clopidogrel</t>
        </is>
      </c>
      <c r="H300" s="18" t="inlineStr">
        <is>
          <t>Amlodipine</t>
        </is>
      </c>
      <c r="I300" s="15" t="inlineStr">
        <is>
          <t>1</t>
        </is>
      </c>
      <c r="J300" s="22" t="inlineStr">
        <is>
          <t>✅ คำตอบที่ถูกต้อง: ข้อ ก. 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การเลือก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0" s="18" t="inlineStr"/>
      <c r="L300" s="18" t="inlineStr">
        <is>
          <t>Hypertension</t>
        </is>
      </c>
      <c r="M300" s="18" t="inlineStr">
        <is>
          <t>Clinic</t>
        </is>
      </c>
      <c r="N300" s="18" t="inlineStr">
        <is>
          <t>ข้อ 1 (PLE_CC1_Practice_Exam.md)</t>
        </is>
      </c>
      <c r="O300" s="18" t="inlineStr">
        <is>
          <t>Mock</t>
        </is>
      </c>
      <c r="P300" s="18" t="inlineStr">
        <is>
          <t>Mock สภาเภสัชฯ Practice</t>
        </is>
      </c>
    </row>
    <row r="301">
      <c r="A301" s="15" t="inlineStr">
        <is>
          <t>299</t>
        </is>
      </c>
      <c r="B301" s="18" t="inlineStr">
        <is>
          <t>Aspirin และ Clopidogrel แตกต่างกันอย่างไร</t>
        </is>
      </c>
      <c r="C301" s="18" t="inlineStr"/>
      <c r="D301" s="18" t="inlineStr">
        <is>
          <t>มี site of action ที่แตกต่างกัน</t>
        </is>
      </c>
      <c r="E301" s="18" t="inlineStr">
        <is>
          <t>Aspirin เป็น Antiplatelets ส่วน Clopidogrel เป็น anticoagulants</t>
        </is>
      </c>
      <c r="F301" s="18" t="inlineStr">
        <is>
          <t>Aspirin เป็น Anticoagulants ส่วน Clopidogrel เป็น antiplatelet</t>
        </is>
      </c>
      <c r="G301" s="18" t="inlineStr">
        <is>
          <t>หวังผลการรักษาที่แตกต่างกัน</t>
        </is>
      </c>
      <c r="H301" s="18" t="inlineStr">
        <is>
          <t>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t>
        </is>
      </c>
      <c r="I301" s="15" t="inlineStr">
        <is>
          <t>1</t>
        </is>
      </c>
      <c r="J301" s="22" t="inlineStr">
        <is>
          <t>✅ คำตอบที่ถูกต้อง: ข้อ ก. มี site of action ที่แตกต่างกัน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site of action ที่แตกต่างกัน การเลือก มี site of action ที่แตกต่างกัน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(Aspirin เป็น Antiplatelets ส่วน Clopidogrel เป็น anticoagulants): เป็น irreversible COX-1 inhibitor ยับยั้ง Thromboxane A2 เป็นแกนหลักใน antiplatelet secondary prevention ของ CVD (ขนาดยา 75-100 mg/day)
• ข้อ ค. (Aspirin เป็น Anticoagulants ส่วน Clopidogrel เป็น antiplatelet): เป็น irreversible COX-1 inhibitor ยับยั้ง Thromboxane A2 เป็นแกนหลักใน antiplatelet secondary prevention ของ CVD (ขนาดยา 75-100 mg/day)
• ข้อ ง. (หวังผลการรักษาที่แตกต่างกัน): ข้อนี้ไม่ใช่คำตอบที่ถูกต้องสำหรับภาวะ Hypertension เนื่องจากกลไกการออกฤทธิ์, efficacy หรือข้อบ่งใช้ไม่ตรงกับโจทย์ที่กำหนด
• ข้อ จ. (ยาทั้งคู่ไม่แตกต่างกัน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1" s="18" t="inlineStr"/>
      <c r="L301" s="18" t="inlineStr">
        <is>
          <t>Hypertension</t>
        </is>
      </c>
      <c r="M301" s="18" t="inlineStr">
        <is>
          <t>Clinic</t>
        </is>
      </c>
      <c r="N301" s="18" t="inlineStr">
        <is>
          <t>ข้อ 5 (PLE_CC1_Practice_Exam.md)</t>
        </is>
      </c>
      <c r="O301" s="18" t="inlineStr">
        <is>
          <t>Mock</t>
        </is>
      </c>
      <c r="P301" s="18" t="inlineStr">
        <is>
          <t>Mock สภาเภสัชฯ Practice</t>
        </is>
      </c>
    </row>
    <row r="302">
      <c r="A302" s="15" t="inlineStr">
        <is>
          <t>300</t>
        </is>
      </c>
      <c r="B302" s="18" t="inlineStr">
        <is>
          <t>ข้อใดผิดเกี่ยวกับยา Beta-blockers กับโรคหัวใจขาดเลือด</t>
        </is>
      </c>
      <c r="C302" s="18" t="inlineStr"/>
      <c r="D302" s="18" t="inlineStr">
        <is>
          <t>สำหรับผู้ป่วยภาวะหัวใจขาดเลือดเฉียบพลันทุกรายที่ไม่มีข้อห้ามใช้</t>
        </is>
      </c>
      <c r="E302" s="18" t="inlineStr">
        <is>
          <t>เป้าหมายการรักษาคือ HR ขณะพักอยู่ในช่วง 60-80 beats/min</t>
        </is>
      </c>
      <c r="F302" s="18" t="inlineStr">
        <is>
          <t>เพื่อควบคุมอาการเจ็บเค้นหน้าอก</t>
        </is>
      </c>
      <c r="G302" s="18" t="inlineStr">
        <is>
          <t>สามารถใช้ Propranolol ได้</t>
        </is>
      </c>
      <c r="H302" s="18" t="inlineStr">
        <is>
          <t>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t>
        </is>
      </c>
      <c r="I302" s="15" t="inlineStr">
        <is>
          <t>1</t>
        </is>
      </c>
      <c r="J302" s="22" t="inlineStr">
        <is>
          <t>✅ คำตอบที่ถูกต้อง: ข้อ ก. สำหรับผู้ป่วยภาวะหัวใจขาดเลือดเฉียบพลันทุกรายที่ไม่มีข้อห้ามใช้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สำหรับผู้ป่วยภาวะหัวใจขาดเลือดเฉียบพลันทุกรายที่ไม่มีข้อห้ามใช้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การเลือก สำหรับผู้ป่วยภาวะหัวใจขาดเลือดเฉียบพลันทุกรายที่ไม่มี contraindication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(เป้าหมายการรักษาคือ HR ขณะพักอยู่ในช่วง 60-80 beats/min): ข้อนี้ไม่ใช่คำตอบที่ถูกต้องสำหรับภาวะ Hypertension เนื่องจากกลไกการออกฤทธิ์, efficacy หรือข้อบ่งใช้ไม่ตรงกับโจทย์ที่กำหนด
• ข้อ ค. (เพื่อควบคุมอาการเจ็บเค้นหน้าอก): ข้อนี้ไม่ใช่คำตอบที่ถูกต้องสำหรับภาวะ Hypertension เนื่องจากกลไกการออกฤทธิ์, efficacy หรือข้อบ่งใช้ไม่ตรงกับโจทย์ที่กำหนด
• ข้อ ง. (สามารถใช้ Propranolol ได้): เป็น non-selective beta-blocker ข้าม blood-brain barrier ได้ดี เหมาะสำหรับ performance anxiety, essential tremor, migraine prophylaxis และ thyroid storm แต่ contraindication ใน asthma
• ข้อ จ. (มีข้อห้ามใช้ในผู้ป่วยที่มีโรคหอบหืด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2" s="18" t="inlineStr"/>
      <c r="L302" s="18" t="inlineStr">
        <is>
          <t>Hypertension</t>
        </is>
      </c>
      <c r="M302" s="18" t="inlineStr">
        <is>
          <t>Clinic</t>
        </is>
      </c>
      <c r="N302" s="18" t="inlineStr">
        <is>
          <t>ข้อ 9 (PLE_CC1_Practice_Exam.md)</t>
        </is>
      </c>
      <c r="O302" s="18" t="inlineStr">
        <is>
          <t>Mock</t>
        </is>
      </c>
      <c r="P302" s="18" t="inlineStr">
        <is>
          <t>Mock สภาเภสัชฯ Practice</t>
        </is>
      </c>
    </row>
    <row r="303">
      <c r="A303" s="15" t="inlineStr">
        <is>
          <t>301</t>
        </is>
      </c>
      <c r="B303" s="18" t="inlineStr">
        <is>
          <t>โรคใดไม่ใช่ป็จจัยเสี่ยงในการเกิดโรคหัวใจขาดเลือด</t>
        </is>
      </c>
      <c r="C303" s="18" t="inlineStr"/>
      <c r="D303" s="18" t="inlineStr">
        <is>
          <t>โรคไต</t>
        </is>
      </c>
      <c r="E303" s="18" t="inlineStr">
        <is>
          <t>โรคความดันโลหิตสูง</t>
        </is>
      </c>
      <c r="F303" s="18" t="inlineStr">
        <is>
          <t>โรคเบาหวาน</t>
        </is>
      </c>
      <c r="G303" s="18" t="inlineStr">
        <is>
          <t>โรคอ้วน</t>
        </is>
      </c>
      <c r="H303" s="18" t="inlineStr">
        <is>
          <t>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t>
        </is>
      </c>
      <c r="I303" s="15" t="inlineStr">
        <is>
          <t>3</t>
        </is>
      </c>
      <c r="J303" s="22" t="inlineStr">
        <is>
          <t>✅ คำตอบที่ถูกต้อง: ข้อ ค. โรคเบาหวาน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โรคเบาหวาน ป็จจัยเสี่ยงการเกิดโรคความดันโลหิตสูงในผู้ป่วยรายนี้ คือ สูบบุหรี่ ข้ออื่นๆไม่จัดว่าเป็นปป็จจัยเสี่ยง Diuretics เช่น furosemide ใช้เฉพาะเมื่อมีอาการบวมจากหัวใจล้มเหลวเท่านั้น ไม่ได้ใช้เพื่อลดความดันโลหิต
🔍 ข้ออื่นผิดเพราะอะไร:
• ข้อ ก. (โรคไต): ข้อนี้ไม่ใช่คำตอบที่ถูกต้องสำหรับภาวะ Hypertension เนื่องจากกลไกการออกฤทธิ์, efficacy หรือข้อบ่งใช้ไม่ตรงกับโจทย์ที่กำหนด
• ข้อ ข. (โรคความดันโลหิตสูง): ข้อนี้ไม่ใช่คำตอบที่ถูกต้องสำหรับภาวะ Hypertension เนื่องจากกลไกการออกฤทธิ์, efficacy หรือข้อบ่งใช้ไม่ตรงกับโจทย์ที่กำหนด
• ข้อ ง. (โรคอ้วน): ข้อนี้ไม่ใช่คำตอบที่ถูกต้องสำหรับภาวะ Hypertension เนื่องจากกลไกการออกฤทธิ์, efficacy หรือข้อบ่งใช้ไม่ตรงกับโจทย์ที่กำหนด
• ข้อ จ. (โรคไขมันในเลือดผิดปกติ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3" s="18" t="inlineStr"/>
      <c r="L303" s="18" t="inlineStr">
        <is>
          <t>Hypertension</t>
        </is>
      </c>
      <c r="M303" s="18" t="inlineStr">
        <is>
          <t>Clinic</t>
        </is>
      </c>
      <c r="N303" s="18" t="inlineStr">
        <is>
          <t>ข้อ 10 (PLE_CC1_Practice_Exam.md)</t>
        </is>
      </c>
      <c r="O303" s="18" t="inlineStr">
        <is>
          <t>Mock</t>
        </is>
      </c>
      <c r="P303" s="18" t="inlineStr">
        <is>
          <t>Mock สภาเภสัชฯ Practice</t>
        </is>
      </c>
    </row>
    <row r="304">
      <c r="A304" s="15" t="inlineStr">
        <is>
          <t>302</t>
        </is>
      </c>
      <c r="B304" s="18" t="inlineStr">
        <is>
          <t>ความดันโลหิตสูงมากกว่า 180/110 mmHg ที่ไม่สามารถควบคุมได้</t>
        </is>
      </c>
      <c r="C304" s="18" t="inlineStr"/>
      <c r="D304" s="18" t="inlineStr">
        <is>
          <t>Bisoprolol 5 mg OD</t>
        </is>
      </c>
      <c r="E304" s="18" t="inlineStr">
        <is>
          <t>Spironolactone 25 mg OD</t>
        </is>
      </c>
      <c r="F304" s="18" t="inlineStr">
        <is>
          <t>Clopidogrel 75 mg OD</t>
        </is>
      </c>
      <c r="G304" s="18" t="inlineStr">
        <is>
          <t>Aspirin 81 mg OD</t>
        </is>
      </c>
      <c r="H304" s="18" t="inlineStr">
        <is>
          <t>Sacubitril/Valsartan 49/51 mg BID</t>
        </is>
      </c>
      <c r="I304" s="15" t="inlineStr">
        <is>
          <t>1</t>
        </is>
      </c>
      <c r="J30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04" s="18" t="inlineStr"/>
      <c r="L304" s="18" t="inlineStr">
        <is>
          <t>Hypertension</t>
        </is>
      </c>
      <c r="M304" s="18" t="inlineStr">
        <is>
          <t>Clinic</t>
        </is>
      </c>
      <c r="N304" s="18" t="inlineStr">
        <is>
          <t>ข้อ 6 (PLE_CC1_Practice_Exam.md)</t>
        </is>
      </c>
      <c r="O304" s="18" t="inlineStr">
        <is>
          <t>Mock</t>
        </is>
      </c>
      <c r="P304" s="18" t="inlineStr">
        <is>
          <t>Mock สภาเภสัชฯ Practice</t>
        </is>
      </c>
    </row>
    <row r="305">
      <c r="A305" s="15" t="inlineStr">
        <is>
          <t>303</t>
        </is>
      </c>
      <c r="B305" s="18" t="inlineStr">
        <is>
          <t>ทราบว่ามีภาวะเลือดออกง่ายผิดปกติ หรือได้รับยาต้านการแข็งตัวของเลือด เช่น warfarin (INR &gt;</t>
        </is>
      </c>
      <c r="C305" s="18" t="inlineStr"/>
      <c r="D305" s="18" t="inlineStr">
        <is>
          <t>Aspirin 81 mg OD</t>
        </is>
      </c>
      <c r="E305" s="18" t="inlineStr">
        <is>
          <t>Sacubitril/Valsartan 49/51 mg BID</t>
        </is>
      </c>
      <c r="F305" s="18" t="inlineStr">
        <is>
          <t>Empagliflozin 10 mg OD</t>
        </is>
      </c>
      <c r="G305" s="18" t="inlineStr">
        <is>
          <t>Diltiazem 30 mg TID</t>
        </is>
      </c>
      <c r="H305" s="18" t="inlineStr">
        <is>
          <t>Warfarin 3 mg OD (target INR 2.0-3.0)</t>
        </is>
      </c>
      <c r="I305" s="15" t="inlineStr">
        <is>
          <t>1</t>
        </is>
      </c>
      <c r="J30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305" s="18" t="inlineStr"/>
      <c r="L305" s="18" t="inlineStr">
        <is>
          <t>Hypertension</t>
        </is>
      </c>
      <c r="M305" s="18" t="inlineStr">
        <is>
          <t>Clinic</t>
        </is>
      </c>
      <c r="N305" s="18" t="inlineStr">
        <is>
          <t>ข้อ 7 (PLE_CC1_Practice_Exam.md)</t>
        </is>
      </c>
      <c r="O305" s="18" t="inlineStr">
        <is>
          <t>Mock</t>
        </is>
      </c>
      <c r="P305" s="18" t="inlineStr">
        <is>
          <t>Mock สภาเภสัชฯ Practice</t>
        </is>
      </c>
    </row>
    <row r="306">
      <c r="A306" s="15" t="inlineStr">
        <is>
          <t>304</t>
        </is>
      </c>
      <c r="B306" s="18" t="inlineStr">
        <is>
          <t>ตั้งครรภ์ ข้อ 9 เฉลย B เป้าหมายการรักษาคือ HR ขณะพักอยู่ในช่วง 60-80 beats/min เป้าหมายการรักษาของยา beta-blockers คือ HR ขณะพักอยู่ในช่วง 55-60 bpm และ HR สูงสุด ขณะออกกำลังกายต้องไม่เกิน 100 bpm โรคหัวใจและหลอดเลือด 17 ฝ่ายวิชาการ นิสิตเภสัชศาสตร์ มหาวิทยาลัยศรีนครินทรวิโรฒ รุ่นที่ 19 สหพันธ์นิสิตนักศึกษาเภสัชศาสตร์แห่งประเทศไทย (สนภท.) ข้อ 10 เฉลย A โรคไต โรคไตไม่ใช่ปัจจัยเสี่ยงในการเกิดโรคหัวใจขาดเลือด แต่โรคความดันโลหิตสูง โรคเบาหวาน โรคอ้วน และ โรคไขมันในเลือดผิดปกติ จัดว่าเป็นปัจจัยเสี่ยงในการเกิดโรคหัวใจขาดเลือด โรคหัวใจและหลอดเลือด 18 นักศึกษาเภสัชศาสตร์ชั้นปีที่ 4 รุ่นที่ 28 มหาวิทยาลัยรังสิต สหพันธ์นิสิตนักศึกษาเภสัชศาสตร์แห่งประเทศไทย (สนภท.)</t>
        </is>
      </c>
      <c r="C306" s="18" t="inlineStr"/>
      <c r="D306" s="18" t="inlineStr">
        <is>
          <t>Diltiazem 30 mg TID</t>
        </is>
      </c>
      <c r="E306" s="18" t="inlineStr">
        <is>
          <t>Warfarin 3 mg OD (target INR 2.0-3.0)</t>
        </is>
      </c>
      <c r="F306" s="18" t="inlineStr">
        <is>
          <t>Furosemide 40 mg OD</t>
        </is>
      </c>
      <c r="G306" s="18" t="inlineStr">
        <is>
          <t>Amlodipine 5 mg OD</t>
        </is>
      </c>
      <c r="H306" s="18" t="inlineStr">
        <is>
          <t>Losartan 50 mg OD</t>
        </is>
      </c>
      <c r="I306" s="15" t="inlineStr">
        <is>
          <t>1</t>
        </is>
      </c>
      <c r="J30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6" s="18" t="inlineStr"/>
      <c r="L306" s="18" t="inlineStr">
        <is>
          <t>Hypertension</t>
        </is>
      </c>
      <c r="M306" s="18" t="inlineStr">
        <is>
          <t>Clinic</t>
        </is>
      </c>
      <c r="N306" s="18" t="inlineStr">
        <is>
          <t>ข้อ 9 (PLE_CC1_Practice_Exam.md)</t>
        </is>
      </c>
      <c r="O306" s="18" t="inlineStr">
        <is>
          <t>Mock</t>
        </is>
      </c>
      <c r="P306" s="18" t="inlineStr">
        <is>
          <t>Mock สภาเภสัชฯ Practice</t>
        </is>
      </c>
    </row>
    <row r="307">
      <c r="A307" s="15" t="inlineStr">
        <is>
          <t>305</t>
        </is>
      </c>
      <c r="B307" s="18" t="inlineStr">
        <is>
          <t>คำแนะนำในการใช้ยาเหน็บทวารข้อใดไม่ถูกต้อง</t>
        </is>
      </c>
      <c r="C307" s="18" t="inlineStr"/>
      <c r="D307" s="18" t="inlineStr">
        <is>
          <t>เก็บยาในช่องแช่เย็นก่อนแกะยาออกจากห่อ</t>
        </is>
      </c>
      <c r="E307" s="18" t="inlineStr">
        <is>
          <t>นอนตะแคงโดยให้ขาล่างเหยียดตรงและงอขาบนจนหัวเข่าชิดหน้าอกให้มากที่สุด</t>
        </is>
      </c>
      <c r="F307" s="18" t="inlineStr">
        <is>
          <t>สอดยาเหน็บเข้าไปในทวารหนัก โดยเอาด้านที่มีปลายแหลมเข้าไปก่อน</t>
        </is>
      </c>
      <c r="G307" s="18" t="inlineStr">
        <is>
          <t>นอนในท่าเดิมสักครู่หนึ่งประมาณ 5 นาที เพื่อให้แท่งยาละลายและออกฤทธิ์</t>
        </is>
      </c>
      <c r="H307" s="18" t="inlineStr">
        <is>
          <t>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307" s="15" t="inlineStr">
        <is>
          <t>1</t>
        </is>
      </c>
      <c r="J307" s="22" t="inlineStr">
        <is>
          <t>✅ คำตอบที่ถูกต้อง: ข้อ ก. เก็บยาในช่องแช่เย็นก่อนแกะยาออกจากห่อ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เก็บยาในช่องแช่เย็นก่อนแกะยาออกจากห่อ การเลือก เก็บยาในช่องแช่เย็นก่อนแกะยาออกจากห่อ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(นอนตะแคงโดยให้ขาล่างเหยียดตรงและงอขาบนจนหัวเข่าชิดหน้าอกให้มากที่สุด): ข้อนี้ไม่ใช่คำตอบที่ถูกต้องสำหรับภาวะ Hypertension เนื่องจากกลไกการออกฤทธิ์, efficacy หรือข้อบ่งใช้ไม่ตรงกับโจทย์ที่กำหนด
• ข้อ ค. (สอดยาเหน็บเข้าไปในทวารหนัก โดยเอาด้านที่มีปลายแหลมเข้าไปก่อน): ข้อนี้ไม่ใช่คำตอบที่ถูกต้องสำหรับภาวะ Hypertension เนื่องจากกลไกการออกฤทธิ์, efficacy หรือข้อบ่งใช้ไม่ตรงกับโจทย์ที่กำหนด
• ข้อ ง. (นอนในท่าเดิมสักครู่หนึ่งประมาณ 5 นาที เพื่อให้แท่งยาละลายและออกฤทธิ์): ข้อนี้ไม่ใช่คำตอบที่ถูกต้องสำหรับภาวะ Hypertension เนื่องจากกลไกการออกฤทธิ์, efficacy หรือข้อบ่งใช้ไม่ตรงกับโจทย์ที่กำหนด
• ข้อ จ. (มีข้อผิดมากกว่า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7" s="18" t="inlineStr"/>
      <c r="L307" s="18" t="inlineStr">
        <is>
          <t>Hypertension</t>
        </is>
      </c>
      <c r="M307" s="18" t="inlineStr">
        <is>
          <t>Clinic</t>
        </is>
      </c>
      <c r="N307" s="18" t="inlineStr">
        <is>
          <t>ข้อ 3 (PLE_CC1_Practice_Exam.md)</t>
        </is>
      </c>
      <c r="O307" s="18" t="inlineStr">
        <is>
          <t>Mock</t>
        </is>
      </c>
      <c r="P307" s="18" t="inlineStr">
        <is>
          <t>Mock สภาเภสัชฯ Practice</t>
        </is>
      </c>
    </row>
    <row r="308">
      <c r="A308" s="15" t="inlineStr">
        <is>
          <t>306</t>
        </is>
      </c>
      <c r="B308" s="18" t="inlineStr">
        <is>
          <t>โครงสร้างในข้อใดห้ามใช้สำหรับผู้ป่วยแพ้ยากลุ่ม Sulfonamides</t>
        </is>
      </c>
      <c r="C308" s="18" t="inlineStr"/>
      <c r="D308" s="18" t="inlineStr">
        <is>
          <t>Hydrochlorothiazide 25 mg OD</t>
        </is>
      </c>
      <c r="E308" s="18" t="inlineStr">
        <is>
          <t>Atorvastatin 20 mg OD</t>
        </is>
      </c>
      <c r="F308" s="18" t="inlineStr">
        <is>
          <t>Simvastatin 20 mg HS</t>
        </is>
      </c>
      <c r="G308" s="18" t="inlineStr">
        <is>
          <t>Bisoprolol 5 mg OD</t>
        </is>
      </c>
      <c r="H308" s="18" t="inlineStr">
        <is>
          <t>Spironolactone 25 mg OD</t>
        </is>
      </c>
      <c r="I308" s="15" t="inlineStr">
        <is>
          <t>1</t>
        </is>
      </c>
      <c r="J30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08" s="18" t="inlineStr"/>
      <c r="L308" s="18" t="inlineStr">
        <is>
          <t>Hypertension</t>
        </is>
      </c>
      <c r="M308" s="18" t="inlineStr">
        <is>
          <t>Clinic</t>
        </is>
      </c>
      <c r="N308" s="18" t="inlineStr">
        <is>
          <t>ข้อ 21 (PLE_CC1_Practice_Exam.md)</t>
        </is>
      </c>
      <c r="O308" s="18" t="inlineStr">
        <is>
          <t>Mock</t>
        </is>
      </c>
      <c r="P308" s="18" t="inlineStr">
        <is>
          <t>Mock สภาเภสัชฯ Practice</t>
        </is>
      </c>
    </row>
    <row r="309">
      <c r="A309" s="15" t="inlineStr">
        <is>
          <t>307</t>
        </is>
      </c>
      <c r="B309" s="18" t="inlineStr">
        <is>
          <t>ส่วนใดในโครงสร้างของยาในกลุ่ม Cephalosporins ที่ทำให้เกิดภาวะ Hypoprothrombinemia A B D C</t>
        </is>
      </c>
      <c r="C309" s="18" t="inlineStr"/>
      <c r="D309" s="18" t="inlineStr">
        <is>
          <t>Bisoprolol 5 mg OD</t>
        </is>
      </c>
      <c r="E309" s="18" t="inlineStr">
        <is>
          <t>Spironolactone 25 mg OD</t>
        </is>
      </c>
      <c r="F309" s="18" t="inlineStr">
        <is>
          <t>Clopidogrel 75 mg OD</t>
        </is>
      </c>
      <c r="G309" s="18" t="inlineStr">
        <is>
          <t>Aspirin 81 mg OD</t>
        </is>
      </c>
      <c r="H309" s="18" t="inlineStr">
        <is>
          <t>E E ผู้ป่วยหญิงไทยอายุ 25 ปีมาร้านขายยาด้วยอาการตาซ้ายแดง เปลือกตาบวม มีขี้ตาเป็นสีเหลืองเขียว จำนวนมาก เมื่อตื่นนอนเปลือกตาจะเหนียวติดกันเนื่องจากขี้ตา และมีอาการเคืองตาร่วมด้วย</t>
        </is>
      </c>
      <c r="I309" s="15" t="inlineStr">
        <is>
          <t>1</t>
        </is>
      </c>
      <c r="J30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(E E ผู้ป่วยหญิงไทยอายุ 25 ปีมาร้านขายยาด้วยอาการตาซ้ายแดง เปลือกตาบวม มีขี้ตาเป็นสีเหลืองเขียว จำนวนมาก เมื่อตื่นนอนเปลือกตาจะเหนียวติดกันเนื่องจากขี้ตา และมีอาการเคืองตาร่วมด้วย):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09" s="18" t="inlineStr"/>
      <c r="L309" s="18" t="inlineStr">
        <is>
          <t>Hypertension</t>
        </is>
      </c>
      <c r="M309" s="18" t="inlineStr">
        <is>
          <t>Clinic</t>
        </is>
      </c>
      <c r="N309" s="18" t="inlineStr">
        <is>
          <t>ข้อ 22 (PLE_CC1_Practice_Exam.md)</t>
        </is>
      </c>
      <c r="O309" s="18" t="inlineStr">
        <is>
          <t>Mock</t>
        </is>
      </c>
      <c r="P309" s="18" t="inlineStr">
        <is>
          <t>Mock สภาเภสัชฯ Practice</t>
        </is>
      </c>
    </row>
    <row r="310">
      <c r="A310" s="15" t="inlineStr">
        <is>
          <t>308</t>
        </is>
      </c>
      <c r="B310" s="18" t="inlineStr">
        <is>
          <t>ยาที่ออกฤทธิ์ต่อพยาธิ โดยการยับยั้งการสร้าง microtubule และมีผลยับยั้งการนำกลูโคสเข้าเซลล์ คือยา ในข้อใด</t>
        </is>
      </c>
      <c r="C310" s="18" t="inlineStr"/>
      <c r="D310" s="18" t="inlineStr">
        <is>
          <t>Praziquantel</t>
        </is>
      </c>
      <c r="E310" s="18" t="inlineStr">
        <is>
          <t>Niclosamide</t>
        </is>
      </c>
      <c r="F310" s="18" t="inlineStr">
        <is>
          <t>Mebendazole</t>
        </is>
      </c>
      <c r="G310" s="18" t="inlineStr">
        <is>
          <t>Pyrantel pamoate</t>
        </is>
      </c>
      <c r="H310" s="18"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310" s="15" t="inlineStr">
        <is>
          <t>1</t>
        </is>
      </c>
      <c r="J310" s="22"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ข้อนี้ไม่ใช่คำตอบที่ถูกต้องสำหรับภาวะ Hypertension เนื่องจากกลไกการออกฤทธิ์, efficacy หรือข้อบ่งใช้ไม่ตรงกับโจทย์ที่กำหนด
• ข้อ ค. (Mebendazole): ข้อนี้ไม่ใช่คำตอบที่ถูกต้องสำหรับภาวะ Hypertension เนื่องจากกลไกการออกฤทธิ์, efficacy หรือข้อบ่งใช้ไม่ตรงกับโจทย์ที่กำหนด
• ข้อ ง. (Pyrantel pamoate): ข้อนี้ไม่ใช่คำตอบที่ถูกต้องสำหรับภาวะ Hypertension เนื่องจากกลไกการออกฤทธิ์, efficacy หรือข้อบ่งใช้ไม่ตรงกับโจทย์ที่กำหนด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10" s="18" t="inlineStr"/>
      <c r="L310" s="18" t="inlineStr">
        <is>
          <t>Hypertension</t>
        </is>
      </c>
      <c r="M310" s="18" t="inlineStr">
        <is>
          <t>Clinic</t>
        </is>
      </c>
      <c r="N310" s="18" t="inlineStr">
        <is>
          <t>ข้อ 40 (PLE_CC1_Practice_Exam.md)</t>
        </is>
      </c>
      <c r="O310" s="18" t="inlineStr">
        <is>
          <t>Mock</t>
        </is>
      </c>
      <c r="P310" s="18" t="inlineStr">
        <is>
          <t>Mock สภาเภสัชฯ Practice</t>
        </is>
      </c>
    </row>
    <row r="311">
      <c r="A311" s="15" t="inlineStr">
        <is>
          <t>309</t>
        </is>
      </c>
      <c r="B311" s="18" t="inlineStr">
        <is>
          <t>ยาต้านโปรโตซัวชนิด nitroimidazole ต้องมีการเปลี่ยนแปลงที่โครงสร้าง ณ ตำแหน่งใดเพื่อให้อยู่ในรูปที่ สามารถออกฤทธิ์ได้ D</t>
        </is>
      </c>
      <c r="C311" s="18" t="inlineStr"/>
      <c r="D311" s="18" t="inlineStr">
        <is>
          <t>Diltiazem 30 mg TID</t>
        </is>
      </c>
      <c r="E311" s="18" t="inlineStr">
        <is>
          <t>Warfarin 3 mg OD (target INR 2.0-3.0)</t>
        </is>
      </c>
      <c r="F311" s="18" t="inlineStr">
        <is>
          <t>Furosemide 40 mg OD</t>
        </is>
      </c>
      <c r="G311" s="18" t="inlineStr">
        <is>
          <t>Amlodipine 5 mg OD</t>
        </is>
      </c>
      <c r="H311" s="18" t="inlineStr">
        <is>
          <t>Losartan 50 mg OD</t>
        </is>
      </c>
      <c r="I311" s="15" t="inlineStr">
        <is>
          <t>1</t>
        </is>
      </c>
      <c r="J31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11" s="18" t="inlineStr"/>
      <c r="L311" s="18" t="inlineStr">
        <is>
          <t>Hypertension</t>
        </is>
      </c>
      <c r="M311" s="18" t="inlineStr">
        <is>
          <t>Clinic</t>
        </is>
      </c>
      <c r="N311" s="18" t="inlineStr">
        <is>
          <t>ข้อ 42 (PLE_CC1_Practice_Exam.md)</t>
        </is>
      </c>
      <c r="O311" s="18" t="inlineStr">
        <is>
          <t>Mock</t>
        </is>
      </c>
      <c r="P311" s="18" t="inlineStr">
        <is>
          <t>Mock สภาเภสัชฯ Practice</t>
        </is>
      </c>
    </row>
    <row r="312">
      <c r="A312" s="15" t="inlineStr">
        <is>
          <t>310</t>
        </is>
      </c>
      <c r="B312" s="18" t="inlineStr">
        <is>
          <t>กระบวนการเปลี่ยนแปลงตัวยาในกลุ่ม nitroimidazole ให้อยู่ในรูปที่ออกฤทธิ์ได้ในเชื้อโปรโตซัวเรียกว่า อะไร</t>
        </is>
      </c>
      <c r="C312" s="18" t="inlineStr"/>
      <c r="D312" s="18" t="inlineStr">
        <is>
          <t>Nitro-Reduction</t>
        </is>
      </c>
      <c r="E312" s="18" t="inlineStr">
        <is>
          <t>Hydroxylation</t>
        </is>
      </c>
      <c r="F312" s="18" t="inlineStr">
        <is>
          <t>Hydrolysis</t>
        </is>
      </c>
      <c r="G312" s="18" t="inlineStr">
        <is>
          <t>Demethylation</t>
        </is>
      </c>
      <c r="H312" s="18" t="inlineStr">
        <is>
          <t>Cyclization</t>
        </is>
      </c>
      <c r="I312" s="15" t="inlineStr">
        <is>
          <t>1</t>
        </is>
      </c>
      <c r="J312" s="22"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ข้อนี้ไม่ใช่คำตอบที่ถูกต้องสำหรับภาวะ Hypertension เนื่องจากกลไกการออกฤทธิ์, efficacy หรือข้อบ่งใช้ไม่ตรงกับโจทย์ที่กำหนด
• ข้อ ค. (Hydrolysis): ข้อนี้ไม่ใช่คำตอบที่ถูกต้องสำหรับภาวะ Hypertension เนื่องจากกลไกการออกฤทธิ์, efficacy หรือข้อบ่งใช้ไม่ตรงกับโจทย์ที่กำหนด
• ข้อ ง. (Demethylation): ข้อนี้ไม่ใช่คำตอบที่ถูกต้องสำหรับภาวะ Hypertension เนื่องจากกลไกการออกฤทธิ์, efficacy หรือข้อบ่งใช้ไม่ตรงกับโจทย์ที่กำหนด
• ข้อ จ. (Cyclization):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12" s="18" t="inlineStr"/>
      <c r="L312" s="18" t="inlineStr">
        <is>
          <t>Hypertension</t>
        </is>
      </c>
      <c r="M312" s="18" t="inlineStr">
        <is>
          <t>Clinic</t>
        </is>
      </c>
      <c r="N312" s="18" t="inlineStr">
        <is>
          <t>ข้อ 43 (PLE_CC1_Practice_Exam.md)</t>
        </is>
      </c>
      <c r="O312" s="18" t="inlineStr">
        <is>
          <t>Mock</t>
        </is>
      </c>
      <c r="P312" s="18" t="inlineStr">
        <is>
          <t>Mock สภาเภสัชฯ Practice</t>
        </is>
      </c>
    </row>
    <row r="313">
      <c r="A313" s="15" t="inlineStr">
        <is>
          <t>311</t>
        </is>
      </c>
      <c r="B313" s="18" t="inlineStr">
        <is>
          <t>ผู้ป่วยเพศหญิง อายุ 50 ปี เพิ่งได้รับการวินิจฉัยว่าเป็นเบาหวานชนิดที่ 2 และได้รับยา Metformin ข้อใด ถูกต้องเกี่ยวกับยานี้</t>
        </is>
      </c>
      <c r="C313" s="18" t="inlineStr"/>
      <c r="D313" s="18" t="inlineStr">
        <is>
          <t>เพิ่มการหลั่งอินซูลินจาก β-cell ของตับอ่อน</t>
        </is>
      </c>
      <c r="E313" s="18" t="inlineStr">
        <is>
          <t>ลดการดูดซึมกลูโคสจากทางเดินอาหาร</t>
        </is>
      </c>
      <c r="F313" s="18" t="inlineStr">
        <is>
          <t>ลดการสังเคราะห์กลูโคสจากตับ</t>
        </is>
      </c>
      <c r="G313" s="18" t="inlineStr">
        <is>
          <t>ลด glucose uptake และการใช้กลูโคสในเซลล์เป้าหมายของอินซูลิน</t>
        </is>
      </c>
      <c r="H313" s="18" t="inlineStr">
        <is>
          <t>ผลข้างเคียงที่พบบ่อยคือ ภาวะกลูโคสในเลือดต่ำ (Hypoglycemia)</t>
        </is>
      </c>
      <c r="I313" s="15" t="inlineStr">
        <is>
          <t>1</t>
        </is>
      </c>
      <c r="J313" s="22"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ข้อนี้ไม่ใช่คำตอบที่ถูกต้องสำหรับภาวะ Hypertension เนื่องจากกลไกการออกฤทธิ์, efficacy หรือข้อบ่งใช้ไม่ตรงกับโจทย์ที่กำหนด
• ข้อ ค. (ลดการสังเคราะห์กลูโคสจากตับ): ข้อนี้ไม่ใช่คำตอบที่ถูกต้องสำหรับภาวะ Hypertension เนื่องจากกลไกการออกฤทธิ์, efficacy หรือข้อบ่งใช้ไม่ตรงกับโจทย์ที่กำหนด
• ข้อ ง. (ลด glucose uptake และการใช้กลูโคสในเซลล์เป้าหมายของอินซูลิน): ข้อนี้ไม่ใช่คำตอบที่ถูกต้องสำหรับภาวะ Hypertension เนื่องจากกลไกการออกฤทธิ์, efficacy หรือข้อบ่งใช้ไม่ตรงกับโจทย์ที่กำหนด
• ข้อ จ. (ผลข้างเคียงที่พบบ่อยคือ ภาวะกลูโคสในเลือดต่ำ (Hypoglycemia)):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13" s="18" t="inlineStr"/>
      <c r="L313" s="18" t="inlineStr">
        <is>
          <t>Hypertension</t>
        </is>
      </c>
      <c r="M313" s="18" t="inlineStr">
        <is>
          <t>Clinic</t>
        </is>
      </c>
      <c r="N313" s="18" t="inlineStr">
        <is>
          <t>ข้อ 2 (PLE_CC1_Practice_Exam.md)</t>
        </is>
      </c>
      <c r="O313" s="18" t="inlineStr">
        <is>
          <t>Mock</t>
        </is>
      </c>
      <c r="P313" s="18" t="inlineStr">
        <is>
          <t>Mock สภาเภสัชฯ Practice</t>
        </is>
      </c>
    </row>
    <row r="314">
      <c r="A314" s="15" t="inlineStr">
        <is>
          <t>312</t>
        </is>
      </c>
      <c r="B314" s="18"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314" s="18" t="inlineStr"/>
      <c r="D314" s="18" t="inlineStr">
        <is>
          <t>Insulin Lispro มี onset ในการออกฤทธิ์ที่เร็วกว่า NPH และจัดอยู่ใน Rapid acting insulin</t>
        </is>
      </c>
      <c r="E314" s="18"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314" s="18" t="inlineStr">
        <is>
          <t>Insulin Aspart บริหารยาโดยฉีดเข้าใต้ผิวหนังได้ทันทีก่อนมื้ออาหาร</t>
        </is>
      </c>
      <c r="G314" s="18" t="inlineStr">
        <is>
          <t>NPH insulin ไม่ใช้ในการรักษาผู้ป่วย Diabetic ketoacidosis</t>
        </is>
      </c>
      <c r="H314" s="18" t="inlineStr">
        <is>
          <t>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t>
        </is>
      </c>
      <c r="I314" s="15" t="inlineStr">
        <is>
          <t>1</t>
        </is>
      </c>
      <c r="J314" s="22" t="inlineStr">
        <is>
          <t>✅ คำตอบที่ถูกต้อง: ข้อ ก. Insulin Lispro มี onset ในการออกฤทธิ์ที่เร็วกว่า NPH และจัดอยู่ใน Rapid acting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Insulin Lispro มี onset ในการออกฤทธิ์ที่เร็วกว่า NPH และจัดอยู่ใน Rapid acting insulin การเลือก Insulin Lispro มี onset ในการออกฤทธิ์ที่เร็วกว่า NPH และจัดอยู่ใน Rapid acting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(NPH นิยมใช้ผสมกับ Regular insulin (RI) เพราะว่า NPH ออกฤทธิ์ได้รวดเร็วและ RI ออกฤทธิ์ได้ ช้ากว่าจึงทำให้สามารถควบคุมระดับน้ำตาลได้นาน): ข้อนี้ไม่ใช่คำตอบที่ถูกต้องสำหรับภาวะ Hypertension เนื่องจากกลไกการออกฤทธิ์, efficacy หรือข้อบ่งใช้ไม่ตรงกับโจทย์ที่กำหนด
• ข้อ ค. (Insulin Aspart บริหารยาโดยฉีดเข้าใต้ผิวหนังได้ทันทีก่อนมื้ออาหาร): ข้อนี้ไม่ใช่คำตอบที่ถูกต้องสำหรับภาวะ Hypertension เนื่องจากกลไกการออกฤทธิ์, efficacy หรือข้อบ่งใช้ไม่ตรงกับโจทย์ที่กำหนด
• ข้อ ง. (NPH insulin ไม่ใช้ในการรักษาผู้ป่วย Diabetic ketoacidosis): ข้อนี้ไม่ใช่คำตอบที่ถูกต้องสำหรับภาวะ Hypertension เนื่องจากกลไกการออกฤทธิ์, efficacy หรือข้อบ่งใช้ไม่ตรงกับโจทย์ที่กำหนด
• ข้อ จ. (ผู้ป่วยชาย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14" s="18" t="inlineStr"/>
      <c r="L314" s="18" t="inlineStr">
        <is>
          <t>Hypertension</t>
        </is>
      </c>
      <c r="M314" s="18" t="inlineStr">
        <is>
          <t>Clinic</t>
        </is>
      </c>
      <c r="N314" s="18" t="inlineStr">
        <is>
          <t>ข้อ 3 (PLE_CC1_Practice_Exam.md)</t>
        </is>
      </c>
      <c r="O314" s="18" t="inlineStr">
        <is>
          <t>Mock</t>
        </is>
      </c>
      <c r="P314" s="18" t="inlineStr">
        <is>
          <t>Mock สภาเภสัชฯ Practice</t>
        </is>
      </c>
    </row>
    <row r="315">
      <c r="A315" s="15" t="inlineStr">
        <is>
          <t>313</t>
        </is>
      </c>
      <c r="B315" s="18" t="inlineStr">
        <is>
          <t>ผู้ป่วยหญิงไทยคู่ อายุ 45 ปี น้ำหนัก 86 กิโลกรัม สูง 168 ซม. CC: มาพบแพทย์ตามนัด HPI: Chronic kidney disease stage 4 89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Lab: CrCl eGFR 27 mL/min/1.73 mଶ Hba1c 8.5 PMH: Metformin 500 mg 1x2 pc ยาลดน้ำตาลในเลือดที่ผู้ป่วยได้รับมีความเหมาะสมหรือไม่ เพราะเหตุใด</t>
        </is>
      </c>
      <c r="C315" s="18" t="inlineStr"/>
      <c r="D315" s="18" t="inlineStr">
        <is>
          <t>ไม่เหมาะสม เนื่องจากขนาดยา Metformin สูงเกินไป</t>
        </is>
      </c>
      <c r="E315" s="18" t="inlineStr">
        <is>
          <t>ไม่เมาะสม เนื่องจากขนาดยา Metformin ต่ำเกินไป</t>
        </is>
      </c>
      <c r="F315" s="18" t="inlineStr">
        <is>
          <t>ไม่เหมาะสม เนื่องจากผู้ป่วยมีค่า eGFR น้อยกว่า 30 mL/min/1.73 mଶ</t>
        </is>
      </c>
      <c r="G315" s="18" t="inlineStr">
        <is>
          <t>เหมาะสม เนื่องจากยานี้ไม่ทำให้เกิด hypoglycemia</t>
        </is>
      </c>
      <c r="H315" s="18" t="inlineStr">
        <is>
          <t>เหมาะสม เนื่องจากผู้ป่วยมีน้ำหนักตัวเกิน</t>
        </is>
      </c>
      <c r="I315" s="15" t="inlineStr">
        <is>
          <t>1</t>
        </is>
      </c>
      <c r="J315" s="22"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(ไม่เหมาะสม เนื่องจากผู้ป่วยมีค่า eGFR น้อยกว่า 30 mL/min/1.73 mଶ): ข้อนี้ไม่ใช่คำตอบที่ถูกต้องสำหรับภาวะ Hypertension เนื่องจากกลไกการออกฤทธิ์, efficacy หรือข้อบ่งใช้ไม่ตรงกับโจทย์ที่กำหนด
• ข้อ ง. (เหมาะสม เนื่องจากยานี้ไม่ทำให้เกิด hypoglycemia): ข้อนี้ไม่ใช่คำตอบที่ถูกต้องสำหรับภาวะ Hypertension เนื่องจากกลไกการออกฤทธิ์, efficacy หรือข้อบ่งใช้ไม่ตรงกับโจทย์ที่กำหนด
• ข้อ จ. (เหมาะสม เนื่องจากผู้ป่วยมีน้ำหนักตัวเกิน):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15" s="18" t="inlineStr"/>
      <c r="L315" s="18" t="inlineStr">
        <is>
          <t>Hypertension</t>
        </is>
      </c>
      <c r="M315" s="18" t="inlineStr">
        <is>
          <t>Clinic</t>
        </is>
      </c>
      <c r="N315" s="18" t="inlineStr">
        <is>
          <t>ข้อ 8 (PLE_CC1_Practice_Exam.md)</t>
        </is>
      </c>
      <c r="O315" s="18" t="inlineStr">
        <is>
          <t>Mock</t>
        </is>
      </c>
      <c r="P315" s="18" t="inlineStr">
        <is>
          <t>Mock สภาเภสัชฯ Practice</t>
        </is>
      </c>
    </row>
    <row r="316">
      <c r="A316" s="15" t="inlineStr">
        <is>
          <t>314</t>
        </is>
      </c>
      <c r="B316" s="18" t="inlineStr">
        <is>
          <t>ผู้ป่วยหญิงไทยคู่อายุ 58 ปี มี BMI = 28 kg/mଶ มาพบแพทย์ เนื่องจากมีปัสสาวะบ่อย เจ็บหน้าอก น้ำหนักลด อ่อนเพลีย แพทย์วินิจฉัยว่าผู้ป่วยเป็นหัวใจขาดเลือด มาวันนี้ผู้มาพบแพทย์ตามนัด และแพทย์ได้ จ่ายยาเพื่อรักษา</t>
        </is>
      </c>
      <c r="C316" s="18" t="inlineStr"/>
      <c r="D316" s="18" t="inlineStr">
        <is>
          <t>Diltiazem 30 mg TID</t>
        </is>
      </c>
      <c r="E316" s="18" t="inlineStr">
        <is>
          <t>Warfarin 3 mg OD (target INR 2.0-3.0)</t>
        </is>
      </c>
      <c r="F316" s="18" t="inlineStr">
        <is>
          <t>Furosemide 40 mg OD</t>
        </is>
      </c>
      <c r="G316" s="18" t="inlineStr">
        <is>
          <t>Amlodipine 5 mg OD</t>
        </is>
      </c>
      <c r="H316" s="18" t="inlineStr">
        <is>
          <t>Losartan 50 mg OD</t>
        </is>
      </c>
      <c r="I316" s="15" t="inlineStr">
        <is>
          <t>1</t>
        </is>
      </c>
      <c r="J31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16" s="18" t="inlineStr"/>
      <c r="L316" s="18" t="inlineStr">
        <is>
          <t>Hypertension</t>
        </is>
      </c>
      <c r="M316" s="18" t="inlineStr">
        <is>
          <t>Clinic</t>
        </is>
      </c>
      <c r="N316" s="18" t="inlineStr">
        <is>
          <t>ข้อ 11 (PLE_CC1_Practice_Exam.md)</t>
        </is>
      </c>
      <c r="O316" s="18" t="inlineStr">
        <is>
          <t>Mock</t>
        </is>
      </c>
      <c r="P316" s="18" t="inlineStr">
        <is>
          <t>Mock สภาเภสัชฯ Practice</t>
        </is>
      </c>
    </row>
    <row r="317">
      <c r="A317" s="15" t="inlineStr">
        <is>
          <t>315</t>
        </is>
      </c>
      <c r="B317" s="18" t="inlineStr">
        <is>
          <t>Simvastatin 1/2ข1 pc</t>
        </is>
      </c>
      <c r="C317" s="18" t="inlineStr"/>
      <c r="D317" s="18" t="inlineStr">
        <is>
          <t>Amlodipine 5 mg OD</t>
        </is>
      </c>
      <c r="E317" s="18" t="inlineStr">
        <is>
          <t>Losartan 50 mg OD</t>
        </is>
      </c>
      <c r="F317" s="18" t="inlineStr">
        <is>
          <t>Enalapril 10 mg BID</t>
        </is>
      </c>
      <c r="G317" s="18" t="inlineStr">
        <is>
          <t>Hydrochlorothiazide 25 mg OD</t>
        </is>
      </c>
      <c r="H317" s="18" t="inlineStr">
        <is>
          <t>Atorvastatin 20 mg OD</t>
        </is>
      </c>
      <c r="I317" s="15" t="inlineStr">
        <is>
          <t>1</t>
        </is>
      </c>
      <c r="J31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17" s="18" t="inlineStr"/>
      <c r="L317" s="18" t="inlineStr">
        <is>
          <t>Hypertension</t>
        </is>
      </c>
      <c r="M317" s="18" t="inlineStr">
        <is>
          <t>Clinic</t>
        </is>
      </c>
      <c r="N317" s="18" t="inlineStr">
        <is>
          <t>ข้อ 3 (PLE_CC1_Practice_Exam.md)</t>
        </is>
      </c>
      <c r="O317" s="18" t="inlineStr">
        <is>
          <t>Mock</t>
        </is>
      </c>
      <c r="P317" s="18" t="inlineStr">
        <is>
          <t>Mock สภาเภสัชฯ Practice</t>
        </is>
      </c>
    </row>
    <row r="318">
      <c r="A318" s="15" t="inlineStr">
        <is>
          <t>316</t>
        </is>
      </c>
      <c r="B318" s="18"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318" s="18" t="inlineStr"/>
      <c r="D318" s="18" t="inlineStr">
        <is>
          <t>ไม่ควรเปลี่ยนยา เนื่องจากยาเดิมมีประสิทธิภาพดีอยู่แล้ว</t>
        </is>
      </c>
      <c r="E318" s="18" t="inlineStr">
        <is>
          <t>ควรเปลี่ยนยา โดยใช้ยา Glibenclamide แทน</t>
        </is>
      </c>
      <c r="F318" s="18" t="inlineStr">
        <is>
          <t>ควรเปลี่ยนยา โดยใช้ยา Acarbose แทน</t>
        </is>
      </c>
      <c r="G318" s="18" t="inlineStr">
        <is>
          <t>ควรปลี่ยนยา โดยใช้ยา Repaglinide แทน</t>
        </is>
      </c>
      <c r="H318" s="18" t="inlineStr">
        <is>
          <t>มีข้อถูกมากกว่า1ข้อ</t>
        </is>
      </c>
      <c r="I318" s="15" t="inlineStr">
        <is>
          <t>1</t>
        </is>
      </c>
      <c r="J318" s="22"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มี active metabolites ขับออกทางไต เสี่ยงต่อ prolonged severe hypoglycemia ในผู้สูงอายุและผู้ป่วย renal impairment จึงควรหลีกเลี่ยงตาม Beers Criteria
• ข้อ ค. (ควรเปลี่ยนยา โดยใช้ยา Acarbose แทน):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(ควรปลี่ยนยา โดยใช้ยา Repaglinide แทน): ข้อนี้ไม่ใช่คำตอบที่ถูกต้องสำหรับภาวะ Hypertension เนื่องจากกลไกการออกฤทธิ์, efficacy หรือข้อบ่งใช้ไม่ตรงกับโจทย์ที่กำหนด
• ข้อ จ. (มีข้อถูกมากกว่า1ข้อ):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18" s="18" t="inlineStr"/>
      <c r="L318" s="18" t="inlineStr">
        <is>
          <t>Hypertension</t>
        </is>
      </c>
      <c r="M318" s="18" t="inlineStr">
        <is>
          <t>Clinic</t>
        </is>
      </c>
      <c r="N318" s="18" t="inlineStr">
        <is>
          <t>ข้อ 15 (PLE_CC1_Practice_Exam.md)</t>
        </is>
      </c>
      <c r="O318" s="18" t="inlineStr">
        <is>
          <t>Mock</t>
        </is>
      </c>
      <c r="P318" s="18" t="inlineStr">
        <is>
          <t>Mock สภาเภสัชฯ Practice</t>
        </is>
      </c>
    </row>
    <row r="319">
      <c r="A319" s="15" t="inlineStr">
        <is>
          <t>317</t>
        </is>
      </c>
      <c r="B319" s="18"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319" s="18" t="inlineStr"/>
      <c r="D319" s="18" t="inlineStr">
        <is>
          <t>Prader-Willi Syndrome</t>
        </is>
      </c>
      <c r="E319" s="18" t="inlineStr">
        <is>
          <t>Cushing's syndrome</t>
        </is>
      </c>
      <c r="F319" s="18" t="inlineStr">
        <is>
          <t>Hyperthyroidism</t>
        </is>
      </c>
      <c r="G319" s="18" t="inlineStr">
        <is>
          <t>ข้อ ก และ ข</t>
        </is>
      </c>
      <c r="H319" s="18" t="inlineStr">
        <is>
          <t>ถูกทุกข้อ</t>
        </is>
      </c>
      <c r="I319" s="15" t="inlineStr">
        <is>
          <t>1</t>
        </is>
      </c>
      <c r="J319" s="22"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ข้อนี้ไม่ใช่คำตอบที่ถูกต้องสำหรับภาวะ Hypertension เนื่องจากกลไกการออกฤทธิ์, efficacy หรือข้อบ่งใช้ไม่ตรงกับโจทย์ที่กำหนด
• ข้อ ค. (Hyperthyroidism): ข้อนี้ไม่ใช่คำตอบที่ถูกต้องสำหรับภาวะ Hypertension เนื่องจากกลไกการออกฤทธิ์, efficacy หรือข้อบ่งใช้ไม่ตรงกับโจทย์ที่กำหนด
• ข้อ ง. (ข้อ ก และ ข): ข้อนี้ไม่ใช่คำตอบที่ถูกต้องสำหรับภาวะ Hypertension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19" s="18" t="inlineStr"/>
      <c r="L319" s="18" t="inlineStr">
        <is>
          <t>Hypertension</t>
        </is>
      </c>
      <c r="M319" s="18" t="inlineStr">
        <is>
          <t>Clinic</t>
        </is>
      </c>
      <c r="N319" s="18" t="inlineStr">
        <is>
          <t>ข้อ 33 (PLE_CC1_Practice_Exam.md)</t>
        </is>
      </c>
      <c r="O319" s="18" t="inlineStr">
        <is>
          <t>Mock</t>
        </is>
      </c>
      <c r="P319" s="18" t="inlineStr">
        <is>
          <t>Mock สภาเภสัชฯ Practice</t>
        </is>
      </c>
    </row>
    <row r="320">
      <c r="A320" s="15" t="inlineStr">
        <is>
          <t>318</t>
        </is>
      </c>
      <c r="B320" s="18" t="inlineStr">
        <is>
          <t>ตอบ ค. ลดการสังเคราะห์กลูโคสจากตับ ยา Metformin อยู่ในกลุ่ม Biguanides มีกลไกในการออกฤทธิ์ คือ ลดการสร้างน้ำตาลจากตับ (gluconeogenesis) และทำให้น้ำตาลเข้าเซลล์ดีขึ้น โดยการเพิ่ม GLUT-4</t>
        </is>
      </c>
      <c r="C320" s="18" t="inlineStr"/>
      <c r="D320" s="18" t="inlineStr">
        <is>
          <t>Aspirin 81 mg OD</t>
        </is>
      </c>
      <c r="E320" s="18" t="inlineStr">
        <is>
          <t>Sacubitril/Valsartan 49/51 mg BID</t>
        </is>
      </c>
      <c r="F320" s="18" t="inlineStr">
        <is>
          <t>Empagliflozin 10 mg OD</t>
        </is>
      </c>
      <c r="G320" s="18" t="inlineStr">
        <is>
          <t>Diltiazem 30 mg TID</t>
        </is>
      </c>
      <c r="H320" s="18" t="inlineStr">
        <is>
          <t>Warfarin 3 mg OD (target INR 2.0-3.0)</t>
        </is>
      </c>
      <c r="I320" s="15" t="inlineStr">
        <is>
          <t>1</t>
        </is>
      </c>
      <c r="J32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20" s="18" t="inlineStr"/>
      <c r="L320" s="18" t="inlineStr">
        <is>
          <t>Hypertension</t>
        </is>
      </c>
      <c r="M320" s="18" t="inlineStr">
        <is>
          <t>Clinic</t>
        </is>
      </c>
      <c r="N320" s="18" t="inlineStr">
        <is>
          <t>ข้อ 2 (PLE_CC1_Practice_Exam.md)</t>
        </is>
      </c>
      <c r="O320" s="18" t="inlineStr">
        <is>
          <t>Mock</t>
        </is>
      </c>
      <c r="P320" s="18" t="inlineStr">
        <is>
          <t>Mock สภาเภสัชฯ Practice</t>
        </is>
      </c>
    </row>
    <row r="321">
      <c r="A321" s="15" t="inlineStr">
        <is>
          <t>319</t>
        </is>
      </c>
      <c r="B321" s="18" t="inlineStr">
        <is>
          <t>ตอบ ข. กระตุ้น AMP-activated protein kinase (AMPK) จากภาพเป็นโครงสร้างของ Metformin ซึ่งเป็นยาในกลุ่ม Biguanides ออกฤทธิ์กระตุ้น AMP- activated protein kinase (AMPK)</t>
        </is>
      </c>
      <c r="C321" s="18" t="inlineStr"/>
      <c r="D321" s="18" t="inlineStr">
        <is>
          <t>Diltiazem 30 mg TID</t>
        </is>
      </c>
      <c r="E321" s="18" t="inlineStr">
        <is>
          <t>Warfarin 3 mg OD (target INR 2.0-3.0)</t>
        </is>
      </c>
      <c r="F321" s="18" t="inlineStr">
        <is>
          <t>Furosemide 40 mg OD</t>
        </is>
      </c>
      <c r="G321" s="18" t="inlineStr">
        <is>
          <t>Amlodipine 5 mg OD</t>
        </is>
      </c>
      <c r="H321" s="18" t="inlineStr">
        <is>
          <t>Losartan 50 mg OD</t>
        </is>
      </c>
      <c r="I321" s="15" t="inlineStr">
        <is>
          <t>1</t>
        </is>
      </c>
      <c r="J32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21" s="18" t="inlineStr"/>
      <c r="L321" s="18" t="inlineStr">
        <is>
          <t>Hypertension</t>
        </is>
      </c>
      <c r="M321" s="18" t="inlineStr">
        <is>
          <t>Clinic</t>
        </is>
      </c>
      <c r="N321" s="18" t="inlineStr">
        <is>
          <t>ข้อ 7 (PLE_CC1_Practice_Exam.md)</t>
        </is>
      </c>
      <c r="O321" s="18" t="inlineStr">
        <is>
          <t>Mock</t>
        </is>
      </c>
      <c r="P321" s="18" t="inlineStr">
        <is>
          <t>Mock สภาเภสัชฯ Practice</t>
        </is>
      </c>
    </row>
    <row r="322">
      <c r="A322" s="15" t="inlineStr">
        <is>
          <t>320</t>
        </is>
      </c>
      <c r="B322" s="18" t="inlineStr">
        <is>
          <t>ตอบ ง. เปลี่ยนยา Metformin เป็นยา Glipizide เมื่อพิจารณาตามแนวทางการรักษาผู้ป่วยเบาหวานแห่งประเทศไทย แนะนำให้ใช้ยา Metformin เป็นอันดับแรก หากผู้ป่วยไม่สามารถใช้ยาดังกล่าวได้ แนะนำให้ใช้ยาทางเลือก คือ ให้ใช้ยากลุ่ม Sulfonylurea หรือ Glitazone หรือ DPP4-inhibitor หรือ α-glucosidase inhibitor หรือ Repaglinide แทน จากตัวเลือก ข้างต้น จึงพิจารณาเปลี่ยนยา Metformin เป็นยา Glipizide เนื่องจาก Acarbose เองก็มีข้อห้ามใช้ในกรณีที่ ผู้ป่วยมี eGFR น้อยกว่า 30 mL/min/1.73 mଶ</t>
        </is>
      </c>
      <c r="C322" s="18" t="inlineStr"/>
      <c r="D322" s="18" t="inlineStr">
        <is>
          <t>Amlodipine 5 mg OD</t>
        </is>
      </c>
      <c r="E322" s="18" t="inlineStr">
        <is>
          <t>Losartan 50 mg OD</t>
        </is>
      </c>
      <c r="F322" s="18" t="inlineStr">
        <is>
          <t>Enalapril 10 mg BID</t>
        </is>
      </c>
      <c r="G322" s="18" t="inlineStr">
        <is>
          <t>Hydrochlorothiazide 25 mg OD</t>
        </is>
      </c>
      <c r="H322" s="18" t="inlineStr">
        <is>
          <t>Atorvastatin 20 mg OD</t>
        </is>
      </c>
      <c r="I322" s="15" t="inlineStr">
        <is>
          <t>1</t>
        </is>
      </c>
      <c r="J32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22" s="18" t="inlineStr"/>
      <c r="L322" s="18" t="inlineStr">
        <is>
          <t>Hypertension</t>
        </is>
      </c>
      <c r="M322" s="18" t="inlineStr">
        <is>
          <t>Clinic</t>
        </is>
      </c>
      <c r="N322" s="18" t="inlineStr">
        <is>
          <t>ข้อ 9 (PLE_CC1_Practice_Exam.md)</t>
        </is>
      </c>
      <c r="O322" s="18" t="inlineStr">
        <is>
          <t>Mock</t>
        </is>
      </c>
      <c r="P322" s="18" t="inlineStr">
        <is>
          <t>Mock สภาเภสัชฯ Practice</t>
        </is>
      </c>
    </row>
    <row r="323">
      <c r="A323" s="15" t="inlineStr">
        <is>
          <t>321</t>
        </is>
      </c>
      <c r="B323" s="18" t="inlineStr">
        <is>
          <t>ตอบ ค. เจ็บหน้าอก เนื่องจาก ก. หิวน้ำบ่อย ข. ปัสสาวะบ่อย ง. น้ำหนักลด จ.อ่อนเพลีย เป็นอาการของผู้ที่มีภาวะ เบาหวาน(Diabetes Mellitus) แต่อาการในข้อ ค. เจ็บหน้าอก จากโจทย์คาดว่าเป็นอาการของภาวะหัวใจ ขาดเลือด ซึ่งภาวะดังกล่าวนี้อาจเกิดจากปัจจัยเสี่ยงคือ ผู้ป่วยเป็นเบาหวานได้ 102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323" s="18" t="inlineStr"/>
      <c r="D323" s="18" t="inlineStr">
        <is>
          <t>Hydrochlorothiazide 25 mg OD</t>
        </is>
      </c>
      <c r="E323" s="18" t="inlineStr">
        <is>
          <t>Atorvastatin 20 mg OD</t>
        </is>
      </c>
      <c r="F323" s="18" t="inlineStr">
        <is>
          <t>Simvastatin 20 mg HS</t>
        </is>
      </c>
      <c r="G323" s="18" t="inlineStr">
        <is>
          <t>Bisoprolol 5 mg OD</t>
        </is>
      </c>
      <c r="H323" s="18" t="inlineStr">
        <is>
          <t>Spironolactone 25 mg OD</t>
        </is>
      </c>
      <c r="I323" s="15" t="inlineStr">
        <is>
          <t>1</t>
        </is>
      </c>
      <c r="J32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23" s="18" t="inlineStr"/>
      <c r="L323" s="18" t="inlineStr">
        <is>
          <t>Hypertension</t>
        </is>
      </c>
      <c r="M323" s="18" t="inlineStr">
        <is>
          <t>Clinic</t>
        </is>
      </c>
      <c r="N323" s="18" t="inlineStr">
        <is>
          <t>ข้อ 11 (PLE_CC1_Practice_Exam.md)</t>
        </is>
      </c>
      <c r="O323" s="18" t="inlineStr">
        <is>
          <t>Mock</t>
        </is>
      </c>
      <c r="P323" s="18" t="inlineStr">
        <is>
          <t>Mock สภาเภสัชฯ Practice</t>
        </is>
      </c>
    </row>
    <row r="324">
      <c r="A324" s="15" t="inlineStr">
        <is>
          <t>322</t>
        </is>
      </c>
      <c r="B324" s="18" t="inlineStr">
        <is>
          <t>ตอบ ง. อาการไม่พึงประสงค์ที่พบบ่อยของ Metformin ได้แก่ hypoglycemia เนื่องจาก ยา Metformin จัดอยู่ในกลุ่ม insulin sensitizer ออกฤทธิ์โดยการกระตุ้นการตอบสนอง ต่อ insulin เพื่อรักษาภาวะดื้อ insulin (insulin resistance) ซึ่งตัวยาไม่ได้ออกฤทธิ์ให้เกิดการหลั่ง insulin มากขึ้นแต่อย่างใด ดังนั้นจึงไม่เกิดภาวะ hypoglycemia</t>
        </is>
      </c>
      <c r="C324" s="18" t="inlineStr"/>
      <c r="D324" s="18" t="inlineStr">
        <is>
          <t>Bisoprolol 5 mg OD</t>
        </is>
      </c>
      <c r="E324" s="18" t="inlineStr">
        <is>
          <t>Spironolactone 25 mg OD</t>
        </is>
      </c>
      <c r="F324" s="18" t="inlineStr">
        <is>
          <t>Clopidogrel 75 mg OD</t>
        </is>
      </c>
      <c r="G324" s="18" t="inlineStr">
        <is>
          <t>Aspirin 81 mg OD</t>
        </is>
      </c>
      <c r="H324" s="18" t="inlineStr">
        <is>
          <t>Sacubitril/Valsartan 49/51 mg BID</t>
        </is>
      </c>
      <c r="I324" s="15" t="inlineStr">
        <is>
          <t>1</t>
        </is>
      </c>
      <c r="J32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24" s="18" t="inlineStr"/>
      <c r="L324" s="18" t="inlineStr">
        <is>
          <t>Hypertension</t>
        </is>
      </c>
      <c r="M324" s="18" t="inlineStr">
        <is>
          <t>Clinic</t>
        </is>
      </c>
      <c r="N324" s="18" t="inlineStr">
        <is>
          <t>ข้อ 12 (PLE_CC1_Practice_Exam.md)</t>
        </is>
      </c>
      <c r="O324" s="18" t="inlineStr">
        <is>
          <t>Mock</t>
        </is>
      </c>
      <c r="P324" s="18" t="inlineStr">
        <is>
          <t>Mock สภาเภสัชฯ Practice</t>
        </is>
      </c>
    </row>
    <row r="325">
      <c r="A325" s="15" t="inlineStr">
        <is>
          <t>323</t>
        </is>
      </c>
      <c r="B325" s="18" t="inlineStr">
        <is>
          <t>ตอบ ง. ควรปลี่ยนยา โดยใช้ยา Repaglinide แทน เนื่องจากยา Metformin, Glibenclamide, Acarbose เป็นยาที่ห้ามใช้ในผู้ป่วยโรคไตเรื้อรัง ระยะที่ 5 (โรคไตเรื้อรังระยะที่ 5 มีค่า Estimated GFR น้อยกว่า 15 มล./นาที/1.73 ม2 ยาที่สามารถใช้ได้ในผู้ป่วย โรคไตเรื้อรังทุกระยะและสามารถใช้ได้ในผู้ป่วยโรคไตเรื้อรังระยะที่ 5 คือ Repaglinide</t>
        </is>
      </c>
      <c r="C325" s="18" t="inlineStr"/>
      <c r="D325" s="18" t="inlineStr">
        <is>
          <t>Aspirin 81 mg OD</t>
        </is>
      </c>
      <c r="E325" s="18" t="inlineStr">
        <is>
          <t>Sacubitril/Valsartan 49/51 mg BID</t>
        </is>
      </c>
      <c r="F325" s="18" t="inlineStr">
        <is>
          <t>Empagliflozin 10 mg OD</t>
        </is>
      </c>
      <c r="G325" s="18" t="inlineStr">
        <is>
          <t>Diltiazem 30 mg TID</t>
        </is>
      </c>
      <c r="H325" s="18" t="inlineStr">
        <is>
          <t>Warfarin 3 mg OD (target INR 2.0-3.0)</t>
        </is>
      </c>
      <c r="I325" s="15" t="inlineStr">
        <is>
          <t>1</t>
        </is>
      </c>
      <c r="J32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25" s="18" t="inlineStr"/>
      <c r="L325" s="18" t="inlineStr">
        <is>
          <t>Hypertension</t>
        </is>
      </c>
      <c r="M325" s="18" t="inlineStr">
        <is>
          <t>Clinic</t>
        </is>
      </c>
      <c r="N325" s="18" t="inlineStr">
        <is>
          <t>ข้อ 15 (PLE_CC1_Practice_Exam.md)</t>
        </is>
      </c>
      <c r="O325" s="18" t="inlineStr">
        <is>
          <t>Mock</t>
        </is>
      </c>
      <c r="P325" s="18" t="inlineStr">
        <is>
          <t>Mock สภาเภสัชฯ Practice</t>
        </is>
      </c>
    </row>
    <row r="326">
      <c r="A326" s="15" t="inlineStr">
        <is>
          <t>324</t>
        </is>
      </c>
      <c r="B326" s="18" t="inlineStr">
        <is>
          <t>ตอบ ง. Myopathy อาการแทรกซ้อนของโรคเบาหวาน ได้แก่ neuropathy, retinopathy, nephropathy, congestive heart failure</t>
        </is>
      </c>
      <c r="C326" s="18" t="inlineStr"/>
      <c r="D326" s="18" t="inlineStr">
        <is>
          <t>Diltiazem 30 mg TID</t>
        </is>
      </c>
      <c r="E326" s="18" t="inlineStr">
        <is>
          <t>Warfarin 3 mg OD (target INR 2.0-3.0)</t>
        </is>
      </c>
      <c r="F326" s="18" t="inlineStr">
        <is>
          <t>Furosemide 40 mg OD</t>
        </is>
      </c>
      <c r="G326" s="18" t="inlineStr">
        <is>
          <t>Amlodipine 5 mg OD</t>
        </is>
      </c>
      <c r="H326" s="18" t="inlineStr">
        <is>
          <t>Losartan 50 mg OD</t>
        </is>
      </c>
      <c r="I326" s="15" t="inlineStr">
        <is>
          <t>1</t>
        </is>
      </c>
      <c r="J32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26" s="18" t="inlineStr"/>
      <c r="L326" s="18" t="inlineStr">
        <is>
          <t>Hypertension</t>
        </is>
      </c>
      <c r="M326" s="18" t="inlineStr">
        <is>
          <t>Clinic</t>
        </is>
      </c>
      <c r="N326" s="18" t="inlineStr">
        <is>
          <t>ข้อ 16 (PLE_CC1_Practice_Exam.md)</t>
        </is>
      </c>
      <c r="O326" s="18" t="inlineStr">
        <is>
          <t>Mock</t>
        </is>
      </c>
      <c r="P326" s="18" t="inlineStr">
        <is>
          <t>Mock สภาเภสัชฯ Practice</t>
        </is>
      </c>
    </row>
    <row r="327">
      <c r="A327" s="15" t="inlineStr">
        <is>
          <t>325</t>
        </is>
      </c>
      <c r="B327" s="18" t="inlineStr">
        <is>
          <t>ตอบ ง. ข้อ ก,ข ถูก PTU และ MMI อยู่ใน cat. D หมายถึงยามีความเสี่ยงต่อทารกในครรภ์ แต่ผลดีจากการใช้ยาอาจ ยอมรับได้ในบางกรณีและจำเป็นต้องใช้ยาเพื่อความปลอดภัยของมารดา สมาคมโรคต่อมธัยรอยด์แห่งอเมริกา แนะนำให้ ใช้ยา PTU ในช่วงไตรมาสแรกของการตั้งครรภ์ เพื่อหลีกเลี่ยงผลที่จะเกิดกับทารกในครรภ์และ เปลี่ยนมาใช้ยา MMI ในช่วงที่เหลือของการตั้งครรภ์ เพื่อหลีกเลี่ยงภาวะตับอับเสบที่อาจจะเกิดขึ้นในสตรี ตั้งครรภ์</t>
        </is>
      </c>
      <c r="C327" s="18" t="inlineStr"/>
      <c r="D327" s="18" t="inlineStr">
        <is>
          <t>Amlodipine 5 mg OD</t>
        </is>
      </c>
      <c r="E327" s="18" t="inlineStr">
        <is>
          <t>Losartan 50 mg OD</t>
        </is>
      </c>
      <c r="F327" s="18" t="inlineStr">
        <is>
          <t>Enalapril 10 mg BID</t>
        </is>
      </c>
      <c r="G327" s="18" t="inlineStr">
        <is>
          <t>Hydrochlorothiazide 25 mg OD</t>
        </is>
      </c>
      <c r="H327" s="18" t="inlineStr">
        <is>
          <t>Atorvastatin 20 mg OD</t>
        </is>
      </c>
      <c r="I327" s="15" t="inlineStr">
        <is>
          <t>1</t>
        </is>
      </c>
      <c r="J32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27" s="18" t="inlineStr"/>
      <c r="L327" s="18" t="inlineStr">
        <is>
          <t>Hypertension</t>
        </is>
      </c>
      <c r="M327" s="18" t="inlineStr">
        <is>
          <t>Clinic</t>
        </is>
      </c>
      <c r="N327" s="18" t="inlineStr">
        <is>
          <t>ข้อ 24 (PLE_CC1_Practice_Exam.md)</t>
        </is>
      </c>
      <c r="O327" s="18" t="inlineStr">
        <is>
          <t>Mock</t>
        </is>
      </c>
      <c r="P327" s="18" t="inlineStr">
        <is>
          <t>Mock สภาเภสัชฯ Practice</t>
        </is>
      </c>
    </row>
    <row r="328">
      <c r="A328" s="15" t="inlineStr">
        <is>
          <t>326</t>
        </is>
      </c>
      <c r="B328" s="18" t="inlineStr">
        <is>
          <t>ตอบ ก. น้ำหนักตัวเพิ่ม Levothyroxine หรือ Euthyrox เป็นไทรอยด์ัอร์โมนสังเคราะห์ที่นำมาใช้รักษาภาวะไทรอยด์ ัอร์โมนต่ำ ซึ่ง Levothyroxine อาจทำให้เกิดผลข้างเคียงได้ ได้แก่ น้ำหนักลด, กระสับกระส่าย, นอนไม่หลับ, ท้องเสีย, วิตกกังวล, สั่น, คลื่นไส้อาเจียน โดยทั่วไปอาการไม่พึงประสงค์ที่รุนแรงมักไม่เกิดขึ้นหากใช้ยาใน ขนาดที่เหมาะสม สำหรับผลข้างเคียงที่รุนแรงเช่นเจ็บหน้าอกหัวใจเต้นเร็วหรือไม่สม่ำเสมอหากคุณมีอาการ ต่อไปนี้ให้หยุดยาทันทีและมาพบแพทย์ 105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328" s="18" t="inlineStr"/>
      <c r="D328" s="18" t="inlineStr">
        <is>
          <t>Hydrochlorothiazide 25 mg OD</t>
        </is>
      </c>
      <c r="E328" s="18" t="inlineStr">
        <is>
          <t>Atorvastatin 20 mg OD</t>
        </is>
      </c>
      <c r="F328" s="18" t="inlineStr">
        <is>
          <t>Simvastatin 20 mg HS</t>
        </is>
      </c>
      <c r="G328" s="18" t="inlineStr">
        <is>
          <t>Bisoprolol 5 mg OD</t>
        </is>
      </c>
      <c r="H328" s="18" t="inlineStr">
        <is>
          <t>Spironolactone 25 mg OD</t>
        </is>
      </c>
      <c r="I328" s="15" t="inlineStr">
        <is>
          <t>1</t>
        </is>
      </c>
      <c r="J32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328" s="18" t="inlineStr"/>
      <c r="L328" s="18" t="inlineStr">
        <is>
          <t>Hypertension</t>
        </is>
      </c>
      <c r="M328" s="18" t="inlineStr">
        <is>
          <t>Clinic</t>
        </is>
      </c>
      <c r="N328" s="18" t="inlineStr">
        <is>
          <t>ข้อ 25 (PLE_CC1_Practice_Exam.md)</t>
        </is>
      </c>
      <c r="O328" s="18" t="inlineStr">
        <is>
          <t>Mock</t>
        </is>
      </c>
      <c r="P328" s="18" t="inlineStr">
        <is>
          <t>Mock สภาเภสัชฯ Practice</t>
        </is>
      </c>
    </row>
    <row r="329">
      <c r="A329" s="15" t="inlineStr">
        <is>
          <t>327</t>
        </is>
      </c>
      <c r="B329" s="18" t="inlineStr">
        <is>
          <t>ตอบ ง. Orlistat เนื่องจากผู้ป่วยมีภาวะวิตกกังวลร่วมกับความดันโลหิตสูง ยา Orlistat ที่จะออกฤทธิ์ที่ทางเดินอาหาร โดยตรงจึงมีความเหมาะสมที่จะจ่ายให้กับผู้ป่วยมากกว่ายา Lorcaserin, Diethylpropion, Amphetamine และ Phentermine ที่ออกฤทธิ์ในระบบประสาทส่วนกลางทำให้มีผลต่อโรคร่วมของผู้ป่วยรายนี้ได้</t>
        </is>
      </c>
      <c r="C329" s="18" t="inlineStr"/>
      <c r="D329" s="18" t="inlineStr">
        <is>
          <t>Bisoprolol 5 mg OD</t>
        </is>
      </c>
      <c r="E329" s="18" t="inlineStr">
        <is>
          <t>Spironolactone 25 mg OD</t>
        </is>
      </c>
      <c r="F329" s="18" t="inlineStr">
        <is>
          <t>Clopidogrel 75 mg OD</t>
        </is>
      </c>
      <c r="G329" s="18" t="inlineStr">
        <is>
          <t>Aspirin 81 mg OD</t>
        </is>
      </c>
      <c r="H329" s="18" t="inlineStr">
        <is>
          <t>Sacubitril/Valsartan 49/51 mg BID</t>
        </is>
      </c>
      <c r="I329" s="15" t="inlineStr">
        <is>
          <t>1</t>
        </is>
      </c>
      <c r="J32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29" s="18" t="inlineStr"/>
      <c r="L329" s="18" t="inlineStr">
        <is>
          <t>Hypertension</t>
        </is>
      </c>
      <c r="M329" s="18" t="inlineStr">
        <is>
          <t>Clinic</t>
        </is>
      </c>
      <c r="N329" s="18" t="inlineStr">
        <is>
          <t>ข้อ 35 (PLE_CC1_Practice_Exam.md)</t>
        </is>
      </c>
      <c r="O329" s="18" t="inlineStr">
        <is>
          <t>Mock</t>
        </is>
      </c>
      <c r="P329" s="18" t="inlineStr">
        <is>
          <t>Mock สภาเภสัชฯ Practice</t>
        </is>
      </c>
    </row>
    <row r="330">
      <c r="A330" s="15" t="inlineStr">
        <is>
          <t>328</t>
        </is>
      </c>
      <c r="B330" s="18"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330" s="18" t="inlineStr"/>
      <c r="D330" s="18" t="inlineStr">
        <is>
          <t>Tramadol</t>
        </is>
      </c>
      <c r="E330" s="18" t="inlineStr">
        <is>
          <t>Piroxicam</t>
        </is>
      </c>
      <c r="F330" s="18" t="inlineStr">
        <is>
          <t>Etoricoxib</t>
        </is>
      </c>
      <c r="G330" s="18" t="inlineStr">
        <is>
          <t>Ibuprofen</t>
        </is>
      </c>
      <c r="H330" s="18" t="inlineStr">
        <is>
          <t>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I330" s="15" t="inlineStr">
        <is>
          <t>1</t>
        </is>
      </c>
      <c r="J330" s="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30" s="18" t="inlineStr"/>
      <c r="L330" s="18" t="inlineStr">
        <is>
          <t>Hypertension</t>
        </is>
      </c>
      <c r="M330" s="18" t="inlineStr">
        <is>
          <t>Clinic</t>
        </is>
      </c>
      <c r="N330" s="18" t="inlineStr">
        <is>
          <t>ข้อ 39 (PLE_CC1_Practice_Exam.md)</t>
        </is>
      </c>
      <c r="O330" s="18" t="inlineStr">
        <is>
          <t>Mock</t>
        </is>
      </c>
      <c r="P330" s="18" t="inlineStr">
        <is>
          <t>Mock สภาเภสัชฯ Practice</t>
        </is>
      </c>
    </row>
    <row r="331">
      <c r="A331" s="15" t="inlineStr">
        <is>
          <t>329</t>
        </is>
      </c>
      <c r="B331" s="18" t="inlineStr">
        <is>
          <t>ในทางคลินิก ไม่นิยมใช้ Aspirin เพื่อลดไข้ในเด็กที่ติดเชื้อไวรัสเพราะอาจทำให้เกิดความผิดปกติในข้อใด</t>
        </is>
      </c>
      <c r="C331" s="18" t="inlineStr"/>
      <c r="D331" s="18" t="inlineStr">
        <is>
          <t>Airway hypersensitivity</t>
        </is>
      </c>
      <c r="E331" s="18" t="inlineStr">
        <is>
          <t>Angioedema</t>
        </is>
      </c>
      <c r="F331" s="18" t="inlineStr">
        <is>
          <t>GI bleeding</t>
        </is>
      </c>
      <c r="G331" s="18" t="inlineStr">
        <is>
          <t>Reye’s syndrome</t>
        </is>
      </c>
      <c r="H331" s="18" t="inlineStr">
        <is>
          <t>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t>
        </is>
      </c>
      <c r="I331" s="15" t="inlineStr">
        <is>
          <t>3</t>
        </is>
      </c>
      <c r="J331" s="22"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ข้อนี้ไม่ใช่คำตอบที่ถูกต้องสำหรับภาวะ Hypertension เนื่องจากกลไกการออกฤทธิ์, efficacy หรือข้อบ่งใช้ไม่ตรงกับโจทย์ที่กำหนด
• ข้อ ข. (Angioedema): ข้อนี้ไม่ใช่คำตอบที่ถูกต้องสำหรับภาวะ Hypertension เนื่องจากกลไกการออกฤทธิ์, efficacy หรือข้อบ่งใช้ไม่ตรงกับโจทย์ที่กำหนด
• ข้อ ง. (Reye’s syndrome): ข้อนี้ไม่ใช่คำตอบที่ถูกต้องสำหรับภาวะ Hypertension เนื่องจากกลไกการออกฤทธิ์, efficacy หรือข้อบ่งใช้ไม่ตรงกับโจทย์ที่กำหนด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ยับยั้ง microtubule polymerization และ neutrophil chemotaxis เป็น first-line ใน acute gout flare และ flare prophylaxis แต่มี ADR เด่นทาง GI (ท้องเสีย คลื่นไส้)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31" s="18" t="inlineStr"/>
      <c r="L331" s="18" t="inlineStr">
        <is>
          <t>Hypertension</t>
        </is>
      </c>
      <c r="M331" s="18" t="inlineStr">
        <is>
          <t>Clinic</t>
        </is>
      </c>
      <c r="N331" s="18" t="inlineStr">
        <is>
          <t>ข้อ 40 (PLE_CC1_Practice_Exam.md)</t>
        </is>
      </c>
      <c r="O331" s="18" t="inlineStr">
        <is>
          <t>Mock</t>
        </is>
      </c>
      <c r="P331" s="18" t="inlineStr">
        <is>
          <t>Mock สภาเภสัชฯ Practice</t>
        </is>
      </c>
    </row>
    <row r="332">
      <c r="A332" s="15" t="inlineStr">
        <is>
          <t>330</t>
        </is>
      </c>
      <c r="B332" s="18" t="inlineStr">
        <is>
          <t>Ergotamine 177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332" s="18" t="inlineStr"/>
      <c r="D332" s="18" t="inlineStr">
        <is>
          <t>Amlodipine 5 mg OD</t>
        </is>
      </c>
      <c r="E332" s="18" t="inlineStr">
        <is>
          <t>Losartan 50 mg OD</t>
        </is>
      </c>
      <c r="F332" s="18" t="inlineStr">
        <is>
          <t>Enalapril 10 mg BID</t>
        </is>
      </c>
      <c r="G332" s="18" t="inlineStr">
        <is>
          <t>Hydrochlorothiazide 25 mg OD</t>
        </is>
      </c>
      <c r="H332" s="18" t="inlineStr">
        <is>
          <t>Atorvastatin 20 mg OD</t>
        </is>
      </c>
      <c r="I332" s="15" t="inlineStr">
        <is>
          <t>1</t>
        </is>
      </c>
      <c r="J33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32" s="18" t="inlineStr"/>
      <c r="L332" s="18" t="inlineStr">
        <is>
          <t>Hypertension</t>
        </is>
      </c>
      <c r="M332" s="18" t="inlineStr">
        <is>
          <t>Clinic</t>
        </is>
      </c>
      <c r="N332" s="18" t="inlineStr">
        <is>
          <t>ข้อ 5 (PLE_CC1_Practice_Exam.md)</t>
        </is>
      </c>
      <c r="O332" s="18" t="inlineStr">
        <is>
          <t>Mock</t>
        </is>
      </c>
      <c r="P332" s="18" t="inlineStr">
        <is>
          <t>Mock สภาเภสัชฯ Practice</t>
        </is>
      </c>
    </row>
    <row r="333">
      <c r="A333" s="15" t="inlineStr">
        <is>
          <t>331</t>
        </is>
      </c>
      <c r="B333" s="18" t="inlineStr">
        <is>
          <t>ผู้ป่วยที่มีประวัติแพ้ยา antibiotic กลุ่ม Sulfonamides</t>
        </is>
      </c>
      <c r="C333" s="18" t="inlineStr"/>
      <c r="D333" s="18" t="inlineStr">
        <is>
          <t>Hydrochlorothiazide 25 mg OD</t>
        </is>
      </c>
      <c r="E333" s="18" t="inlineStr">
        <is>
          <t>Atorvastatin 20 mg OD</t>
        </is>
      </c>
      <c r="F333" s="18" t="inlineStr">
        <is>
          <t>Simvastatin 20 mg HS</t>
        </is>
      </c>
      <c r="G333" s="18" t="inlineStr">
        <is>
          <t>Bisoprolol 5 mg OD</t>
        </is>
      </c>
      <c r="H333" s="18" t="inlineStr">
        <is>
          <t>Spironolactone 25 mg OD</t>
        </is>
      </c>
      <c r="I333" s="15" t="inlineStr">
        <is>
          <t>1</t>
        </is>
      </c>
      <c r="J33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33" s="18" t="inlineStr"/>
      <c r="L333" s="18" t="inlineStr">
        <is>
          <t>Hypertension</t>
        </is>
      </c>
      <c r="M333" s="18" t="inlineStr">
        <is>
          <t>Clinic</t>
        </is>
      </c>
      <c r="N333" s="18" t="inlineStr">
        <is>
          <t>ข้อ 1 (PLE_CC1_Practice_Exam.md)</t>
        </is>
      </c>
      <c r="O333" s="18" t="inlineStr">
        <is>
          <t>Mock</t>
        </is>
      </c>
      <c r="P333" s="18" t="inlineStr">
        <is>
          <t>Mock สภาเภสัชฯ Practice</t>
        </is>
      </c>
    </row>
    <row r="334">
      <c r="A334" s="15" t="inlineStr">
        <is>
          <t>332</t>
        </is>
      </c>
      <c r="B334" s="18" t="inlineStr">
        <is>
          <t>Acetaminophen with codeine Drug and alcohol abuse</t>
        </is>
      </c>
      <c r="C334" s="18" t="inlineStr"/>
      <c r="D334" s="18" t="inlineStr">
        <is>
          <t>Bisoprolol 5 mg OD</t>
        </is>
      </c>
      <c r="E334" s="18" t="inlineStr">
        <is>
          <t>Spironolactone 25 mg OD</t>
        </is>
      </c>
      <c r="F334" s="18" t="inlineStr">
        <is>
          <t>Clopidogrel 75 mg OD</t>
        </is>
      </c>
      <c r="G334" s="18" t="inlineStr">
        <is>
          <t>Aspirin 81 mg OD</t>
        </is>
      </c>
      <c r="H334" s="18" t="inlineStr">
        <is>
          <t>Sacubitril/Valsartan 49/51 mg BID</t>
        </is>
      </c>
      <c r="I334" s="15" t="inlineStr">
        <is>
          <t>1</t>
        </is>
      </c>
      <c r="J33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34" s="18" t="inlineStr"/>
      <c r="L334" s="18" t="inlineStr">
        <is>
          <t>Hypertension</t>
        </is>
      </c>
      <c r="M334" s="18" t="inlineStr">
        <is>
          <t>Clinic</t>
        </is>
      </c>
      <c r="N334" s="18" t="inlineStr">
        <is>
          <t>ข้อ 5 (PLE_CC1_Practice_Exam.md)</t>
        </is>
      </c>
      <c r="O334" s="18" t="inlineStr">
        <is>
          <t>Mock</t>
        </is>
      </c>
      <c r="P334" s="18" t="inlineStr">
        <is>
          <t>Mock สภาเภสัชฯ Practice</t>
        </is>
      </c>
    </row>
    <row r="335">
      <c r="A335" s="15" t="inlineStr">
        <is>
          <t>333</t>
        </is>
      </c>
      <c r="B335" s="18" t="inlineStr">
        <is>
          <t>ออกฤทธิ์เป็น Dopamine receptor antagonist</t>
        </is>
      </c>
      <c r="C335" s="18" t="inlineStr"/>
      <c r="D335" s="18" t="inlineStr">
        <is>
          <t>Aspirin 81 mg OD</t>
        </is>
      </c>
      <c r="E335" s="18" t="inlineStr">
        <is>
          <t>Sacubitril/Valsartan 49/51 mg BID</t>
        </is>
      </c>
      <c r="F335" s="18" t="inlineStr">
        <is>
          <t>Empagliflozin 10 mg OD</t>
        </is>
      </c>
      <c r="G335" s="18" t="inlineStr">
        <is>
          <t>Diltiazem 30 mg TID</t>
        </is>
      </c>
      <c r="H335" s="18" t="inlineStr">
        <is>
          <t>Warfarin 3 mg OD (target INR 2.0-3.0)</t>
        </is>
      </c>
      <c r="I335" s="15" t="inlineStr">
        <is>
          <t>1</t>
        </is>
      </c>
      <c r="J33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35" s="18" t="inlineStr"/>
      <c r="L335" s="18" t="inlineStr">
        <is>
          <t>Hypertension</t>
        </is>
      </c>
      <c r="M335" s="18" t="inlineStr">
        <is>
          <t>Clinic</t>
        </is>
      </c>
      <c r="N335" s="18" t="inlineStr">
        <is>
          <t>ข้อ 3 (PLE_CC1_Practice_Exam.md)</t>
        </is>
      </c>
      <c r="O335" s="18" t="inlineStr">
        <is>
          <t>Mock</t>
        </is>
      </c>
      <c r="P335" s="18" t="inlineStr">
        <is>
          <t>Mock สภาเภสัชฯ Practice</t>
        </is>
      </c>
    </row>
    <row r="336">
      <c r="A336" s="15" t="inlineStr">
        <is>
          <t>334</t>
        </is>
      </c>
      <c r="B336" s="18" t="inlineStr">
        <is>
          <t>Thiamine</t>
        </is>
      </c>
      <c r="C336" s="18" t="inlineStr"/>
      <c r="D336" s="18" t="inlineStr">
        <is>
          <t>Diltiazem 30 mg TID</t>
        </is>
      </c>
      <c r="E336" s="18" t="inlineStr">
        <is>
          <t>Warfarin 3 mg OD (target INR 2.0-3.0)</t>
        </is>
      </c>
      <c r="F336" s="18" t="inlineStr">
        <is>
          <t>Furosemide 40 mg OD</t>
        </is>
      </c>
      <c r="G336" s="18" t="inlineStr">
        <is>
          <t>Amlodipine 5 mg OD</t>
        </is>
      </c>
      <c r="H336" s="18" t="inlineStr">
        <is>
          <t>Losartan 50 mg OD</t>
        </is>
      </c>
      <c r="I336" s="15" t="inlineStr">
        <is>
          <t>1</t>
        </is>
      </c>
      <c r="J33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36" s="18" t="inlineStr"/>
      <c r="L336" s="18" t="inlineStr">
        <is>
          <t>Hypertension</t>
        </is>
      </c>
      <c r="M336" s="18" t="inlineStr">
        <is>
          <t>Clinic</t>
        </is>
      </c>
      <c r="N336" s="18" t="inlineStr">
        <is>
          <t>ข้อ 5 (PLE_CC1_Practice_Exam.md)</t>
        </is>
      </c>
      <c r="O336" s="18" t="inlineStr">
        <is>
          <t>Mock</t>
        </is>
      </c>
      <c r="P336" s="18" t="inlineStr">
        <is>
          <t>Mock สภาเภสัชฯ Practice</t>
        </is>
      </c>
    </row>
    <row r="337">
      <c r="A337" s="15" t="inlineStr">
        <is>
          <t>335</t>
        </is>
      </c>
      <c r="B337" s="18" t="inlineStr">
        <is>
          <t>ผู้ป่วยชายไทยคู่อายุ 48 ปี ถูกนำตัวส่งโรงพยาบาล เนื่องจากมีอาการง่วงซึม มึนงง ไม่รู้สึกตัว ตัวเย็น ความดันเลือดต่ำ และหายใจช้าลงจนหยุดหายใจ เมื่อซักถามประวัติผู้ป่วยจากญาติ ผู้ป่วยมีการใช้ยากลุ่ม opioid มานาน และปริมาณยาที่ใช้จะมากขึ้นเรื่อยๆ จากกรณีดังกล่าวในฐานะเภสัชกรควรแก้ไขปัญหานี้ อย่างไร 181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337" s="18" t="inlineStr"/>
      <c r="D337" s="18" t="inlineStr">
        <is>
          <t>Amlodipine 5 mg OD</t>
        </is>
      </c>
      <c r="E337" s="18" t="inlineStr">
        <is>
          <t>Losartan 50 mg OD</t>
        </is>
      </c>
      <c r="F337" s="18" t="inlineStr">
        <is>
          <t>Enalapril 10 mg BID</t>
        </is>
      </c>
      <c r="G337" s="18" t="inlineStr">
        <is>
          <t>Hydrochlorothiazide 25 mg OD</t>
        </is>
      </c>
      <c r="H337" s="18" t="inlineStr">
        <is>
          <t>Atorvastatin 20 mg OD</t>
        </is>
      </c>
      <c r="I337" s="15" t="inlineStr">
        <is>
          <t>1</t>
        </is>
      </c>
      <c r="J33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37" s="18" t="inlineStr"/>
      <c r="L337" s="18" t="inlineStr">
        <is>
          <t>Hypertension</t>
        </is>
      </c>
      <c r="M337" s="18" t="inlineStr">
        <is>
          <t>Clinic</t>
        </is>
      </c>
      <c r="N337" s="18" t="inlineStr">
        <is>
          <t>ข้อ 15 (PLE_CC1_Practice_Exam.md)</t>
        </is>
      </c>
      <c r="O337" s="18" t="inlineStr">
        <is>
          <t>Mock</t>
        </is>
      </c>
      <c r="P337" s="18" t="inlineStr">
        <is>
          <t>Mock สภาเภสัชฯ Practice</t>
        </is>
      </c>
    </row>
    <row r="338">
      <c r="A338" s="15" t="inlineStr">
        <is>
          <t>336</t>
        </is>
      </c>
      <c r="B338" s="18" t="inlineStr">
        <is>
          <t>การเกิดปฏิกิริยา methylation ที่ imide hydrogens ทำให้ยามี onset ที่เร็วขึ้น</t>
        </is>
      </c>
      <c r="C338" s="18" t="inlineStr"/>
      <c r="D338" s="18" t="inlineStr">
        <is>
          <t>Hydrochlorothiazide 25 mg OD</t>
        </is>
      </c>
      <c r="E338" s="18" t="inlineStr">
        <is>
          <t>Atorvastatin 20 mg OD</t>
        </is>
      </c>
      <c r="F338" s="18" t="inlineStr">
        <is>
          <t>Simvastatin 20 mg HS</t>
        </is>
      </c>
      <c r="G338" s="18" t="inlineStr">
        <is>
          <t>Bisoprolol 5 mg OD</t>
        </is>
      </c>
      <c r="H338" s="18" t="inlineStr">
        <is>
          <t>Spironolactone 25 mg OD</t>
        </is>
      </c>
      <c r="I338" s="15" t="inlineStr">
        <is>
          <t>1</t>
        </is>
      </c>
      <c r="J33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38" s="18" t="inlineStr"/>
      <c r="L338" s="18" t="inlineStr">
        <is>
          <t>Hypertension</t>
        </is>
      </c>
      <c r="M338" s="18" t="inlineStr">
        <is>
          <t>Clinic</t>
        </is>
      </c>
      <c r="N338" s="18" t="inlineStr">
        <is>
          <t>ข้อ 2 (PLE_CC1_Practice_Exam.md)</t>
        </is>
      </c>
      <c r="O338" s="18" t="inlineStr">
        <is>
          <t>Mock</t>
        </is>
      </c>
      <c r="P338" s="18" t="inlineStr">
        <is>
          <t>Mock สภาเภสัชฯ Practice</t>
        </is>
      </c>
    </row>
    <row r="339">
      <c r="A339" s="15" t="inlineStr">
        <is>
          <t>337</t>
        </is>
      </c>
      <c r="B339" s="18" t="inlineStr">
        <is>
          <t>nausea and vomiting</t>
        </is>
      </c>
      <c r="C339" s="18" t="inlineStr"/>
      <c r="D339" s="18" t="inlineStr">
        <is>
          <t>Bisoprolol 5 mg OD</t>
        </is>
      </c>
      <c r="E339" s="18" t="inlineStr">
        <is>
          <t>Spironolactone 25 mg OD</t>
        </is>
      </c>
      <c r="F339" s="18" t="inlineStr">
        <is>
          <t>Clopidogrel 75 mg OD</t>
        </is>
      </c>
      <c r="G339" s="18" t="inlineStr">
        <is>
          <t>Aspirin 81 mg OD</t>
        </is>
      </c>
      <c r="H339" s="18" t="inlineStr">
        <is>
          <t>Sacubitril/Valsartan 49/51 mg BID</t>
        </is>
      </c>
      <c r="I339" s="15" t="inlineStr">
        <is>
          <t>1</t>
        </is>
      </c>
      <c r="J33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39" s="18" t="inlineStr"/>
      <c r="L339" s="18" t="inlineStr">
        <is>
          <t>Hypertension</t>
        </is>
      </c>
      <c r="M339" s="18" t="inlineStr">
        <is>
          <t>Clinic</t>
        </is>
      </c>
      <c r="N339" s="18" t="inlineStr">
        <is>
          <t>ข้อ 1 (PLE_CC1_Practice_Exam.md)</t>
        </is>
      </c>
      <c r="O339" s="18" t="inlineStr">
        <is>
          <t>Mock</t>
        </is>
      </c>
      <c r="P339" s="18" t="inlineStr">
        <is>
          <t>Mock สภาเภสัชฯ Practice</t>
        </is>
      </c>
    </row>
    <row r="340">
      <c r="A340" s="15" t="inlineStr">
        <is>
          <t>338</t>
        </is>
      </c>
      <c r="B340" s="18" t="inlineStr">
        <is>
          <t>หัวใจเต้นผิดจังหวะ</t>
        </is>
      </c>
      <c r="C340" s="18" t="inlineStr"/>
      <c r="D340" s="18" t="inlineStr">
        <is>
          <t>Aspirin 81 mg OD</t>
        </is>
      </c>
      <c r="E340" s="18" t="inlineStr">
        <is>
          <t>Sacubitril/Valsartan 49/51 mg BID</t>
        </is>
      </c>
      <c r="F340" s="18" t="inlineStr">
        <is>
          <t>Empagliflozin 10 mg OD</t>
        </is>
      </c>
      <c r="G340" s="18" t="inlineStr">
        <is>
          <t>Diltiazem 30 mg TID</t>
        </is>
      </c>
      <c r="H340" s="18" t="inlineStr">
        <is>
          <t>Warfarin 3 mg OD (target INR 2.0-3.0)</t>
        </is>
      </c>
      <c r="I340" s="15" t="inlineStr">
        <is>
          <t>1</t>
        </is>
      </c>
      <c r="J34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40" s="18" t="inlineStr"/>
      <c r="L340" s="18" t="inlineStr">
        <is>
          <t>Hypertension</t>
        </is>
      </c>
      <c r="M340" s="18" t="inlineStr">
        <is>
          <t>Clinic</t>
        </is>
      </c>
      <c r="N340" s="18" t="inlineStr">
        <is>
          <t>ข้อ 2 (PLE_CC1_Practice_Exam.md)</t>
        </is>
      </c>
      <c r="O340" s="18" t="inlineStr">
        <is>
          <t>Mock</t>
        </is>
      </c>
      <c r="P340" s="18" t="inlineStr">
        <is>
          <t>Mock สภาเภสัชฯ Practice</t>
        </is>
      </c>
    </row>
    <row r="341">
      <c r="A341" s="15" t="inlineStr">
        <is>
          <t>339</t>
        </is>
      </c>
      <c r="B341" s="18" t="inlineStr">
        <is>
          <t>varenicline มีกลไกไป block nicotin-receptor site และมีกลไกเป็น partially agonizes the receptor ส่งผลให้เพิ่ม Dopamine ที่ nucleus accumbens</t>
        </is>
      </c>
      <c r="C341" s="18" t="inlineStr"/>
      <c r="D341" s="18" t="inlineStr">
        <is>
          <t>Diltiazem 30 mg TID</t>
        </is>
      </c>
      <c r="E341" s="18" t="inlineStr">
        <is>
          <t>Warfarin 3 mg OD (target INR 2.0-3.0)</t>
        </is>
      </c>
      <c r="F341" s="18" t="inlineStr">
        <is>
          <t>Furosemide 40 mg OD</t>
        </is>
      </c>
      <c r="G341" s="18" t="inlineStr">
        <is>
          <t>Amlodipine 5 mg OD</t>
        </is>
      </c>
      <c r="H341" s="18" t="inlineStr">
        <is>
          <t>Losartan 50 mg OD</t>
        </is>
      </c>
      <c r="I341" s="15" t="inlineStr">
        <is>
          <t>1</t>
        </is>
      </c>
      <c r="J34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41" s="18" t="inlineStr"/>
      <c r="L341" s="18" t="inlineStr">
        <is>
          <t>Hypertension</t>
        </is>
      </c>
      <c r="M341" s="18" t="inlineStr">
        <is>
          <t>Clinic</t>
        </is>
      </c>
      <c r="N341" s="18" t="inlineStr">
        <is>
          <t>ข้อ 2 (PLE_CC1_Practice_Exam.md)</t>
        </is>
      </c>
      <c r="O341" s="18" t="inlineStr">
        <is>
          <t>Mock</t>
        </is>
      </c>
      <c r="P341" s="18" t="inlineStr">
        <is>
          <t>Mock สภาเภสัชฯ Practice</t>
        </is>
      </c>
    </row>
    <row r="342">
      <c r="A342" s="15" t="inlineStr">
        <is>
          <t>340</t>
        </is>
      </c>
      <c r="B342" s="18" t="inlineStr">
        <is>
          <t>Bupropion เป็นยากลุ่ม antidepressant มีกลไก NE และ Dopamine reuptake inhibitor</t>
        </is>
      </c>
      <c r="C342" s="18" t="inlineStr"/>
      <c r="D342" s="18" t="inlineStr">
        <is>
          <t>Amlodipine 5 mg OD</t>
        </is>
      </c>
      <c r="E342" s="18" t="inlineStr">
        <is>
          <t>Losartan 50 mg OD</t>
        </is>
      </c>
      <c r="F342" s="18" t="inlineStr">
        <is>
          <t>Enalapril 10 mg BID</t>
        </is>
      </c>
      <c r="G342" s="18" t="inlineStr">
        <is>
          <t>Hydrochlorothiazide 25 mg OD</t>
        </is>
      </c>
      <c r="H342" s="18" t="inlineStr">
        <is>
          <t>Atorvastatin 20 mg OD</t>
        </is>
      </c>
      <c r="I342" s="15" t="inlineStr">
        <is>
          <t>1</t>
        </is>
      </c>
      <c r="J34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42" s="18" t="inlineStr"/>
      <c r="L342" s="18" t="inlineStr">
        <is>
          <t>Hypertension</t>
        </is>
      </c>
      <c r="M342" s="18" t="inlineStr">
        <is>
          <t>Clinic</t>
        </is>
      </c>
      <c r="N342" s="18" t="inlineStr">
        <is>
          <t>ข้อ 3 (PLE_CC1_Practice_Exam.md)</t>
        </is>
      </c>
      <c r="O342" s="18" t="inlineStr">
        <is>
          <t>Mock</t>
        </is>
      </c>
      <c r="P342" s="18" t="inlineStr">
        <is>
          <t>Mock สภาเภสัชฯ Practice</t>
        </is>
      </c>
    </row>
    <row r="343">
      <c r="A343" s="15" t="inlineStr">
        <is>
          <t>341</t>
        </is>
      </c>
      <c r="B343" s="18" t="inlineStr">
        <is>
          <t>Amitriptyline ใช้ได้ แต่เนื่องจากยามีหลาย mechanism จึงทำให้เกิดอาการไม่พึงประสงค์มาก จึงไม่เหมาะสม</t>
        </is>
      </c>
      <c r="C343" s="18" t="inlineStr"/>
      <c r="D343" s="18" t="inlineStr">
        <is>
          <t>Hydrochlorothiazide 25 mg OD</t>
        </is>
      </c>
      <c r="E343" s="18" t="inlineStr">
        <is>
          <t>Atorvastatin 20 mg OD</t>
        </is>
      </c>
      <c r="F343" s="18" t="inlineStr">
        <is>
          <t>Simvastatin 20 mg HS</t>
        </is>
      </c>
      <c r="G343" s="18" t="inlineStr">
        <is>
          <t>Bisoprolol 5 mg OD</t>
        </is>
      </c>
      <c r="H343" s="18" t="inlineStr">
        <is>
          <t>Spironolactone 25 mg OD</t>
        </is>
      </c>
      <c r="I343" s="15" t="inlineStr">
        <is>
          <t>1</t>
        </is>
      </c>
      <c r="J34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43" s="18" t="inlineStr"/>
      <c r="L343" s="18" t="inlineStr">
        <is>
          <t>Hypertension</t>
        </is>
      </c>
      <c r="M343" s="18" t="inlineStr">
        <is>
          <t>Clinic</t>
        </is>
      </c>
      <c r="N343" s="18" t="inlineStr">
        <is>
          <t>ข้อ 2 (PLE_CC1_Practice_Exam.md)</t>
        </is>
      </c>
      <c r="O343" s="18" t="inlineStr">
        <is>
          <t>Mock</t>
        </is>
      </c>
      <c r="P343" s="18" t="inlineStr">
        <is>
          <t>Mock สภาเภสัชฯ Practice</t>
        </is>
      </c>
    </row>
    <row r="344">
      <c r="A344" s="15" t="inlineStr">
        <is>
          <t>342</t>
        </is>
      </c>
      <c r="B344" s="18" t="inlineStr">
        <is>
          <t>Bupropion ไม่ควรใช้ เนื่องจากยามีกลไกเป็น Norepinephrine and Dopamine reuptake inhibitor จึงไม่มีผลช่วยในการนอนหลับ</t>
        </is>
      </c>
      <c r="C344" s="18" t="inlineStr"/>
      <c r="D344" s="18" t="inlineStr">
        <is>
          <t>Bisoprolol 5 mg OD</t>
        </is>
      </c>
      <c r="E344" s="18" t="inlineStr">
        <is>
          <t>Spironolactone 25 mg OD</t>
        </is>
      </c>
      <c r="F344" s="18" t="inlineStr">
        <is>
          <t>Clopidogrel 75 mg OD</t>
        </is>
      </c>
      <c r="G344" s="18" t="inlineStr">
        <is>
          <t>Aspirin 81 mg OD</t>
        </is>
      </c>
      <c r="H344" s="18" t="inlineStr">
        <is>
          <t>Sacubitril/Valsartan 49/51 mg BID</t>
        </is>
      </c>
      <c r="I344" s="15" t="inlineStr">
        <is>
          <t>1</t>
        </is>
      </c>
      <c r="J34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44" s="18" t="inlineStr"/>
      <c r="L344" s="18" t="inlineStr">
        <is>
          <t>Hypertension</t>
        </is>
      </c>
      <c r="M344" s="18" t="inlineStr">
        <is>
          <t>Clinic</t>
        </is>
      </c>
      <c r="N344" s="18" t="inlineStr">
        <is>
          <t>ข้อ 3 (PLE_CC1_Practice_Exam.md)</t>
        </is>
      </c>
      <c r="O344" s="18" t="inlineStr">
        <is>
          <t>Mock</t>
        </is>
      </c>
      <c r="P344" s="18" t="inlineStr">
        <is>
          <t>Mock สภาเภสัชฯ Practice</t>
        </is>
      </c>
    </row>
    <row r="345">
      <c r="A345" s="15" t="inlineStr">
        <is>
          <t>343</t>
        </is>
      </c>
      <c r="B345" s="18"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345" s="18" t="inlineStr"/>
      <c r="D345" s="18" t="inlineStr">
        <is>
          <t>เกิดการเเพ้ได้ ทั้งตำเเหน่งที่1เเละ ตำเเหน่งที่ 2</t>
        </is>
      </c>
      <c r="E345" s="18" t="inlineStr">
        <is>
          <t>เกิดการเเพ้ได้ที่ตำเเหน่งที่1เท่านั้น</t>
        </is>
      </c>
      <c r="F345" s="18" t="inlineStr">
        <is>
          <t>เกิดการเเพ้ได้ที่ตำเเหน่งที่2เท่านั้น</t>
        </is>
      </c>
      <c r="G345" s="18" t="inlineStr">
        <is>
          <t>เกิดการเเพ้ ที่ตำเเน่งที่ 1 เเละตำเเหน่งที่3เท่านั้น</t>
        </is>
      </c>
      <c r="H345" s="18" t="inlineStr">
        <is>
          <t>ไม่เกิดการเเพ้เเบบ sulfonamide cross hypersensitivity ที่ตำเเหน่งใดเลย</t>
        </is>
      </c>
      <c r="I345" s="15" t="inlineStr">
        <is>
          <t>1</t>
        </is>
      </c>
      <c r="J345" s="22"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ข้อนี้ไม่ใช่คำตอบที่ถูกต้องสำหรับภาวะ Hypertension เนื่องจากกลไกการออกฤทธิ์, efficacy หรือข้อบ่งใช้ไม่ตรงกับโจทย์ที่กำหนด
• ข้อ ค. (เกิดการเเพ้ได้ที่ตำเเหน่งที่2เท่านั้น): ข้อนี้ไม่ใช่คำตอบที่ถูกต้องสำหรับภาวะ Hypertension เนื่องจากกลไกการออกฤทธิ์, efficacy หรือข้อบ่งใช้ไม่ตรงกับโจทย์ที่กำหนด
• ข้อ ง. (เกิดการเเพ้ ที่ตำเเน่งที่ 1 เเละตำเเหน่งที่3เท่านั้น): ข้อนี้ไม่ใช่คำตอบที่ถูกต้องสำหรับภาวะ Hypertension เนื่องจากกลไกการออกฤทธิ์, efficacy หรือข้อบ่งใช้ไม่ตรงกับโจทย์ที่กำหนด
• ข้อ จ. (ไม่เกิดการเเพ้เเบบ sulfonamide cross hypersensitivity ที่ตำเเหน่งใดเลย):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345" s="18" t="inlineStr"/>
      <c r="L345" s="18" t="inlineStr">
        <is>
          <t>Hypertension</t>
        </is>
      </c>
      <c r="M345" s="18" t="inlineStr">
        <is>
          <t>Clinic</t>
        </is>
      </c>
      <c r="N345" s="18" t="inlineStr">
        <is>
          <t>ข้อ 25 (PLE_CC1_Practice_Exam.md)</t>
        </is>
      </c>
      <c r="O345" s="18" t="inlineStr">
        <is>
          <t>Mock</t>
        </is>
      </c>
      <c r="P345" s="18" t="inlineStr">
        <is>
          <t>Mock สภาเภสัชฯ Practice</t>
        </is>
      </c>
    </row>
    <row r="346">
      <c r="A346" s="15" t="inlineStr">
        <is>
          <t>344</t>
        </is>
      </c>
      <c r="B346" s="18" t="inlineStr">
        <is>
          <t>โรคทางระบบเลือด โดย ฝ่ายวิชาการ คณะกรรมการนักศึกษาเภสัชศาสตร์ รุ่นที่ 22 มหาวิทยาลัยหัวเฉียวเฉลิมพระเกียรติ กรณีศึกษาที่ 1 ชายไทยอายุ 30 ปี น้ำหนักตัว 65 kg สูง 170 cm CC: มีอาการซีด เหนื่อยล้าและอ่อนเพลียจึงมาพบแทย์ PMH: hypertension, dyslipidemia SH: ปฏิเสธการสูบบุหรี่ ดื่มเหล้าเป็นบางครั้งบางคราว V/S: BP 155/90 HR 75 RR 28 Temp 37C Lab: Hgb 9 g/dL Scr 2.5 mg/dL Hct 12% Ferritin 50 ng/mL HCO3- 15 mEq/L TSAT 12% EPO 1 mIU/mL RBC count 2.2x106/าL Na+ 130 mEq/L Cl- 100 mEq/L K+ 5.0 mEq/L MCV 70 ข้อมูลข้างต้นใช้ตอบคำถามข้อ 1 – 10</t>
        </is>
      </c>
      <c r="C346" s="18" t="inlineStr"/>
      <c r="D346" s="18" t="inlineStr">
        <is>
          <t>ข้อใดไม่ใช่ปัญหาของผู้ป่วยรายนี้</t>
        </is>
      </c>
      <c r="E346" s="18" t="inlineStr">
        <is>
          <t>Uncontrolled hypertension</t>
        </is>
      </c>
      <c r="F346" s="18" t="inlineStr">
        <is>
          <t>Anemia</t>
        </is>
      </c>
      <c r="G346" s="18" t="inlineStr">
        <is>
          <t>Acidosis</t>
        </is>
      </c>
      <c r="H346" s="18" t="inlineStr">
        <is>
          <t>Hyperkalemia</t>
        </is>
      </c>
      <c r="I346" s="15" t="inlineStr">
        <is>
          <t>1</t>
        </is>
      </c>
      <c r="J346" s="2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ข้อนี้ไม่ใช่คำตอบที่ถูกต้องสำหรับภาวะ Hypertension เนื่องจากกลไกการออกฤทธิ์, efficacy หรือข้อบ่งใช้ไม่ตรงกับโจทย์ที่กำหนด
• ข้อ ค. (Anemia): ข้อนี้ไม่ใช่คำตอบที่ถูกต้องสำหรับภาวะ Hypertension เนื่องจากกลไกการออกฤทธิ์, efficacy หรือข้อบ่งใช้ไม่ตรงกับโจทย์ที่กำหนด
• ข้อ ง. (Acidosis): ข้อนี้ไม่ใช่คำตอบที่ถูกต้องสำหรับภาวะ Hypertension เนื่องจากกลไกการออกฤทธิ์, efficacy หรือข้อบ่งใช้ไม่ตรงกับโจทย์ที่กำหนด
• ข้อ จ. (Hyperkalemia):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46" s="18" t="inlineStr"/>
      <c r="L346" s="18" t="inlineStr">
        <is>
          <t>Hypertension</t>
        </is>
      </c>
      <c r="M346" s="18" t="inlineStr">
        <is>
          <t>Clinic</t>
        </is>
      </c>
      <c r="N346" s="18" t="inlineStr">
        <is>
          <t>ข้อ 12 (PLE_CC1_Practice_Exam.md)</t>
        </is>
      </c>
      <c r="O346" s="18" t="inlineStr">
        <is>
          <t>Mock</t>
        </is>
      </c>
      <c r="P346" s="18" t="inlineStr">
        <is>
          <t>Mock สภาเภสัชฯ Practice</t>
        </is>
      </c>
    </row>
    <row r="347">
      <c r="A347" s="15" t="inlineStr">
        <is>
          <t>345</t>
        </is>
      </c>
      <c r="B347" s="18" t="inlineStr">
        <is>
          <t>เภสัชภัณฑ์รูปแบบกึ่งแข็ง (Semisolid dosage form) โดยฝ่ายวิชาการและนิสิตชั้นป๊ที่ 4 สโมสรนิสิตคณะเภสัชศาสตร์ มหาวิทยาลัพะเยา ป๊การศึกษา 2560</t>
        </is>
      </c>
      <c r="C347" s="18" t="inlineStr"/>
      <c r="D347" s="18" t="inlineStr">
        <is>
          <t>ลักษณะความไม่คงสภาพที่พบส่วนใหญ่ของยาขี้ผึ้ง ยกเว้นข้อใด</t>
        </is>
      </c>
      <c r="E347" s="18" t="inlineStr">
        <is>
          <t>น้ำหนักลดลง</t>
        </is>
      </c>
      <c r="F347" s="18" t="inlineStr">
        <is>
          <t>มีการเปลี่ยนแปลงของสีและกลิ่น</t>
        </is>
      </c>
      <c r="G347" s="18" t="inlineStr">
        <is>
          <t>ความข้นหนืดเปลี่ยนไป</t>
        </is>
      </c>
      <c r="H347" s="18" t="inlineStr">
        <is>
          <t>มีน้ำมันออกมาจากยาขี้ผึ้ง</t>
        </is>
      </c>
      <c r="I347" s="15" t="inlineStr">
        <is>
          <t>1</t>
        </is>
      </c>
      <c r="J347" s="22"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ข้อนี้ไม่ใช่คำตอบที่ถูกต้องสำหรับภาวะ Hypertension เนื่องจากกลไกการออกฤทธิ์, efficacy หรือข้อบ่งใช้ไม่ตรงกับโจทย์ที่กำหนด
• ข้อ ค. (มีการเปลี่ยนแปลงของสีและกลิ่น): ข้อนี้ไม่ใช่คำตอบที่ถูกต้องสำหรับภาวะ Hypertension เนื่องจากกลไกการออกฤทธิ์, efficacy หรือข้อบ่งใช้ไม่ตรงกับโจทย์ที่กำหนด
• ข้อ ง. (ความข้นหนืดเปลี่ยนไป): ข้อนี้ไม่ใช่คำตอบที่ถูกต้องสำหรับภาวะ Hypertension เนื่องจากกลไกการออกฤทธิ์, efficacy หรือข้อบ่งใช้ไม่ตรงกับโจทย์ที่กำหนด
• ข้อ จ. (มีน้ำมันออกมาจากยาขี้ผึ้ง):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47" s="18" t="inlineStr"/>
      <c r="L347" s="18" t="inlineStr">
        <is>
          <t>Hypertension</t>
        </is>
      </c>
      <c r="M347" s="18" t="inlineStr">
        <is>
          <t>Clinic</t>
        </is>
      </c>
      <c r="N347" s="18" t="inlineStr">
        <is>
          <t>ข้อ 15 (PLE_CC1_Practice_Exam.md)</t>
        </is>
      </c>
      <c r="O347" s="18" t="inlineStr">
        <is>
          <t>Mock</t>
        </is>
      </c>
      <c r="P347" s="18" t="inlineStr">
        <is>
          <t>Mock สภาเภสัชฯ Practice</t>
        </is>
      </c>
    </row>
    <row r="348">
      <c r="A348" s="15" t="inlineStr">
        <is>
          <t>346</t>
        </is>
      </c>
      <c r="B348" s="18" t="inlineStr">
        <is>
          <t>ยา Metformin และ Pioglitazone จัดเป็นยาประเภทใด ก ยาแผนปัจจุบันบรรจุเสร็จที่ไม่ใช่ยาอันตรายหรือยาควบคุมพิเศษทั้งคู่</t>
        </is>
      </c>
      <c r="C348" s="18" t="inlineStr"/>
      <c r="D348" s="18" t="inlineStr">
        <is>
          <t>ยาอันตรายทั้งคู่</t>
        </is>
      </c>
      <c r="E348" s="18" t="inlineStr">
        <is>
          <t>ยาควบคุมพิเศษทั้งคู่</t>
        </is>
      </c>
      <c r="F348" s="18" t="inlineStr">
        <is>
          <t>Metformin เป็นยาอันตราย Pioglitazone เป็นยาควบคุมพิเศษ</t>
        </is>
      </c>
      <c r="G348" s="18" t="inlineStr">
        <is>
          <t>Metformin เป็นยาควบคุมพิเศษ Pioglitazone เป็นยาอันตราย</t>
        </is>
      </c>
      <c r="H348" s="18" t="inlineStr">
        <is>
          <t>Spironolactone 25 mg OD</t>
        </is>
      </c>
      <c r="I348" s="15" t="inlineStr">
        <is>
          <t>1</t>
        </is>
      </c>
      <c r="J348" s="2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8" s="18" t="inlineStr"/>
      <c r="L348" s="18" t="inlineStr">
        <is>
          <t>Hypertension</t>
        </is>
      </c>
      <c r="M348" s="18" t="inlineStr">
        <is>
          <t>Clinic</t>
        </is>
      </c>
      <c r="N348" s="18" t="inlineStr">
        <is>
          <t>ข้อ 18 (PLE_CC1_Practice_Exam.md)</t>
        </is>
      </c>
      <c r="O348" s="18" t="inlineStr">
        <is>
          <t>Mock</t>
        </is>
      </c>
      <c r="P348" s="18" t="inlineStr">
        <is>
          <t>Mock สภาเภสัชฯ Practice</t>
        </is>
      </c>
    </row>
    <row r="349">
      <c r="A349" s="15" t="inlineStr">
        <is>
          <t>347</t>
        </is>
      </c>
      <c r="B349" s="18" t="inlineStr">
        <is>
          <t>Midazolam ที่ปริมาณยาเกินกว่าช่วงที่กำหนด 15% จัดเป็นยาประเภทใด</t>
        </is>
      </c>
      <c r="C349" s="18" t="inlineStr"/>
      <c r="D349" s="18" t="inlineStr">
        <is>
          <t>ยาปลอม</t>
        </is>
      </c>
      <c r="E349" s="18" t="inlineStr">
        <is>
          <t>ยาผิดมาตรฐาน</t>
        </is>
      </c>
      <c r="F349" s="18" t="inlineStr">
        <is>
          <t>ยาเสื่อมคุณภาพ</t>
        </is>
      </c>
      <c r="G349" s="18" t="inlineStr">
        <is>
          <t>ยายกเลิกทะเบียน</t>
        </is>
      </c>
      <c r="H349" s="18" t="inlineStr">
        <is>
          <t>ยาที่ไม่ได้ขึ้นทะเบียนตำรับยา</t>
        </is>
      </c>
      <c r="I349" s="15" t="inlineStr">
        <is>
          <t>1</t>
        </is>
      </c>
      <c r="J349" s="22"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Hypertension เนื่องจากกลไกการออกฤทธิ์, efficacy หรือข้อบ่งใช้ไม่ตรงกับโจทย์ที่กำหนด
• ข้อ ค. (ยาเสื่อมคุณภาพ): ข้อนี้ไม่ใช่คำตอบที่ถูกต้องสำหรับภาวะ Hypertension เนื่องจากกลไกการออกฤทธิ์, efficacy หรือข้อบ่งใช้ไม่ตรงกับโจทย์ที่กำหนด
• ข้อ ง. (ยายกเลิกทะเบียน): ข้อนี้ไม่ใช่คำตอบที่ถูกต้องสำหรับภาวะ Hypertension เนื่องจากกลไกการออกฤทธิ์, efficacy หรือข้อบ่งใช้ไม่ตรงกับโจทย์ที่กำหนด
• ข้อ จ. (ยาที่ไม่ได้ขึ้นทะเบียนตำรับยา):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49" s="18" t="inlineStr"/>
      <c r="L349" s="18" t="inlineStr">
        <is>
          <t>Hypertension</t>
        </is>
      </c>
      <c r="M349" s="18" t="inlineStr">
        <is>
          <t>Clinic</t>
        </is>
      </c>
      <c r="N349" s="18" t="inlineStr">
        <is>
          <t>ข้อ 34 (PLE_CC1_Practice_Exam.md)</t>
        </is>
      </c>
      <c r="O349" s="18" t="inlineStr">
        <is>
          <t>Mock</t>
        </is>
      </c>
      <c r="P349" s="18" t="inlineStr">
        <is>
          <t>Mock สภาเภสัชฯ Practice</t>
        </is>
      </c>
    </row>
    <row r="350">
      <c r="A350" s="15" t="inlineStr">
        <is>
          <t>348</t>
        </is>
      </c>
      <c r="B350" s="1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350" s="18" t="inlineStr"/>
      <c r="D350" s="18" t="inlineStr">
        <is>
          <t>4 9.5</t>
        </is>
      </c>
      <c r="E350" s="18" t="inlineStr">
        <is>
          <t>9 Cough</t>
        </is>
      </c>
      <c r="F350" s="18" t="inlineStr">
        <is>
          <t>Empagliflozin 10 mg OD</t>
        </is>
      </c>
      <c r="G350" s="18" t="inlineStr">
        <is>
          <t>Diltiazem 30 mg TID</t>
        </is>
      </c>
      <c r="H350" s="18" t="inlineStr">
        <is>
          <t>0 ควรใช้สถิติใดสำหรับการวิเคราะห์ดังกล่าว</t>
        </is>
      </c>
      <c r="I350" s="15" t="inlineStr">
        <is>
          <t>1</t>
        </is>
      </c>
      <c r="J350" s="22"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ข้อนี้ไม่ใช่คำตอบที่ถูกต้องสำหรับภาวะ Hypertension เนื่องจากกลไกการออกฤทธิ์, efficacy หรือข้อบ่งใช้ไม่ตรงกับโจทย์ที่กำหนด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(0 ควรใช้สถิติใดสำหรับการวิเคราะห์ดังกล่าว):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50" s="18" t="inlineStr"/>
      <c r="L350" s="18" t="inlineStr">
        <is>
          <t>Hypertension</t>
        </is>
      </c>
      <c r="M350" s="18" t="inlineStr">
        <is>
          <t>Clinic</t>
        </is>
      </c>
      <c r="N350" s="18" t="inlineStr">
        <is>
          <t>ข้อ 17 (PLE_CC1_Practice_Exam.md)</t>
        </is>
      </c>
      <c r="O350" s="18" t="inlineStr">
        <is>
          <t>Mock</t>
        </is>
      </c>
      <c r="P350" s="18" t="inlineStr">
        <is>
          <t>Mock สภาเภสัชฯ Practice</t>
        </is>
      </c>
    </row>
    <row r="351">
      <c r="A351" s="15" t="inlineStr">
        <is>
          <t>349</t>
        </is>
      </c>
      <c r="B351" s="18" t="inlineStr">
        <is>
          <t>ยาตัวใดที่ใช้ร่วมกับ simvastatin แล้วทำให้เกิด rhabdomyolysis มากที่สุด</t>
        </is>
      </c>
      <c r="C351" s="18" t="inlineStr"/>
      <c r="D351" s="18" t="inlineStr">
        <is>
          <t>Fenofibrate</t>
        </is>
      </c>
      <c r="E351" s="18" t="inlineStr">
        <is>
          <t>Rifampin</t>
        </is>
      </c>
      <c r="F351" s="18" t="inlineStr">
        <is>
          <t>Gemfibrozil</t>
        </is>
      </c>
      <c r="G351" s="18" t="inlineStr">
        <is>
          <t>Captopril</t>
        </is>
      </c>
      <c r="H351" s="18" t="inlineStr">
        <is>
          <t>Ezetimibe</t>
        </is>
      </c>
      <c r="I351" s="15" t="inlineStr">
        <is>
          <t>1</t>
        </is>
      </c>
      <c r="J351" s="22"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(Rifampin): ข้อนี้ไม่ใช่คำตอบที่ถูกต้องสำหรับภาวะ Hypertension เนื่องจากกลไกการออกฤทธิ์, efficacy หรือข้อบ่งใช้ไม่ตรงกับโจทย์ที่กำหนด
• ข้อ ค. (Gemfibrozil): ห้ามใช้ร่วมกับ statins เด็ดขาด เนื่องจากยับยั้ง OATP1B1 glucuronidation ทำให้ระดับ statin ในเลือดพุ่งสูงและเกิด severe rhabdomyolysis
• ข้อ ง. (Captopril): เป็น short-acting ACEI ต้องรับประทานวันละ 2-3 ครั้ง ตอนท้องว่าง มักใช้ในการปรับขนาดยาเฉียบพลันหรือ hypertensive urgency
• ข้อ จ. (Ezetimibe): เป็น Niemann-Pick C1-Like 1 (NPC1L1) inhibitor ยับยั้งการดูดซึม cholesterol ที่ลำไส้เล็ก ใช้เป็น add-on therapy ร่วมกับ statin เพื่อลด LDL-C เสริมอีก 15-20%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51" s="18" t="inlineStr"/>
      <c r="L351" s="18" t="inlineStr">
        <is>
          <t>Hypertension</t>
        </is>
      </c>
      <c r="M351" s="18" t="inlineStr">
        <is>
          <t>Clinic</t>
        </is>
      </c>
      <c r="N351" s="18" t="inlineStr">
        <is>
          <t>ข้อ 1 (PLE_CC1_Practice_Exam.md)</t>
        </is>
      </c>
      <c r="O351" s="18" t="inlineStr">
        <is>
          <t>Mock</t>
        </is>
      </c>
      <c r="P351" s="18" t="inlineStr">
        <is>
          <t>Mock สภาเภสัชฯ Practice</t>
        </is>
      </c>
    </row>
    <row r="352">
      <c r="A352" s="15" t="inlineStr">
        <is>
          <t>350</t>
        </is>
      </c>
      <c r="B352" s="18" t="inlineStr">
        <is>
          <t>ถ้าระดับ Albumin ในเลือดลดลง กระบวนการใดที่ไม่ได้รับผลกระทบจากการเปลี่ยนแปลงนี้</t>
        </is>
      </c>
      <c r="C352" s="18" t="inlineStr"/>
      <c r="D352" s="18" t="inlineStr">
        <is>
          <t>Absorption</t>
        </is>
      </c>
      <c r="E352" s="18" t="inlineStr">
        <is>
          <t>Distribution</t>
        </is>
      </c>
      <c r="F352" s="18" t="inlineStr">
        <is>
          <t>Metabolism</t>
        </is>
      </c>
      <c r="G352" s="18" t="inlineStr">
        <is>
          <t>Elimination</t>
        </is>
      </c>
      <c r="H352" s="18" t="inlineStr">
        <is>
          <t>Biotransformation</t>
        </is>
      </c>
      <c r="I352" s="15" t="inlineStr">
        <is>
          <t>1</t>
        </is>
      </c>
      <c r="J352" s="22"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ข้อนี้ไม่ใช่คำตอบที่ถูกต้องสำหรับภาวะ Hypertension เนื่องจากกลไกการออกฤทธิ์, efficacy หรือข้อบ่งใช้ไม่ตรงกับโจทย์ที่กำหนด
• ข้อ ค. (Metabolism): ข้อนี้ไม่ใช่คำตอบที่ถูกต้องสำหรับภาวะ Hypertension เนื่องจากกลไกการออกฤทธิ์, efficacy หรือข้อบ่งใช้ไม่ตรงกับโจทย์ที่กำหนด
• ข้อ ง. (Elimination): ข้อนี้ไม่ใช่คำตอบที่ถูกต้องสำหรับภาวะ Hypertension เนื่องจากกลไกการออกฤทธิ์, efficacy หรือข้อบ่งใช้ไม่ตรงกับโจทย์ที่กำหนด
• ข้อ จ. (Biotransformation):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52" s="18" t="inlineStr"/>
      <c r="L352" s="18" t="inlineStr">
        <is>
          <t>Hypertension</t>
        </is>
      </c>
      <c r="M352" s="18" t="inlineStr">
        <is>
          <t>Clinic</t>
        </is>
      </c>
      <c r="N352" s="18" t="inlineStr">
        <is>
          <t>ข้อ 11 (PLE_CC1_Practice_Exam.md)</t>
        </is>
      </c>
      <c r="O352" s="18" t="inlineStr">
        <is>
          <t>Mock</t>
        </is>
      </c>
      <c r="P352" s="18" t="inlineStr">
        <is>
          <t>Mock สภาเภสัชฯ Practice</t>
        </is>
      </c>
    </row>
    <row r="353">
      <c r="A353" s="15" t="inlineStr">
        <is>
          <t>351</t>
        </is>
      </c>
      <c r="B353" s="18" t="inlineStr">
        <is>
          <t>Renal elimination โดยปกติกระบวนการกรองที่ไตผ่าน glomerulus จะเป็นแบบ first-order ยกเว้น ยามีการ secret ออกมา หรือ reabsorb กลับไป</t>
        </is>
      </c>
      <c r="C353" s="18" t="inlineStr"/>
      <c r="D353" s="18" t="inlineStr">
        <is>
          <t>Hydrochlorothiazide 25 mg OD</t>
        </is>
      </c>
      <c r="E353" s="18" t="inlineStr">
        <is>
          <t>Atorvastatin 20 mg OD</t>
        </is>
      </c>
      <c r="F353" s="18" t="inlineStr">
        <is>
          <t>Simvastatin 20 mg HS</t>
        </is>
      </c>
      <c r="G353" s="18" t="inlineStr">
        <is>
          <t>Bisoprolol 5 mg OD</t>
        </is>
      </c>
      <c r="H353" s="18" t="inlineStr">
        <is>
          <t>Spironolactone 25 mg OD</t>
        </is>
      </c>
      <c r="I353" s="15" t="inlineStr">
        <is>
          <t>1</t>
        </is>
      </c>
      <c r="J35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53" s="18" t="inlineStr"/>
      <c r="L353" s="18" t="inlineStr">
        <is>
          <t>Hypertension</t>
        </is>
      </c>
      <c r="M353" s="18" t="inlineStr">
        <is>
          <t>Clinic</t>
        </is>
      </c>
      <c r="N353" s="18" t="inlineStr">
        <is>
          <t>ข้อ 4 (PLE_CC1_Practice_Exam.md)</t>
        </is>
      </c>
      <c r="O353" s="18" t="inlineStr">
        <is>
          <t>Mock</t>
        </is>
      </c>
      <c r="P353" s="18" t="inlineStr">
        <is>
          <t>Mock สภาเภสัชฯ Practice</t>
        </is>
      </c>
    </row>
    <row r="354">
      <c r="A354" s="15" t="inlineStr">
        <is>
          <t>352</t>
        </is>
      </c>
      <c r="B354" s="18" t="inlineStr">
        <is>
          <t>การให้ยาสองชนิดร่วมกันจะช่วยลด side effect Hyperkalemia</t>
        </is>
      </c>
      <c r="C354" s="18" t="inlineStr"/>
      <c r="D354" s="18" t="inlineStr">
        <is>
          <t>Bisoprolol 5 mg OD</t>
        </is>
      </c>
      <c r="E354" s="18" t="inlineStr">
        <is>
          <t>Spironolactone 25 mg OD</t>
        </is>
      </c>
      <c r="F354" s="18" t="inlineStr">
        <is>
          <t>Clopidogrel 75 mg OD</t>
        </is>
      </c>
      <c r="G354" s="18" t="inlineStr">
        <is>
          <t>Aspirin 81 mg OD</t>
        </is>
      </c>
      <c r="H354" s="18" t="inlineStr">
        <is>
          <t>Sacubitril/Valsartan 49/51 mg BID</t>
        </is>
      </c>
      <c r="I354" s="15" t="inlineStr">
        <is>
          <t>1</t>
        </is>
      </c>
      <c r="J35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54" s="18" t="inlineStr"/>
      <c r="L354" s="18" t="inlineStr">
        <is>
          <t>Hypertension</t>
        </is>
      </c>
      <c r="M354" s="18" t="inlineStr">
        <is>
          <t>Clinic</t>
        </is>
      </c>
      <c r="N354" s="18" t="inlineStr">
        <is>
          <t>ข้อ 2 (PLE_CC1_Key_Rx20_UBU.md)</t>
        </is>
      </c>
      <c r="O354" s="18" t="inlineStr">
        <is>
          <t>Mock</t>
        </is>
      </c>
      <c r="P354" s="18" t="inlineStr">
        <is>
          <t>Mock Rx20 UBU</t>
        </is>
      </c>
    </row>
    <row r="355">
      <c r="A355" s="15" t="inlineStr">
        <is>
          <t>353</t>
        </is>
      </c>
      <c r="B355" s="18" t="inlineStr">
        <is>
          <t>กลไกยาลดความดันโลหิต ข้อใดไม่ถูกต้อง</t>
        </is>
      </c>
      <c r="C355" s="18" t="inlineStr"/>
      <c r="D355" s="18" t="inlineStr">
        <is>
          <t>Aspirin 81 mg OD</t>
        </is>
      </c>
      <c r="E355" s="18" t="inlineStr">
        <is>
          <t>Sacubitril/Valsartan 49/51 mg BID</t>
        </is>
      </c>
      <c r="F355" s="18" t="inlineStr">
        <is>
          <t>Empagliflozin 10 mg OD</t>
        </is>
      </c>
      <c r="G355" s="18" t="inlineStr">
        <is>
          <t>Diltiazem 30 mg TID</t>
        </is>
      </c>
      <c r="H355" s="18" t="inlineStr">
        <is>
          <t>Warfarin 3 mg OD (target INR 2.0-3.0)</t>
        </is>
      </c>
      <c r="I355" s="15" t="inlineStr">
        <is>
          <t>1</t>
        </is>
      </c>
      <c r="J35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55" s="18" t="inlineStr"/>
      <c r="L355" s="18" t="inlineStr">
        <is>
          <t>Hypertension</t>
        </is>
      </c>
      <c r="M355" s="18" t="inlineStr">
        <is>
          <t>Clinic</t>
        </is>
      </c>
      <c r="N355" s="18" t="inlineStr">
        <is>
          <t>ข้อ 2 (PLE_CC1_Key_Rx20_UBU.md)</t>
        </is>
      </c>
      <c r="O355" s="18" t="inlineStr">
        <is>
          <t>Mock</t>
        </is>
      </c>
      <c r="P355" s="18" t="inlineStr">
        <is>
          <t>Mock Rx20 UBU</t>
        </is>
      </c>
    </row>
    <row r="356">
      <c r="A356" s="15" t="inlineStr">
        <is>
          <t>354</t>
        </is>
      </c>
      <c r="B356" s="18" t="inlineStr">
        <is>
          <t>Furosemide ออกฤทธิ์ที่ loop of Henle</t>
        </is>
      </c>
      <c r="C356" s="18" t="inlineStr"/>
      <c r="D356" s="18" t="inlineStr">
        <is>
          <t>Diltiazem 30 mg TID</t>
        </is>
      </c>
      <c r="E356" s="18" t="inlineStr">
        <is>
          <t>Warfarin 3 mg OD (target INR 2.0-3.0)</t>
        </is>
      </c>
      <c r="F356" s="18" t="inlineStr">
        <is>
          <t>Furosemide 40 mg OD</t>
        </is>
      </c>
      <c r="G356" s="18" t="inlineStr">
        <is>
          <t>Amlodipine 5 mg OD</t>
        </is>
      </c>
      <c r="H356" s="18" t="inlineStr">
        <is>
          <t>Losartan 50 mg OD</t>
        </is>
      </c>
      <c r="I356" s="15" t="inlineStr">
        <is>
          <t>1</t>
        </is>
      </c>
      <c r="J35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356" s="18" t="inlineStr"/>
      <c r="L356" s="18" t="inlineStr">
        <is>
          <t>Hypertension</t>
        </is>
      </c>
      <c r="M356" s="18" t="inlineStr">
        <is>
          <t>Clinic</t>
        </is>
      </c>
      <c r="N356" s="18" t="inlineStr">
        <is>
          <t>ข้อ 2 (PLE_CC1_Key_Rx20_UBU.md)</t>
        </is>
      </c>
      <c r="O356" s="18" t="inlineStr">
        <is>
          <t>Mock</t>
        </is>
      </c>
      <c r="P356" s="18" t="inlineStr">
        <is>
          <t>Mock Rx20 UBU</t>
        </is>
      </c>
    </row>
    <row r="357">
      <c r="A357" s="15" t="inlineStr">
        <is>
          <t>355</t>
        </is>
      </c>
      <c r="B357" s="18" t="inlineStr">
        <is>
          <t>Mild persistent</t>
        </is>
      </c>
      <c r="C357" s="18" t="inlineStr"/>
      <c r="D357" s="18" t="inlineStr">
        <is>
          <t>Amlodipine 5 mg OD</t>
        </is>
      </c>
      <c r="E357" s="18" t="inlineStr">
        <is>
          <t>Losartan 50 mg OD</t>
        </is>
      </c>
      <c r="F357" s="18" t="inlineStr">
        <is>
          <t>Enalapril 10 mg BID</t>
        </is>
      </c>
      <c r="G357" s="18" t="inlineStr">
        <is>
          <t>Hydrochlorothiazide 25 mg OD</t>
        </is>
      </c>
      <c r="H357" s="18" t="inlineStr">
        <is>
          <t>Atorvastatin 20 mg OD</t>
        </is>
      </c>
      <c r="I357" s="15" t="inlineStr">
        <is>
          <t>1</t>
        </is>
      </c>
      <c r="J35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57" s="18" t="inlineStr"/>
      <c r="L357" s="18" t="inlineStr">
        <is>
          <t>Hypertension</t>
        </is>
      </c>
      <c r="M357" s="18" t="inlineStr">
        <is>
          <t>Clinic</t>
        </is>
      </c>
      <c r="N357" s="18" t="inlineStr">
        <is>
          <t>ข้อ 4 (PLE_CC1_Key_Rx20_UBU.md)</t>
        </is>
      </c>
      <c r="O357" s="18" t="inlineStr">
        <is>
          <t>Mock</t>
        </is>
      </c>
      <c r="P357" s="18" t="inlineStr">
        <is>
          <t>Mock Rx20 UBU</t>
        </is>
      </c>
    </row>
    <row r="358">
      <c r="A358" s="15" t="inlineStr">
        <is>
          <t>356</t>
        </is>
      </c>
      <c r="B358" s="18" t="inlineStr">
        <is>
          <t>การได้รับยา enalapril</t>
        </is>
      </c>
      <c r="C358" s="18" t="inlineStr"/>
      <c r="D358" s="18" t="inlineStr">
        <is>
          <t>Hydrochlorothiazide 25 mg OD</t>
        </is>
      </c>
      <c r="E358" s="18" t="inlineStr">
        <is>
          <t>Atorvastatin 20 mg OD</t>
        </is>
      </c>
      <c r="F358" s="18" t="inlineStr">
        <is>
          <t>Simvastatin 20 mg HS</t>
        </is>
      </c>
      <c r="G358" s="18" t="inlineStr">
        <is>
          <t>Bisoprolol 5 mg OD</t>
        </is>
      </c>
      <c r="H358" s="18" t="inlineStr">
        <is>
          <t>Spironolactone 25 mg OD</t>
        </is>
      </c>
      <c r="I358" s="15" t="inlineStr">
        <is>
          <t>1</t>
        </is>
      </c>
      <c r="J35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358" s="18" t="inlineStr"/>
      <c r="L358" s="18" t="inlineStr">
        <is>
          <t>Hypertension</t>
        </is>
      </c>
      <c r="M358" s="18" t="inlineStr">
        <is>
          <t>Clinic</t>
        </is>
      </c>
      <c r="N358" s="18" t="inlineStr">
        <is>
          <t>ข้อ 1 (PLE_CC1_Key_Rx20_UBU.md)</t>
        </is>
      </c>
      <c r="O358" s="18" t="inlineStr">
        <is>
          <t>Mock</t>
        </is>
      </c>
      <c r="P358" s="18" t="inlineStr">
        <is>
          <t>Mock Rx20 UBU</t>
        </is>
      </c>
    </row>
    <row r="359">
      <c r="A359" s="15" t="inlineStr">
        <is>
          <t>357</t>
        </is>
      </c>
      <c r="B359" s="18" t="inlineStr">
        <is>
          <t>โรคเบาหวานและความดันโลหิตสูง ACEI อาจทำให้ GFR ลดลง และ sCr rising ได้ในช่วงแรกของการใช้ และอาจเกิด AKI ได้</t>
        </is>
      </c>
      <c r="C359" s="18" t="inlineStr"/>
      <c r="D359" s="18" t="inlineStr">
        <is>
          <t>Bisoprolol 5 mg OD</t>
        </is>
      </c>
      <c r="E359" s="18" t="inlineStr">
        <is>
          <t>Spironolactone 25 mg OD</t>
        </is>
      </c>
      <c r="F359" s="18" t="inlineStr">
        <is>
          <t>Clopidogrel 75 mg OD</t>
        </is>
      </c>
      <c r="G359" s="18" t="inlineStr">
        <is>
          <t>Aspirin 81 mg OD</t>
        </is>
      </c>
      <c r="H359" s="18" t="inlineStr">
        <is>
          <t>Sacubitril/Valsartan 49/51 mg BID</t>
        </is>
      </c>
      <c r="I359" s="15" t="inlineStr">
        <is>
          <t>1</t>
        </is>
      </c>
      <c r="J35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59" s="18" t="inlineStr"/>
      <c r="L359" s="18" t="inlineStr">
        <is>
          <t>Hypertension</t>
        </is>
      </c>
      <c r="M359" s="18" t="inlineStr">
        <is>
          <t>Clinic</t>
        </is>
      </c>
      <c r="N359" s="18" t="inlineStr">
        <is>
          <t>ข้อ 5 (PLE_CC1_Key_Rx20_UBU.md)</t>
        </is>
      </c>
      <c r="O359" s="18" t="inlineStr">
        <is>
          <t>Mock</t>
        </is>
      </c>
      <c r="P359" s="18" t="inlineStr">
        <is>
          <t>Mock Rx20 UBU</t>
        </is>
      </c>
    </row>
    <row r="360">
      <c r="A360" s="15" t="inlineStr">
        <is>
          <t>358</t>
        </is>
      </c>
      <c r="B360" s="18" t="inlineStr">
        <is>
          <t>furosemide ยับยั้งการดูดน้ำกลับที่บริเวณ loop of henle SurOSE 23.ไม่ควรให้ยา spironolactone แก่ผู้ป่วยรายนี้เพราะสาเหตุใด</t>
        </is>
      </c>
      <c r="C360" s="18" t="inlineStr"/>
      <c r="D360" s="18" t="inlineStr">
        <is>
          <t>Aspirin 81 mg OD</t>
        </is>
      </c>
      <c r="E360" s="18" t="inlineStr">
        <is>
          <t>Sacubitril/Valsartan 49/51 mg BID</t>
        </is>
      </c>
      <c r="F360" s="18" t="inlineStr">
        <is>
          <t>Empagliflozin 10 mg OD</t>
        </is>
      </c>
      <c r="G360" s="18" t="inlineStr">
        <is>
          <t>Diltiazem 30 mg TID</t>
        </is>
      </c>
      <c r="H360" s="18" t="inlineStr">
        <is>
          <t>Warfarin 3 mg OD (target INR 2.0-3.0)</t>
        </is>
      </c>
      <c r="I360" s="15" t="inlineStr">
        <is>
          <t>1</t>
        </is>
      </c>
      <c r="J36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360" s="18" t="inlineStr"/>
      <c r="L360" s="18" t="inlineStr">
        <is>
          <t>Hypertension</t>
        </is>
      </c>
      <c r="M360" s="18" t="inlineStr">
        <is>
          <t>Clinic</t>
        </is>
      </c>
      <c r="N360" s="18" t="inlineStr">
        <is>
          <t>ข้อ 3 (PLE_CC1_Key_Rx20_UBU.md)</t>
        </is>
      </c>
      <c r="O360" s="18" t="inlineStr">
        <is>
          <t>Mock</t>
        </is>
      </c>
      <c r="P360" s="18" t="inlineStr">
        <is>
          <t>Mock Rx20 UBU</t>
        </is>
      </c>
    </row>
    <row r="361">
      <c r="A361" s="15" t="inlineStr">
        <is>
          <t>359</t>
        </is>
      </c>
      <c r="B361" s="18" t="inlineStr">
        <is>
          <t>hyperkalemia spironolactone เป็นยาในกลุ่ม K sparings อาจะทำให้ hyperkalemia ได้ เพราะผู้ป่วยรายนี้ มีค่า K อยู่ที่ 5 mg/dL แล้ว 24.ยาใดไม่ควรให้เพื่อรักษาภาวะ hyperphosphatemia ในผู้ป่วยรายนี้</t>
        </is>
      </c>
      <c r="C361" s="18" t="inlineStr"/>
      <c r="D361" s="18" t="inlineStr">
        <is>
          <t>Diltiazem 30 mg TID</t>
        </is>
      </c>
      <c r="E361" s="18" t="inlineStr">
        <is>
          <t>Warfarin 3 mg OD (target INR 2.0-3.0)</t>
        </is>
      </c>
      <c r="F361" s="18" t="inlineStr">
        <is>
          <t>Furosemide 40 mg OD</t>
        </is>
      </c>
      <c r="G361" s="18" t="inlineStr">
        <is>
          <t>Amlodipine 5 mg OD</t>
        </is>
      </c>
      <c r="H361" s="18" t="inlineStr">
        <is>
          <t>Losartan 50 mg OD</t>
        </is>
      </c>
      <c r="I361" s="15" t="inlineStr">
        <is>
          <t>1</t>
        </is>
      </c>
      <c r="J36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361" s="18" t="inlineStr"/>
      <c r="L361" s="18" t="inlineStr">
        <is>
          <t>Hypertension</t>
        </is>
      </c>
      <c r="M361" s="18" t="inlineStr">
        <is>
          <t>Clinic</t>
        </is>
      </c>
      <c r="N361" s="18" t="inlineStr">
        <is>
          <t>ข้อ 5 (PLE_CC1_Key_Rx20_UBU.md)</t>
        </is>
      </c>
      <c r="O361" s="18" t="inlineStr">
        <is>
          <t>Mock</t>
        </is>
      </c>
      <c r="P361" s="18" t="inlineStr">
        <is>
          <t>Mock Rx20 UBU</t>
        </is>
      </c>
    </row>
    <row r="362">
      <c r="A362" s="15" t="inlineStr">
        <is>
          <t>360</t>
        </is>
      </c>
      <c r="B362" s="18" t="inlineStr">
        <is>
          <t>Magnesium hydroxide การแก้ hyperphosphatemia First line คือ Calcium carbonate, Sevelamer(ราคาแพง) ส่วน Aluminium hydroxide เป็น last choice เพราะอาจเกิด Aluminium toxic และ Lanthanum carbonate ก็มี indication แต่ราคาแพง 25.ในการวิเคราะห์ยา HCTZ ได้ผลออกมาดังรูป เครื่องมือที่ใช้วิเคราะห์คือเครื่องมือใด</t>
        </is>
      </c>
      <c r="C362" s="18" t="inlineStr"/>
      <c r="D362" s="18" t="inlineStr">
        <is>
          <t>Amlodipine 5 mg OD</t>
        </is>
      </c>
      <c r="E362" s="18" t="inlineStr">
        <is>
          <t>Losartan 50 mg OD</t>
        </is>
      </c>
      <c r="F362" s="18" t="inlineStr">
        <is>
          <t>Enalapril 10 mg BID</t>
        </is>
      </c>
      <c r="G362" s="18" t="inlineStr">
        <is>
          <t>Hydrochlorothiazide 25 mg OD</t>
        </is>
      </c>
      <c r="H362" s="18" t="inlineStr">
        <is>
          <t>Atorvastatin 20 mg OD</t>
        </is>
      </c>
      <c r="I362" s="15" t="inlineStr">
        <is>
          <t>1</t>
        </is>
      </c>
      <c r="J36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62" s="18" t="inlineStr"/>
      <c r="L362" s="18" t="inlineStr">
        <is>
          <t>Hypertension</t>
        </is>
      </c>
      <c r="M362" s="18" t="inlineStr">
        <is>
          <t>Clinic</t>
        </is>
      </c>
      <c r="N362" s="18" t="inlineStr">
        <is>
          <t>ข้อ 5 (PLE_CC1_Key_Rx20_UBU.md)</t>
        </is>
      </c>
      <c r="O362" s="18" t="inlineStr">
        <is>
          <t>Mock</t>
        </is>
      </c>
      <c r="P362" s="18" t="inlineStr">
        <is>
          <t>Mock Rx20 UBU</t>
        </is>
      </c>
    </row>
    <row r="363">
      <c r="A363" s="15" t="inlineStr">
        <is>
          <t>361</t>
        </is>
      </c>
      <c r="B363" s="18" t="inlineStr">
        <is>
          <t>ภาวะ Anemia ในผู้ป่วยรายนี้ควรแก้ไขอย่างไร</t>
        </is>
      </c>
      <c r="C363" s="18" t="inlineStr"/>
      <c r="D363" s="18" t="inlineStr">
        <is>
          <t>Hydrochlorothiazide 25 mg OD</t>
        </is>
      </c>
      <c r="E363" s="18" t="inlineStr">
        <is>
          <t>Atorvastatin 20 mg OD</t>
        </is>
      </c>
      <c r="F363" s="18" t="inlineStr">
        <is>
          <t>Simvastatin 20 mg HS</t>
        </is>
      </c>
      <c r="G363" s="18" t="inlineStr">
        <is>
          <t>Bisoprolol 5 mg OD</t>
        </is>
      </c>
      <c r="H363" s="18" t="inlineStr">
        <is>
          <t>Spironolactone 25 mg OD</t>
        </is>
      </c>
      <c r="I363" s="15" t="inlineStr">
        <is>
          <t>1</t>
        </is>
      </c>
      <c r="J36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63" s="18" t="inlineStr"/>
      <c r="L363" s="18" t="inlineStr">
        <is>
          <t>Hypertension</t>
        </is>
      </c>
      <c r="M363" s="18" t="inlineStr">
        <is>
          <t>Clinic</t>
        </is>
      </c>
      <c r="N363" s="18" t="inlineStr">
        <is>
          <t>ข้อ 26 (PLE_CC1_Key_Rx20_UBU.md)</t>
        </is>
      </c>
      <c r="O363" s="18" t="inlineStr">
        <is>
          <t>Mock</t>
        </is>
      </c>
      <c r="P363" s="18" t="inlineStr">
        <is>
          <t>Mock Rx20 UBU</t>
        </is>
      </c>
    </row>
    <row r="364">
      <c r="A364" s="15" t="inlineStr">
        <is>
          <t>362</t>
        </is>
      </c>
      <c r="B364" s="18" t="inlineStr">
        <is>
          <t>ยับยั้งการ reuptake ของ Dopamine</t>
        </is>
      </c>
      <c r="C364" s="18" t="inlineStr"/>
      <c r="D364" s="18" t="inlineStr">
        <is>
          <t>Bisoprolol 5 mg OD</t>
        </is>
      </c>
      <c r="E364" s="18" t="inlineStr">
        <is>
          <t>Spironolactone 25 mg OD</t>
        </is>
      </c>
      <c r="F364" s="18" t="inlineStr">
        <is>
          <t>Clopidogrel 75 mg OD</t>
        </is>
      </c>
      <c r="G364" s="18" t="inlineStr">
        <is>
          <t>Aspirin 81 mg OD</t>
        </is>
      </c>
      <c r="H364" s="18" t="inlineStr">
        <is>
          <t>Sacubitril/Valsartan 49/51 mg BID</t>
        </is>
      </c>
      <c r="I364" s="15" t="inlineStr">
        <is>
          <t>1</t>
        </is>
      </c>
      <c r="J36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64" s="18" t="inlineStr"/>
      <c r="L364" s="18" t="inlineStr">
        <is>
          <t>Hypertension</t>
        </is>
      </c>
      <c r="M364" s="18" t="inlineStr">
        <is>
          <t>Clinic</t>
        </is>
      </c>
      <c r="N364" s="18" t="inlineStr">
        <is>
          <t>ข้อ 4 (PLE_CC1_Key_Rx20_UBU.md)</t>
        </is>
      </c>
      <c r="O364" s="18" t="inlineStr">
        <is>
          <t>Mock</t>
        </is>
      </c>
      <c r="P364" s="18" t="inlineStr">
        <is>
          <t>Mock Rx20 UBU</t>
        </is>
      </c>
    </row>
    <row r="365">
      <c r="A365" s="15" t="inlineStr">
        <is>
          <t>363</t>
        </is>
      </c>
      <c r="B365" s="18" t="inlineStr">
        <is>
          <t>ไม่มีผลต่อหลอดเลือดและหัวใจ</t>
        </is>
      </c>
      <c r="C365" s="18" t="inlineStr"/>
      <c r="D365" s="18" t="inlineStr">
        <is>
          <t>Aspirin 81 mg OD</t>
        </is>
      </c>
      <c r="E365" s="18" t="inlineStr">
        <is>
          <t>Sacubitril/Valsartan 49/51 mg BID</t>
        </is>
      </c>
      <c r="F365" s="18" t="inlineStr">
        <is>
          <t>Empagliflozin 10 mg OD</t>
        </is>
      </c>
      <c r="G365" s="18" t="inlineStr">
        <is>
          <t>Diltiazem 30 mg TID</t>
        </is>
      </c>
      <c r="H365" s="18" t="inlineStr">
        <is>
          <t>Warfarin 3 mg OD (target INR 2.0-3.0)</t>
        </is>
      </c>
      <c r="I365" s="15" t="inlineStr">
        <is>
          <t>1</t>
        </is>
      </c>
      <c r="J36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65" s="18" t="inlineStr"/>
      <c r="L365" s="18" t="inlineStr">
        <is>
          <t>Hypertension</t>
        </is>
      </c>
      <c r="M365" s="18" t="inlineStr">
        <is>
          <t>Clinic</t>
        </is>
      </c>
      <c r="N365" s="18" t="inlineStr">
        <is>
          <t>ข้อ 2 (PLE_CC1_Key_Rx20_UBU.md)</t>
        </is>
      </c>
      <c r="O365" s="18" t="inlineStr">
        <is>
          <t>Mock</t>
        </is>
      </c>
      <c r="P365" s="18" t="inlineStr">
        <is>
          <t>Mock Rx20 UBU</t>
        </is>
      </c>
    </row>
    <row r="366">
      <c r="A366" s="15" t="inlineStr">
        <is>
          <t>364</t>
        </is>
      </c>
      <c r="B366" s="18" t="inlineStr">
        <is>
          <t>Hypokalemia ข้อ 3,4 เกิดได้ 20% เท่ากัน</t>
        </is>
      </c>
      <c r="C366" s="18" t="inlineStr"/>
      <c r="D366" s="18" t="inlineStr">
        <is>
          <t>Diltiazem 30 mg TID</t>
        </is>
      </c>
      <c r="E366" s="18" t="inlineStr">
        <is>
          <t>Warfarin 3 mg OD (target INR 2.0-3.0)</t>
        </is>
      </c>
      <c r="F366" s="18" t="inlineStr">
        <is>
          <t>Furosemide 40 mg OD</t>
        </is>
      </c>
      <c r="G366" s="18" t="inlineStr">
        <is>
          <t>Amlodipine 5 mg OD</t>
        </is>
      </c>
      <c r="H366" s="18" t="inlineStr">
        <is>
          <t>Losartan 50 mg OD</t>
        </is>
      </c>
      <c r="I366" s="15" t="inlineStr">
        <is>
          <t>1</t>
        </is>
      </c>
      <c r="J36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66" s="18" t="inlineStr"/>
      <c r="L366" s="18" t="inlineStr">
        <is>
          <t>Hypertension</t>
        </is>
      </c>
      <c r="M366" s="18" t="inlineStr">
        <is>
          <t>Clinic</t>
        </is>
      </c>
      <c r="N366" s="18" t="inlineStr">
        <is>
          <t>ข้อ 5 (PLE_CC1_Key_Rx20_UBU.md)</t>
        </is>
      </c>
      <c r="O366" s="18" t="inlineStr">
        <is>
          <t>Mock</t>
        </is>
      </c>
      <c r="P366" s="18" t="inlineStr">
        <is>
          <t>Mock Rx20 UBU</t>
        </is>
      </c>
    </row>
    <row r="367">
      <c r="A367" s="15" t="inlineStr">
        <is>
          <t>365</t>
        </is>
      </c>
      <c r="B367" s="18" t="inlineStr">
        <is>
          <t>Rectal suppositories Case: DM ผู้ป่วยหญิง น้ำหนัก 70 กก. สูง 80 ซม BMI ประมาณ 30 ตรวจพบ FPG 129 mg/dl 44.จากข้อมูลข้างต้น คิดว่าผู้ป่วยเป็นเบาหวานแบบใด</t>
        </is>
      </c>
      <c r="C367" s="18" t="inlineStr"/>
      <c r="D367" s="18" t="inlineStr">
        <is>
          <t>Amlodipine 5 mg OD</t>
        </is>
      </c>
      <c r="E367" s="18" t="inlineStr">
        <is>
          <t>Losartan 50 mg OD</t>
        </is>
      </c>
      <c r="F367" s="18" t="inlineStr">
        <is>
          <t>Enalapril 10 mg BID</t>
        </is>
      </c>
      <c r="G367" s="18" t="inlineStr">
        <is>
          <t>Hydrochlorothiazide 25 mg OD</t>
        </is>
      </c>
      <c r="H367" s="18" t="inlineStr">
        <is>
          <t>Atorvastatin 20 mg OD</t>
        </is>
      </c>
      <c r="I367" s="15" t="inlineStr">
        <is>
          <t>1</t>
        </is>
      </c>
      <c r="J36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67" s="18" t="inlineStr"/>
      <c r="L367" s="18" t="inlineStr">
        <is>
          <t>Hypertension</t>
        </is>
      </c>
      <c r="M367" s="18" t="inlineStr">
        <is>
          <t>Clinic</t>
        </is>
      </c>
      <c r="N367" s="18" t="inlineStr">
        <is>
          <t>ข้อ 5 (PLE_CC1_Key_Rx20_UBU.md)</t>
        </is>
      </c>
      <c r="O367" s="18" t="inlineStr">
        <is>
          <t>Mock</t>
        </is>
      </c>
      <c r="P367" s="18" t="inlineStr">
        <is>
          <t>Mock Rx20 UBU</t>
        </is>
      </c>
    </row>
    <row r="368">
      <c r="A368" s="15" t="inlineStr">
        <is>
          <t>366</t>
        </is>
      </c>
      <c r="B368" s="18" t="inlineStr">
        <is>
          <t>ลดระดับน้ำตาลลงได้อย่างรวดเร็ว BMI&gt;23</t>
        </is>
      </c>
      <c r="C368" s="18" t="inlineStr"/>
      <c r="D368" s="18" t="inlineStr">
        <is>
          <t>Hydrochlorothiazide 25 mg OD</t>
        </is>
      </c>
      <c r="E368" s="18" t="inlineStr">
        <is>
          <t>Atorvastatin 20 mg OD</t>
        </is>
      </c>
      <c r="F368" s="18" t="inlineStr">
        <is>
          <t>Simvastatin 20 mg HS</t>
        </is>
      </c>
      <c r="G368" s="18" t="inlineStr">
        <is>
          <t>Bisoprolol 5 mg OD</t>
        </is>
      </c>
      <c r="H368" s="18" t="inlineStr">
        <is>
          <t>Spironolactone 25 mg OD</t>
        </is>
      </c>
      <c r="I368" s="15" t="inlineStr">
        <is>
          <t>1</t>
        </is>
      </c>
      <c r="J36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68" s="18" t="inlineStr"/>
      <c r="L368" s="18" t="inlineStr">
        <is>
          <t>Hypertension</t>
        </is>
      </c>
      <c r="M368" s="18" t="inlineStr">
        <is>
          <t>Clinic</t>
        </is>
      </c>
      <c r="N368" s="18" t="inlineStr">
        <is>
          <t>ข้อ 2 (PLE_CC1_Key_Rx20_UBU.md)</t>
        </is>
      </c>
      <c r="O368" s="18" t="inlineStr">
        <is>
          <t>Mock</t>
        </is>
      </c>
      <c r="P368" s="18" t="inlineStr">
        <is>
          <t>Mock Rx20 UBU</t>
        </is>
      </c>
    </row>
    <row r="369">
      <c r="A369" s="15" t="inlineStr">
        <is>
          <t>367</t>
        </is>
      </c>
      <c r="B369" s="18" t="inlineStr">
        <is>
          <t>ค่าความดันโลหิตเป้าหมายของผู้ป่วยรายนี้ควรมีค่าเท่าใด</t>
        </is>
      </c>
      <c r="C369" s="18" t="inlineStr"/>
      <c r="D369" s="18" t="inlineStr">
        <is>
          <t>Bisoprolol 5 mg OD</t>
        </is>
      </c>
      <c r="E369" s="18" t="inlineStr">
        <is>
          <t>Spironolactone 25 mg OD</t>
        </is>
      </c>
      <c r="F369" s="18" t="inlineStr">
        <is>
          <t>Clopidogrel 75 mg OD</t>
        </is>
      </c>
      <c r="G369" s="18" t="inlineStr">
        <is>
          <t>Aspirin 81 mg OD</t>
        </is>
      </c>
      <c r="H369" s="18" t="inlineStr">
        <is>
          <t>Sacubitril/Valsartan 49/51 mg BID</t>
        </is>
      </c>
      <c r="I369" s="15" t="inlineStr">
        <is>
          <t>1</t>
        </is>
      </c>
      <c r="J36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69" s="18" t="inlineStr"/>
      <c r="L369" s="18" t="inlineStr">
        <is>
          <t>Hypertension</t>
        </is>
      </c>
      <c r="M369" s="18" t="inlineStr">
        <is>
          <t>Clinic</t>
        </is>
      </c>
      <c r="N369" s="18" t="inlineStr">
        <is>
          <t>ข้อ 49 (PLE_CC1_Key_Rx20_UBU.md)</t>
        </is>
      </c>
      <c r="O369" s="18" t="inlineStr">
        <is>
          <t>Mock</t>
        </is>
      </c>
      <c r="P369" s="18" t="inlineStr">
        <is>
          <t>Mock Rx20 UBU</t>
        </is>
      </c>
    </row>
    <row r="370">
      <c r="A370" s="15" t="inlineStr">
        <is>
          <t>368</t>
        </is>
      </c>
      <c r="B370" s="18" t="inlineStr">
        <is>
          <t>Aspirin - red man syndrome Vancomycin</t>
        </is>
      </c>
      <c r="C370" s="18" t="inlineStr"/>
      <c r="D370" s="18" t="inlineStr">
        <is>
          <t>Aspirin 81 mg OD</t>
        </is>
      </c>
      <c r="E370" s="18" t="inlineStr">
        <is>
          <t>Sacubitril/Valsartan 49/51 mg BID</t>
        </is>
      </c>
      <c r="F370" s="18" t="inlineStr">
        <is>
          <t>Empagliflozin 10 mg OD</t>
        </is>
      </c>
      <c r="G370" s="18" t="inlineStr">
        <is>
          <t>Diltiazem 30 mg TID</t>
        </is>
      </c>
      <c r="H370" s="18" t="inlineStr">
        <is>
          <t>Warfarin 3 mg OD (target INR 2.0-3.0)</t>
        </is>
      </c>
      <c r="I370" s="15" t="inlineStr">
        <is>
          <t>1</t>
        </is>
      </c>
      <c r="J37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370" s="18" t="inlineStr"/>
      <c r="L370" s="18" t="inlineStr">
        <is>
          <t>Hypertension</t>
        </is>
      </c>
      <c r="M370" s="18" t="inlineStr">
        <is>
          <t>Clinic</t>
        </is>
      </c>
      <c r="N370" s="18" t="inlineStr">
        <is>
          <t>ข้อ 1 (PLE_CC1_Key_Rx20_UBU.md)</t>
        </is>
      </c>
      <c r="O370" s="18" t="inlineStr">
        <is>
          <t>Mock</t>
        </is>
      </c>
      <c r="P370" s="18" t="inlineStr">
        <is>
          <t>Mock Rx20 UBU</t>
        </is>
      </c>
    </row>
    <row r="371">
      <c r="A371" s="15" t="inlineStr">
        <is>
          <t>369</t>
        </is>
      </c>
      <c r="B371" s="18" t="inlineStr">
        <is>
          <t>รับประทาน glucosamine 250 mg ครั้งละ 2 เม็ดวันละ 3 ครั้ง</t>
        </is>
      </c>
      <c r="C371" s="18" t="inlineStr"/>
      <c r="D371" s="18" t="inlineStr">
        <is>
          <t>Diltiazem 30 mg TID</t>
        </is>
      </c>
      <c r="E371" s="18" t="inlineStr">
        <is>
          <t>Warfarin 3 mg OD (target INR 2.0-3.0)</t>
        </is>
      </c>
      <c r="F371" s="18" t="inlineStr">
        <is>
          <t>Furosemide 40 mg OD</t>
        </is>
      </c>
      <c r="G371" s="18" t="inlineStr">
        <is>
          <t>Amlodipine 5 mg OD</t>
        </is>
      </c>
      <c r="H371" s="18" t="inlineStr">
        <is>
          <t>Losartan 50 mg OD</t>
        </is>
      </c>
      <c r="I371" s="15" t="inlineStr">
        <is>
          <t>1</t>
        </is>
      </c>
      <c r="J37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371" s="18" t="inlineStr"/>
      <c r="L371" s="18" t="inlineStr">
        <is>
          <t>Hypertension</t>
        </is>
      </c>
      <c r="M371" s="18" t="inlineStr">
        <is>
          <t>Clinic</t>
        </is>
      </c>
      <c r="N371" s="18" t="inlineStr">
        <is>
          <t>ข้อ 2 (PLE_CC1_Key_Rx20_UBU.md)</t>
        </is>
      </c>
      <c r="O371" s="18" t="inlineStr">
        <is>
          <t>Mock</t>
        </is>
      </c>
      <c r="P371" s="18" t="inlineStr">
        <is>
          <t>Mock Rx20 UBU</t>
        </is>
      </c>
    </row>
    <row r="372">
      <c r="A372" s="15" t="inlineStr">
        <is>
          <t>370</t>
        </is>
      </c>
      <c r="B372" s="18" t="inlineStr">
        <is>
          <t>H+ ที่หมู่ sulfonamide มีความเป็นกรด</t>
        </is>
      </c>
      <c r="C372" s="18" t="inlineStr"/>
      <c r="D372" s="18" t="inlineStr">
        <is>
          <t>Amlodipine 5 mg OD</t>
        </is>
      </c>
      <c r="E372" s="18" t="inlineStr">
        <is>
          <t>Losartan 50 mg OD</t>
        </is>
      </c>
      <c r="F372" s="18" t="inlineStr">
        <is>
          <t>Enalapril 10 mg BID</t>
        </is>
      </c>
      <c r="G372" s="18" t="inlineStr">
        <is>
          <t>Hydrochlorothiazide 25 mg OD</t>
        </is>
      </c>
      <c r="H372" s="18" t="inlineStr">
        <is>
          <t>Atorvastatin 20 mg OD</t>
        </is>
      </c>
      <c r="I372" s="15" t="inlineStr">
        <is>
          <t>1</t>
        </is>
      </c>
      <c r="J37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72" s="18" t="inlineStr"/>
      <c r="L372" s="18" t="inlineStr">
        <is>
          <t>Hypertension</t>
        </is>
      </c>
      <c r="M372" s="18" t="inlineStr">
        <is>
          <t>Clinic</t>
        </is>
      </c>
      <c r="N372" s="18" t="inlineStr">
        <is>
          <t>ข้อ 2 (PLE_CC1_Key_Rx20_UBU.md)</t>
        </is>
      </c>
      <c r="O372" s="18" t="inlineStr">
        <is>
          <t>Mock</t>
        </is>
      </c>
      <c r="P372" s="18" t="inlineStr">
        <is>
          <t>Mock Rx20 UBU</t>
        </is>
      </c>
    </row>
    <row r="373">
      <c r="A373" s="15" t="inlineStr">
        <is>
          <t>371</t>
        </is>
      </c>
      <c r="B373" s="18" t="inlineStr">
        <is>
          <t>ยาใหม่ที่ยังไม่ได้ขอขึ้นทะเบียนตำรับยา Case 11: เกลื้อน ผู้ป่วยชายไทย อายุ 40 ปี มีวงขาว ๆ บริเวณแก้ม 2 วง จากนั้นลามทั่วแผ่นหลัง มีอาการคันมากขึ้นเวลาเหงื่อออก ผู้ป่วยดื่มสุราและสูบบุหรี่ มีอาชีพเป็นคนงานก่อสร้าง มีประวัติเป็นโรคความดันโลหิตสูงและไขมันในเลือดสูง</t>
        </is>
      </c>
      <c r="C373" s="18" t="inlineStr"/>
      <c r="D373" s="18" t="inlineStr">
        <is>
          <t>Hydrochlorothiazide 25 mg OD</t>
        </is>
      </c>
      <c r="E373" s="18" t="inlineStr">
        <is>
          <t>Atorvastatin 20 mg OD</t>
        </is>
      </c>
      <c r="F373" s="18" t="inlineStr">
        <is>
          <t>Simvastatin 20 mg HS</t>
        </is>
      </c>
      <c r="G373" s="18" t="inlineStr">
        <is>
          <t>Bisoprolol 5 mg OD</t>
        </is>
      </c>
      <c r="H373" s="18" t="inlineStr">
        <is>
          <t>Spironolactone 25 mg OD</t>
        </is>
      </c>
      <c r="I373" s="15" t="inlineStr">
        <is>
          <t>1</t>
        </is>
      </c>
      <c r="J37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73" s="18" t="inlineStr"/>
      <c r="L373" s="18" t="inlineStr">
        <is>
          <t>Hypertension</t>
        </is>
      </c>
      <c r="M373" s="18" t="inlineStr">
        <is>
          <t>Clinic</t>
        </is>
      </c>
      <c r="N373" s="18" t="inlineStr">
        <is>
          <t>ข้อ 3 (PLE_CC1_Key_Rx20_UBU.md)</t>
        </is>
      </c>
      <c r="O373" s="18" t="inlineStr">
        <is>
          <t>Mock</t>
        </is>
      </c>
      <c r="P373" s="18" t="inlineStr">
        <is>
          <t>Mock Rx20 UBU</t>
        </is>
      </c>
    </row>
    <row r="374">
      <c r="A374" s="15" t="inlineStr">
        <is>
          <t>372</t>
        </is>
      </c>
      <c r="B374" s="18" t="inlineStr">
        <is>
          <t>Ketoconazole ลดการกาจัด Simvastatin</t>
        </is>
      </c>
      <c r="C374" s="18" t="inlineStr"/>
      <c r="D374" s="18" t="inlineStr">
        <is>
          <t>Bisoprolol 5 mg OD</t>
        </is>
      </c>
      <c r="E374" s="18" t="inlineStr">
        <is>
          <t>Spironolactone 25 mg OD</t>
        </is>
      </c>
      <c r="F374" s="18" t="inlineStr">
        <is>
          <t>Clopidogrel 75 mg OD</t>
        </is>
      </c>
      <c r="G374" s="18" t="inlineStr">
        <is>
          <t>Aspirin 81 mg OD</t>
        </is>
      </c>
      <c r="H374" s="18" t="inlineStr">
        <is>
          <t>Sacubitril/Valsartan 49/51 mg BID</t>
        </is>
      </c>
      <c r="I374" s="15" t="inlineStr">
        <is>
          <t>1</t>
        </is>
      </c>
      <c r="J37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74" s="18" t="inlineStr"/>
      <c r="L374" s="18" t="inlineStr">
        <is>
          <t>Hypertension</t>
        </is>
      </c>
      <c r="M374" s="18" t="inlineStr">
        <is>
          <t>Clinic</t>
        </is>
      </c>
      <c r="N374" s="18" t="inlineStr">
        <is>
          <t>ข้อ 2 (PLE_CC1_Key_Rx20_UBU.md)</t>
        </is>
      </c>
      <c r="O374" s="18" t="inlineStr">
        <is>
          <t>Mock</t>
        </is>
      </c>
      <c r="P374" s="18" t="inlineStr">
        <is>
          <t>Mock Rx20 UBU</t>
        </is>
      </c>
    </row>
    <row r="375">
      <c r="A375" s="15" t="inlineStr">
        <is>
          <t>373</t>
        </is>
      </c>
      <c r="B375" s="18" t="inlineStr">
        <is>
          <t>Ketoconazole เพิ่มการกาจัด Simvastatin</t>
        </is>
      </c>
      <c r="C375" s="18" t="inlineStr"/>
      <c r="D375" s="18" t="inlineStr">
        <is>
          <t>Aspirin 81 mg OD</t>
        </is>
      </c>
      <c r="E375" s="18" t="inlineStr">
        <is>
          <t>Sacubitril/Valsartan 49/51 mg BID</t>
        </is>
      </c>
      <c r="F375" s="18" t="inlineStr">
        <is>
          <t>Empagliflozin 10 mg OD</t>
        </is>
      </c>
      <c r="G375" s="18" t="inlineStr">
        <is>
          <t>Diltiazem 30 mg TID</t>
        </is>
      </c>
      <c r="H375" s="18" t="inlineStr">
        <is>
          <t>Warfarin 3 mg OD (target INR 2.0-3.0)</t>
        </is>
      </c>
      <c r="I375" s="15" t="inlineStr">
        <is>
          <t>1</t>
        </is>
      </c>
      <c r="J37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75" s="18" t="inlineStr"/>
      <c r="L375" s="18" t="inlineStr">
        <is>
          <t>Hypertension</t>
        </is>
      </c>
      <c r="M375" s="18" t="inlineStr">
        <is>
          <t>Clinic</t>
        </is>
      </c>
      <c r="N375" s="18" t="inlineStr">
        <is>
          <t>ข้อ 5 (PLE_CC1_Key_Rx20_UBU.md)</t>
        </is>
      </c>
      <c r="O375" s="18" t="inlineStr">
        <is>
          <t>Mock</t>
        </is>
      </c>
      <c r="P375" s="18" t="inlineStr">
        <is>
          <t>Mock Rx20 UBU</t>
        </is>
      </c>
    </row>
    <row r="376">
      <c r="A376" s="15" t="inlineStr">
        <is>
          <t>374</t>
        </is>
      </c>
      <c r="B376" s="18" t="inlineStr">
        <is>
          <t>Micellar solubilization</t>
        </is>
      </c>
      <c r="C376" s="18" t="inlineStr"/>
      <c r="D376" s="18" t="inlineStr">
        <is>
          <t>Diltiazem 30 mg TID</t>
        </is>
      </c>
      <c r="E376" s="18" t="inlineStr">
        <is>
          <t>Warfarin 3 mg OD (target INR 2.0-3.0)</t>
        </is>
      </c>
      <c r="F376" s="18" t="inlineStr">
        <is>
          <t>Furosemide 40 mg OD</t>
        </is>
      </c>
      <c r="G376" s="18" t="inlineStr">
        <is>
          <t>Amlodipine 5 mg OD</t>
        </is>
      </c>
      <c r="H376" s="18" t="inlineStr">
        <is>
          <t>Losartan 50 mg OD</t>
        </is>
      </c>
      <c r="I376" s="15" t="inlineStr">
        <is>
          <t>1</t>
        </is>
      </c>
      <c r="J37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76" s="18" t="inlineStr"/>
      <c r="L376" s="18" t="inlineStr">
        <is>
          <t>Hypertension</t>
        </is>
      </c>
      <c r="M376" s="18" t="inlineStr">
        <is>
          <t>Clinic</t>
        </is>
      </c>
      <c r="N376" s="18" t="inlineStr">
        <is>
          <t>ข้อ 3 (PLE_CC1_Key_Rx20_UBU.md)</t>
        </is>
      </c>
      <c r="O376" s="18" t="inlineStr">
        <is>
          <t>Mock</t>
        </is>
      </c>
      <c r="P376" s="18" t="inlineStr">
        <is>
          <t>Mock Rx20 UBU</t>
        </is>
      </c>
    </row>
    <row r="377">
      <c r="A377" s="15" t="inlineStr">
        <is>
          <t>375</t>
        </is>
      </c>
      <c r="B377" s="18" t="inlineStr">
        <is>
          <t>ต้องเตรียมใน Laminar Air Flow Biosafety Cabinet (Class II)</t>
        </is>
      </c>
      <c r="C377" s="18" t="inlineStr"/>
      <c r="D377" s="18" t="inlineStr">
        <is>
          <t>Amlodipine 5 mg OD</t>
        </is>
      </c>
      <c r="E377" s="18" t="inlineStr">
        <is>
          <t>Losartan 50 mg OD</t>
        </is>
      </c>
      <c r="F377" s="18" t="inlineStr">
        <is>
          <t>Enalapril 10 mg BID</t>
        </is>
      </c>
      <c r="G377" s="18" t="inlineStr">
        <is>
          <t>Hydrochlorothiazide 25 mg OD</t>
        </is>
      </c>
      <c r="H377" s="18" t="inlineStr">
        <is>
          <t>Atorvastatin 20 mg OD</t>
        </is>
      </c>
      <c r="I377" s="15" t="inlineStr">
        <is>
          <t>1</t>
        </is>
      </c>
      <c r="J37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77" s="18" t="inlineStr"/>
      <c r="L377" s="18" t="inlineStr">
        <is>
          <t>Hypertension</t>
        </is>
      </c>
      <c r="M377" s="18" t="inlineStr">
        <is>
          <t>Clinic</t>
        </is>
      </c>
      <c r="N377" s="18" t="inlineStr">
        <is>
          <t>ข้อ 5 (PLE_CC1_Key_Rx20_UBU.md)</t>
        </is>
      </c>
      <c r="O377" s="18" t="inlineStr">
        <is>
          <t>Mock</t>
        </is>
      </c>
      <c r="P377" s="18" t="inlineStr">
        <is>
          <t>Mock Rx20 UBU</t>
        </is>
      </c>
    </row>
    <row r="378">
      <c r="A378" s="15" t="inlineStr">
        <is>
          <t>376</t>
        </is>
      </c>
      <c r="B378" s="18" t="inlineStr">
        <is>
          <t>ยาผสมสำหรับมนุษย์ ที่นำเข้าจากต่างประเทศ ข้อสอบวัดความรู้ทางเภสัชศาสตร์เชิงบูรณาการ (MCQ) ครั้งที่ 2/2555 เพื่อขึ้นทะเบียนเป็นผู้ประกอบวิชาชีพเภสัชกรรม ประจำปี พ.ศ 2555 รอบที่ 2 .MCQ: ครั้งที่ 1/2555 วันที่ 2 (5 ก.พ. 2555) รวบรวมโดย นิสิตคณะเภสัชศาสตร์ จุฬาลงกรณ์มหาวิทยาลัย Rx69 Special Thanks: ข้อสอบ MCQ จากเพื่อนๆ คณะเภสัชศาสตร์ มหาวิทยาลัยเชียงใหม่ และ มหาวิทยาลัยนเรศวร เรื่องที่ 1: Warfarin</t>
        </is>
      </c>
      <c r="C378" s="18" t="inlineStr"/>
      <c r="D378" s="18" t="inlineStr">
        <is>
          <t>Hydrochlorothiazide 25 mg OD</t>
        </is>
      </c>
      <c r="E378" s="18" t="inlineStr">
        <is>
          <t>Atorvastatin 20 mg OD</t>
        </is>
      </c>
      <c r="F378" s="18" t="inlineStr">
        <is>
          <t>Simvastatin 20 mg HS</t>
        </is>
      </c>
      <c r="G378" s="18" t="inlineStr">
        <is>
          <t>Bisoprolol 5 mg OD</t>
        </is>
      </c>
      <c r="H378" s="18" t="inlineStr">
        <is>
          <t>Spironolactone 25 mg OD</t>
        </is>
      </c>
      <c r="I378" s="15" t="inlineStr">
        <is>
          <t>1</t>
        </is>
      </c>
      <c r="J37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78" s="18" t="inlineStr"/>
      <c r="L378" s="18" t="inlineStr">
        <is>
          <t>Hypertension</t>
        </is>
      </c>
      <c r="M378" s="18" t="inlineStr">
        <is>
          <t>Clinic</t>
        </is>
      </c>
      <c r="N378" s="18" t="inlineStr">
        <is>
          <t>ข้อ 5 (PLE_CC1_Key_Rx20_UBU.md)</t>
        </is>
      </c>
      <c r="O378" s="18" t="inlineStr">
        <is>
          <t>Mock</t>
        </is>
      </c>
      <c r="P378" s="18" t="inlineStr">
        <is>
          <t>Mock Rx20 UBU</t>
        </is>
      </c>
    </row>
    <row r="379">
      <c r="A379" s="15" t="inlineStr">
        <is>
          <t>377</t>
        </is>
      </c>
      <c r="B379" s="18" t="inlineStr">
        <is>
          <t>หากแพทย์สั่งจ่ายยา warfarin โดยให้ผู้ป่วยได้รับยาคิดเป็น 17.5 mg/week ให้รับประทานยาในขนาดเท่ากันทุกวัน ซึ่ง ห้องยามี warfarin ขนาด 3 mg และ 5 mg การจ่ายยาแบบใดเหมาะสมที่สุด (ทานยา 4 สัปดาห์)</t>
        </is>
      </c>
      <c r="C379" s="18" t="inlineStr"/>
      <c r="D379" s="18" t="inlineStr">
        <is>
          <t>Bisoprolol 5 mg OD</t>
        </is>
      </c>
      <c r="E379" s="18" t="inlineStr">
        <is>
          <t>Spironolactone 25 mg OD</t>
        </is>
      </c>
      <c r="F379" s="18" t="inlineStr">
        <is>
          <t>Clopidogrel 75 mg OD</t>
        </is>
      </c>
      <c r="G379" s="18" t="inlineStr">
        <is>
          <t>Aspirin 81 mg OD</t>
        </is>
      </c>
      <c r="H379" s="18" t="inlineStr">
        <is>
          <t>Sacubitril/Valsartan 49/51 mg BID</t>
        </is>
      </c>
      <c r="I379" s="15" t="inlineStr">
        <is>
          <t>1</t>
        </is>
      </c>
      <c r="J37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79" s="18" t="inlineStr"/>
      <c r="L379" s="18" t="inlineStr">
        <is>
          <t>Hypertension</t>
        </is>
      </c>
      <c r="M379" s="18" t="inlineStr">
        <is>
          <t>Clinic</t>
        </is>
      </c>
      <c r="N379" s="18" t="inlineStr">
        <is>
          <t>ข้อ 3 (PLE_CC1_Key_Rx20_UBU.md)</t>
        </is>
      </c>
      <c r="O379" s="18" t="inlineStr">
        <is>
          <t>Mock</t>
        </is>
      </c>
      <c r="P379" s="18" t="inlineStr">
        <is>
          <t>Mock Rx20 UBU</t>
        </is>
      </c>
    </row>
    <row r="380">
      <c r="A380" s="15" t="inlineStr">
        <is>
          <t>378</t>
        </is>
      </c>
      <c r="B380" s="18" t="inlineStr">
        <is>
          <t>จากการจ่ายยาข้างต้น ควรจะทาน warfarin อย่างไร</t>
        </is>
      </c>
      <c r="C380" s="18" t="inlineStr"/>
      <c r="D380" s="18" t="inlineStr">
        <is>
          <t>Aspirin 81 mg OD</t>
        </is>
      </c>
      <c r="E380" s="18" t="inlineStr">
        <is>
          <t>Sacubitril/Valsartan 49/51 mg BID</t>
        </is>
      </c>
      <c r="F380" s="18" t="inlineStr">
        <is>
          <t>Empagliflozin 10 mg OD</t>
        </is>
      </c>
      <c r="G380" s="18" t="inlineStr">
        <is>
          <t>Diltiazem 30 mg TID</t>
        </is>
      </c>
      <c r="H380" s="18" t="inlineStr">
        <is>
          <t>Warfarin 3 mg OD (target INR 2.0-3.0)</t>
        </is>
      </c>
      <c r="I380" s="15" t="inlineStr">
        <is>
          <t>1</t>
        </is>
      </c>
      <c r="J38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380" s="18" t="inlineStr"/>
      <c r="L380" s="18" t="inlineStr">
        <is>
          <t>Hypertension</t>
        </is>
      </c>
      <c r="M380" s="18" t="inlineStr">
        <is>
          <t>Clinic</t>
        </is>
      </c>
      <c r="N380" s="18" t="inlineStr">
        <is>
          <t>ข้อ 4 (PLE_CC1_Key_Rx20_UBU.md)</t>
        </is>
      </c>
      <c r="O380" s="18" t="inlineStr">
        <is>
          <t>Mock</t>
        </is>
      </c>
      <c r="P380" s="18" t="inlineStr">
        <is>
          <t>Mock Rx20 UBU</t>
        </is>
      </c>
    </row>
    <row r="381">
      <c r="A381" s="15" t="inlineStr">
        <is>
          <t>379</t>
        </is>
      </c>
      <c r="B381" s="18" t="inlineStr">
        <is>
          <t>การให้คำแนะนำเกี่ยวกับการใช้ warfarin ข้อใดถูกต้อง</t>
        </is>
      </c>
      <c r="C381" s="18" t="inlineStr"/>
      <c r="D381" s="18" t="inlineStr">
        <is>
          <t>Diltiazem 30 mg TID</t>
        </is>
      </c>
      <c r="E381" s="18" t="inlineStr">
        <is>
          <t>Warfarin 3 mg OD (target INR 2.0-3.0)</t>
        </is>
      </c>
      <c r="F381" s="18" t="inlineStr">
        <is>
          <t>Furosemide 40 mg OD</t>
        </is>
      </c>
      <c r="G381" s="18" t="inlineStr">
        <is>
          <t>Amlodipine 5 mg OD</t>
        </is>
      </c>
      <c r="H381" s="18" t="inlineStr">
        <is>
          <t>Losartan 50 mg OD</t>
        </is>
      </c>
      <c r="I381" s="15" t="inlineStr">
        <is>
          <t>1</t>
        </is>
      </c>
      <c r="J38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381" s="18" t="inlineStr"/>
      <c r="L381" s="18" t="inlineStr">
        <is>
          <t>Hypertension</t>
        </is>
      </c>
      <c r="M381" s="18" t="inlineStr">
        <is>
          <t>Clinic</t>
        </is>
      </c>
      <c r="N381" s="18" t="inlineStr">
        <is>
          <t>ข้อ 5 (PLE_CC1_Key_Rx20_UBU.md)</t>
        </is>
      </c>
      <c r="O381" s="18" t="inlineStr">
        <is>
          <t>Mock</t>
        </is>
      </c>
      <c r="P381" s="18" t="inlineStr">
        <is>
          <t>Mock Rx20 UBU</t>
        </is>
      </c>
    </row>
    <row r="382">
      <c r="A382" s="15" t="inlineStr">
        <is>
          <t>380</t>
        </is>
      </c>
      <c r="B382" s="18" t="inlineStr">
        <is>
          <t>ข้อใดถูกต้องเกี่ยวกับ warfarin</t>
        </is>
      </c>
      <c r="C382" s="18" t="inlineStr"/>
      <c r="D382" s="18" t="inlineStr">
        <is>
          <t>Amlodipine 5 mg OD</t>
        </is>
      </c>
      <c r="E382" s="18" t="inlineStr">
        <is>
          <t>Losartan 50 mg OD</t>
        </is>
      </c>
      <c r="F382" s="18" t="inlineStr">
        <is>
          <t>Enalapril 10 mg BID</t>
        </is>
      </c>
      <c r="G382" s="18" t="inlineStr">
        <is>
          <t>Hydrochlorothiazide 25 mg OD</t>
        </is>
      </c>
      <c r="H382" s="18" t="inlineStr">
        <is>
          <t>Atorvastatin 20 mg OD</t>
        </is>
      </c>
      <c r="I382" s="15" t="inlineStr">
        <is>
          <t>1</t>
        </is>
      </c>
      <c r="J38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82" s="18" t="inlineStr"/>
      <c r="L382" s="18" t="inlineStr">
        <is>
          <t>Hypertension</t>
        </is>
      </c>
      <c r="M382" s="18" t="inlineStr">
        <is>
          <t>Clinic</t>
        </is>
      </c>
      <c r="N382" s="18" t="inlineStr">
        <is>
          <t>ข้อ 6 (PLE_CC1_Key_Rx20_UBU.md)</t>
        </is>
      </c>
      <c r="O382" s="18" t="inlineStr">
        <is>
          <t>Mock</t>
        </is>
      </c>
      <c r="P382" s="18" t="inlineStr">
        <is>
          <t>Mock Rx20 UBU</t>
        </is>
      </c>
    </row>
    <row r="383">
      <c r="A383" s="15" t="inlineStr">
        <is>
          <t>381</t>
        </is>
      </c>
      <c r="B383" s="18" t="inlineStr">
        <is>
          <t>ผู้ป่วยกิน warfarinร่วมกับ vitamin E</t>
        </is>
      </c>
      <c r="C383" s="18" t="inlineStr"/>
      <c r="D383" s="18" t="inlineStr">
        <is>
          <t>Hydrochlorothiazide 25 mg OD</t>
        </is>
      </c>
      <c r="E383" s="18" t="inlineStr">
        <is>
          <t>Atorvastatin 20 mg OD</t>
        </is>
      </c>
      <c r="F383" s="18" t="inlineStr">
        <is>
          <t>Simvastatin 20 mg HS</t>
        </is>
      </c>
      <c r="G383" s="18" t="inlineStr">
        <is>
          <t>Bisoprolol 5 mg OD</t>
        </is>
      </c>
      <c r="H383" s="18" t="inlineStr">
        <is>
          <t>Spironolactone 25 mg OD</t>
        </is>
      </c>
      <c r="I383" s="15" t="inlineStr">
        <is>
          <t>1</t>
        </is>
      </c>
      <c r="J38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83" s="18" t="inlineStr"/>
      <c r="L383" s="18" t="inlineStr">
        <is>
          <t>Hypertension</t>
        </is>
      </c>
      <c r="M383" s="18" t="inlineStr">
        <is>
          <t>Clinic</t>
        </is>
      </c>
      <c r="N383" s="18" t="inlineStr">
        <is>
          <t>ข้อ 5 (PLE_CC1_Key_Rx20_UBU.md)</t>
        </is>
      </c>
      <c r="O383" s="18" t="inlineStr">
        <is>
          <t>Mock</t>
        </is>
      </c>
      <c r="P383" s="18" t="inlineStr">
        <is>
          <t>Mock Rx20 UBU</t>
        </is>
      </c>
    </row>
    <row r="384">
      <c r="A384" s="15" t="inlineStr">
        <is>
          <t>382</t>
        </is>
      </c>
      <c r="B384" s="18" t="inlineStr">
        <is>
          <t>การให้ผู้ป่วยกินยา warfarin ตรงเวลาทุกวัน จะช่วยลดอุบัติการณ์ของการเกิดอาการไม่พึงประสงค์ได้ คำว่า อุบัติการณ์ หมายความว่าอย่างไร</t>
        </is>
      </c>
      <c r="C384" s="18" t="inlineStr"/>
      <c r="D384" s="18" t="inlineStr">
        <is>
          <t>Bisoprolol 5 mg OD</t>
        </is>
      </c>
      <c r="E384" s="18" t="inlineStr">
        <is>
          <t>Spironolactone 25 mg OD</t>
        </is>
      </c>
      <c r="F384" s="18" t="inlineStr">
        <is>
          <t>Clopidogrel 75 mg OD</t>
        </is>
      </c>
      <c r="G384" s="18" t="inlineStr">
        <is>
          <t>Aspirin 81 mg OD</t>
        </is>
      </c>
      <c r="H384" s="18" t="inlineStr">
        <is>
          <t>Sacubitril/Valsartan 49/51 mg BID</t>
        </is>
      </c>
      <c r="I384" s="15" t="inlineStr">
        <is>
          <t>1</t>
        </is>
      </c>
      <c r="J38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84" s="18" t="inlineStr"/>
      <c r="L384" s="18" t="inlineStr">
        <is>
          <t>Hypertension</t>
        </is>
      </c>
      <c r="M384" s="18" t="inlineStr">
        <is>
          <t>Clinic</t>
        </is>
      </c>
      <c r="N384" s="18" t="inlineStr">
        <is>
          <t>ข้อ 9 (PLE_CC1_Key_Rx20_UBU.md)</t>
        </is>
      </c>
      <c r="O384" s="18" t="inlineStr">
        <is>
          <t>Mock</t>
        </is>
      </c>
      <c r="P384" s="18" t="inlineStr">
        <is>
          <t>Mock Rx20 UBU</t>
        </is>
      </c>
    </row>
    <row r="385">
      <c r="A385" s="15" t="inlineStr">
        <is>
          <t>383</t>
        </is>
      </c>
      <c r="B385" s="18" t="inlineStr">
        <is>
          <t>จำนวนผู้ป่วยใหม่ที่เกิดอาการไม่พึงประสงค์จากการใช้ warfarin เทียบกับผู้ป่วยทั้งหมด ณ จุดเวลาใดเวลาหนึ่ง</t>
        </is>
      </c>
      <c r="C385" s="18" t="inlineStr"/>
      <c r="D385" s="18" t="inlineStr">
        <is>
          <t>Aspirin 81 mg OD</t>
        </is>
      </c>
      <c r="E385" s="18" t="inlineStr">
        <is>
          <t>Sacubitril/Valsartan 49/51 mg BID</t>
        </is>
      </c>
      <c r="F385" s="18" t="inlineStr">
        <is>
          <t>Empagliflozin 10 mg OD</t>
        </is>
      </c>
      <c r="G385" s="18" t="inlineStr">
        <is>
          <t>Diltiazem 30 mg TID</t>
        </is>
      </c>
      <c r="H385" s="18" t="inlineStr">
        <is>
          <t>Warfarin 3 mg OD (target INR 2.0-3.0)</t>
        </is>
      </c>
      <c r="I385" s="15" t="inlineStr">
        <is>
          <t>1</t>
        </is>
      </c>
      <c r="J38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385" s="18" t="inlineStr"/>
      <c r="L385" s="18" t="inlineStr">
        <is>
          <t>Hypertension</t>
        </is>
      </c>
      <c r="M385" s="18" t="inlineStr">
        <is>
          <t>Clinic</t>
        </is>
      </c>
      <c r="N385" s="18" t="inlineStr">
        <is>
          <t>ข้อ 2 (PLE_CC1_Key_Rx20_UBU.md)</t>
        </is>
      </c>
      <c r="O385" s="18" t="inlineStr">
        <is>
          <t>Mock</t>
        </is>
      </c>
      <c r="P385" s="18" t="inlineStr">
        <is>
          <t>Mock Rx20 UBU</t>
        </is>
      </c>
    </row>
    <row r="386">
      <c r="A386" s="15" t="inlineStr">
        <is>
          <t>384</t>
        </is>
      </c>
      <c r="B386" s="18" t="inlineStr">
        <is>
          <t>จำนวนผู้ป่วยใหม่ที่เกิดอาการไม่พึงประสงค์เทียบกับผู้ที่ใช้warfarin ทั้งหมดในช่วงเวลาใดเวลาหนึ่ง จุดเวลาใดเวลาหนึ่ง</t>
        </is>
      </c>
      <c r="C386" s="18" t="inlineStr"/>
      <c r="D386" s="18" t="inlineStr">
        <is>
          <t>Diltiazem 30 mg TID</t>
        </is>
      </c>
      <c r="E386" s="18" t="inlineStr">
        <is>
          <t>Warfarin 3 mg OD (target INR 2.0-3.0)</t>
        </is>
      </c>
      <c r="F386" s="18" t="inlineStr">
        <is>
          <t>Furosemide 40 mg OD</t>
        </is>
      </c>
      <c r="G386" s="18" t="inlineStr">
        <is>
          <t>Amlodipine 5 mg OD</t>
        </is>
      </c>
      <c r="H386" s="18" t="inlineStr">
        <is>
          <t>Losartan 50 mg OD</t>
        </is>
      </c>
      <c r="I386" s="15" t="inlineStr">
        <is>
          <t>5</t>
        </is>
      </c>
      <c r="J386" s="22" t="inlineStr">
        <is>
          <t>✅ คำตอบที่ถูกต้อง: ข้อ จ. Losartan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386" s="18" t="inlineStr"/>
      <c r="L386" s="18" t="inlineStr">
        <is>
          <t>Hypertension</t>
        </is>
      </c>
      <c r="M386" s="18" t="inlineStr">
        <is>
          <t>Clinic</t>
        </is>
      </c>
      <c r="N386" s="18" t="inlineStr">
        <is>
          <t>ข้อ 3 (PLE_CC1_Key_Rx20_UBU.md)</t>
        </is>
      </c>
      <c r="O386" s="18" t="inlineStr">
        <is>
          <t>Mock</t>
        </is>
      </c>
      <c r="P386" s="18" t="inlineStr">
        <is>
          <t>Mock Rx20 UBU</t>
        </is>
      </c>
    </row>
    <row r="387">
      <c r="A387" s="15" t="inlineStr">
        <is>
          <t>385</t>
        </is>
      </c>
      <c r="B387" s="18" t="inlineStr">
        <is>
          <t>Propylamines</t>
        </is>
      </c>
      <c r="C387" s="18" t="inlineStr"/>
      <c r="D387" s="18" t="inlineStr">
        <is>
          <t>Amlodipine 5 mg OD</t>
        </is>
      </c>
      <c r="E387" s="18" t="inlineStr">
        <is>
          <t>Losartan 50 mg OD</t>
        </is>
      </c>
      <c r="F387" s="18" t="inlineStr">
        <is>
          <t>Enalapril 10 mg BID</t>
        </is>
      </c>
      <c r="G387" s="18" t="inlineStr">
        <is>
          <t>Hydrochlorothiazide 25 mg OD</t>
        </is>
      </c>
      <c r="H387" s="18" t="inlineStr">
        <is>
          <t>Atorvastatin 20 mg OD</t>
        </is>
      </c>
      <c r="I387" s="15" t="inlineStr">
        <is>
          <t>5</t>
        </is>
      </c>
      <c r="J387" s="22" t="inlineStr">
        <is>
          <t>✅ คำตอบที่ถูกต้อง: ข้อ จ. Atorvastatin 20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Atorvastatin 20 mg OD การเลือก Atorvastatin 20 mg OD เป็นคำตอบที่ถูกต้องตามแนวทางการรักษามาตรฐาน เนื่องจาก เป็น High-intensity statin (40-80 mg) ยับยั้ง HMG-CoA reductase มี clinical efficacy สูงสุดในการลด LDL-C ≥ 50% และ plaque stabilization ใน ACS/CAD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High-Intensity Dosing: ขนาดยา 40-80 mg จัดเป็น High-intensity statin ลด LDL-C ได้ ≥ 50% เป็น first-line ใน ASCVD
• Myopathy &amp; CYP3A4: เปลี่ยนสภาพผ่าน CYP3A4 เฝ้าระวังอาการปวดกล้ามเนื้อ (myalgia/rhabdomyolysis) เมื่อใช้ร่วมกับ Macrolides, Azoles หรือ Gemfibrozil</t>
        </is>
      </c>
      <c r="K387" s="18" t="inlineStr"/>
      <c r="L387" s="18" t="inlineStr">
        <is>
          <t>Hypertension</t>
        </is>
      </c>
      <c r="M387" s="18" t="inlineStr">
        <is>
          <t>Clinic</t>
        </is>
      </c>
      <c r="N387" s="18" t="inlineStr">
        <is>
          <t>ข้อ 5 (PLE_CC1_Key_Rx20_UBU.md)</t>
        </is>
      </c>
      <c r="O387" s="18" t="inlineStr">
        <is>
          <t>Mock</t>
        </is>
      </c>
      <c r="P387" s="18" t="inlineStr">
        <is>
          <t>Mock Rx20 UBU</t>
        </is>
      </c>
    </row>
    <row r="388">
      <c r="A388" s="15" t="inlineStr">
        <is>
          <t>386</t>
        </is>
      </c>
      <c r="B388" s="18" t="inlineStr">
        <is>
          <t>1300 micromoles per litre</t>
        </is>
      </c>
      <c r="C388" s="18" t="inlineStr"/>
      <c r="D388" s="18" t="inlineStr">
        <is>
          <t>Hydrochlorothiazide 25 mg OD</t>
        </is>
      </c>
      <c r="E388" s="18" t="inlineStr">
        <is>
          <t>Atorvastatin 20 mg OD</t>
        </is>
      </c>
      <c r="F388" s="18" t="inlineStr">
        <is>
          <t>Simvastatin 20 mg HS</t>
        </is>
      </c>
      <c r="G388" s="18" t="inlineStr">
        <is>
          <t>Bisoprolol 5 mg OD</t>
        </is>
      </c>
      <c r="H388" s="18" t="inlineStr">
        <is>
          <t>Spironolactone 25 mg OD</t>
        </is>
      </c>
      <c r="I388" s="15" t="inlineStr">
        <is>
          <t>3</t>
        </is>
      </c>
      <c r="J388" s="22" t="inlineStr">
        <is>
          <t>✅ คำตอบที่ถูกต้อง: ข้อ ค. Simvastatin 20 mg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20 mg HS การเลือก Simvastatin 20 mg HS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88" s="18" t="inlineStr"/>
      <c r="L388" s="18" t="inlineStr">
        <is>
          <t>Hypertension</t>
        </is>
      </c>
      <c r="M388" s="18" t="inlineStr">
        <is>
          <t>Clinic</t>
        </is>
      </c>
      <c r="N388" s="18" t="inlineStr">
        <is>
          <t>ข้อ 5 (PLE_CC1_Key_Rx20_UBU.md)</t>
        </is>
      </c>
      <c r="O388" s="18" t="inlineStr">
        <is>
          <t>Mock</t>
        </is>
      </c>
      <c r="P388" s="18" t="inlineStr">
        <is>
          <t>Mock Rx20 UBU</t>
        </is>
      </c>
    </row>
    <row r="389">
      <c r="A389" s="15" t="inlineStr">
        <is>
          <t>387</t>
        </is>
      </c>
      <c r="B389" s="18" t="inlineStr">
        <is>
          <t>2 ปีต่อมา มาตรวจติดตามได้ผล lab FBS 133, HbA1C 6.8, Bun 17, Scr 0.9, BP 150/98 Urine analysis : protein 1.5 g/24 hr ปัจจุบันใช้ Glibencamide 2x2 กับ Metformin ควรปรับแผนการรักษาอย่างไร -o ttdl /| 40Z๋ไก 55 _n ข 0.85</t>
        </is>
      </c>
      <c r="C389" s="18" t="inlineStr"/>
      <c r="D389" s="18" t="inlineStr">
        <is>
          <t>Bisoprolol 5 mg OD</t>
        </is>
      </c>
      <c r="E389" s="18" t="inlineStr">
        <is>
          <t>Spironolactone 25 mg OD</t>
        </is>
      </c>
      <c r="F389" s="18" t="inlineStr">
        <is>
          <t>Clopidogrel 75 mg OD</t>
        </is>
      </c>
      <c r="G389" s="18" t="inlineStr">
        <is>
          <t>Aspirin 81 mg OD</t>
        </is>
      </c>
      <c r="H389" s="18" t="inlineStr">
        <is>
          <t>Sacubitril/Valsartan 49/51 mg BID</t>
        </is>
      </c>
      <c r="I389" s="15" t="inlineStr">
        <is>
          <t>1</t>
        </is>
      </c>
      <c r="J38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89" s="18" t="inlineStr"/>
      <c r="L389" s="18" t="inlineStr">
        <is>
          <t>Hypertension</t>
        </is>
      </c>
      <c r="M389" s="18" t="inlineStr">
        <is>
          <t>Clinic</t>
        </is>
      </c>
      <c r="N389" s="18" t="inlineStr">
        <is>
          <t>ข้อ 2 (PLE_CC1_Key_Rx20_UBU.md)</t>
        </is>
      </c>
      <c r="O389" s="18" t="inlineStr">
        <is>
          <t>Mock</t>
        </is>
      </c>
      <c r="P389" s="18" t="inlineStr">
        <is>
          <t>Mock Rx20 UBU</t>
        </is>
      </c>
    </row>
    <row r="390">
      <c r="A390" s="15" t="inlineStr">
        <is>
          <t>388</t>
        </is>
      </c>
      <c r="B390" s="18" t="inlineStr">
        <is>
          <t>เพิ่มยา Amlodipine</t>
        </is>
      </c>
      <c r="C390" s="18" t="inlineStr"/>
      <c r="D390" s="18" t="inlineStr">
        <is>
          <t>Aspirin 81 mg OD</t>
        </is>
      </c>
      <c r="E390" s="18" t="inlineStr">
        <is>
          <t>Sacubitril/Valsartan 49/51 mg BID</t>
        </is>
      </c>
      <c r="F390" s="18" t="inlineStr">
        <is>
          <t>Empagliflozin 10 mg OD</t>
        </is>
      </c>
      <c r="G390" s="18" t="inlineStr">
        <is>
          <t>Diltiazem 30 mg TID</t>
        </is>
      </c>
      <c r="H390" s="18" t="inlineStr">
        <is>
          <t>Warfarin 3 mg OD (target INR 2.0-3.0)</t>
        </is>
      </c>
      <c r="I390" s="15" t="inlineStr">
        <is>
          <t>1</t>
        </is>
      </c>
      <c r="J39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90" s="18" t="inlineStr"/>
      <c r="L390" s="18" t="inlineStr">
        <is>
          <t>Hypertension</t>
        </is>
      </c>
      <c r="M390" s="18" t="inlineStr">
        <is>
          <t>Clinic</t>
        </is>
      </c>
      <c r="N390" s="18" t="inlineStr">
        <is>
          <t>ข้อ 4 (PLE_CC1_Key_Rx20_UBU.md)</t>
        </is>
      </c>
      <c r="O390" s="18" t="inlineStr">
        <is>
          <t>Mock</t>
        </is>
      </c>
      <c r="P390" s="18" t="inlineStr">
        <is>
          <t>Mock Rx20 UBU</t>
        </is>
      </c>
    </row>
    <row r="391">
      <c r="A391" s="15" t="inlineStr">
        <is>
          <t>389</t>
        </is>
      </c>
      <c r="B391" s="18" t="inlineStr">
        <is>
          <t>ผู้ป่วยรายนี้จำเป็นต้องได้รับยาป้องกันโรคหลอดเลือดหัวใจและกล้ามเนื้อหัวใจขาดเลือดหรือไม่ ๐ ARB s</t>
        </is>
      </c>
      <c r="C391" s="18" t="inlineStr"/>
      <c r="D391" s="18" t="inlineStr">
        <is>
          <t>Diltiazem 30 mg TID</t>
        </is>
      </c>
      <c r="E391" s="18" t="inlineStr">
        <is>
          <t>Warfarin 3 mg OD (target INR 2.0-3.0)</t>
        </is>
      </c>
      <c r="F391" s="18" t="inlineStr">
        <is>
          <t>Furosemide 40 mg OD</t>
        </is>
      </c>
      <c r="G391" s="18" t="inlineStr">
        <is>
          <t>Amlodipine 5 mg OD</t>
        </is>
      </c>
      <c r="H391" s="18" t="inlineStr">
        <is>
          <t>Losartan 50 mg OD</t>
        </is>
      </c>
      <c r="I391" s="15" t="inlineStr">
        <is>
          <t>1</t>
        </is>
      </c>
      <c r="J39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91" s="18" t="inlineStr"/>
      <c r="L391" s="18" t="inlineStr">
        <is>
          <t>Hypertension</t>
        </is>
      </c>
      <c r="M391" s="18" t="inlineStr">
        <is>
          <t>Clinic</t>
        </is>
      </c>
      <c r="N391" s="18" t="inlineStr">
        <is>
          <t>ข้อ 3 (PLE_CC1_Key_Rx20_UBU.md)</t>
        </is>
      </c>
      <c r="O391" s="18" t="inlineStr">
        <is>
          <t>Mock</t>
        </is>
      </c>
      <c r="P391" s="18" t="inlineStr">
        <is>
          <t>Mock Rx20 UBU</t>
        </is>
      </c>
    </row>
    <row r="392">
      <c r="A392" s="15" t="inlineStr">
        <is>
          <t>390</t>
        </is>
      </c>
      <c r="B392" s="18" t="inlineStr">
        <is>
          <t>ควรได้ aspirin 300 mg OD</t>
        </is>
      </c>
      <c r="C392" s="18" t="inlineStr"/>
      <c r="D392" s="18" t="inlineStr">
        <is>
          <t>Amlodipine 5 mg OD</t>
        </is>
      </c>
      <c r="E392" s="18" t="inlineStr">
        <is>
          <t>Losartan 50 mg OD</t>
        </is>
      </c>
      <c r="F392" s="18" t="inlineStr">
        <is>
          <t>Enalapril 10 mg BID</t>
        </is>
      </c>
      <c r="G392" s="18" t="inlineStr">
        <is>
          <t>Hydrochlorothiazide 25 mg OD</t>
        </is>
      </c>
      <c r="H392" s="18" t="inlineStr">
        <is>
          <t>Atorvastatin 20 mg OD</t>
        </is>
      </c>
      <c r="I392" s="15" t="inlineStr">
        <is>
          <t>1</t>
        </is>
      </c>
      <c r="J39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92" s="18" t="inlineStr"/>
      <c r="L392" s="18" t="inlineStr">
        <is>
          <t>Hypertension</t>
        </is>
      </c>
      <c r="M392" s="18" t="inlineStr">
        <is>
          <t>Clinic</t>
        </is>
      </c>
      <c r="N392" s="18" t="inlineStr">
        <is>
          <t>ข้อ 2 (PLE_CC1_Key_Rx20_UBU.md)</t>
        </is>
      </c>
      <c r="O392" s="18" t="inlineStr">
        <is>
          <t>Mock</t>
        </is>
      </c>
      <c r="P392" s="18" t="inlineStr">
        <is>
          <t>Mock Rx20 UBU</t>
        </is>
      </c>
    </row>
    <row r="393">
      <c r="A393" s="15" t="inlineStr">
        <is>
          <t>391</t>
        </is>
      </c>
      <c r="B393" s="18" t="inlineStr">
        <is>
          <t>ควรได้ aspirin 81 mg OD</t>
        </is>
      </c>
      <c r="C393" s="18" t="inlineStr"/>
      <c r="D393" s="18" t="inlineStr">
        <is>
          <t>Hydrochlorothiazide 25 mg OD</t>
        </is>
      </c>
      <c r="E393" s="18" t="inlineStr">
        <is>
          <t>Atorvastatin 20 mg OD</t>
        </is>
      </c>
      <c r="F393" s="18" t="inlineStr">
        <is>
          <t>Simvastatin 20 mg HS</t>
        </is>
      </c>
      <c r="G393" s="18" t="inlineStr">
        <is>
          <t>Bisoprolol 5 mg OD</t>
        </is>
      </c>
      <c r="H393" s="18" t="inlineStr">
        <is>
          <t>Spironolactone 25 mg OD</t>
        </is>
      </c>
      <c r="I393" s="15" t="inlineStr">
        <is>
          <t>1</t>
        </is>
      </c>
      <c r="J39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93" s="18" t="inlineStr"/>
      <c r="L393" s="18" t="inlineStr">
        <is>
          <t>Hypertension</t>
        </is>
      </c>
      <c r="M393" s="18" t="inlineStr">
        <is>
          <t>Clinic</t>
        </is>
      </c>
      <c r="N393" s="18" t="inlineStr">
        <is>
          <t>ข้อ 3 (PLE_CC1_Key_Rx20_UBU.md)</t>
        </is>
      </c>
      <c r="O393" s="18" t="inlineStr">
        <is>
          <t>Mock</t>
        </is>
      </c>
      <c r="P393" s="18" t="inlineStr">
        <is>
          <t>Mock Rx20 UBU</t>
        </is>
      </c>
    </row>
    <row r="394">
      <c r="A394" s="15" t="inlineStr">
        <is>
          <t>392</t>
        </is>
      </c>
      <c r="B394" s="18" t="inlineStr">
        <is>
          <t>ควรได้ clopidogrel 75 mg OD</t>
        </is>
      </c>
      <c r="C394" s="18" t="inlineStr"/>
      <c r="D394" s="18" t="inlineStr">
        <is>
          <t>Bisoprolol 5 mg OD</t>
        </is>
      </c>
      <c r="E394" s="18" t="inlineStr">
        <is>
          <t>Spironolactone 25 mg OD</t>
        </is>
      </c>
      <c r="F394" s="18" t="inlineStr">
        <is>
          <t>Clopidogrel 75 mg OD</t>
        </is>
      </c>
      <c r="G394" s="18" t="inlineStr">
        <is>
          <t>Aspirin 81 mg OD</t>
        </is>
      </c>
      <c r="H394" s="18" t="inlineStr">
        <is>
          <t>Sacubitril/Valsartan 49/51 mg BID</t>
        </is>
      </c>
      <c r="I394" s="15" t="inlineStr">
        <is>
          <t>1</t>
        </is>
      </c>
      <c r="J39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94" s="18" t="inlineStr"/>
      <c r="L394" s="18" t="inlineStr">
        <is>
          <t>Hypertension</t>
        </is>
      </c>
      <c r="M394" s="18" t="inlineStr">
        <is>
          <t>Clinic</t>
        </is>
      </c>
      <c r="N394" s="18" t="inlineStr">
        <is>
          <t>ข้อ 4 (PLE_CC1_Key_Rx20_UBU.md)</t>
        </is>
      </c>
      <c r="O394" s="18" t="inlineStr">
        <is>
          <t>Mock</t>
        </is>
      </c>
      <c r="P394" s="18" t="inlineStr">
        <is>
          <t>Mock Rx20 UBU</t>
        </is>
      </c>
    </row>
    <row r="395">
      <c r="A395" s="15" t="inlineStr">
        <is>
          <t>393</t>
        </is>
      </c>
      <c r="B395" s="18" t="inlineStr">
        <is>
          <t>ควรได้ Ticlopidine 250 mg BID = 84ข55 า 2ข0--9 &gt;50^ + wb DM t 1 Majorris_ู จำเป็นต้องได้รับยาเพื่อป้องกันโรคหลอดเลือดหัวใจและกล้ามเนื้อหัวใจขาดเลือด เป็น Primary prevention ซึ่งผู้ป่วยโรคเบาหวาน ชนิที่ 2 ซึ่งมีอายุ 56 ปี (,มากกว่า หรือเท่ากับ 50 ปี) ซึ่งมีปัจจัยเสี่ยงอย่างน้อย 1 ข้อ คือ ความดันโลหิตสูง (BP 150/98 ) ab</t>
        </is>
      </c>
      <c r="C395" s="18" t="inlineStr"/>
      <c r="D395" s="18" t="inlineStr">
        <is>
          <t>Aspirin 81 mg OD</t>
        </is>
      </c>
      <c r="E395" s="18" t="inlineStr">
        <is>
          <t>Sacubitril/Valsartan 49/51 mg BID</t>
        </is>
      </c>
      <c r="F395" s="18" t="inlineStr">
        <is>
          <t>Empagliflozin 10 mg OD</t>
        </is>
      </c>
      <c r="G395" s="18" t="inlineStr">
        <is>
          <t>Diltiazem 30 mg TID</t>
        </is>
      </c>
      <c r="H395" s="18" t="inlineStr">
        <is>
          <t>Warfarin 3 mg OD (target INR 2.0-3.0)</t>
        </is>
      </c>
      <c r="I395" s="15" t="inlineStr">
        <is>
          <t>3</t>
        </is>
      </c>
      <c r="J395" s="22" t="inlineStr">
        <is>
          <t>✅ คำตอบที่ถูกต้อง: ข้อ ค. Empagliflozin 10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395" s="18" t="inlineStr"/>
      <c r="L395" s="18" t="inlineStr">
        <is>
          <t>Hypertension</t>
        </is>
      </c>
      <c r="M395" s="18" t="inlineStr">
        <is>
          <t>Clinic</t>
        </is>
      </c>
      <c r="N395" s="18" t="inlineStr">
        <is>
          <t>ข้อ 5 (PLE_CC1_Key_Rx20_UBU.md)</t>
        </is>
      </c>
      <c r="O395" s="18" t="inlineStr">
        <is>
          <t>Mock</t>
        </is>
      </c>
      <c r="P395" s="18" t="inlineStr">
        <is>
          <t>Mock Rx20 UBU</t>
        </is>
      </c>
    </row>
    <row r="396">
      <c r="A396" s="15" t="inlineStr">
        <is>
          <t>394</t>
        </is>
      </c>
      <c r="B396" s="18" t="inlineStr">
        <is>
          <t>ขอแพทย์เปลี่ยนให้แบบ IV push in 2-4 min</t>
        </is>
      </c>
      <c r="C396" s="18" t="inlineStr"/>
      <c r="D396" s="18" t="inlineStr">
        <is>
          <t>Diltiazem 30 mg TID</t>
        </is>
      </c>
      <c r="E396" s="18" t="inlineStr">
        <is>
          <t>Warfarin 3 mg OD (target INR 2.0-3.0)</t>
        </is>
      </c>
      <c r="F396" s="18" t="inlineStr">
        <is>
          <t>Furosemide 40 mg OD</t>
        </is>
      </c>
      <c r="G396" s="18" t="inlineStr">
        <is>
          <t>Amlodipine 5 mg OD</t>
        </is>
      </c>
      <c r="H396" s="18" t="inlineStr">
        <is>
          <t>Losartan 50 mg OD</t>
        </is>
      </c>
      <c r="I396" s="15" t="inlineStr">
        <is>
          <t>1</t>
        </is>
      </c>
      <c r="J39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96" s="18" t="inlineStr"/>
      <c r="L396" s="18" t="inlineStr">
        <is>
          <t>Hypertension</t>
        </is>
      </c>
      <c r="M396" s="18" t="inlineStr">
        <is>
          <t>Clinic</t>
        </is>
      </c>
      <c r="N396" s="18" t="inlineStr">
        <is>
          <t>ข้อ 5 (PLE_CC1_Key_Rx20_UBU.md)</t>
        </is>
      </c>
      <c r="O396" s="18" t="inlineStr">
        <is>
          <t>Mock</t>
        </is>
      </c>
      <c r="P396" s="18" t="inlineStr">
        <is>
          <t>Mock Rx20 UBU</t>
        </is>
      </c>
    </row>
    <row r="397">
      <c r="A397" s="15" t="inlineStr">
        <is>
          <t>395</t>
        </is>
      </c>
      <c r="B397" s="18" t="inlineStr">
        <is>
          <t>Urinary incontinence กรณีศึกษาที่ 4 DM+HTN</t>
        </is>
      </c>
      <c r="C397" s="18" t="inlineStr"/>
      <c r="D397" s="18" t="inlineStr">
        <is>
          <t>Amlodipine 5 mg OD</t>
        </is>
      </c>
      <c r="E397" s="18" t="inlineStr">
        <is>
          <t>Losartan 50 mg OD</t>
        </is>
      </c>
      <c r="F397" s="18" t="inlineStr">
        <is>
          <t>Enalapril 10 mg BID</t>
        </is>
      </c>
      <c r="G397" s="18" t="inlineStr">
        <is>
          <t>Hydrochlorothiazide 25 mg OD</t>
        </is>
      </c>
      <c r="H397" s="18" t="inlineStr">
        <is>
          <t>Atorvastatin 20 mg OD</t>
        </is>
      </c>
      <c r="I397" s="15" t="inlineStr">
        <is>
          <t>1</t>
        </is>
      </c>
      <c r="J39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97" s="18" t="inlineStr"/>
      <c r="L397" s="18" t="inlineStr">
        <is>
          <t>Hypertension</t>
        </is>
      </c>
      <c r="M397" s="18" t="inlineStr">
        <is>
          <t>Clinic</t>
        </is>
      </c>
      <c r="N397" s="18" t="inlineStr">
        <is>
          <t>ข้อ 5 (PLE_CC1_Key_Rx20_UBU.md)</t>
        </is>
      </c>
      <c r="O397" s="18" t="inlineStr">
        <is>
          <t>Mock</t>
        </is>
      </c>
      <c r="P397" s="18" t="inlineStr">
        <is>
          <t>Mock Rx20 UBU</t>
        </is>
      </c>
    </row>
    <row r="398">
      <c r="A398" s="15" t="inlineStr">
        <is>
          <t>396</t>
        </is>
      </c>
      <c r="B398" s="18" t="inlineStr">
        <is>
          <t>ผู้ป่วยโรคความดันโลหิตสูงรายนี้ควรได้รับการรักษาอย่างไร</t>
        </is>
      </c>
      <c r="C398" s="18" t="inlineStr"/>
      <c r="D398" s="18" t="inlineStr">
        <is>
          <t>Hydrochlorothiazide 25 mg OD</t>
        </is>
      </c>
      <c r="E398" s="18" t="inlineStr">
        <is>
          <t>Atorvastatin 20 mg OD</t>
        </is>
      </c>
      <c r="F398" s="18" t="inlineStr">
        <is>
          <t>Simvastatin 20 mg HS</t>
        </is>
      </c>
      <c r="G398" s="18" t="inlineStr">
        <is>
          <t>Bisoprolol 5 mg OD</t>
        </is>
      </c>
      <c r="H398" s="18" t="inlineStr">
        <is>
          <t>Spironolactone 25 mg OD</t>
        </is>
      </c>
      <c r="I398" s="15" t="inlineStr">
        <is>
          <t>1</t>
        </is>
      </c>
      <c r="J39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98" s="18" t="inlineStr"/>
      <c r="L398" s="18" t="inlineStr">
        <is>
          <t>Hypertension</t>
        </is>
      </c>
      <c r="M398" s="18" t="inlineStr">
        <is>
          <t>Clinic</t>
        </is>
      </c>
      <c r="N398" s="18" t="inlineStr">
        <is>
          <t>ข้อ 2 (PLE_CC1_Key_Rx20_UBU.md)</t>
        </is>
      </c>
      <c r="O398" s="18" t="inlineStr">
        <is>
          <t>Mock</t>
        </is>
      </c>
      <c r="P398" s="18" t="inlineStr">
        <is>
          <t>Mock Rx20 UBU</t>
        </is>
      </c>
    </row>
    <row r="399">
      <c r="A399" s="15" t="inlineStr">
        <is>
          <t>397</t>
        </is>
      </c>
      <c r="B399" s="18" t="inlineStr">
        <is>
          <t>Furosemide &gt; HCTZ &gt; Amiloride</t>
        </is>
      </c>
      <c r="C399" s="18" t="inlineStr"/>
      <c r="D399" s="18" t="inlineStr">
        <is>
          <t>Bisoprolol 5 mg OD</t>
        </is>
      </c>
      <c r="E399" s="18" t="inlineStr">
        <is>
          <t>Spironolactone 25 mg OD</t>
        </is>
      </c>
      <c r="F399" s="18" t="inlineStr">
        <is>
          <t>Clopidogrel 75 mg OD</t>
        </is>
      </c>
      <c r="G399" s="18" t="inlineStr">
        <is>
          <t>Aspirin 81 mg OD</t>
        </is>
      </c>
      <c r="H399" s="18" t="inlineStr">
        <is>
          <t>Sacubitril/Valsartan 49/51 mg BID</t>
        </is>
      </c>
      <c r="I399" s="15" t="inlineStr">
        <is>
          <t>1</t>
        </is>
      </c>
      <c r="J39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99" s="18" t="inlineStr"/>
      <c r="L399" s="18" t="inlineStr">
        <is>
          <t>Hypertension</t>
        </is>
      </c>
      <c r="M399" s="18" t="inlineStr">
        <is>
          <t>Clinic</t>
        </is>
      </c>
      <c r="N399" s="18" t="inlineStr">
        <is>
          <t>ข้อ 1 (PLE_CC1_Key_Rx20_UBU.md)</t>
        </is>
      </c>
      <c r="O399" s="18" t="inlineStr">
        <is>
          <t>Mock</t>
        </is>
      </c>
      <c r="P399" s="18" t="inlineStr">
        <is>
          <t>Mock Rx20 UBU</t>
        </is>
      </c>
    </row>
    <row r="400">
      <c r="A400" s="15" t="inlineStr">
        <is>
          <t>398</t>
        </is>
      </c>
      <c r="B400" s="18" t="inlineStr">
        <is>
          <t>Content uniformity</t>
        </is>
      </c>
      <c r="C400" s="18" t="inlineStr"/>
      <c r="D400" s="18" t="inlineStr">
        <is>
          <t>Aspirin 81 mg OD</t>
        </is>
      </c>
      <c r="E400" s="18" t="inlineStr">
        <is>
          <t>Sacubitril/Valsartan 49/51 mg BID</t>
        </is>
      </c>
      <c r="F400" s="18" t="inlineStr">
        <is>
          <t>Empagliflozin 10 mg OD</t>
        </is>
      </c>
      <c r="G400" s="18" t="inlineStr">
        <is>
          <t>Diltiazem 30 mg TID</t>
        </is>
      </c>
      <c r="H400" s="18" t="inlineStr">
        <is>
          <t>Warfarin 3 mg OD (target INR 2.0-3.0)</t>
        </is>
      </c>
      <c r="I400" s="15" t="inlineStr">
        <is>
          <t>1</t>
        </is>
      </c>
      <c r="J40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00" s="18" t="inlineStr"/>
      <c r="L400" s="18" t="inlineStr">
        <is>
          <t>Hypertension</t>
        </is>
      </c>
      <c r="M400" s="18" t="inlineStr">
        <is>
          <t>Clinic</t>
        </is>
      </c>
      <c r="N400" s="18" t="inlineStr">
        <is>
          <t>ข้อ 2 (PLE_CC1_Key_Rx20_UBU.md)</t>
        </is>
      </c>
      <c r="O400" s="18" t="inlineStr">
        <is>
          <t>Mock</t>
        </is>
      </c>
      <c r="P400" s="18" t="inlineStr">
        <is>
          <t>Mock Rx20 UBU</t>
        </is>
      </c>
    </row>
    <row r="401">
      <c r="A401" s="15" t="inlineStr">
        <is>
          <t>399</t>
        </is>
      </c>
      <c r="B401" s="18" t="inlineStr">
        <is>
          <t>Humidity (ความชื้น) 9.ข้อใดผิดเกี่ยวกับ NPH insulin</t>
        </is>
      </c>
      <c r="C401" s="18" t="inlineStr"/>
      <c r="D401" s="18" t="inlineStr">
        <is>
          <t>Diltiazem 30 mg TID</t>
        </is>
      </c>
      <c r="E401" s="18" t="inlineStr">
        <is>
          <t>Warfarin 3 mg OD (target INR 2.0-3.0)</t>
        </is>
      </c>
      <c r="F401" s="18" t="inlineStr">
        <is>
          <t>Furosemide 40 mg OD</t>
        </is>
      </c>
      <c r="G401" s="18" t="inlineStr">
        <is>
          <t>Amlodipine 5 mg OD</t>
        </is>
      </c>
      <c r="H401" s="18" t="inlineStr">
        <is>
          <t>Losartan 50 mg OD</t>
        </is>
      </c>
      <c r="I401" s="15" t="inlineStr">
        <is>
          <t>3</t>
        </is>
      </c>
      <c r="J401" s="22" t="inlineStr">
        <is>
          <t>✅ คำตอบที่ถูกต้อง: ข้อ ค. Furosemide 40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Furosemide 40 mg OD การเลือก Furosemide 40 mg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01" s="18" t="inlineStr"/>
      <c r="L401" s="18" t="inlineStr">
        <is>
          <t>Hypertension</t>
        </is>
      </c>
      <c r="M401" s="18" t="inlineStr">
        <is>
          <t>Clinic</t>
        </is>
      </c>
      <c r="N401" s="18" t="inlineStr">
        <is>
          <t>ข้อ 5 (PLE_CC1_Key_Rx20_UBU.md)</t>
        </is>
      </c>
      <c r="O401" s="18" t="inlineStr">
        <is>
          <t>Mock</t>
        </is>
      </c>
      <c r="P401" s="18" t="inlineStr">
        <is>
          <t>Mock Rx20 UBU</t>
        </is>
      </c>
    </row>
    <row r="402">
      <c r="A402" s="15" t="inlineStr">
        <is>
          <t>400</t>
        </is>
      </c>
      <c r="B402" s="18" t="inlineStr">
        <is>
          <t>สถานที่ผลิต ไม่มีทะเบียนยาที่ขึ้นต้นด้วย 3G กรณีศึกษาที่ 5 DM+CKD ผู้ป่วยหญิงอายุ 55 ปี มาด้วยอาการหอบเหนื่อยตอนกลางคืน นอนราบไม่ได้ ปัสสาวะไม่ออก บวมมากขึ้น มีโรคประจำตัวคือ โรคเบาหวานชนิดที่ 2 โรคความดันโลหิตสูง โรคไขมันในเลือดสูง โรคไตเรื้อรัง stage 5 ได้รับยารักษา HCTZ 25 mg 1x1 pc, Metformin 500 mg 1x3 pc, Amlodipine 2x1 pc, Glibenclamide 1x2 ac, calk cap, sodamint ผลตรวจ Hb 8 g/dl, Hct 28, K 5.7(สูงกว่าช่วงปกติ), Na 142 (ปกติ) Ca 8 (ปกติ) Phosphte 6.4 (สูงกว่าค่าปกติ) albumin 2 g/dl (ต่ำกว่าช่วงปกติ) มีสูตรคำนวณค่า correct Ca ให้มาด้วย</t>
        </is>
      </c>
      <c r="C402" s="18" t="inlineStr"/>
      <c r="D402" s="18" t="inlineStr">
        <is>
          <t>ข้อใดคือการจัดการที่เหมาะสมในการรักษาภาวะความดันโลหิตสูงของผู้ป่วยรายนี้อย่างไร</t>
        </is>
      </c>
      <c r="E402" s="18" t="inlineStr">
        <is>
          <t>Losartan 50 mg OD</t>
        </is>
      </c>
      <c r="F402" s="18" t="inlineStr">
        <is>
          <t>Enalapril 10 mg BID</t>
        </is>
      </c>
      <c r="G402" s="18" t="inlineStr">
        <is>
          <t>Hydrochlorothiazide 25 mg OD</t>
        </is>
      </c>
      <c r="H402" s="18" t="inlineStr">
        <is>
          <t>Atorvastatin 20 mg OD</t>
        </is>
      </c>
      <c r="I402" s="15" t="inlineStr">
        <is>
          <t>1</t>
        </is>
      </c>
      <c r="J402" s="22" t="inlineStr">
        <is>
          <t>✅ คำตอบที่ถูกต้อง: ข้อ ก. ข้อใดคือการจัดการที่เหมาะสมในการรักษาภาวะความดันโลหิตสูงของผู้ป่วยรายนี้อย่างไร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ข้อใดคือการจัดการที่เหมาะสมในการรักษาภาวะความดันโลหิตสูงของผู้ป่วยรายนี้อย่างไร การเลือก ข้อใดคือการจัดการที่เหมาะสมในการรักษาภาวะความดันโลหิตสูงของผู้ป่วยรายนี้อย่างไร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2" s="18" t="inlineStr"/>
      <c r="L402" s="18" t="inlineStr">
        <is>
          <t>Hypertension</t>
        </is>
      </c>
      <c r="M402" s="18" t="inlineStr">
        <is>
          <t>Clinic</t>
        </is>
      </c>
      <c r="N402" s="18" t="inlineStr">
        <is>
          <t>ข้อ 5 (PLE_CC1_Key_Rx20_UBU.md)</t>
        </is>
      </c>
      <c r="O402" s="18" t="inlineStr">
        <is>
          <t>Mock</t>
        </is>
      </c>
      <c r="P402" s="18" t="inlineStr">
        <is>
          <t>Mock Rx20 UBU</t>
        </is>
      </c>
    </row>
    <row r="403">
      <c r="A403" s="15" t="inlineStr">
        <is>
          <t>401</t>
        </is>
      </c>
      <c r="B403" s="18" t="inlineStr">
        <is>
          <t>เปลี่ยนจาก HCTZ เป็น Furosemide</t>
        </is>
      </c>
      <c r="C403" s="18" t="inlineStr"/>
      <c r="D403" s="18" t="inlineStr">
        <is>
          <t>Hydrochlorothiazide 25 mg OD</t>
        </is>
      </c>
      <c r="E403" s="18" t="inlineStr">
        <is>
          <t>Atorvastatin 20 mg OD</t>
        </is>
      </c>
      <c r="F403" s="18" t="inlineStr">
        <is>
          <t>Simvastatin 20 mg HS</t>
        </is>
      </c>
      <c r="G403" s="18" t="inlineStr">
        <is>
          <t>Bisoprolol 5 mg OD</t>
        </is>
      </c>
      <c r="H403" s="18" t="inlineStr">
        <is>
          <t>Spironolactone 25 mg OD</t>
        </is>
      </c>
      <c r="I403" s="15" t="inlineStr">
        <is>
          <t>1</t>
        </is>
      </c>
      <c r="J40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03" s="18" t="inlineStr"/>
      <c r="L403" s="18" t="inlineStr">
        <is>
          <t>Hypertension</t>
        </is>
      </c>
      <c r="M403" s="18" t="inlineStr">
        <is>
          <t>Clinic</t>
        </is>
      </c>
      <c r="N403" s="18" t="inlineStr">
        <is>
          <t>ข้อ 4 (PLE_CC1_Key_Rx20_UBU.md)</t>
        </is>
      </c>
      <c r="O403" s="18" t="inlineStr">
        <is>
          <t>Mock</t>
        </is>
      </c>
      <c r="P403" s="18" t="inlineStr">
        <is>
          <t>Mock Rx20 UBU</t>
        </is>
      </c>
    </row>
    <row r="404">
      <c r="A404" s="15" t="inlineStr">
        <is>
          <t>402</t>
        </is>
      </c>
      <c r="B404" s="18" t="inlineStr">
        <is>
          <t>ปลาเล้กทอดกรอบ ไม่ควรทานปลาเล็กทอดกรอบเนื่องจากผู้ป่วยมีโรคไขมันในเลือดสูง แต่ควรทานไข่ขาวเนื่องจากผู้ป่วยมี low albumin</t>
        </is>
      </c>
      <c r="C404" s="18" t="inlineStr"/>
      <c r="D404" s="18" t="inlineStr">
        <is>
          <t>Bisoprolol 5 mg OD</t>
        </is>
      </c>
      <c r="E404" s="18" t="inlineStr">
        <is>
          <t>Spironolactone 25 mg OD</t>
        </is>
      </c>
      <c r="F404" s="18" t="inlineStr">
        <is>
          <t>Clopidogrel 75 mg OD</t>
        </is>
      </c>
      <c r="G404" s="18" t="inlineStr">
        <is>
          <t>Aspirin 81 mg OD</t>
        </is>
      </c>
      <c r="H404" s="18" t="inlineStr">
        <is>
          <t>Sacubitril/Valsartan 49/51 mg BID</t>
        </is>
      </c>
      <c r="I404" s="15" t="inlineStr">
        <is>
          <t>3</t>
        </is>
      </c>
      <c r="J404" s="22" t="inlineStr">
        <is>
          <t>✅ คำตอบที่ถูกต้อง: ข้อ ค. Clopidogrel 75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Clopidogrel 75 mg OD การเลือก Clopidogrel 75 mg OD เป็นคำตอบที่ถูกต้องตามแนวทางการรักษามาตรฐาน เนื่องจาก เป็น P2Y12 inhibitor ต้องผ่านการกระตุ้นโดยเอนไซม์ CYP2C19 (prodrug) จึงต้องระวัง drug interaction กับ strong CYP2C19 inhibitors เช่น omeprazole (ควรเลี่ยงไปใช้ pantoprazole)
🔍 ข้ออื่นผิดเพราะอะไร:
• ข้อ ก. (Bisoprolol 5 mg OD): เป็น cardioselective beta-1 blocker ไม่ใช่ first-line monotherapy สำหรับ uncomplicated HTN แต่เป็น first-line GDMT ใน HFrEF หรือ post-MI
• ข้อ ข. (Spironolactone 25 mg OD): เป็น Mineralocorticoid receptor antagonist (MRA) ใช้เป็น 4th-line ใน resistant HTN หรือ GDMT ใน HFrEF ต้อง monitor potassium และเสี่ยงต่อ gynecomastia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04" s="18" t="inlineStr"/>
      <c r="L404" s="18" t="inlineStr">
        <is>
          <t>Hypertension</t>
        </is>
      </c>
      <c r="M404" s="18" t="inlineStr">
        <is>
          <t>Clinic</t>
        </is>
      </c>
      <c r="N404" s="18" t="inlineStr">
        <is>
          <t>ข้อ 5 (PLE_CC1_Key_Rx20_UBU.md)</t>
        </is>
      </c>
      <c r="O404" s="18" t="inlineStr">
        <is>
          <t>Mock</t>
        </is>
      </c>
      <c r="P404" s="18" t="inlineStr">
        <is>
          <t>Mock Rx20 UBU</t>
        </is>
      </c>
    </row>
    <row r="405">
      <c r="A405" s="15" t="inlineStr">
        <is>
          <t>403</t>
        </is>
      </c>
      <c r="B405" s="18" t="inlineStr">
        <is>
          <t>ดื่มนมเสริม ไม่ควรทานปลาเล็กทอดกรอบเนื่องจากผู้ป่วยมีโรคไขมันในเลือดสูง แต่ควรทานไข่ขาวเนื่องจากผู้ป่วยมี low albumin</t>
        </is>
      </c>
      <c r="C405" s="18" t="inlineStr"/>
      <c r="D405" s="18" t="inlineStr">
        <is>
          <t>Aspirin 81 mg OD</t>
        </is>
      </c>
      <c r="E405" s="18" t="inlineStr">
        <is>
          <t>Sacubitril/Valsartan 49/51 mg BID</t>
        </is>
      </c>
      <c r="F405" s="18" t="inlineStr">
        <is>
          <t>Empagliflozin 10 mg OD</t>
        </is>
      </c>
      <c r="G405" s="18" t="inlineStr">
        <is>
          <t>Diltiazem 30 mg TID</t>
        </is>
      </c>
      <c r="H405" s="18" t="inlineStr">
        <is>
          <t>Warfarin 3 mg OD (target INR 2.0-3.0)</t>
        </is>
      </c>
      <c r="I405" s="15" t="inlineStr">
        <is>
          <t>3</t>
        </is>
      </c>
      <c r="J405" s="22" t="inlineStr">
        <is>
          <t>✅ คำตอบที่ถูกต้อง: ข้อ ค. Empagliflozin 10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405" s="18" t="inlineStr"/>
      <c r="L405" s="18" t="inlineStr">
        <is>
          <t>Hypertension</t>
        </is>
      </c>
      <c r="M405" s="18" t="inlineStr">
        <is>
          <t>Clinic</t>
        </is>
      </c>
      <c r="N405" s="18" t="inlineStr">
        <is>
          <t>ข้อ 5 (PLE_CC1_Key_Rx20_UBU.md)</t>
        </is>
      </c>
      <c r="O405" s="18" t="inlineStr">
        <is>
          <t>Mock</t>
        </is>
      </c>
      <c r="P405" s="18" t="inlineStr">
        <is>
          <t>Mock Rx20 UBU</t>
        </is>
      </c>
    </row>
    <row r="406">
      <c r="A406" s="15" t="inlineStr">
        <is>
          <t>404</t>
        </is>
      </c>
      <c r="B406" s="18" t="inlineStr">
        <is>
          <t>hyperphosphatemia hyperphosphatemia</t>
        </is>
      </c>
      <c r="C406" s="18" t="inlineStr"/>
      <c r="D406" s="18" t="inlineStr">
        <is>
          <t>Diltiazem 30 mg TID</t>
        </is>
      </c>
      <c r="E406" s="18" t="inlineStr">
        <is>
          <t>Warfarin 3 mg OD (target INR 2.0-3.0)</t>
        </is>
      </c>
      <c r="F406" s="18" t="inlineStr">
        <is>
          <t>Furosemide 40 mg OD</t>
        </is>
      </c>
      <c r="G406" s="18" t="inlineStr">
        <is>
          <t>Amlodipine 5 mg OD</t>
        </is>
      </c>
      <c r="H406" s="18" t="inlineStr">
        <is>
          <t>Losartan 50 mg OD</t>
        </is>
      </c>
      <c r="I406" s="15" t="inlineStr">
        <is>
          <t>3</t>
        </is>
      </c>
      <c r="J406" s="22" t="inlineStr">
        <is>
          <t>✅ คำตอบที่ถูกต้อง: ข้อ ค. Furosemide 40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Furosemide 40 mg OD การเลือก Furosemide 40 mg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06" s="18" t="inlineStr"/>
      <c r="L406" s="18" t="inlineStr">
        <is>
          <t>Hypertension</t>
        </is>
      </c>
      <c r="M406" s="18" t="inlineStr">
        <is>
          <t>Clinic</t>
        </is>
      </c>
      <c r="N406" s="18" t="inlineStr">
        <is>
          <t>ข้อ 5 (PLE_CC1_Key_Rx20_UBU.md)</t>
        </is>
      </c>
      <c r="O406" s="18" t="inlineStr">
        <is>
          <t>Mock</t>
        </is>
      </c>
      <c r="P406" s="18" t="inlineStr">
        <is>
          <t>Mock Rx20 UBU</t>
        </is>
      </c>
    </row>
    <row r="407">
      <c r="A407" s="15" t="inlineStr">
        <is>
          <t>405</t>
        </is>
      </c>
      <c r="B407" s="18" t="inlineStr">
        <is>
          <t>เพิ่มขนาดยา Glibencamide</t>
        </is>
      </c>
      <c r="C407" s="18" t="inlineStr"/>
      <c r="D407" s="18" t="inlineStr">
        <is>
          <t>Amlodipine 5 mg OD</t>
        </is>
      </c>
      <c r="E407" s="18" t="inlineStr">
        <is>
          <t>Losartan 50 mg OD</t>
        </is>
      </c>
      <c r="F407" s="18" t="inlineStr">
        <is>
          <t>Enalapril 10 mg BID</t>
        </is>
      </c>
      <c r="G407" s="18" t="inlineStr">
        <is>
          <t>Hydrochlorothiazide 25 mg OD</t>
        </is>
      </c>
      <c r="H407" s="18" t="inlineStr">
        <is>
          <t>Atorvastatin 20 mg OD</t>
        </is>
      </c>
      <c r="I407" s="15" t="inlineStr">
        <is>
          <t>1</t>
        </is>
      </c>
      <c r="J40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07" s="18" t="inlineStr"/>
      <c r="L407" s="18" t="inlineStr">
        <is>
          <t>Hypertension</t>
        </is>
      </c>
      <c r="M407" s="18" t="inlineStr">
        <is>
          <t>Clinic</t>
        </is>
      </c>
      <c r="N407" s="18" t="inlineStr">
        <is>
          <t>ข้อ 1 (PLE_CC1_Key_Rx20_UBU.md)</t>
        </is>
      </c>
      <c r="O407" s="18" t="inlineStr">
        <is>
          <t>Mock</t>
        </is>
      </c>
      <c r="P407" s="18" t="inlineStr">
        <is>
          <t>Mock Rx20 UBU</t>
        </is>
      </c>
    </row>
    <row r="408">
      <c r="A408" s="15" t="inlineStr">
        <is>
          <t>406</t>
        </is>
      </c>
      <c r="B408" s="18" t="inlineStr">
        <is>
          <t>เพิ่มขนาดยา Metformin</t>
        </is>
      </c>
      <c r="C408" s="18" t="inlineStr"/>
      <c r="D408" s="18" t="inlineStr">
        <is>
          <t>Hydrochlorothiazide 25 mg OD</t>
        </is>
      </c>
      <c r="E408" s="18" t="inlineStr">
        <is>
          <t>Atorvastatin 20 mg OD</t>
        </is>
      </c>
      <c r="F408" s="18" t="inlineStr">
        <is>
          <t>Simvastatin 20 mg HS</t>
        </is>
      </c>
      <c r="G408" s="18" t="inlineStr">
        <is>
          <t>Bisoprolol 5 mg OD</t>
        </is>
      </c>
      <c r="H408" s="18" t="inlineStr">
        <is>
          <t>Spironolactone 25 mg OD</t>
        </is>
      </c>
      <c r="I408" s="15" t="inlineStr">
        <is>
          <t>1</t>
        </is>
      </c>
      <c r="J40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8" s="18" t="inlineStr"/>
      <c r="L408" s="18" t="inlineStr">
        <is>
          <t>Hypertension</t>
        </is>
      </c>
      <c r="M408" s="18" t="inlineStr">
        <is>
          <t>Clinic</t>
        </is>
      </c>
      <c r="N408" s="18" t="inlineStr">
        <is>
          <t>ข้อ 2 (PLE_CC1_Key_Rx20_UBU.md)</t>
        </is>
      </c>
      <c r="O408" s="18" t="inlineStr">
        <is>
          <t>Mock</t>
        </is>
      </c>
      <c r="P408" s="18" t="inlineStr">
        <is>
          <t>Mock Rx20 UBU</t>
        </is>
      </c>
    </row>
    <row r="409">
      <c r="A409" s="15" t="inlineStr">
        <is>
          <t>407</t>
        </is>
      </c>
      <c r="B409" s="18" t="inlineStr">
        <is>
          <t>เปลี่ยนยา Glibencamide เป็น Glipizide</t>
        </is>
      </c>
      <c r="C409" s="18" t="inlineStr"/>
      <c r="D409" s="18" t="inlineStr">
        <is>
          <t>Bisoprolol 5 mg OD</t>
        </is>
      </c>
      <c r="E409" s="18" t="inlineStr">
        <is>
          <t>Spironolactone 25 mg OD</t>
        </is>
      </c>
      <c r="F409" s="18" t="inlineStr">
        <is>
          <t>Clopidogrel 75 mg OD</t>
        </is>
      </c>
      <c r="G409" s="18" t="inlineStr">
        <is>
          <t>Aspirin 81 mg OD</t>
        </is>
      </c>
      <c r="H409" s="18" t="inlineStr">
        <is>
          <t>Sacubitril/Valsartan 49/51 mg BID</t>
        </is>
      </c>
      <c r="I409" s="15" t="inlineStr">
        <is>
          <t>1</t>
        </is>
      </c>
      <c r="J40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9" s="18" t="inlineStr"/>
      <c r="L409" s="18" t="inlineStr">
        <is>
          <t>Hypertension</t>
        </is>
      </c>
      <c r="M409" s="18" t="inlineStr">
        <is>
          <t>Clinic</t>
        </is>
      </c>
      <c r="N409" s="18" t="inlineStr">
        <is>
          <t>ข้อ 3 (PLE_CC1_Key_Rx20_UBU.md)</t>
        </is>
      </c>
      <c r="O409" s="18" t="inlineStr">
        <is>
          <t>Mock</t>
        </is>
      </c>
      <c r="P409" s="18" t="inlineStr">
        <is>
          <t>Mock Rx20 UBU</t>
        </is>
      </c>
    </row>
    <row r="410">
      <c r="A410" s="15" t="inlineStr">
        <is>
          <t>408</t>
        </is>
      </c>
      <c r="B410" s="18" t="inlineStr">
        <is>
          <t>Vitamin B12 ซึ่งตามคำแนะนำถ้าผู้ป่วยมี Hb&lt;10 g/dl สามารถพิจารณาให้ ESA ได้</t>
        </is>
      </c>
      <c r="C410" s="18" t="inlineStr"/>
      <c r="D410" s="18" t="inlineStr">
        <is>
          <t>Aspirin 81 mg OD</t>
        </is>
      </c>
      <c r="E410" s="18" t="inlineStr">
        <is>
          <t>Sacubitril/Valsartan 49/51 mg BID</t>
        </is>
      </c>
      <c r="F410" s="18" t="inlineStr">
        <is>
          <t>Empagliflozin 10 mg OD</t>
        </is>
      </c>
      <c r="G410" s="18" t="inlineStr">
        <is>
          <t>Diltiazem 30 mg TID</t>
        </is>
      </c>
      <c r="H410" s="18" t="inlineStr">
        <is>
          <t>Warfarin 3 mg OD (target INR 2.0-3.0)</t>
        </is>
      </c>
      <c r="I410" s="15" t="inlineStr">
        <is>
          <t>5</t>
        </is>
      </c>
      <c r="J410" s="22" t="inlineStr">
        <is>
          <t>✅ คำตอบที่ถูกต้อง: ข้อ จ. Warfarin 3 mg OD (target INR 2.0-3.0)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3 mg OD (target INR 2.0-3.0) การเลือก Warfarin 3 mg OD (target INR 2.0-3.0)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10" s="18" t="inlineStr"/>
      <c r="L410" s="18" t="inlineStr">
        <is>
          <t>Hypertension</t>
        </is>
      </c>
      <c r="M410" s="18" t="inlineStr">
        <is>
          <t>Clinic</t>
        </is>
      </c>
      <c r="N410" s="18" t="inlineStr">
        <is>
          <t>ข้อ 5 (PLE_CC1_Key_Rx20_UBU.md)</t>
        </is>
      </c>
      <c r="O410" s="18" t="inlineStr">
        <is>
          <t>Mock</t>
        </is>
      </c>
      <c r="P410" s="18" t="inlineStr">
        <is>
          <t>Mock Rx20 UBU</t>
        </is>
      </c>
    </row>
    <row r="411">
      <c r="A411" s="15" t="inlineStr">
        <is>
          <t>409</t>
        </is>
      </c>
      <c r="B411" s="18" t="inlineStr">
        <is>
          <t>ไม่ฝ่าฝืน เพราะจัดเป็นยาสามัญประจำวัน (๑) มะเร็ง (๒) เบาหวาน (๓) อัมพฤกษ์ อัมพาต (๔) โรคทางจิตเวช (๕) โรคความดันโลหิต (๖) โรคหรืออาการของโรคทางสมอง หัวใจและหลอดเลือด ปอด ม้าม ตับ ไต (๗) เอดส์</t>
        </is>
      </c>
      <c r="C411" s="18" t="inlineStr"/>
      <c r="D411" s="18" t="inlineStr">
        <is>
          <t>Diltiazem 30 mg TID</t>
        </is>
      </c>
      <c r="E411" s="18" t="inlineStr">
        <is>
          <t>Warfarin 3 mg OD (target INR 2.0-3.0)</t>
        </is>
      </c>
      <c r="F411" s="18" t="inlineStr">
        <is>
          <t>Furosemide 40 mg OD</t>
        </is>
      </c>
      <c r="G411" s="18" t="inlineStr">
        <is>
          <t>Amlodipine 5 mg OD</t>
        </is>
      </c>
      <c r="H411" s="18" t="inlineStr">
        <is>
          <t>Losartan 50 mg OD</t>
        </is>
      </c>
      <c r="I411" s="15" t="inlineStr">
        <is>
          <t>3</t>
        </is>
      </c>
      <c r="J411" s="22" t="inlineStr">
        <is>
          <t>✅ คำตอบที่ถูกต้อง: ข้อ ค. Furosemide 40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Furosemide 40 mg OD การเลือก Furosemide 40 mg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11" s="18" t="inlineStr"/>
      <c r="L411" s="18" t="inlineStr">
        <is>
          <t>Hypertension</t>
        </is>
      </c>
      <c r="M411" s="18" t="inlineStr">
        <is>
          <t>Clinic</t>
        </is>
      </c>
      <c r="N411" s="18" t="inlineStr">
        <is>
          <t>ข้อ 5 (PLE_CC1_Key_Rx20_UBU.md)</t>
        </is>
      </c>
      <c r="O411" s="18" t="inlineStr">
        <is>
          <t>Mock</t>
        </is>
      </c>
      <c r="P411" s="18" t="inlineStr">
        <is>
          <t>Mock Rx20 UBU</t>
        </is>
      </c>
    </row>
    <row r="412">
      <c r="A412" s="15" t="inlineStr">
        <is>
          <t>410</t>
        </is>
      </c>
      <c r="B412" s="18" t="inlineStr">
        <is>
          <t>ยาบรรจุเสร็จ และ Sodamint 1000 เม็ด ไม่ได้มีการประกาศว่าให้เป็นยาอันตรายดังนั้นจึงจัดอยู่ในกลุ่มยาบรรจุเสร็จ 10.(ไม่มีโจทย์) กรณีศึกษาที่ 6 GERD ผู้ป่วยมีอาการคลื่นไส้อาเจียน แสบร้อนกลางอก … ผู้ป่วยเป็นมา 2-3 วันแล้วยังไม่เคยได้รับประทานยารักษาใดๆ</t>
        </is>
      </c>
      <c r="C412" s="18" t="inlineStr"/>
      <c r="D412" s="18" t="inlineStr">
        <is>
          <t>Amlodipine 5 mg OD</t>
        </is>
      </c>
      <c r="E412" s="18" t="inlineStr">
        <is>
          <t>Losartan 50 mg OD</t>
        </is>
      </c>
      <c r="F412" s="18" t="inlineStr">
        <is>
          <t>Enalapril 10 mg BID</t>
        </is>
      </c>
      <c r="G412" s="18" t="inlineStr">
        <is>
          <t>Hydrochlorothiazide 25 mg OD</t>
        </is>
      </c>
      <c r="H412" s="18" t="inlineStr">
        <is>
          <t>Atorvastatin 20 mg OD</t>
        </is>
      </c>
      <c r="I412" s="15" t="inlineStr">
        <is>
          <t>5</t>
        </is>
      </c>
      <c r="J412" s="22" t="inlineStr">
        <is>
          <t>✅ คำตอบที่ถูกต้อง: ข้อ จ. Atorvastatin 20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Atorvastatin 20 mg OD การเลือก Atorvastatin 20 mg OD เป็นคำตอบที่ถูกต้องตามแนวทางการรักษามาตรฐาน เนื่องจาก เป็น High-intensity statin (40-80 mg) ยับยั้ง HMG-CoA reductase มี clinical efficacy สูงสุดในการลด LDL-C ≥ 50% และ plaque stabilization ใน ACS/CAD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High-Intensity Dosing: ขนาดยา 40-80 mg จัดเป็น High-intensity statin ลด LDL-C ได้ ≥ 50% เป็น first-line ใน ASCVD
• Myopathy &amp; CYP3A4: เปลี่ยนสภาพผ่าน CYP3A4 เฝ้าระวังอาการปวดกล้ามเนื้อ (myalgia/rhabdomyolysis) เมื่อใช้ร่วมกับ Macrolides, Azoles หรือ Gemfibrozil</t>
        </is>
      </c>
      <c r="K412" s="18" t="inlineStr"/>
      <c r="L412" s="18" t="inlineStr">
        <is>
          <t>Hypertension</t>
        </is>
      </c>
      <c r="M412" s="18" t="inlineStr">
        <is>
          <t>Clinic</t>
        </is>
      </c>
      <c r="N412" s="18" t="inlineStr">
        <is>
          <t>ข้อ 5 (PLE_CC1_Key_Rx20_UBU.md)</t>
        </is>
      </c>
      <c r="O412" s="18" t="inlineStr">
        <is>
          <t>Mock</t>
        </is>
      </c>
      <c r="P412" s="18" t="inlineStr">
        <is>
          <t>Mock Rx20 UBU</t>
        </is>
      </c>
    </row>
    <row r="413">
      <c r="A413" s="15" t="inlineStr">
        <is>
          <t>411</t>
        </is>
      </c>
      <c r="B413" s="18" t="inlineStr">
        <is>
          <t>Milking Technique</t>
        </is>
      </c>
      <c r="C413" s="18" t="inlineStr"/>
      <c r="D413" s="18" t="inlineStr">
        <is>
          <t>Hydrochlorothiazide 25 mg OD</t>
        </is>
      </c>
      <c r="E413" s="18" t="inlineStr">
        <is>
          <t>Atorvastatin 20 mg OD</t>
        </is>
      </c>
      <c r="F413" s="18" t="inlineStr">
        <is>
          <t>Simvastatin 20 mg HS</t>
        </is>
      </c>
      <c r="G413" s="18" t="inlineStr">
        <is>
          <t>Bisoprolol 5 mg OD</t>
        </is>
      </c>
      <c r="H413" s="18" t="inlineStr">
        <is>
          <t>Spironolactone 25 mg OD</t>
        </is>
      </c>
      <c r="I413" s="15" t="inlineStr">
        <is>
          <t>1</t>
        </is>
      </c>
      <c r="J41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3" s="18" t="inlineStr"/>
      <c r="L413" s="18" t="inlineStr">
        <is>
          <t>Hypertension</t>
        </is>
      </c>
      <c r="M413" s="18" t="inlineStr">
        <is>
          <t>Clinic</t>
        </is>
      </c>
      <c r="N413" s="18" t="inlineStr">
        <is>
          <t>ข้อ 3 (PLE_CC1_Key_Rx20_UBU.md)</t>
        </is>
      </c>
      <c r="O413" s="18" t="inlineStr">
        <is>
          <t>Mock</t>
        </is>
      </c>
      <c r="P413" s="18" t="inlineStr">
        <is>
          <t>Mock Rx20 UBU</t>
        </is>
      </c>
    </row>
    <row r="414">
      <c r="A414" s="15" t="inlineStr">
        <is>
          <t>412</t>
        </is>
      </c>
      <c r="B414" s="18"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414" s="18" t="inlineStr"/>
      <c r="D414" s="18" t="inlineStr">
        <is>
          <t>ในการดูดยาจาก vial ต้องทำให้ความดันภายใน vial น้อยกว่าภายนอกป้องกันการ leak ของยาออกจาก vial</t>
        </is>
      </c>
      <c r="E414" s="18"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414" s="18" t="inlineStr">
        <is>
          <t>Clopidogrel 75 mg OD</t>
        </is>
      </c>
      <c r="G414" s="18" t="inlineStr">
        <is>
          <t>Aspirin 81 mg OD</t>
        </is>
      </c>
      <c r="H414" s="18" t="inlineStr">
        <is>
          <t>Sacubitril/Valsartan 49/51 mg BID</t>
        </is>
      </c>
      <c r="I414" s="15" t="inlineStr">
        <is>
          <t>1</t>
        </is>
      </c>
      <c r="J414" s="22"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ข้อนี้ไม่ใช่คำตอบที่ถูกต้องสำหรับภาวะ Hypertension เนื่องจากกลไกการออกฤทธิ์, efficacy หรือข้อบ่งใช้ไม่ตรงกับโจทย์ที่กำหนด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14" s="18" t="inlineStr"/>
      <c r="L414" s="18" t="inlineStr">
        <is>
          <t>Hypertension</t>
        </is>
      </c>
      <c r="M414" s="18" t="inlineStr">
        <is>
          <t>Clinic</t>
        </is>
      </c>
      <c r="N414" s="18" t="inlineStr">
        <is>
          <t>ข้อ 5 (PLE_CC1_Key_Rx20_UBU.md)</t>
        </is>
      </c>
      <c r="O414" s="18" t="inlineStr">
        <is>
          <t>Mock</t>
        </is>
      </c>
      <c r="P414" s="18" t="inlineStr">
        <is>
          <t>Mock Rx20 UBU</t>
        </is>
      </c>
    </row>
    <row r="415">
      <c r="A415" s="15" t="inlineStr">
        <is>
          <t>413</t>
        </is>
      </c>
      <c r="B415" s="18" t="inlineStr">
        <is>
          <t>Mild intermittent</t>
        </is>
      </c>
      <c r="C415" s="18" t="inlineStr"/>
      <c r="D415" s="18" t="inlineStr">
        <is>
          <t>Aspirin 81 mg OD</t>
        </is>
      </c>
      <c r="E415" s="18" t="inlineStr">
        <is>
          <t>Sacubitril/Valsartan 49/51 mg BID</t>
        </is>
      </c>
      <c r="F415" s="18" t="inlineStr">
        <is>
          <t>Empagliflozin 10 mg OD</t>
        </is>
      </c>
      <c r="G415" s="18" t="inlineStr">
        <is>
          <t>Diltiazem 30 mg TID</t>
        </is>
      </c>
      <c r="H415" s="18" t="inlineStr">
        <is>
          <t>Warfarin 3 mg OD (target INR 2.0-3.0)</t>
        </is>
      </c>
      <c r="I415" s="15" t="inlineStr">
        <is>
          <t>1</t>
        </is>
      </c>
      <c r="J41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15" s="18" t="inlineStr"/>
      <c r="L415" s="18" t="inlineStr">
        <is>
          <t>Hypertension</t>
        </is>
      </c>
      <c r="M415" s="18" t="inlineStr">
        <is>
          <t>Clinic</t>
        </is>
      </c>
      <c r="N415" s="18" t="inlineStr">
        <is>
          <t>ข้อ 4 (PLE_CC1_Key_Rx20_UBU.md)</t>
        </is>
      </c>
      <c r="O415" s="18" t="inlineStr">
        <is>
          <t>Mock</t>
        </is>
      </c>
      <c r="P415" s="18" t="inlineStr">
        <is>
          <t>Mock Rx20 UBU</t>
        </is>
      </c>
    </row>
    <row r="416">
      <c r="A416" s="15" t="inlineStr">
        <is>
          <t>414</t>
        </is>
      </c>
      <c r="B416" s="18" t="inlineStr">
        <is>
          <t>Mild persistent SAB A จากคำบอกเล่าของผู้ป่วย “มีอาการหอบหืดกำเริบเดือนละ 5 ครั้ง และมีอาการหอบตอนกลางคืนบ่อยๆ มีการใช้ยาบรรเทาอาการอยู่เป็นประจำ” (การกำเริบของหอบเดือนละ 5 ครั้ง ยังไม่สามารถบอกได้ว่ามีอาการตอนกลางวันมากกว่าสัปดาห์ละ 2 หรือไม่)</t>
        </is>
      </c>
      <c r="C416" s="18" t="inlineStr"/>
      <c r="D416" s="18" t="inlineStr">
        <is>
          <t>Diltiazem 30 mg TID</t>
        </is>
      </c>
      <c r="E416" s="18" t="inlineStr">
        <is>
          <t>Warfarin 3 mg OD (target INR 2.0-3.0)</t>
        </is>
      </c>
      <c r="F416" s="18" t="inlineStr">
        <is>
          <t>Furosemide 40 mg OD</t>
        </is>
      </c>
      <c r="G416" s="18" t="inlineStr">
        <is>
          <t>Amlodipine 5 mg OD</t>
        </is>
      </c>
      <c r="H416" s="18" t="inlineStr">
        <is>
          <t>Losartan 50 mg OD</t>
        </is>
      </c>
      <c r="I416" s="15" t="inlineStr">
        <is>
          <t>1</t>
        </is>
      </c>
      <c r="J41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16" s="18" t="inlineStr"/>
      <c r="L416" s="18" t="inlineStr">
        <is>
          <t>Hypertension</t>
        </is>
      </c>
      <c r="M416" s="18" t="inlineStr">
        <is>
          <t>Clinic</t>
        </is>
      </c>
      <c r="N416" s="18" t="inlineStr">
        <is>
          <t>ข้อ 5 (PLE_CC1_Key_Rx20_UBU.md)</t>
        </is>
      </c>
      <c r="O416" s="18" t="inlineStr">
        <is>
          <t>Mock</t>
        </is>
      </c>
      <c r="P416" s="18" t="inlineStr">
        <is>
          <t>Mock Rx20 UBU</t>
        </is>
      </c>
    </row>
    <row r="417">
      <c r="A417" s="15" t="inlineStr">
        <is>
          <t>415</t>
        </is>
      </c>
      <c r="B417" s="18" t="inlineStr">
        <is>
          <t>Micronized dry powders</t>
        </is>
      </c>
      <c r="C417" s="18" t="inlineStr"/>
      <c r="D417" s="18" t="inlineStr">
        <is>
          <t>Amlodipine 5 mg OD</t>
        </is>
      </c>
      <c r="E417" s="18" t="inlineStr">
        <is>
          <t>Losartan 50 mg OD</t>
        </is>
      </c>
      <c r="F417" s="18" t="inlineStr">
        <is>
          <t>Enalapril 10 mg BID</t>
        </is>
      </c>
      <c r="G417" s="18" t="inlineStr">
        <is>
          <t>Hydrochlorothiazide 25 mg OD</t>
        </is>
      </c>
      <c r="H417" s="18" t="inlineStr">
        <is>
          <t>Atorvastatin 20 mg OD</t>
        </is>
      </c>
      <c r="I417" s="15" t="inlineStr">
        <is>
          <t>1</t>
        </is>
      </c>
      <c r="J41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17" s="18" t="inlineStr"/>
      <c r="L417" s="18" t="inlineStr">
        <is>
          <t>Hypertension</t>
        </is>
      </c>
      <c r="M417" s="18" t="inlineStr">
        <is>
          <t>Clinic</t>
        </is>
      </c>
      <c r="N417" s="18" t="inlineStr">
        <is>
          <t>ข้อ 2 (PLE_CC1_Key_Rx20_UBU.md)</t>
        </is>
      </c>
      <c r="O417" s="18" t="inlineStr">
        <is>
          <t>Mock</t>
        </is>
      </c>
      <c r="P417" s="18" t="inlineStr">
        <is>
          <t>Mock Rx20 UBU</t>
        </is>
      </c>
    </row>
    <row r="418">
      <c r="A418" s="15" t="inlineStr">
        <is>
          <t>416</t>
        </is>
      </c>
      <c r="B418" s="18" t="inlineStr">
        <is>
          <t>นักศึกษามาถามซื้อยา Phentermine เพื่อใช้สำหรับลดความอ้วนกับเภสัชกรร้านยา เภสัชกรสามารถจ่ายยานี้ได้หรือไม่อย่างไร</t>
        </is>
      </c>
      <c r="C418" s="18" t="inlineStr"/>
      <c r="D418" s="18" t="inlineStr">
        <is>
          <t>Hydrochlorothiazide 25 mg OD</t>
        </is>
      </c>
      <c r="E418" s="18" t="inlineStr">
        <is>
          <t>Atorvastatin 20 mg OD</t>
        </is>
      </c>
      <c r="F418" s="18" t="inlineStr">
        <is>
          <t>Simvastatin 20 mg HS</t>
        </is>
      </c>
      <c r="G418" s="18" t="inlineStr">
        <is>
          <t>Bisoprolol 5 mg OD</t>
        </is>
      </c>
      <c r="H418" s="18" t="inlineStr">
        <is>
          <t>Spironolactone 25 mg OD</t>
        </is>
      </c>
      <c r="I418" s="15" t="inlineStr">
        <is>
          <t>1</t>
        </is>
      </c>
      <c r="J41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8" s="18" t="inlineStr"/>
      <c r="L418" s="18" t="inlineStr">
        <is>
          <t>Hypertension</t>
        </is>
      </c>
      <c r="M418" s="18" t="inlineStr">
        <is>
          <t>Clinic</t>
        </is>
      </c>
      <c r="N418" s="18" t="inlineStr">
        <is>
          <t>ข้อ 14 (PLE_CC1_Key_Rx20_UBU.md)</t>
        </is>
      </c>
      <c r="O418" s="18" t="inlineStr">
        <is>
          <t>Mock</t>
        </is>
      </c>
      <c r="P418" s="18" t="inlineStr">
        <is>
          <t>Mock Rx20 UBU</t>
        </is>
      </c>
    </row>
    <row r="419">
      <c r="A419" s="15" t="inlineStr">
        <is>
          <t>417</t>
        </is>
      </c>
      <c r="B419" s="18" t="inlineStr">
        <is>
          <t>ไม่สามารถจ่ายได้ เพราะเป็นยาควบคุมพิเศษ บัญชีท้ายประกาศกระทรวงสาธารณสุข เรื่อง ระบุชื่อวัตถุออกฤทธิ์ในประเภท ๒ พ.ศ. ๒๕๖๑ ระบุลำดับที่ 30 คือยา เฟนเตอมีน (phentermine) กรณีศึกษาที่ 3 Dyslipidemia ผู้ป่วย อายุ 50 ปี น้ำหนัก 68 kg เป็นเบาหวาน type2 มา 7 ปี เป็นโรคความดันโลหิตสูง ใช้ยา HCTZ …… (ยาความดันอีกตัว และยาเบาหวานอีกสองตัว จำไม่ได้ และให้ค่าแลปมาอีกเยอะ) มีระดับ TC 260 , TG 325 , HDL 36 mg/dL 15.ผู้ป่วยมีภาวะขาบวม 2+ จะแก้ไขอย่างไร</t>
        </is>
      </c>
      <c r="C419" s="18" t="inlineStr"/>
      <c r="D419" s="18" t="inlineStr">
        <is>
          <t>Bisoprolol 5 mg OD</t>
        </is>
      </c>
      <c r="E419" s="18" t="inlineStr">
        <is>
          <t>Spironolactone 25 mg OD</t>
        </is>
      </c>
      <c r="F419" s="18" t="inlineStr">
        <is>
          <t>Clopidogrel 75 mg OD</t>
        </is>
      </c>
      <c r="G419" s="18" t="inlineStr">
        <is>
          <t>Aspirin 81 mg OD</t>
        </is>
      </c>
      <c r="H419" s="18" t="inlineStr">
        <is>
          <t>Sacubitril/Valsartan 49/51 mg BID</t>
        </is>
      </c>
      <c r="I419" s="15" t="inlineStr">
        <is>
          <t>1</t>
        </is>
      </c>
      <c r="J41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19" s="18" t="inlineStr"/>
      <c r="L419" s="18" t="inlineStr">
        <is>
          <t>Hypertension</t>
        </is>
      </c>
      <c r="M419" s="18" t="inlineStr">
        <is>
          <t>Clinic</t>
        </is>
      </c>
      <c r="N419" s="18" t="inlineStr">
        <is>
          <t>ข้อ 5 (PLE_CC1_Key_Rx20_UBU.md)</t>
        </is>
      </c>
      <c r="O419" s="18" t="inlineStr">
        <is>
          <t>Mock</t>
        </is>
      </c>
      <c r="P419" s="18" t="inlineStr">
        <is>
          <t>Mock Rx20 UBU</t>
        </is>
      </c>
    </row>
    <row r="420">
      <c r="A420" s="15" t="inlineStr">
        <is>
          <t>418</t>
        </is>
      </c>
      <c r="B420" s="18" t="inlineStr">
        <is>
          <t>เปลี่ยนยา HCTZ เป็นยา Furosemide</t>
        </is>
      </c>
      <c r="C420" s="18" t="inlineStr"/>
      <c r="D420" s="18" t="inlineStr">
        <is>
          <t>Aspirin 81 mg OD</t>
        </is>
      </c>
      <c r="E420" s="18" t="inlineStr">
        <is>
          <t>Sacubitril/Valsartan 49/51 mg BID</t>
        </is>
      </c>
      <c r="F420" s="18" t="inlineStr">
        <is>
          <t>Empagliflozin 10 mg OD</t>
        </is>
      </c>
      <c r="G420" s="18" t="inlineStr">
        <is>
          <t>Diltiazem 30 mg TID</t>
        </is>
      </c>
      <c r="H420" s="18" t="inlineStr">
        <is>
          <t>Warfarin 3 mg OD (target INR 2.0-3.0)</t>
        </is>
      </c>
      <c r="I420" s="15" t="inlineStr">
        <is>
          <t>1</t>
        </is>
      </c>
      <c r="J42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20" s="18" t="inlineStr"/>
      <c r="L420" s="18" t="inlineStr">
        <is>
          <t>Hypertension</t>
        </is>
      </c>
      <c r="M420" s="18" t="inlineStr">
        <is>
          <t>Clinic</t>
        </is>
      </c>
      <c r="N420" s="18" t="inlineStr">
        <is>
          <t>ข้อ 3 (PLE_CC1_Key_Rx20_UBU.md)</t>
        </is>
      </c>
      <c r="O420" s="18" t="inlineStr">
        <is>
          <t>Mock</t>
        </is>
      </c>
      <c r="P420" s="18" t="inlineStr">
        <is>
          <t>Mock Rx20 UBU</t>
        </is>
      </c>
    </row>
    <row r="421">
      <c r="A421" s="15" t="inlineStr">
        <is>
          <t>419</t>
        </is>
      </c>
      <c r="B421" s="18" t="inlineStr">
        <is>
          <t>เปลี่ยนยาลดความดันโลหิตเป็นกลุ่ม CCB</t>
        </is>
      </c>
      <c r="C421" s="18" t="inlineStr"/>
      <c r="D421" s="18" t="inlineStr">
        <is>
          <t>Diltiazem 30 mg TID</t>
        </is>
      </c>
      <c r="E421" s="18" t="inlineStr">
        <is>
          <t>Warfarin 3 mg OD (target INR 2.0-3.0)</t>
        </is>
      </c>
      <c r="F421" s="18" t="inlineStr">
        <is>
          <t>Furosemide 40 mg OD</t>
        </is>
      </c>
      <c r="G421" s="18" t="inlineStr">
        <is>
          <t>Amlodipine 5 mg OD</t>
        </is>
      </c>
      <c r="H421" s="18" t="inlineStr">
        <is>
          <t>Losartan 50 mg OD</t>
        </is>
      </c>
      <c r="I421" s="15" t="inlineStr">
        <is>
          <t>1</t>
        </is>
      </c>
      <c r="J42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21" s="18" t="inlineStr"/>
      <c r="L421" s="18" t="inlineStr">
        <is>
          <t>Hypertension</t>
        </is>
      </c>
      <c r="M421" s="18" t="inlineStr">
        <is>
          <t>Clinic</t>
        </is>
      </c>
      <c r="N421" s="18" t="inlineStr">
        <is>
          <t>ข้อ 4 (PLE_CC1_Key_Rx20_UBU.md)</t>
        </is>
      </c>
      <c r="O421" s="18" t="inlineStr">
        <is>
          <t>Mock</t>
        </is>
      </c>
      <c r="P421" s="18" t="inlineStr">
        <is>
          <t>Mock Rx20 UBU</t>
        </is>
      </c>
    </row>
    <row r="422">
      <c r="A422" s="15" t="inlineStr">
        <is>
          <t>420</t>
        </is>
      </c>
      <c r="B422" s="18" t="inlineStr">
        <is>
          <t>Hypertriglycemia</t>
        </is>
      </c>
      <c r="C422" s="18" t="inlineStr"/>
      <c r="D422" s="18" t="inlineStr">
        <is>
          <t>Amlodipine 5 mg OD</t>
        </is>
      </c>
      <c r="E422" s="18" t="inlineStr">
        <is>
          <t>Losartan 50 mg OD</t>
        </is>
      </c>
      <c r="F422" s="18" t="inlineStr">
        <is>
          <t>Enalapril 10 mg BID</t>
        </is>
      </c>
      <c r="G422" s="18" t="inlineStr">
        <is>
          <t>Hydrochlorothiazide 25 mg OD</t>
        </is>
      </c>
      <c r="H422" s="18" t="inlineStr">
        <is>
          <t>Atorvastatin 20 mg OD</t>
        </is>
      </c>
      <c r="I422" s="15" t="inlineStr">
        <is>
          <t>1</t>
        </is>
      </c>
      <c r="J42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22" s="18" t="inlineStr"/>
      <c r="L422" s="18" t="inlineStr">
        <is>
          <t>Hypertension</t>
        </is>
      </c>
      <c r="M422" s="18" t="inlineStr">
        <is>
          <t>Clinic</t>
        </is>
      </c>
      <c r="N422" s="18" t="inlineStr">
        <is>
          <t>ข้อ 4 (PLE_CC1_Key_Rx20_UBU.md)</t>
        </is>
      </c>
      <c r="O422" s="18" t="inlineStr">
        <is>
          <t>Mock</t>
        </is>
      </c>
      <c r="P422" s="18" t="inlineStr">
        <is>
          <t>Mock Rx20 UBU</t>
        </is>
      </c>
    </row>
    <row r="423">
      <c r="A423" s="15" t="inlineStr">
        <is>
          <t>421</t>
        </is>
      </c>
      <c r="B423" s="18" t="inlineStr">
        <is>
          <t>Cholesterol absorption inhibitors จากค่าไขมันในเลือดผู้ป่วยจึงต้องการลดทั้ง LDL และ TG 18.เป้าหมายระดับ LDL ของผู้ป่วยรายนี้ ควรเป็นเท่าไหร่</t>
        </is>
      </c>
      <c r="C423" s="18" t="inlineStr"/>
      <c r="D423" s="18" t="inlineStr">
        <is>
          <t>Hydrochlorothiazide 25 mg OD</t>
        </is>
      </c>
      <c r="E423" s="18" t="inlineStr">
        <is>
          <t>Atorvastatin 20 mg OD</t>
        </is>
      </c>
      <c r="F423" s="18" t="inlineStr">
        <is>
          <t>Simvastatin 20 mg HS</t>
        </is>
      </c>
      <c r="G423" s="18" t="inlineStr">
        <is>
          <t>Bisoprolol 5 mg OD</t>
        </is>
      </c>
      <c r="H423" s="18" t="inlineStr">
        <is>
          <t>Spironolactone 25 mg OD</t>
        </is>
      </c>
      <c r="I423" s="15" t="inlineStr">
        <is>
          <t>1</t>
        </is>
      </c>
      <c r="J42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3" s="18" t="inlineStr"/>
      <c r="L423" s="18" t="inlineStr">
        <is>
          <t>Hypertension</t>
        </is>
      </c>
      <c r="M423" s="18" t="inlineStr">
        <is>
          <t>Clinic</t>
        </is>
      </c>
      <c r="N423" s="18" t="inlineStr">
        <is>
          <t>ข้อ 5 (PLE_CC1_Key_Rx20_UBU.md)</t>
        </is>
      </c>
      <c r="O423" s="18" t="inlineStr">
        <is>
          <t>Mock</t>
        </is>
      </c>
      <c r="P423" s="18" t="inlineStr">
        <is>
          <t>Mock Rx20 UBU</t>
        </is>
      </c>
    </row>
    <row r="424">
      <c r="A424" s="15" t="inlineStr">
        <is>
          <t>422</t>
        </is>
      </c>
      <c r="B424" s="18" t="inlineStr">
        <is>
          <t>&lt;100 mg/ml Ref : แนวทางเวชปฏิบัติการใช้ยาลดไขมันในเลือดเพื่อป้องกันโรคหัวใจและหลอดเลือด THAI 2559 19.จากการสอบถามเพิ่มเติม พบว่าผู้ป่วยได้ไปรับการรักษาจากคลินิกแห่งหนึ่ง โดยผู้ป่วยได้รับยา Simvastatin 10 mg 1x1 PO hs มาแล้ว 2 สัปดาห์ ดังนั้นจะปรับเปลี่ยนการรักษาของผู้ป่วยอย่างไร</t>
        </is>
      </c>
      <c r="C424" s="18" t="inlineStr"/>
      <c r="D424" s="18" t="inlineStr">
        <is>
          <t>Bisoprolol 5 mg OD</t>
        </is>
      </c>
      <c r="E424" s="18" t="inlineStr">
        <is>
          <t>Spironolactone 25 mg OD</t>
        </is>
      </c>
      <c r="F424" s="18" t="inlineStr">
        <is>
          <t>Clopidogrel 75 mg OD</t>
        </is>
      </c>
      <c r="G424" s="18" t="inlineStr">
        <is>
          <t>Aspirin 81 mg OD</t>
        </is>
      </c>
      <c r="H424" s="18" t="inlineStr">
        <is>
          <t>Sacubitril/Valsartan 49/51 mg BID</t>
        </is>
      </c>
      <c r="I424" s="15" t="inlineStr">
        <is>
          <t>1</t>
        </is>
      </c>
      <c r="J42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24" s="18" t="inlineStr"/>
      <c r="L424" s="18" t="inlineStr">
        <is>
          <t>Hypertension</t>
        </is>
      </c>
      <c r="M424" s="18" t="inlineStr">
        <is>
          <t>Clinic</t>
        </is>
      </c>
      <c r="N424" s="18" t="inlineStr">
        <is>
          <t>ข้อ 5 (PLE_CC1_Key_Rx20_UBU.md)</t>
        </is>
      </c>
      <c r="O424" s="18" t="inlineStr">
        <is>
          <t>Mock</t>
        </is>
      </c>
      <c r="P424" s="18" t="inlineStr">
        <is>
          <t>Mock Rx20 UBU</t>
        </is>
      </c>
    </row>
    <row r="425">
      <c r="A425" s="15" t="inlineStr">
        <is>
          <t>423</t>
        </is>
      </c>
      <c r="B425" s="18" t="inlineStr">
        <is>
          <t>ลดขนาดยา Simvastatin ลงเหลือ 5 mg เนื่องจากผู้ป่วยมีไตบกพร่อง</t>
        </is>
      </c>
      <c r="C425" s="18" t="inlineStr"/>
      <c r="D425" s="18" t="inlineStr">
        <is>
          <t>Aspirin 81 mg OD</t>
        </is>
      </c>
      <c r="E425" s="18" t="inlineStr">
        <is>
          <t>Sacubitril/Valsartan 49/51 mg BID</t>
        </is>
      </c>
      <c r="F425" s="18" t="inlineStr">
        <is>
          <t>Empagliflozin 10 mg OD</t>
        </is>
      </c>
      <c r="G425" s="18" t="inlineStr">
        <is>
          <t>Diltiazem 30 mg TID</t>
        </is>
      </c>
      <c r="H425" s="18" t="inlineStr">
        <is>
          <t>Warfarin 3 mg OD (target INR 2.0-3.0)</t>
        </is>
      </c>
      <c r="I425" s="15" t="inlineStr">
        <is>
          <t>1</t>
        </is>
      </c>
      <c r="J42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25" s="18" t="inlineStr"/>
      <c r="L425" s="18" t="inlineStr">
        <is>
          <t>Hypertension</t>
        </is>
      </c>
      <c r="M425" s="18" t="inlineStr">
        <is>
          <t>Clinic</t>
        </is>
      </c>
      <c r="N425" s="18" t="inlineStr">
        <is>
          <t>ข้อ 1 (PLE_CC1_Key_Rx20_UBU.md)</t>
        </is>
      </c>
      <c r="O425" s="18" t="inlineStr">
        <is>
          <t>Mock</t>
        </is>
      </c>
      <c r="P425" s="18" t="inlineStr">
        <is>
          <t>Mock Rx20 UBU</t>
        </is>
      </c>
    </row>
    <row r="426">
      <c r="A426" s="15" t="inlineStr">
        <is>
          <t>424</t>
        </is>
      </c>
      <c r="B426" s="18" t="inlineStr">
        <is>
          <t>เพิ่มขนาดยา Simvastatin เป็น 20 mg เพราะผู้ป่วยยังไม่สามารถควบคุมไขมันได้</t>
        </is>
      </c>
      <c r="C426" s="18" t="inlineStr"/>
      <c r="D426" s="18" t="inlineStr">
        <is>
          <t>Diltiazem 30 mg TID</t>
        </is>
      </c>
      <c r="E426" s="18" t="inlineStr">
        <is>
          <t>Warfarin 3 mg OD (target INR 2.0-3.0)</t>
        </is>
      </c>
      <c r="F426" s="18" t="inlineStr">
        <is>
          <t>Furosemide 40 mg OD</t>
        </is>
      </c>
      <c r="G426" s="18" t="inlineStr">
        <is>
          <t>Amlodipine 5 mg OD</t>
        </is>
      </c>
      <c r="H426" s="18" t="inlineStr">
        <is>
          <t>Losartan 50 mg OD</t>
        </is>
      </c>
      <c r="I426" s="15" t="inlineStr">
        <is>
          <t>1</t>
        </is>
      </c>
      <c r="J42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26" s="18" t="inlineStr"/>
      <c r="L426" s="18" t="inlineStr">
        <is>
          <t>Hypertension</t>
        </is>
      </c>
      <c r="M426" s="18" t="inlineStr">
        <is>
          <t>Clinic</t>
        </is>
      </c>
      <c r="N426" s="18" t="inlineStr">
        <is>
          <t>ข้อ 2 (PLE_CC1_Key_Rx20_UBU.md)</t>
        </is>
      </c>
      <c r="O426" s="18" t="inlineStr">
        <is>
          <t>Mock</t>
        </is>
      </c>
      <c r="P426" s="18" t="inlineStr">
        <is>
          <t>Mock Rx20 UBU</t>
        </is>
      </c>
    </row>
    <row r="427">
      <c r="A427" s="15" t="inlineStr">
        <is>
          <t>425</t>
        </is>
      </c>
      <c r="B427" s="18" t="inlineStr">
        <is>
          <t>ให้รับประทานยา Simvastatin 10 mg PO hs อย่างเดิมต่อไป แล้วให้ไปพบแพทย์ตามนัดครั้งต่อไป</t>
        </is>
      </c>
      <c r="C427" s="18" t="inlineStr"/>
      <c r="D427" s="18" t="inlineStr">
        <is>
          <t>Amlodipine 5 mg OD</t>
        </is>
      </c>
      <c r="E427" s="18" t="inlineStr">
        <is>
          <t>Losartan 50 mg OD</t>
        </is>
      </c>
      <c r="F427" s="18" t="inlineStr">
        <is>
          <t>Enalapril 10 mg BID</t>
        </is>
      </c>
      <c r="G427" s="18" t="inlineStr">
        <is>
          <t>Hydrochlorothiazide 25 mg OD</t>
        </is>
      </c>
      <c r="H427" s="18" t="inlineStr">
        <is>
          <t>Atorvastatin 20 mg OD</t>
        </is>
      </c>
      <c r="I427" s="15" t="inlineStr">
        <is>
          <t>1</t>
        </is>
      </c>
      <c r="J42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27" s="18" t="inlineStr"/>
      <c r="L427" s="18" t="inlineStr">
        <is>
          <t>Hypertension</t>
        </is>
      </c>
      <c r="M427" s="18" t="inlineStr">
        <is>
          <t>Clinic</t>
        </is>
      </c>
      <c r="N427" s="18" t="inlineStr">
        <is>
          <t>ข้อ 3 (PLE_CC1_Key_Rx20_UBU.md)</t>
        </is>
      </c>
      <c r="O427" s="18" t="inlineStr">
        <is>
          <t>Mock</t>
        </is>
      </c>
      <c r="P427" s="18" t="inlineStr">
        <is>
          <t>Mock Rx20 UBU</t>
        </is>
      </c>
    </row>
    <row r="428">
      <c r="A428" s="15" t="inlineStr">
        <is>
          <t>426</t>
        </is>
      </c>
      <c r="B428" s="18" t="inlineStr">
        <is>
          <t>เปลี่ยนยา Simvastatin เป็นยา Gemfibrozil เนื่องจากผู้ป่วยมีระดับไขมัน ผิดปกติหลายค่า</t>
        </is>
      </c>
      <c r="C428" s="18" t="inlineStr"/>
      <c r="D428" s="18" t="inlineStr">
        <is>
          <t>Hydrochlorothiazide 25 mg OD</t>
        </is>
      </c>
      <c r="E428" s="18" t="inlineStr">
        <is>
          <t>Atorvastatin 20 mg OD</t>
        </is>
      </c>
      <c r="F428" s="18" t="inlineStr">
        <is>
          <t>Simvastatin 20 mg HS</t>
        </is>
      </c>
      <c r="G428" s="18" t="inlineStr">
        <is>
          <t>Bisoprolol 5 mg OD</t>
        </is>
      </c>
      <c r="H428" s="18" t="inlineStr">
        <is>
          <t>Spironolactone 25 mg OD</t>
        </is>
      </c>
      <c r="I428" s="15" t="inlineStr">
        <is>
          <t>1</t>
        </is>
      </c>
      <c r="J42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8" s="18" t="inlineStr"/>
      <c r="L428" s="18" t="inlineStr">
        <is>
          <t>Hypertension</t>
        </is>
      </c>
      <c r="M428" s="18" t="inlineStr">
        <is>
          <t>Clinic</t>
        </is>
      </c>
      <c r="N428" s="18" t="inlineStr">
        <is>
          <t>ข้อ 4 (PLE_CC1_Key_Rx20_UBU.md)</t>
        </is>
      </c>
      <c r="O428" s="18" t="inlineStr">
        <is>
          <t>Mock</t>
        </is>
      </c>
      <c r="P428" s="18" t="inlineStr">
        <is>
          <t>Mock Rx20 UBU</t>
        </is>
      </c>
    </row>
    <row r="429">
      <c r="A429" s="15" t="inlineStr">
        <is>
          <t>427</t>
        </is>
      </c>
      <c r="B429" s="18" t="inlineStr">
        <is>
          <t>ถ้าใช้ในขนาดสูงและเป็นเวลานานจะทำให้ระดับยา warfarin สูงขึ้น</t>
        </is>
      </c>
      <c r="C429" s="18" t="inlineStr"/>
      <c r="D429" s="18" t="inlineStr">
        <is>
          <t>Bisoprolol 5 mg OD</t>
        </is>
      </c>
      <c r="E429" s="18" t="inlineStr">
        <is>
          <t>Spironolactone 25 mg OD</t>
        </is>
      </c>
      <c r="F429" s="18" t="inlineStr">
        <is>
          <t>Clopidogrel 75 mg OD</t>
        </is>
      </c>
      <c r="G429" s="18" t="inlineStr">
        <is>
          <t>Aspirin 81 mg OD</t>
        </is>
      </c>
      <c r="H429" s="18" t="inlineStr">
        <is>
          <t>Sacubitril/Valsartan 49/51 mg BID</t>
        </is>
      </c>
      <c r="I429" s="15" t="inlineStr">
        <is>
          <t>1</t>
        </is>
      </c>
      <c r="J42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29" s="18" t="inlineStr"/>
      <c r="L429" s="18" t="inlineStr">
        <is>
          <t>Hypertension</t>
        </is>
      </c>
      <c r="M429" s="18" t="inlineStr">
        <is>
          <t>Clinic</t>
        </is>
      </c>
      <c r="N429" s="18" t="inlineStr">
        <is>
          <t>ข้อ 4 (PLE_CC1_Key_Rx20_UBU.md)</t>
        </is>
      </c>
      <c r="O429" s="18" t="inlineStr">
        <is>
          <t>Mock</t>
        </is>
      </c>
      <c r="P429" s="18" t="inlineStr">
        <is>
          <t>Mock Rx20 UBU</t>
        </is>
      </c>
    </row>
    <row r="430">
      <c r="A430" s="15" t="inlineStr">
        <is>
          <t>428</t>
        </is>
      </c>
      <c r="B430" s="18" t="inlineStr">
        <is>
          <t>Double cone mixer</t>
        </is>
      </c>
      <c r="C430" s="18" t="inlineStr"/>
      <c r="D430" s="18" t="inlineStr">
        <is>
          <t>Aspirin 81 mg OD</t>
        </is>
      </c>
      <c r="E430" s="18" t="inlineStr">
        <is>
          <t>Sacubitril/Valsartan 49/51 mg BID</t>
        </is>
      </c>
      <c r="F430" s="18" t="inlineStr">
        <is>
          <t>Empagliflozin 10 mg OD</t>
        </is>
      </c>
      <c r="G430" s="18" t="inlineStr">
        <is>
          <t>Diltiazem 30 mg TID</t>
        </is>
      </c>
      <c r="H430" s="18" t="inlineStr">
        <is>
          <t>Warfarin 3 mg OD (target INR 2.0-3.0)</t>
        </is>
      </c>
      <c r="I430" s="15" t="inlineStr">
        <is>
          <t>1</t>
        </is>
      </c>
      <c r="J43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30" s="18" t="inlineStr"/>
      <c r="L430" s="18" t="inlineStr">
        <is>
          <t>Hypertension</t>
        </is>
      </c>
      <c r="M430" s="18" t="inlineStr">
        <is>
          <t>Clinic</t>
        </is>
      </c>
      <c r="N430" s="18" t="inlineStr">
        <is>
          <t>ข้อ 1 (PLE_CC1_Key_Rx20_UBU.md)</t>
        </is>
      </c>
      <c r="O430" s="18" t="inlineStr">
        <is>
          <t>Mock</t>
        </is>
      </c>
      <c r="P430" s="18" t="inlineStr">
        <is>
          <t>Mock Rx20 UBU</t>
        </is>
      </c>
    </row>
    <row r="431">
      <c r="A431" s="15" t="inlineStr">
        <is>
          <t>429</t>
        </is>
      </c>
      <c r="B431" s="18" t="inlineStr">
        <is>
          <t>Sigma blade mixer</t>
        </is>
      </c>
      <c r="C431" s="18" t="inlineStr"/>
      <c r="D431" s="18" t="inlineStr">
        <is>
          <t>Diltiazem 30 mg TID</t>
        </is>
      </c>
      <c r="E431" s="18" t="inlineStr">
        <is>
          <t>Warfarin 3 mg OD (target INR 2.0-3.0)</t>
        </is>
      </c>
      <c r="F431" s="18" t="inlineStr">
        <is>
          <t>Furosemide 40 mg OD</t>
        </is>
      </c>
      <c r="G431" s="18" t="inlineStr">
        <is>
          <t>Amlodipine 5 mg OD</t>
        </is>
      </c>
      <c r="H431" s="18" t="inlineStr">
        <is>
          <t>Losartan 50 mg OD</t>
        </is>
      </c>
      <c r="I431" s="15" t="inlineStr">
        <is>
          <t>1</t>
        </is>
      </c>
      <c r="J43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31" s="18" t="inlineStr"/>
      <c r="L431" s="18" t="inlineStr">
        <is>
          <t>Hypertension</t>
        </is>
      </c>
      <c r="M431" s="18" t="inlineStr">
        <is>
          <t>Clinic</t>
        </is>
      </c>
      <c r="N431" s="18" t="inlineStr">
        <is>
          <t>ข้อ 3 (PLE_CC1_Key_Rx20_UBU.md)</t>
        </is>
      </c>
      <c r="O431" s="18" t="inlineStr">
        <is>
          <t>Mock</t>
        </is>
      </c>
      <c r="P431" s="18" t="inlineStr">
        <is>
          <t>Mock Rx20 UBU</t>
        </is>
      </c>
    </row>
    <row r="432">
      <c r="A432" s="15" t="inlineStr">
        <is>
          <t>430</t>
        </is>
      </c>
      <c r="B432" s="18" t="inlineStr">
        <is>
          <t>Cube mixer = nn Fใบmดsigrm หnนไปเoอยๆ</t>
        </is>
      </c>
      <c r="C432" s="18" t="inlineStr"/>
      <c r="D432" s="18" t="inlineStr">
        <is>
          <t>Amlodipine 5 mg OD</t>
        </is>
      </c>
      <c r="E432" s="18" t="inlineStr">
        <is>
          <t>Losartan 50 mg OD</t>
        </is>
      </c>
      <c r="F432" s="18" t="inlineStr">
        <is>
          <t>Enalapril 10 mg BID</t>
        </is>
      </c>
      <c r="G432" s="18" t="inlineStr">
        <is>
          <t>Hydrochlorothiazide 25 mg OD</t>
        </is>
      </c>
      <c r="H432" s="18" t="inlineStr">
        <is>
          <t>Atorvastatin 20 mg OD</t>
        </is>
      </c>
      <c r="I432" s="15" t="inlineStr">
        <is>
          <t>1</t>
        </is>
      </c>
      <c r="J43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32" s="18" t="inlineStr"/>
      <c r="L432" s="18" t="inlineStr">
        <is>
          <t>Hypertension</t>
        </is>
      </c>
      <c r="M432" s="18" t="inlineStr">
        <is>
          <t>Clinic</t>
        </is>
      </c>
      <c r="N432" s="18" t="inlineStr">
        <is>
          <t>ข้อ 5 (PLE_CC1_Key_Rx20_UBU.md)</t>
        </is>
      </c>
      <c r="O432" s="18" t="inlineStr">
        <is>
          <t>Mock</t>
        </is>
      </c>
      <c r="P432" s="18" t="inlineStr">
        <is>
          <t>Mock Rx20 UBU</t>
        </is>
      </c>
    </row>
    <row r="433">
      <c r="A433" s="15" t="inlineStr">
        <is>
          <t>431</t>
        </is>
      </c>
      <c r="B433" s="18" t="inlineStr">
        <is>
          <t>Amikacin</t>
        </is>
      </c>
      <c r="C433" s="18" t="inlineStr"/>
      <c r="D433" s="18" t="inlineStr">
        <is>
          <t>Hydrochlorothiazide 25 mg OD</t>
        </is>
      </c>
      <c r="E433" s="18" t="inlineStr">
        <is>
          <t>Atorvastatin 20 mg OD</t>
        </is>
      </c>
      <c r="F433" s="18" t="inlineStr">
        <is>
          <t>Simvastatin 20 mg HS</t>
        </is>
      </c>
      <c r="G433" s="18" t="inlineStr">
        <is>
          <t>Bisoprolol 5 mg OD</t>
        </is>
      </c>
      <c r="H433" s="18" t="inlineStr">
        <is>
          <t>Spironolactone 25 mg OD</t>
        </is>
      </c>
      <c r="I433" s="15" t="inlineStr">
        <is>
          <t>1</t>
        </is>
      </c>
      <c r="J43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33" s="18" t="inlineStr"/>
      <c r="L433" s="18" t="inlineStr">
        <is>
          <t>Hypertension</t>
        </is>
      </c>
      <c r="M433" s="18" t="inlineStr">
        <is>
          <t>Clinic</t>
        </is>
      </c>
      <c r="N433" s="18" t="inlineStr">
        <is>
          <t>ข้อ 5 (PLE_CC1_Key_Rx20_UBU.md)</t>
        </is>
      </c>
      <c r="O433" s="18" t="inlineStr">
        <is>
          <t>Mock</t>
        </is>
      </c>
      <c r="P433" s="18" t="inlineStr">
        <is>
          <t>Mock Rx20 UBU</t>
        </is>
      </c>
    </row>
    <row r="434">
      <c r="A434" s="15" t="inlineStr">
        <is>
          <t>432</t>
        </is>
      </c>
      <c r="B434" s="18" t="inlineStr">
        <is>
          <t>Sulfadiazine + Pyrimethamine</t>
        </is>
      </c>
      <c r="C434" s="18" t="inlineStr"/>
      <c r="D434" s="18" t="inlineStr">
        <is>
          <t>Bisoprolol 5 mg OD</t>
        </is>
      </c>
      <c r="E434" s="18" t="inlineStr">
        <is>
          <t>Spironolactone 25 mg OD</t>
        </is>
      </c>
      <c r="F434" s="18" t="inlineStr">
        <is>
          <t>Clopidogrel 75 mg OD</t>
        </is>
      </c>
      <c r="G434" s="18" t="inlineStr">
        <is>
          <t>Aspirin 81 mg OD</t>
        </is>
      </c>
      <c r="H434" s="18" t="inlineStr">
        <is>
          <t>Sacubitril/Valsartan 49/51 mg BID</t>
        </is>
      </c>
      <c r="I434" s="15" t="inlineStr">
        <is>
          <t>1</t>
        </is>
      </c>
      <c r="J43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34" s="18" t="inlineStr"/>
      <c r="L434" s="18" t="inlineStr">
        <is>
          <t>Hypertension</t>
        </is>
      </c>
      <c r="M434" s="18" t="inlineStr">
        <is>
          <t>Clinic</t>
        </is>
      </c>
      <c r="N434" s="18" t="inlineStr">
        <is>
          <t>ข้อ 4 (PLE_CC1_Key_Rx20_UBU.md)</t>
        </is>
      </c>
      <c r="O434" s="18" t="inlineStr">
        <is>
          <t>Mock</t>
        </is>
      </c>
      <c r="P434" s="18" t="inlineStr">
        <is>
          <t>Mock Rx20 UBU</t>
        </is>
      </c>
    </row>
    <row r="435">
      <c r="A435" s="15" t="inlineStr">
        <is>
          <t>433</t>
        </is>
      </c>
      <c r="B435" s="18" t="inlineStr">
        <is>
          <t>Nystatinใช้กับเชื้อ candida เท่านั้น</t>
        </is>
      </c>
      <c r="C435" s="18" t="inlineStr"/>
      <c r="D435" s="18" t="inlineStr">
        <is>
          <t>Aspirin 81 mg OD</t>
        </is>
      </c>
      <c r="E435" s="18" t="inlineStr">
        <is>
          <t>Sacubitril/Valsartan 49/51 mg BID</t>
        </is>
      </c>
      <c r="F435" s="18" t="inlineStr">
        <is>
          <t>Empagliflozin 10 mg OD</t>
        </is>
      </c>
      <c r="G435" s="18" t="inlineStr">
        <is>
          <t>Diltiazem 30 mg TID</t>
        </is>
      </c>
      <c r="H435" s="18" t="inlineStr">
        <is>
          <t>Warfarin 3 mg OD (target INR 2.0-3.0)</t>
        </is>
      </c>
      <c r="I435" s="15" t="inlineStr">
        <is>
          <t>1</t>
        </is>
      </c>
      <c r="J43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35" s="18" t="inlineStr"/>
      <c r="L435" s="18" t="inlineStr">
        <is>
          <t>Hypertension</t>
        </is>
      </c>
      <c r="M435" s="18" t="inlineStr">
        <is>
          <t>Clinic</t>
        </is>
      </c>
      <c r="N435" s="18" t="inlineStr">
        <is>
          <t>ข้อ 1 (PLE_CC1_Key_Rx20_UBU.md)</t>
        </is>
      </c>
      <c r="O435" s="18" t="inlineStr">
        <is>
          <t>Mock</t>
        </is>
      </c>
      <c r="P435" s="18" t="inlineStr">
        <is>
          <t>Mock Rx20 UBU</t>
        </is>
      </c>
    </row>
    <row r="436">
      <c r="A436" s="15" t="inlineStr">
        <is>
          <t>434</t>
        </is>
      </c>
      <c r="B436" s="18" t="inlineStr">
        <is>
          <t>Atovastatin high level by cyp3A4 (Major)</t>
        </is>
      </c>
      <c r="C436" s="18" t="inlineStr"/>
      <c r="D436" s="18" t="inlineStr">
        <is>
          <t>Diltiazem 30 mg TID</t>
        </is>
      </c>
      <c r="E436" s="18" t="inlineStr">
        <is>
          <t>Warfarin 3 mg OD (target INR 2.0-3.0)</t>
        </is>
      </c>
      <c r="F436" s="18" t="inlineStr">
        <is>
          <t>Furosemide 40 mg OD</t>
        </is>
      </c>
      <c r="G436" s="18" t="inlineStr">
        <is>
          <t>Amlodipine 5 mg OD</t>
        </is>
      </c>
      <c r="H436" s="18" t="inlineStr">
        <is>
          <t>Losartan 50 mg OD</t>
        </is>
      </c>
      <c r="I436" s="15" t="inlineStr">
        <is>
          <t>1</t>
        </is>
      </c>
      <c r="J43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36" s="18" t="inlineStr"/>
      <c r="L436" s="18" t="inlineStr">
        <is>
          <t>Hypertension</t>
        </is>
      </c>
      <c r="M436" s="18" t="inlineStr">
        <is>
          <t>Clinic</t>
        </is>
      </c>
      <c r="N436" s="18" t="inlineStr">
        <is>
          <t>ข้อ 4 (PLE_CC1_Key_Rx20_UBU.md)</t>
        </is>
      </c>
      <c r="O436" s="18" t="inlineStr">
        <is>
          <t>Mock</t>
        </is>
      </c>
      <c r="P436" s="18" t="inlineStr">
        <is>
          <t>Mock Rx20 UBU</t>
        </is>
      </c>
    </row>
    <row r="437">
      <c r="A437" s="15" t="inlineStr">
        <is>
          <t>435</t>
        </is>
      </c>
      <c r="B437" s="18" t="inlineStr">
        <is>
          <t>Warfarin keto ยับยั้งการสังเคราะ vit k และเป็น cyp 3A4 inhibitors (Major) ~ -</t>
        </is>
      </c>
      <c r="C437" s="18" t="inlineStr"/>
      <c r="D437" s="18" t="inlineStr">
        <is>
          <t>Amlodipine 5 mg OD</t>
        </is>
      </c>
      <c r="E437" s="18" t="inlineStr">
        <is>
          <t>Losartan 50 mg OD</t>
        </is>
      </c>
      <c r="F437" s="18" t="inlineStr">
        <is>
          <t>Enalapril 10 mg BID</t>
        </is>
      </c>
      <c r="G437" s="18" t="inlineStr">
        <is>
          <t>Hydrochlorothiazide 25 mg OD</t>
        </is>
      </c>
      <c r="H437" s="18" t="inlineStr">
        <is>
          <t>Atorvastatin 20 mg OD</t>
        </is>
      </c>
      <c r="I437" s="15" t="inlineStr">
        <is>
          <t>1</t>
        </is>
      </c>
      <c r="J43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37" s="18" t="inlineStr"/>
      <c r="L437" s="18" t="inlineStr">
        <is>
          <t>Hypertension</t>
        </is>
      </c>
      <c r="M437" s="18" t="inlineStr">
        <is>
          <t>Clinic</t>
        </is>
      </c>
      <c r="N437" s="18" t="inlineStr">
        <is>
          <t>ข้อ 5 (PLE_CC1_Key_Rx20_UBU.md)</t>
        </is>
      </c>
      <c r="O437" s="18" t="inlineStr">
        <is>
          <t>Mock</t>
        </is>
      </c>
      <c r="P437" s="18" t="inlineStr">
        <is>
          <t>Mock Rx20 UBU</t>
        </is>
      </c>
    </row>
    <row r="438">
      <c r="A438" s="15" t="inlineStr">
        <is>
          <t>436</t>
        </is>
      </c>
      <c r="B438" s="18" t="inlineStr">
        <is>
          <t>กรณีศึกษาที่ 9 Anemia</t>
        </is>
      </c>
      <c r="C438" s="18" t="inlineStr"/>
      <c r="D438" s="18" t="inlineStr">
        <is>
          <t>Hydrochlorothiazide 25 mg OD</t>
        </is>
      </c>
      <c r="E438" s="18" t="inlineStr">
        <is>
          <t>Atorvastatin 20 mg OD</t>
        </is>
      </c>
      <c r="F438" s="18" t="inlineStr">
        <is>
          <t>Simvastatin 20 mg HS</t>
        </is>
      </c>
      <c r="G438" s="18" t="inlineStr">
        <is>
          <t>Bisoprolol 5 mg OD</t>
        </is>
      </c>
      <c r="H438" s="18" t="inlineStr">
        <is>
          <t>Spironolactone 25 mg OD</t>
        </is>
      </c>
      <c r="I438" s="15" t="inlineStr">
        <is>
          <t>1</t>
        </is>
      </c>
      <c r="J43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38" s="18" t="inlineStr"/>
      <c r="L438" s="18" t="inlineStr">
        <is>
          <t>Hypertension</t>
        </is>
      </c>
      <c r="M438" s="18" t="inlineStr">
        <is>
          <t>Clinic</t>
        </is>
      </c>
      <c r="N438" s="18" t="inlineStr">
        <is>
          <t>ข้อ 4 (PLE_CC1_Key_Rx20_UBU.md)</t>
        </is>
      </c>
      <c r="O438" s="18" t="inlineStr">
        <is>
          <t>Mock</t>
        </is>
      </c>
      <c r="P438" s="18" t="inlineStr">
        <is>
          <t>Mock Rx20 UBU</t>
        </is>
      </c>
    </row>
    <row r="439">
      <c r="A439" s="15" t="inlineStr">
        <is>
          <t>437</t>
        </is>
      </c>
      <c r="B439" s="18" t="inlineStr">
        <is>
          <t>Penicillamine antidote โลหะหนัก เช่น Pb Mercury Copper As</t>
        </is>
      </c>
      <c r="C439" s="18" t="inlineStr"/>
      <c r="D439" s="18" t="inlineStr">
        <is>
          <t>Bisoprolol 5 mg OD</t>
        </is>
      </c>
      <c r="E439" s="18" t="inlineStr">
        <is>
          <t>Spironolactone 25 mg OD</t>
        </is>
      </c>
      <c r="F439" s="18" t="inlineStr">
        <is>
          <t>Clopidogrel 75 mg OD</t>
        </is>
      </c>
      <c r="G439" s="18" t="inlineStr">
        <is>
          <t>Aspirin 81 mg OD</t>
        </is>
      </c>
      <c r="H439" s="18" t="inlineStr">
        <is>
          <t>Sacubitril/Valsartan 49/51 mg BID</t>
        </is>
      </c>
      <c r="I439" s="15" t="inlineStr">
        <is>
          <t>1</t>
        </is>
      </c>
      <c r="J43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39" s="18" t="inlineStr"/>
      <c r="L439" s="18" t="inlineStr">
        <is>
          <t>Hypertension</t>
        </is>
      </c>
      <c r="M439" s="18" t="inlineStr">
        <is>
          <t>Clinic</t>
        </is>
      </c>
      <c r="N439" s="18" t="inlineStr">
        <is>
          <t>ข้อ 1 (PLE_CC1_Key_Rx20_UBU.md)</t>
        </is>
      </c>
      <c r="O439" s="18" t="inlineStr">
        <is>
          <t>Mock</t>
        </is>
      </c>
      <c r="P439" s="18" t="inlineStr">
        <is>
          <t>Mock Rx20 UBU</t>
        </is>
      </c>
    </row>
    <row r="440">
      <c r="A440" s="15" t="inlineStr">
        <is>
          <t>438</t>
        </is>
      </c>
      <c r="B440" s="18" t="inlineStr">
        <is>
          <t>Desferrioxamine</t>
        </is>
      </c>
      <c r="C440" s="18" t="inlineStr"/>
      <c r="D440" s="18" t="inlineStr">
        <is>
          <t>Aspirin 81 mg OD</t>
        </is>
      </c>
      <c r="E440" s="18" t="inlineStr">
        <is>
          <t>Sacubitril/Valsartan 49/51 mg BID</t>
        </is>
      </c>
      <c r="F440" s="18" t="inlineStr">
        <is>
          <t>Empagliflozin 10 mg OD</t>
        </is>
      </c>
      <c r="G440" s="18" t="inlineStr">
        <is>
          <t>Diltiazem 30 mg TID</t>
        </is>
      </c>
      <c r="H440" s="18" t="inlineStr">
        <is>
          <t>Warfarin 3 mg OD (target INR 2.0-3.0)</t>
        </is>
      </c>
      <c r="I440" s="15" t="inlineStr">
        <is>
          <t>1</t>
        </is>
      </c>
      <c r="J44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0" s="18" t="inlineStr"/>
      <c r="L440" s="18" t="inlineStr">
        <is>
          <t>Hypertension</t>
        </is>
      </c>
      <c r="M440" s="18" t="inlineStr">
        <is>
          <t>Clinic</t>
        </is>
      </c>
      <c r="N440" s="18" t="inlineStr">
        <is>
          <t>ข้อ 4 (PLE_CC1_Key_Rx20_UBU.md)</t>
        </is>
      </c>
      <c r="O440" s="18" t="inlineStr">
        <is>
          <t>Mock</t>
        </is>
      </c>
      <c r="P440" s="18" t="inlineStr">
        <is>
          <t>Mock Rx20 UBU</t>
        </is>
      </c>
    </row>
    <row r="441">
      <c r="A441" s="15" t="inlineStr">
        <is>
          <t>439</t>
        </is>
      </c>
      <c r="B441" s="18" t="inlineStr">
        <is>
          <t>ASA + Clopidogrel</t>
        </is>
      </c>
      <c r="C441" s="18" t="inlineStr"/>
      <c r="D441" s="18" t="inlineStr">
        <is>
          <t>Diltiazem 30 mg TID</t>
        </is>
      </c>
      <c r="E441" s="18" t="inlineStr">
        <is>
          <t>Warfarin 3 mg OD (target INR 2.0-3.0)</t>
        </is>
      </c>
      <c r="F441" s="18" t="inlineStr">
        <is>
          <t>Furosemide 40 mg OD</t>
        </is>
      </c>
      <c r="G441" s="18" t="inlineStr">
        <is>
          <t>Amlodipine 5 mg OD</t>
        </is>
      </c>
      <c r="H441" s="18" t="inlineStr">
        <is>
          <t>Losartan 50 mg OD</t>
        </is>
      </c>
      <c r="I441" s="15" t="inlineStr">
        <is>
          <t>1</t>
        </is>
      </c>
      <c r="J44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1" s="18" t="inlineStr"/>
      <c r="L441" s="18" t="inlineStr">
        <is>
          <t>Hypertension</t>
        </is>
      </c>
      <c r="M441" s="18" t="inlineStr">
        <is>
          <t>Clinic</t>
        </is>
      </c>
      <c r="N441" s="18" t="inlineStr">
        <is>
          <t>ข้อ 5 (PLE_CC1_Key_Rx20_UBU.md)</t>
        </is>
      </c>
      <c r="O441" s="18" t="inlineStr">
        <is>
          <t>Mock</t>
        </is>
      </c>
      <c r="P441" s="18" t="inlineStr">
        <is>
          <t>Mock Rx20 UBU</t>
        </is>
      </c>
    </row>
    <row r="442">
      <c r="A442" s="15" t="inlineStr">
        <is>
          <t>440</t>
        </is>
      </c>
      <c r="B442" s="18" t="inlineStr">
        <is>
          <t>ยาคุมรับประทานชนิด minipil ตอบ 4. ยาคุมชนิดฝัง มีอายุการคุมกำเนิดอยู่ที่ 3 ปี เเละ 5 ปี</t>
        </is>
      </c>
      <c r="C442" s="18" t="inlineStr"/>
      <c r="D442" s="18" t="inlineStr">
        <is>
          <t>Amlodipine 5 mg OD</t>
        </is>
      </c>
      <c r="E442" s="18" t="inlineStr">
        <is>
          <t>Losartan 50 mg OD</t>
        </is>
      </c>
      <c r="F442" s="18" t="inlineStr">
        <is>
          <t>Enalapril 10 mg BID</t>
        </is>
      </c>
      <c r="G442" s="18" t="inlineStr">
        <is>
          <t>Hydrochlorothiazide 25 mg OD</t>
        </is>
      </c>
      <c r="H442" s="18" t="inlineStr">
        <is>
          <t>Atorvastatin 20 mg OD</t>
        </is>
      </c>
      <c r="I442" s="15" t="inlineStr">
        <is>
          <t>1</t>
        </is>
      </c>
      <c r="J44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42" s="18" t="inlineStr"/>
      <c r="L442" s="18" t="inlineStr">
        <is>
          <t>Hypertension</t>
        </is>
      </c>
      <c r="M442" s="18" t="inlineStr">
        <is>
          <t>Clinic</t>
        </is>
      </c>
      <c r="N442" s="18" t="inlineStr">
        <is>
          <t>ข้อ 5 (PLE_CC1_Key_Rx20_UBU.md)</t>
        </is>
      </c>
      <c r="O442" s="18" t="inlineStr">
        <is>
          <t>Mock</t>
        </is>
      </c>
      <c r="P442" s="18" t="inlineStr">
        <is>
          <t>Mock Rx20 UBU</t>
        </is>
      </c>
    </row>
    <row r="443">
      <c r="A443" s="15" t="inlineStr">
        <is>
          <t>441</t>
        </is>
      </c>
      <c r="B443" s="18" t="inlineStr">
        <is>
          <t>Visible epidermis</t>
        </is>
      </c>
      <c r="C443" s="18" t="inlineStr"/>
      <c r="D443" s="18" t="inlineStr">
        <is>
          <t>Hydrochlorothiazide 25 mg OD</t>
        </is>
      </c>
      <c r="E443" s="18" t="inlineStr">
        <is>
          <t>Atorvastatin 20 mg OD</t>
        </is>
      </c>
      <c r="F443" s="18" t="inlineStr">
        <is>
          <t>Simvastatin 20 mg HS</t>
        </is>
      </c>
      <c r="G443" s="18" t="inlineStr">
        <is>
          <t>Bisoprolol 5 mg OD</t>
        </is>
      </c>
      <c r="H443" s="18" t="inlineStr">
        <is>
          <t>Spironolactone 25 mg OD</t>
        </is>
      </c>
      <c r="I443" s="15" t="inlineStr">
        <is>
          <t>1</t>
        </is>
      </c>
      <c r="J44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43" s="18" t="inlineStr"/>
      <c r="L443" s="18" t="inlineStr">
        <is>
          <t>Hypertension</t>
        </is>
      </c>
      <c r="M443" s="18" t="inlineStr">
        <is>
          <t>Clinic</t>
        </is>
      </c>
      <c r="N443" s="18" t="inlineStr">
        <is>
          <t>ข้อ 4 (PLE_CC1_Key_Rx20_UBU.md)</t>
        </is>
      </c>
      <c r="O443" s="18" t="inlineStr">
        <is>
          <t>Mock</t>
        </is>
      </c>
      <c r="P443" s="18" t="inlineStr">
        <is>
          <t>Mock Rx20 UBU</t>
        </is>
      </c>
    </row>
    <row r="444">
      <c r="A444" s="15" t="inlineStr">
        <is>
          <t>442</t>
        </is>
      </c>
      <c r="B444" s="18" t="inlineStr">
        <is>
          <t>ยาในข$อใดมีข$อห$ามใช$สำหรับผู$ป&amp;วยที่มีประวัติแพ$ยากลุGม sulfonamides ก . i ๐ S - NH</t>
        </is>
      </c>
      <c r="C444" s="18" t="inlineStr"/>
      <c r="D444" s="18" t="inlineStr">
        <is>
          <t>Bisoprolol 5 mg OD</t>
        </is>
      </c>
      <c r="E444" s="18" t="inlineStr">
        <is>
          <t>Spironolactone 25 mg OD</t>
        </is>
      </c>
      <c r="F444" s="18" t="inlineStr">
        <is>
          <t>Clopidogrel 75 mg OD</t>
        </is>
      </c>
      <c r="G444" s="18" t="inlineStr">
        <is>
          <t>Aspirin 81 mg OD</t>
        </is>
      </c>
      <c r="H444" s="18" t="inlineStr">
        <is>
          <t>Sacubitril/Valsartan 49/51 mg BID</t>
        </is>
      </c>
      <c r="I444" s="15" t="inlineStr">
        <is>
          <t>1</t>
        </is>
      </c>
      <c r="J44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44" s="18" t="inlineStr"/>
      <c r="L444" s="18" t="inlineStr">
        <is>
          <t>Hypertension</t>
        </is>
      </c>
      <c r="M444" s="18" t="inlineStr">
        <is>
          <t>Clinic</t>
        </is>
      </c>
      <c r="N444" s="18" t="inlineStr">
        <is>
          <t>ข้อ 15 (PLE_CC1_Key_Rx20_UBU.md)</t>
        </is>
      </c>
      <c r="O444" s="18" t="inlineStr">
        <is>
          <t>Mock</t>
        </is>
      </c>
      <c r="P444" s="18" t="inlineStr">
        <is>
          <t>Mock Rx20 UBU</t>
        </is>
      </c>
    </row>
    <row r="445">
      <c r="A445" s="15" t="inlineStr">
        <is>
          <t>443</t>
        </is>
      </c>
      <c r="B445" s="18" t="inlineStr">
        <is>
          <t>กGอนป&amp;วยกลับบ$านแพทย_สั่งใช$ยา NPH insulin 45 unit กGอนอาหารเช$า และ 30 unit กGอนอาหารเย็น โดยนัดมาติดตามอาการในอีก 4 สัปดาห_ เภสัชกรจะต$องจัดยา insulin ให$ผู$ป&amp;วยกี่ vial (NPH insulin ~ lviid = 1 อข เออ = เออ0mi t ที่มีในโรงพยาบาลมีขนาด 100 unit/mL โดยที่ 1 vial มีปริมาตร 10 mL)</t>
        </is>
      </c>
      <c r="C445" s="18" t="inlineStr"/>
      <c r="D445" s="18" t="inlineStr">
        <is>
          <t>Aspirin 81 mg OD</t>
        </is>
      </c>
      <c r="E445" s="18" t="inlineStr">
        <is>
          <t>Sacubitril/Valsartan 49/51 mg BID</t>
        </is>
      </c>
      <c r="F445" s="18" t="inlineStr">
        <is>
          <t>3 จ yนละ 75 Unit ข 28 yน ๐ 7T 600 { 5% o ยnit</t>
        </is>
      </c>
      <c r="G445" s="18" t="inlineStr">
        <is>
          <t>Diltiazem 30 mg TID</t>
        </is>
      </c>
      <c r="H445" s="18" t="inlineStr">
        <is>
          <t>5 1วันใช5 75 unit นัดติดตาม 4 สัปดาห)=30วัน จำนวน Unit ทั้งหมด=2250unit 1vialมี 1000 unit สรุปต5องจ=ายไป 3 vial</t>
        </is>
      </c>
      <c r="I445" s="15" t="inlineStr">
        <is>
          <t>3</t>
        </is>
      </c>
      <c r="J445" s="22" t="inlineStr">
        <is>
          <t>✅ คำตอบที่ถูกต้อง: ข้อ ค. 3 จ yนละ 75 Unit ข 28 yน ๐ 7T 600 { 5% o ยnit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จ yนละ 75 Unit ข 28 yน ๐ 7T 600 { 5% o ยnit 3 จ y นละ 75 Unit ข 28 y น ๐ 7T 600 { 5% o ย nit 3 จ y นละ 75 Unit ข 28 y น ๐ 7T 600 { 5% o ย nit 3 จ y นละ 75 Unit ข 28 y น ๐ 7T 600 { 5% o ย nit 3 จ y นละ 75 Unit ข 28 y น ๐ 7T 600 { 5% o ย nit การเลือก 3 จ y นละ 75 Unit ข 28 y น ๐ 7T 600 { 5% o ย nit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(5 1วันใช5 75 unit นัดติดตาม 4 สัปดาห)=30วัน จำนวน Unit ทั้งหมด=2250unit 1vialมี 1000 unit สรุปต5องจ=ายไป 3 vial):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5" s="18" t="inlineStr"/>
      <c r="L445" s="18" t="inlineStr">
        <is>
          <t>Hypertension</t>
        </is>
      </c>
      <c r="M445" s="18" t="inlineStr">
        <is>
          <t>Clinic</t>
        </is>
      </c>
      <c r="N445" s="18" t="inlineStr">
        <is>
          <t>ข้อ 16 (PLE_CC1_Key_Rx20_UBU.md)</t>
        </is>
      </c>
      <c r="O445" s="18" t="inlineStr">
        <is>
          <t>Mock</t>
        </is>
      </c>
      <c r="P445" s="18" t="inlineStr">
        <is>
          <t>Mock Rx20 UBU</t>
        </is>
      </c>
    </row>
    <row r="446">
      <c r="A446" s="15" t="inlineStr">
        <is>
          <t>444</t>
        </is>
      </c>
      <c r="B446" s="18" t="inlineStr">
        <is>
          <t>เกี่ยวกับอาการไมGพึงประสงค_จากยา cyclophosphamide ข$อใดไมGถูกต$อง</t>
        </is>
      </c>
      <c r="C446" s="18" t="inlineStr"/>
      <c r="D446" s="18" t="inlineStr">
        <is>
          <t>ทำให$เกิดภาวะ cystitis</t>
        </is>
      </c>
      <c r="E446" s="18" t="inlineStr">
        <is>
          <t>เปญน dose-related toxicity</t>
        </is>
      </c>
      <c r="F446" s="18" t="inlineStr">
        <is>
          <t>สารที่ออกฤทธิ์ทำให$เกิดพิษคือ acrolein</t>
        </is>
      </c>
      <c r="G446" s="18" t="inlineStr">
        <is>
          <t>เมื่อเกิด extravasation ควรได$รับ hyaluronidase เปญน antidote</t>
        </is>
      </c>
      <c r="H446" s="18" t="inlineStr">
        <is>
          <t>ใช$ mesna เปญน uroprotective</t>
        </is>
      </c>
      <c r="I446" s="15" t="inlineStr">
        <is>
          <t>4</t>
        </is>
      </c>
      <c r="J446" s="2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ข้อนี้ไม่ใช่คำตอบที่ถูกต้องสำหรับภาวะ Hypertension เนื่องจากกลไกการออกฤทธิ์, efficacy หรือข้อบ่งใช้ไม่ตรงกับโจทย์ที่กำหนด
• ข้อ ข. (เปญน dose-related toxicity): ข้อนี้ไม่ใช่คำตอบที่ถูกต้องสำหรับภาวะ Hypertension เนื่องจากกลไกการออกฤทธิ์, efficacy หรือข้อบ่งใช้ไม่ตรงกับโจทย์ที่กำหนด
• ข้อ ค. (สารที่ออกฤทธิ์ทำให$เกิดพิษคือ acrolein): ข้อนี้ไม่ใช่คำตอบที่ถูกต้องสำหรับภาวะ Hypertension เนื่องจากกลไกการออกฤทธิ์, efficacy หรือข้อบ่งใช้ไม่ตรงกับโจทย์ที่กำหนด
• ข้อ จ. (ใช$ mesna เปญน uroprotective):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6" s="18" t="inlineStr"/>
      <c r="L446" s="18" t="inlineStr">
        <is>
          <t>Hypertension</t>
        </is>
      </c>
      <c r="M446" s="18" t="inlineStr">
        <is>
          <t>Clinic</t>
        </is>
      </c>
      <c r="N446" s="18" t="inlineStr">
        <is>
          <t>ข้อ 22 (PLE_CC1_Key_Rx20_UBU.md)</t>
        </is>
      </c>
      <c r="O446" s="18" t="inlineStr">
        <is>
          <t>Mock</t>
        </is>
      </c>
      <c r="P446" s="18" t="inlineStr">
        <is>
          <t>Mock Rx20 UBU</t>
        </is>
      </c>
    </row>
    <row r="447">
      <c r="A447" s="15" t="inlineStr">
        <is>
          <t>445</t>
        </is>
      </c>
      <c r="B447" s="18" t="inlineStr">
        <is>
          <t>ยาในข$อใดมีประโยชน_สำหรับ anticipatory nausea and vomiting</t>
        </is>
      </c>
      <c r="C447" s="18" t="inlineStr"/>
      <c r="D447" s="18" t="inlineStr">
        <is>
          <t>Dexamethasone</t>
        </is>
      </c>
      <c r="E447" s="18" t="inlineStr">
        <is>
          <t>Ondansetron</t>
        </is>
      </c>
      <c r="F447" s="18" t="inlineStr">
        <is>
          <t>Aprepitant</t>
        </is>
      </c>
      <c r="G447" s="18" t="inlineStr">
        <is>
          <t>Lorazepam</t>
        </is>
      </c>
      <c r="H447" s="18" t="inlineStr">
        <is>
          <t>Metoclopramide</t>
        </is>
      </c>
      <c r="I447" s="15" t="inlineStr">
        <is>
          <t>4</t>
        </is>
      </c>
      <c r="J447" s="22"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(Aprepitant): ข้อนี้ไม่ใช่คำตอบที่ถูกต้องสำหรับภาวะ Hypertension เนื่องจากกลไกการออกฤทธิ์, efficacy หรือข้อบ่งใช้ไม่ตรงกับโจทย์ที่กำหนด
• ข้อ จ. (Metoclopramide): เป็น central และ peripheral D2 antagonist เพิ่ม gastric emptying และแก้อาเจียน แต่ผ่าน BBB จึงทำให้เกิด acute dystonia และ EPS ได้ง่าย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7" s="18" t="inlineStr"/>
      <c r="L447" s="18" t="inlineStr">
        <is>
          <t>Hypertension</t>
        </is>
      </c>
      <c r="M447" s="18" t="inlineStr">
        <is>
          <t>Clinic</t>
        </is>
      </c>
      <c r="N447" s="18" t="inlineStr">
        <is>
          <t>ข้อ 23 (PLE_CC1_Key_Rx20_UBU.md)</t>
        </is>
      </c>
      <c r="O447" s="18" t="inlineStr">
        <is>
          <t>Mock</t>
        </is>
      </c>
      <c r="P447" s="18" t="inlineStr">
        <is>
          <t>Mock Rx20 UBU</t>
        </is>
      </c>
    </row>
    <row r="448">
      <c r="A448" s="15" t="inlineStr">
        <is>
          <t>446</t>
        </is>
      </c>
      <c r="B448" s="18"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448" s="18" t="inlineStr"/>
      <c r="D448" s="18" t="inlineStr">
        <is>
          <t>Gemﬁbrozil</t>
        </is>
      </c>
      <c r="E448" s="18" t="inlineStr">
        <is>
          <t>Nicotinic acid</t>
        </is>
      </c>
      <c r="F448" s="18" t="inlineStr">
        <is>
          <t>Fish oil</t>
        </is>
      </c>
      <c r="G448" s="18" t="inlineStr">
        <is>
          <t>Cholestyramin</t>
        </is>
      </c>
      <c r="H448" s="18" t="inlineStr">
        <is>
          <t>Ezetimibe ตาม 2016 ACC guideline แนะนำให$เพิ่ม Ezetimibe ในผู$ป&amp;วยที่ได$รับ Statins แตGยังไมGสามารถควบคุม LDL ให$อยูGในชGวงเปนาหมายได$</t>
        </is>
      </c>
      <c r="I448" s="15" t="inlineStr">
        <is>
          <t>5</t>
        </is>
      </c>
      <c r="J448" s="22"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Ezetimibe ตาม 2016 ACC guideline แนะนำให$เพิ่ม Ezetimibe ในผู$ป&amp;วยที่ได$รับ Statins แตGยังไมGสามารถควบคุม LDL ให$อยูGในชGวงเปนาหมายได$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การเลือก Ezetimibe ตาม 2016 ACC guideline แนะนำให$เพิ่ม Ezetimibe ในผู$ป&amp;วยที่ได$รับ Statins แต G ยังไม G สามารถควบคุม LDL ให$อยู G ในช G วงเปนาหมายได$ เป็นคำตอบที่ถูกต้องตามแนวทางการรักษามาตรฐาน เนื่องจาก เป็น Niemann-Pick C1-Like 1 (NPC1L1) inhibitor ยับยั้งการดูดซึม cholesterol ที่ลำไส้เล็ก ใช้เป็น add-on therapy ร่วมกับ statin เพื่อลด LDL-C เสริมอีก 15-20%
🔍 ข้ออื่นผิดเพราะอะไร:
• ข้อ ก. (Gemﬁbrozil): ข้อนี้ไม่ใช่คำตอบที่ถูกต้องสำหรับภาวะ Hypertension เนื่องจากกลไกการออกฤทธิ์, efficacy หรือข้อบ่งใช้ไม่ตรงกับโจทย์ที่กำหนด
• ข้อ ข. (Nicotinic acid): ข้อนี้ไม่ใช่คำตอบที่ถูกต้องสำหรับภาวะ Hypertension เนื่องจากกลไกการออกฤทธิ์, efficacy หรือข้อบ่งใช้ไม่ตรงกับโจทย์ที่กำหนด
• ข้อ ค. (Fish oil): ข้อนี้ไม่ใช่คำตอบที่ถูกต้องสำหรับภาวะ Hypertension เนื่องจากกลไกการออกฤทธิ์, efficacy หรือข้อบ่งใช้ไม่ตรงกับโจทย์ที่กำหนด
• ข้อ ง. (Cholestyramin):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8" s="18" t="inlineStr"/>
      <c r="L448" s="18" t="inlineStr">
        <is>
          <t>Hypertension</t>
        </is>
      </c>
      <c r="M448" s="18" t="inlineStr">
        <is>
          <t>Clinic</t>
        </is>
      </c>
      <c r="N448" s="18" t="inlineStr">
        <is>
          <t>ข้อ 30 (PLE_CC1_Key_Rx20_UBU.md)</t>
        </is>
      </c>
      <c r="O448" s="18" t="inlineStr">
        <is>
          <t>Mock</t>
        </is>
      </c>
      <c r="P448" s="18" t="inlineStr">
        <is>
          <t>Mock Rx20 UBU</t>
        </is>
      </c>
    </row>
    <row r="449">
      <c r="A449" s="15" t="inlineStr">
        <is>
          <t>447</t>
        </is>
      </c>
      <c r="B449" s="18" t="inlineStr">
        <is>
          <t>การเกิดภาวะ asthma exacerbation เนื่องจากยา ibuprofen มีสาเหตุมาจากสารใด (1) Prostaglandins (2) Thromboxane (3) Leukotriene (4) Histamines (5) Tumor necrosis factor</t>
        </is>
      </c>
      <c r="C449" s="18" t="inlineStr"/>
      <c r="D449" s="18" t="inlineStr">
        <is>
          <t>Bisoprolol 5 mg OD</t>
        </is>
      </c>
      <c r="E449" s="18" t="inlineStr">
        <is>
          <t>Spironolactone 25 mg OD</t>
        </is>
      </c>
      <c r="F449" s="18" t="inlineStr">
        <is>
          <t>Clopidogrel 75 mg OD</t>
        </is>
      </c>
      <c r="G449" s="18" t="inlineStr">
        <is>
          <t>Aspirin 81 mg OD</t>
        </is>
      </c>
      <c r="H449" s="18" t="inlineStr">
        <is>
          <t>Sacubitril/Valsartan 49/51 mg BID</t>
        </is>
      </c>
      <c r="I449" s="15" t="inlineStr">
        <is>
          <t>5</t>
        </is>
      </c>
      <c r="J449" s="22" t="inlineStr">
        <is>
          <t>✅ คำตอบที่ถูกต้อง: ข้อ จ. Sacubitril/Valsartan 49/51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Sacubitril/Valsartan 49/51 mg BID การเลือก Sacubitril/Valsartan 49/51 mg BID เป็นคำตอบที่ถูกต้องตามแนวทางการรักษามาตรฐาน เนื่องจาก เป็น ARB ที่มี clinical evidence ชัดเจนใน Heart Failure (ร่วมกับ sacubitril เป็น ARNI) และ post-MI
🔍 ข้ออื่นผิดเพราะอะไร:
• ข้อ ก. (Bisoprolol 5 mg OD): เป็น cardioselective beta-1 blocker ไม่ใช่ first-line monotherapy สำหรับ uncomplicated HTN แต่เป็น first-line GDMT ใน HFrEF หรือ post-MI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49" s="18" t="inlineStr"/>
      <c r="L449" s="18" t="inlineStr">
        <is>
          <t>Hypertension</t>
        </is>
      </c>
      <c r="M449" s="18" t="inlineStr">
        <is>
          <t>Clinic</t>
        </is>
      </c>
      <c r="N449" s="18" t="inlineStr">
        <is>
          <t>ข้อ 50 (PLE_CC1_Key_Rx20_UBU.md)</t>
        </is>
      </c>
      <c r="O449" s="18" t="inlineStr">
        <is>
          <t>Mock</t>
        </is>
      </c>
      <c r="P449" s="18" t="inlineStr">
        <is>
          <t>Mock Rx20 UBU</t>
        </is>
      </c>
    </row>
    <row r="450">
      <c r="A450" s="15" t="inlineStr">
        <is>
          <t>448</t>
        </is>
      </c>
      <c r="B450" s="18" t="inlineStr">
        <is>
          <t>ขนาดอนุภาคของผงยา salbutamol ในข$อใด มีความเหมาะสมสำหรับนำสGงยาเข$าสูGปอด (1) 1 - 5 nanometer (2) 10 - 50 nanometer (3) 1 - 5 micrometer (4) 10 - 50 micrometer (5) &gt; 100 micrometer เนื่องจากถ$าขนาดใหญGกวGา 5 mm สGวนใหญGจะตกกระทบที่คอหอยในชGองปาก (oropharynx) และถูกกลืนเข$าไปทำให$เกิดผลข$างเคียงของยาเพิ่มขึ้นและเพิ่มการสูญเสียยา สGวนฝอยละอองที่มีขนาดเล็กกวGา 0.5 mm เมื่อหายใจเข$าไปแล$วจะถูกขับออกมาพร$อมลมหายใจออก</t>
        </is>
      </c>
      <c r="C450" s="18" t="inlineStr"/>
      <c r="D450" s="18" t="inlineStr">
        <is>
          <t>Aspirin 81 mg OD</t>
        </is>
      </c>
      <c r="E450" s="18" t="inlineStr">
        <is>
          <t>Sacubitril/Valsartan 49/51 mg BID</t>
        </is>
      </c>
      <c r="F450" s="18" t="inlineStr">
        <is>
          <t>Empagliflozin 10 mg OD</t>
        </is>
      </c>
      <c r="G450" s="18" t="inlineStr">
        <is>
          <t>Diltiazem 30 mg TID</t>
        </is>
      </c>
      <c r="H450" s="18" t="inlineStr">
        <is>
          <t>Warfarin 3 mg OD (target INR 2.0-3.0)</t>
        </is>
      </c>
      <c r="I450" s="15" t="inlineStr">
        <is>
          <t>3</t>
        </is>
      </c>
      <c r="J450" s="22" t="inlineStr">
        <is>
          <t>✅ คำตอบที่ถูกต้อง: ข้อ ค. Empagliflozin 10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450" s="18" t="inlineStr"/>
      <c r="L450" s="18" t="inlineStr">
        <is>
          <t>Hypertension</t>
        </is>
      </c>
      <c r="M450" s="18" t="inlineStr">
        <is>
          <t>Clinic</t>
        </is>
      </c>
      <c r="N450" s="18" t="inlineStr">
        <is>
          <t>ข้อ 52 (PLE_CC1_Key_Rx20_UBU.md)</t>
        </is>
      </c>
      <c r="O450" s="18" t="inlineStr">
        <is>
          <t>Mock</t>
        </is>
      </c>
      <c r="P450" s="18" t="inlineStr">
        <is>
          <t>Mock Rx20 UBU</t>
        </is>
      </c>
    </row>
    <row r="451">
      <c r="A451" s="15" t="inlineStr">
        <is>
          <t>449</t>
        </is>
      </c>
      <c r="B451" s="18" t="inlineStr">
        <is>
          <t>ตำรับยาพGน MDI ตำรับหนึ่งใช$สาร A และสาร B เปญน propellant ในสัดสGวน 60:40 จงคำนวณความดันไอรวมของตำรับ MDI ดังกลGาว เมื่อกำหนดให$ความดันไอของสาร A และ B เทGากับ = 70 และ 55 psig ตามลำดับ (1) 42.00 psig (2) 47.41 psig (3) 49.47 psig (4) 54.94 psig (5) 64.00 psig Ptotal = PA + PB PA = (nA/nA+ nB)PAo ; PAo คือ ความดันไอบริสุทธิ์ของ propellant A , nA คือ อัตราสGวนสาร A ในตำรับ/Mw PB = (nB/nA+ nB)PBo ; PBo คือ ความดันไอบริสุทธิ์ของ propellant B , nB คือ อัตราสGวนสาร B ในตำรับ/Mw nA = 60/100 = 0.6 , nB = 40/170 = 0.24 PA= (0.6/0.6+0.24)x70 = 50 PB = (0.24/0.6+0.24)x55 = 15.71 Ptotal = 50+15.71 = 65.71 psig</t>
        </is>
      </c>
      <c r="C451" s="18" t="inlineStr"/>
      <c r="D451" s="18" t="inlineStr">
        <is>
          <t>Diltiazem 30 mg TID</t>
        </is>
      </c>
      <c r="E451" s="18" t="inlineStr">
        <is>
          <t>Warfarin 3 mg OD (target INR 2.0-3.0)</t>
        </is>
      </c>
      <c r="F451" s="18" t="inlineStr">
        <is>
          <t>Furosemide 40 mg OD</t>
        </is>
      </c>
      <c r="G451" s="18" t="inlineStr">
        <is>
          <t>Amlodipine 5 mg OD</t>
        </is>
      </c>
      <c r="H451" s="18" t="inlineStr">
        <is>
          <t>Losartan 50 mg OD</t>
        </is>
      </c>
      <c r="I451" s="15" t="inlineStr">
        <is>
          <t>5</t>
        </is>
      </c>
      <c r="J451" s="22" t="inlineStr">
        <is>
          <t>✅ คำตอบที่ถูกต้อง: ข้อ จ. Losartan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51" s="18" t="inlineStr"/>
      <c r="L451" s="18" t="inlineStr">
        <is>
          <t>Hypertension</t>
        </is>
      </c>
      <c r="M451" s="18" t="inlineStr">
        <is>
          <t>Clinic</t>
        </is>
      </c>
      <c r="N451" s="18" t="inlineStr">
        <is>
          <t>ข้อ 54 (PLE_CC1_Key_Rx20_UBU.md)</t>
        </is>
      </c>
      <c r="O451" s="18" t="inlineStr">
        <is>
          <t>Mock</t>
        </is>
      </c>
      <c r="P451" s="18" t="inlineStr">
        <is>
          <t>Mock Rx20 UBU</t>
        </is>
      </c>
    </row>
    <row r="452">
      <c r="A452" s="15" t="inlineStr">
        <is>
          <t>450</t>
        </is>
      </c>
      <c r="B452" s="18" t="inlineStr">
        <is>
          <t>ตGอมาผู$ป&amp;วยได$รับการวินิจฉัยวGามีภาวะ Cirrhosis ผู$ป&amp;วยควรได$รับยาขับป[สสาวะใดเปญนอันดับแรก (1) Furosemide + amiloride (2) Furosemide + spironolactone (3) Hydrochlorothiazide + amiloride (4) Hydrochlorothiazide + Furosemide (5) Hydrochlorothiazide + spironolactone</t>
        </is>
      </c>
      <c r="C452" s="18" t="inlineStr"/>
      <c r="D452" s="18" t="inlineStr">
        <is>
          <t>Amlodipine 5 mg OD</t>
        </is>
      </c>
      <c r="E452" s="18" t="inlineStr">
        <is>
          <t>Losartan 50 mg OD</t>
        </is>
      </c>
      <c r="F452" s="18" t="inlineStr">
        <is>
          <t>Enalapril 10 mg BID</t>
        </is>
      </c>
      <c r="G452" s="18" t="inlineStr">
        <is>
          <t>Hydrochlorothiazide 25 mg OD</t>
        </is>
      </c>
      <c r="H452" s="18" t="inlineStr">
        <is>
          <t>Atorvastatin 20 mg OD</t>
        </is>
      </c>
      <c r="I452" s="15" t="inlineStr">
        <is>
          <t>5</t>
        </is>
      </c>
      <c r="J452" s="22" t="inlineStr">
        <is>
          <t>✅ คำตอบที่ถูกต้อง: ข้อ จ. Atorvastatin 20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Atorvastatin 20 mg OD การเลือก Atorvastatin 20 mg OD เป็นคำตอบที่ถูกต้องตามแนวทางการรักษามาตรฐาน เนื่องจาก เป็น High-intensity statin (40-80 mg) ยับยั้ง HMG-CoA reductase มี clinical efficacy สูงสุดในการลด LDL-C ≥ 50% และ plaque stabilization ใน ACS/CAD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452" s="18" t="inlineStr"/>
      <c r="L452" s="18" t="inlineStr">
        <is>
          <t>Hypertension</t>
        </is>
      </c>
      <c r="M452" s="18" t="inlineStr">
        <is>
          <t>Clinic</t>
        </is>
      </c>
      <c r="N452" s="18" t="inlineStr">
        <is>
          <t>ข้อ 58 (PLE_CC1_Key_Rx20_UBU.md)</t>
        </is>
      </c>
      <c r="O452" s="18" t="inlineStr">
        <is>
          <t>Mock</t>
        </is>
      </c>
      <c r="P452" s="18" t="inlineStr">
        <is>
          <t>Mock Rx20 UBU</t>
        </is>
      </c>
    </row>
    <row r="453">
      <c r="A453" s="15" t="inlineStr">
        <is>
          <t>451</t>
        </is>
      </c>
      <c r="B453" s="18" t="inlineStr">
        <is>
          <t>หากผู$ป&amp;วยได$รับการวินิจฉัยวGามีภาวะ Spontaneous bacterial peritonitis (SBP) อาจเกิดจากเชื้อกGอโรคใดได$มากทีสุด (1) Staphylococcus aureus (2) Streptococcus pneumoniae (3) Klepsiella pneumoniae (4) Acinetobacter baumannii (5) Streptococcus epidermidis</t>
        </is>
      </c>
      <c r="C453" s="18" t="inlineStr"/>
      <c r="D453" s="18" t="inlineStr">
        <is>
          <t>Hydrochlorothiazide 25 mg OD</t>
        </is>
      </c>
      <c r="E453" s="18" t="inlineStr">
        <is>
          <t>Atorvastatin 20 mg OD</t>
        </is>
      </c>
      <c r="F453" s="18" t="inlineStr">
        <is>
          <t>Simvastatin 20 mg HS</t>
        </is>
      </c>
      <c r="G453" s="18" t="inlineStr">
        <is>
          <t>Bisoprolol 5 mg OD</t>
        </is>
      </c>
      <c r="H453" s="18" t="inlineStr">
        <is>
          <t>Spironolactone 25 mg OD</t>
        </is>
      </c>
      <c r="I453" s="15" t="inlineStr">
        <is>
          <t>5</t>
        </is>
      </c>
      <c r="J453" s="22" t="inlineStr">
        <is>
          <t>✅ คำตอบที่ถูกต้อง: ข้อ จ. Spironolactone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Spironolactone 25 mg OD การเลือก Spironolactone 25 mg OD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453" s="18" t="inlineStr"/>
      <c r="L453" s="18" t="inlineStr">
        <is>
          <t>Hypertension</t>
        </is>
      </c>
      <c r="M453" s="18" t="inlineStr">
        <is>
          <t>Clinic</t>
        </is>
      </c>
      <c r="N453" s="18" t="inlineStr">
        <is>
          <t>ข้อ 59 (PLE_CC1_Key_Rx20_UBU.md)</t>
        </is>
      </c>
      <c r="O453" s="18" t="inlineStr">
        <is>
          <t>Mock</t>
        </is>
      </c>
      <c r="P453" s="18" t="inlineStr">
        <is>
          <t>Mock Rx20 UBU</t>
        </is>
      </c>
    </row>
    <row r="454">
      <c r="A454" s="15" t="inlineStr">
        <is>
          <t>452</t>
        </is>
      </c>
      <c r="B454" s="18" t="inlineStr">
        <is>
          <t>ผ$ป&amp;วยรายนี้มีภาวะโรคไตเรื้อรังอยูGในระยะ(stage) ใด (1) Stage I (2) Stage II (3) Stage III (4) Stage IV (5) Stage V Crcl = (140-58)x58/72x2.5 = 26.42 ml/min = CKD Stage IV</t>
        </is>
      </c>
      <c r="C454" s="18" t="inlineStr"/>
      <c r="D454" s="18" t="inlineStr">
        <is>
          <t>Bisoprolol 5 mg OD</t>
        </is>
      </c>
      <c r="E454" s="18" t="inlineStr">
        <is>
          <t>Spironolactone 25 mg OD</t>
        </is>
      </c>
      <c r="F454" s="18" t="inlineStr">
        <is>
          <t>Clopidogrel 75 mg OD</t>
        </is>
      </c>
      <c r="G454" s="18" t="inlineStr">
        <is>
          <t>Aspirin 81 mg OD</t>
        </is>
      </c>
      <c r="H454" s="18" t="inlineStr">
        <is>
          <t>Sacubitril/Valsartan 49/51 mg BID</t>
        </is>
      </c>
      <c r="I454" s="15" t="inlineStr">
        <is>
          <t>1</t>
        </is>
      </c>
      <c r="J45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54" s="18" t="inlineStr"/>
      <c r="L454" s="18" t="inlineStr">
        <is>
          <t>Hypertension</t>
        </is>
      </c>
      <c r="M454" s="18" t="inlineStr">
        <is>
          <t>Clinic</t>
        </is>
      </c>
      <c r="N454" s="18" t="inlineStr">
        <is>
          <t>ข้อ 64 (PLE_CC1_Key_Rx20_UBU.md)</t>
        </is>
      </c>
      <c r="O454" s="18" t="inlineStr">
        <is>
          <t>Mock</t>
        </is>
      </c>
      <c r="P454" s="18" t="inlineStr">
        <is>
          <t>Mock Rx20 UBU</t>
        </is>
      </c>
    </row>
    <row r="455">
      <c r="A455" s="15" t="inlineStr">
        <is>
          <t>453</t>
        </is>
      </c>
      <c r="B455" s="18" t="inlineStr">
        <is>
          <t>ผ$ป&amp;วยโรคไตเรื้อรังทีมีภาวะเลือดจาง (anemia) จะพบลักษณะของเม็ดเลือดแดงเปญนอยGางไร (1) Hypochromic microcytic red cell (2) Hypochromic normocytic red cell (3) Hyperchromic macrocytic red cell (4) Hyperchromic normocytic red cell (5) Normochromic normocytic red cell</t>
        </is>
      </c>
      <c r="C455" s="18" t="inlineStr"/>
      <c r="D455" s="18" t="inlineStr">
        <is>
          <t>Aspirin 81 mg OD</t>
        </is>
      </c>
      <c r="E455" s="18" t="inlineStr">
        <is>
          <t>Sacubitril/Valsartan 49/51 mg BID</t>
        </is>
      </c>
      <c r="F455" s="18" t="inlineStr">
        <is>
          <t>Empagliflozin 10 mg OD</t>
        </is>
      </c>
      <c r="G455" s="18" t="inlineStr">
        <is>
          <t>Diltiazem 30 mg TID</t>
        </is>
      </c>
      <c r="H455" s="18" t="inlineStr">
        <is>
          <t>Warfarin 3 mg OD (target INR 2.0-3.0)</t>
        </is>
      </c>
      <c r="I455" s="15" t="inlineStr">
        <is>
          <t>3</t>
        </is>
      </c>
      <c r="J455" s="22" t="inlineStr">
        <is>
          <t>✅ คำตอบที่ถูกต้อง: ข้อ ค. Empagliflozin 10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455" s="18" t="inlineStr"/>
      <c r="L455" s="18" t="inlineStr">
        <is>
          <t>Hypertension</t>
        </is>
      </c>
      <c r="M455" s="18" t="inlineStr">
        <is>
          <t>Clinic</t>
        </is>
      </c>
      <c r="N455" s="18" t="inlineStr">
        <is>
          <t>ข้อ 66 (PLE_CC1_Key_Rx20_UBU.md)</t>
        </is>
      </c>
      <c r="O455" s="18" t="inlineStr">
        <is>
          <t>Mock</t>
        </is>
      </c>
      <c r="P455" s="18" t="inlineStr">
        <is>
          <t>Mock Rx20 UBU</t>
        </is>
      </c>
    </row>
    <row r="456">
      <c r="A456" s="15" t="inlineStr">
        <is>
          <t>454</t>
        </is>
      </c>
      <c r="B456" s="18" t="inlineStr">
        <is>
          <t>ข$อใดเปญนเหตุผลสำคัญที่สุดทีเภสัชกรจะปรึกษาแพทย_ เพื่อพิจารณาเปลี่ยน Aluminium hydroxide (Al(OH)3) เปญน Calcium carbonate (CaCO3) (1) ผู$ป&amp;วยมีระดับแคลเซียมในเลือดตํ่า (2) CaCO3 มี PO binding capacity สูงกวGา Al(OH)3 (3) CaCO3 มีราคาถูกกวGา Al(OH)3 (4) ปนองกันภาวะ anemia และ osteomalacia จาก Al(OH)3 (5) ปนองกันภาวะ soft tissue calcification จาก Al(OH)3</t>
        </is>
      </c>
      <c r="C456" s="18" t="inlineStr"/>
      <c r="D456" s="18" t="inlineStr">
        <is>
          <t>Diltiazem 30 mg TID</t>
        </is>
      </c>
      <c r="E456" s="18" t="inlineStr">
        <is>
          <t>Warfarin 3 mg OD (target INR 2.0-3.0)</t>
        </is>
      </c>
      <c r="F456" s="18" t="inlineStr">
        <is>
          <t>Furosemide 40 mg OD</t>
        </is>
      </c>
      <c r="G456" s="18" t="inlineStr">
        <is>
          <t>Amlodipine 5 mg OD</t>
        </is>
      </c>
      <c r="H456" s="18" t="inlineStr">
        <is>
          <t>Losartan 50 mg OD</t>
        </is>
      </c>
      <c r="I456" s="15" t="inlineStr">
        <is>
          <t>4</t>
        </is>
      </c>
      <c r="J456" s="22" t="inlineStr">
        <is>
          <t>✅ คำตอบที่ถูกต้อง: ข้อ ง.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56" s="18" t="inlineStr"/>
      <c r="L456" s="18" t="inlineStr">
        <is>
          <t>Hypertension</t>
        </is>
      </c>
      <c r="M456" s="18" t="inlineStr">
        <is>
          <t>Clinic</t>
        </is>
      </c>
      <c r="N456" s="18" t="inlineStr">
        <is>
          <t>ข้อ 68 (PLE_CC1_Key_Rx20_UBU.md)</t>
        </is>
      </c>
      <c r="O456" s="18" t="inlineStr">
        <is>
          <t>Mock</t>
        </is>
      </c>
      <c r="P456" s="18" t="inlineStr">
        <is>
          <t>Mock Rx20 UBU</t>
        </is>
      </c>
    </row>
    <row r="457">
      <c r="A457" s="15" t="inlineStr">
        <is>
          <t>455</t>
        </is>
      </c>
      <c r="B457" s="18" t="inlineStr">
        <is>
          <t>ผู$ป&amp;วยรายนี้ ไมGควรได$รับวิตามินในข$อใด (1) Thiamine (2) Riboflavin (3) Pyridoxine (4) Ascorbic acid (5) Mecobalamine ทำให$ระดับยาลดลง</t>
        </is>
      </c>
      <c r="C457" s="18" t="inlineStr"/>
      <c r="D457" s="18" t="inlineStr">
        <is>
          <t>Amlodipine 5 mg OD</t>
        </is>
      </c>
      <c r="E457" s="18" t="inlineStr">
        <is>
          <t>Losartan 50 mg OD</t>
        </is>
      </c>
      <c r="F457" s="18" t="inlineStr">
        <is>
          <t>Enalapril 10 mg BID</t>
        </is>
      </c>
      <c r="G457" s="18" t="inlineStr">
        <is>
          <t>Hydrochlorothiazide 25 mg OD</t>
        </is>
      </c>
      <c r="H457" s="18" t="inlineStr">
        <is>
          <t>Atorvastatin 20 mg OD</t>
        </is>
      </c>
      <c r="I457" s="15" t="inlineStr">
        <is>
          <t>4</t>
        </is>
      </c>
      <c r="J457" s="22" t="inlineStr">
        <is>
          <t>✅ คำตอบที่ถูกต้อง: ข้อ ง.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57" s="18" t="inlineStr"/>
      <c r="L457" s="18" t="inlineStr">
        <is>
          <t>Hypertension</t>
        </is>
      </c>
      <c r="M457" s="18" t="inlineStr">
        <is>
          <t>Clinic</t>
        </is>
      </c>
      <c r="N457" s="18" t="inlineStr">
        <is>
          <t>ข้อ 75 (PLE_CC1_Key_Rx20_UBU.md)</t>
        </is>
      </c>
      <c r="O457" s="18" t="inlineStr">
        <is>
          <t>Mock</t>
        </is>
      </c>
      <c r="P457" s="18" t="inlineStr">
        <is>
          <t>Mock Rx20 UBU</t>
        </is>
      </c>
    </row>
    <row r="458">
      <c r="A458" s="15" t="inlineStr">
        <is>
          <t>456</t>
        </is>
      </c>
      <c r="B458" s="18" t="inlineStr">
        <is>
          <t>หากผู$ป&amp;วยรายนี%หนัก 30 กิโลกรัม และแพทย_สั่ง Epinephrine ผสมในสารน้ำให$ได$ความเข$มข$น 100 mcg/mL ด$วยอัตราเร็ว IV 6 mL/hr ผู$ป&amp;วยรายนีจะได$รับยา Epinephrine เทGาใดในหนGวย mcg/kg/min (1) 0.33 mcg/kg/min (2) 0.46 mcg/kg/min (3) 0.67 mcg/kg/min (4) 1.00 mcg/kg/min (5) 2.78 mcg/kg/min 1 ml ใช$ยา 1 mcg 6 ml ใช$ยา 6 mcg โดย 600 mcg/hr = 600/30/60 mcg/kg/min = 0.33</t>
        </is>
      </c>
      <c r="C458" s="18" t="inlineStr"/>
      <c r="D458" s="18" t="inlineStr">
        <is>
          <t>Hydrochlorothiazide 25 mg OD</t>
        </is>
      </c>
      <c r="E458" s="18" t="inlineStr">
        <is>
          <t>Atorvastatin 20 mg OD</t>
        </is>
      </c>
      <c r="F458" s="18" t="inlineStr">
        <is>
          <t>Simvastatin 20 mg HS</t>
        </is>
      </c>
      <c r="G458" s="18" t="inlineStr">
        <is>
          <t>Bisoprolol 5 mg OD</t>
        </is>
      </c>
      <c r="H458" s="18" t="inlineStr">
        <is>
          <t>Spironolactone 25 mg OD</t>
        </is>
      </c>
      <c r="I458" s="15" t="inlineStr">
        <is>
          <t>3</t>
        </is>
      </c>
      <c r="J458" s="22" t="inlineStr">
        <is>
          <t>✅ คำตอบที่ถูกต้อง: ข้อ ค. Simvastatin 20 mg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20 mg HS การเลือก Simvastatin 20 mg HS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58" s="18" t="inlineStr"/>
      <c r="L458" s="18" t="inlineStr">
        <is>
          <t>Hypertension</t>
        </is>
      </c>
      <c r="M458" s="18" t="inlineStr">
        <is>
          <t>Clinic</t>
        </is>
      </c>
      <c r="N458" s="18" t="inlineStr">
        <is>
          <t>ข้อ 82 (PLE_CC1_Key_Rx20_UBU.md)</t>
        </is>
      </c>
      <c r="O458" s="18" t="inlineStr">
        <is>
          <t>Mock</t>
        </is>
      </c>
      <c r="P458" s="18" t="inlineStr">
        <is>
          <t>Mock Rx20 UBU</t>
        </is>
      </c>
    </row>
    <row r="459">
      <c r="A459" s="15" t="inlineStr">
        <is>
          <t>457</t>
        </is>
      </c>
      <c r="B459" s="18" t="inlineStr">
        <is>
          <t>Amide hydrolysis</t>
        </is>
      </c>
      <c r="C459" s="18" t="inlineStr"/>
      <c r="D459" s="18" t="inlineStr">
        <is>
          <t>Bisoprolol 5 mg OD</t>
        </is>
      </c>
      <c r="E459" s="18" t="inlineStr">
        <is>
          <t>Spironolactone 25 mg OD</t>
        </is>
      </c>
      <c r="F459" s="18" t="inlineStr">
        <is>
          <t>Clopidogrel 75 mg OD</t>
        </is>
      </c>
      <c r="G459" s="18" t="inlineStr">
        <is>
          <t>Aspirin 81 mg OD</t>
        </is>
      </c>
      <c r="H459" s="18" t="inlineStr">
        <is>
          <t>Sacubitril/Valsartan 49/51 mg BID</t>
        </is>
      </c>
      <c r="I459" s="15" t="inlineStr">
        <is>
          <t>1</t>
        </is>
      </c>
      <c r="J45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59" s="18" t="inlineStr"/>
      <c r="L459" s="18" t="inlineStr">
        <is>
          <t>Hypertension</t>
        </is>
      </c>
      <c r="M459" s="18" t="inlineStr">
        <is>
          <t>Clinic</t>
        </is>
      </c>
      <c r="N459" s="18" t="inlineStr">
        <is>
          <t>ข้อ 3 (PLE_CC1_Key_Rx20_UBU.md)</t>
        </is>
      </c>
      <c r="O459" s="18" t="inlineStr">
        <is>
          <t>Mock</t>
        </is>
      </c>
      <c r="P459" s="18" t="inlineStr">
        <is>
          <t>Mock Rx20 UBU</t>
        </is>
      </c>
    </row>
    <row r="460">
      <c r="A460" s="15" t="inlineStr">
        <is>
          <t>458</t>
        </is>
      </c>
      <c r="B460" s="18" t="inlineStr">
        <is>
          <t>Gentamicin eye drop + Ceftazidime eye drop</t>
        </is>
      </c>
      <c r="C460" s="18" t="inlineStr"/>
      <c r="D460" s="18" t="inlineStr">
        <is>
          <t>Aspirin 81 mg OD</t>
        </is>
      </c>
      <c r="E460" s="18" t="inlineStr">
        <is>
          <t>Sacubitril/Valsartan 49/51 mg BID</t>
        </is>
      </c>
      <c r="F460" s="18" t="inlineStr">
        <is>
          <t>Empagliflozin 10 mg OD</t>
        </is>
      </c>
      <c r="G460" s="18" t="inlineStr">
        <is>
          <t>Diltiazem 30 mg TID</t>
        </is>
      </c>
      <c r="H460" s="18" t="inlineStr">
        <is>
          <t>Warfarin 3 mg OD (target INR 2.0-3.0)</t>
        </is>
      </c>
      <c r="I460" s="15" t="inlineStr">
        <is>
          <t>2</t>
        </is>
      </c>
      <c r="J460" s="22" t="inlineStr">
        <is>
          <t>✅ คำตอบที่ถูกต้อง: ข้อ ข. Sacubitril/Valsartan 49/51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Sacubitril/Valsartan 49/51 mg BID การเลือก Sacubitril/Valsartan 49/51 mg BID เป็นคำตอบที่ถูกต้องตามแนวทางการรักษามาตรฐาน เนื่องจาก เป็น ARB ที่มี clinical evidence ชัดเจนใน Heart Failure (ร่วมกับ sacubitril เป็น ARNI) และ post-MI
🔍 ข้ออื่นผิดเพราะอะไร:
• ข้อ ก. (Aspirin 81 mg OD): เป็น irreversible COX-1 inhibitor ยับยั้ง Thromboxane A2 เป็นแกนหลักใน antiplatelet secondary prevention ของ CVD (ขนาดยา 75-100 mg/day)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Washout Period: ต้องหยุดยา ACEI ล่วงหน้าอย่างน้อย 36 ชั่วโมงก่อนเริ่ม ARNI เพื่อป้องกัน angioedema ที่เป็นอันตรายถึงชีวิต
• HFrEF First-line: เป็นเสาหลัก GDMT ที่ลด cardiovascular mortality และ HF hospitalization ได้เหนือกว่า Enalapril ชัดเจน</t>
        </is>
      </c>
      <c r="K460" s="18" t="inlineStr"/>
      <c r="L460" s="18" t="inlineStr">
        <is>
          <t>Hypertension</t>
        </is>
      </c>
      <c r="M460" s="18" t="inlineStr">
        <is>
          <t>Clinic</t>
        </is>
      </c>
      <c r="N460" s="18" t="inlineStr">
        <is>
          <t>ข้อ 5 (PLE_CC1_Key_Rx20_UBU.md)</t>
        </is>
      </c>
      <c r="O460" s="18" t="inlineStr">
        <is>
          <t>Mock</t>
        </is>
      </c>
      <c r="P460" s="18" t="inlineStr">
        <is>
          <t>Mock Rx20 UBU</t>
        </is>
      </c>
    </row>
    <row r="461">
      <c r="A461" s="15" t="inlineStr">
        <is>
          <t>459</t>
        </is>
      </c>
      <c r="B461" s="18" t="inlineStr">
        <is>
          <t>เปนาหมายความดันโลหิตในผู$ป&amp;วยรายนี้ควรเปญนเทGาใด</t>
        </is>
      </c>
      <c r="C461" s="18" t="inlineStr"/>
      <c r="D461" s="18" t="inlineStr">
        <is>
          <t>Diltiazem 30 mg TID</t>
        </is>
      </c>
      <c r="E461" s="18" t="inlineStr">
        <is>
          <t>Warfarin 3 mg OD (target INR 2.0-3.0)</t>
        </is>
      </c>
      <c r="F461" s="18" t="inlineStr">
        <is>
          <t>Furosemide 40 mg OD</t>
        </is>
      </c>
      <c r="G461" s="18" t="inlineStr">
        <is>
          <t>Amlodipine 5 mg OD</t>
        </is>
      </c>
      <c r="H461" s="18" t="inlineStr">
        <is>
          <t>Losartan 50 mg OD</t>
        </is>
      </c>
      <c r="I461" s="15" t="inlineStr">
        <is>
          <t>1</t>
        </is>
      </c>
      <c r="J46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61" s="18" t="inlineStr"/>
      <c r="L461" s="18" t="inlineStr">
        <is>
          <t>Hypertension</t>
        </is>
      </c>
      <c r="M461" s="18" t="inlineStr">
        <is>
          <t>Clinic</t>
        </is>
      </c>
      <c r="N461" s="18" t="inlineStr">
        <is>
          <t>ข้อ 31 (PLE_CC1_Key_Rx20_UBU.md)</t>
        </is>
      </c>
      <c r="O461" s="18" t="inlineStr">
        <is>
          <t>Mock</t>
        </is>
      </c>
      <c r="P461" s="18" t="inlineStr">
        <is>
          <t>Mock Rx20 UBU</t>
        </is>
      </c>
    </row>
    <row r="462">
      <c r="A462" s="15" t="inlineStr">
        <is>
          <t>460</t>
        </is>
      </c>
      <c r="B462" s="18" t="inlineStr">
        <is>
          <t>ภาวะความดันโลหิตสูงในผู$ป&amp;วยรายนี้ ไมGควรใช$ยาลดความดันโลหิตตัวใดในการรักษา</t>
        </is>
      </c>
      <c r="C462" s="18" t="inlineStr"/>
      <c r="D462" s="18" t="inlineStr">
        <is>
          <t>Amlodipine 5 mg OD</t>
        </is>
      </c>
      <c r="E462" s="18" t="inlineStr">
        <is>
          <t>Losartan 50 mg OD</t>
        </is>
      </c>
      <c r="F462" s="18" t="inlineStr">
        <is>
          <t>Enalapril 10 mg BID</t>
        </is>
      </c>
      <c r="G462" s="18" t="inlineStr">
        <is>
          <t>Hydrochlorothiazide 25 mg OD</t>
        </is>
      </c>
      <c r="H462" s="18" t="inlineStr">
        <is>
          <t>Atorvastatin 20 mg OD</t>
        </is>
      </c>
      <c r="I462" s="15" t="inlineStr">
        <is>
          <t>1</t>
        </is>
      </c>
      <c r="J46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62" s="18" t="inlineStr"/>
      <c r="L462" s="18" t="inlineStr">
        <is>
          <t>Hypertension</t>
        </is>
      </c>
      <c r="M462" s="18" t="inlineStr">
        <is>
          <t>Clinic</t>
        </is>
      </c>
      <c r="N462" s="18" t="inlineStr">
        <is>
          <t>ข้อ 33 (PLE_CC1_Key_Rx20_UBU.md)</t>
        </is>
      </c>
      <c r="O462" s="18" t="inlineStr">
        <is>
          <t>Mock</t>
        </is>
      </c>
      <c r="P462" s="18" t="inlineStr">
        <is>
          <t>Mock Rx20 UBU</t>
        </is>
      </c>
    </row>
    <row r="463">
      <c r="A463" s="15" t="inlineStr">
        <is>
          <t>461</t>
        </is>
      </c>
      <c r="B463" s="18" t="inlineStr">
        <is>
          <t>Alu-Alu strip ไมGได$บอกความหนา PVC: ข$อเสีย poor barrier against moisture ingress and oxygen ingress. PVDC: very high moisture and oxygen barrier properties Alu: near complete barrier for water and oxygen Aluminium foil ที่มีความหนาน$อยกวGา 25 um ไมGควรนำมาใช$กับยาที่ไวตGอความชื้น เพราะความชื้นสามารถซึมผGานรูเล็ก ๆ (pinholes) Cellophane: cellulose ความชื้นผGานได$มาก อากาศผGานได$น$อย</t>
        </is>
      </c>
      <c r="C463" s="18" t="inlineStr"/>
      <c r="D463" s="18" t="inlineStr">
        <is>
          <t>Hydrochlorothiazide 25 mg OD</t>
        </is>
      </c>
      <c r="E463" s="18" t="inlineStr">
        <is>
          <t>Atorvastatin 20 mg OD</t>
        </is>
      </c>
      <c r="F463" s="18" t="inlineStr">
        <is>
          <t>Simvastatin 20 mg HS</t>
        </is>
      </c>
      <c r="G463" s="18" t="inlineStr">
        <is>
          <t>Bisoprolol 5 mg OD</t>
        </is>
      </c>
      <c r="H463" s="18" t="inlineStr">
        <is>
          <t>Spironolactone 25 mg OD</t>
        </is>
      </c>
      <c r="I463" s="15" t="inlineStr">
        <is>
          <t>1</t>
        </is>
      </c>
      <c r="J46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63" s="18" t="inlineStr"/>
      <c r="L463" s="18" t="inlineStr">
        <is>
          <t>Hypertension</t>
        </is>
      </c>
      <c r="M463" s="18" t="inlineStr">
        <is>
          <t>Clinic</t>
        </is>
      </c>
      <c r="N463" s="18" t="inlineStr">
        <is>
          <t>ข้อ 5 (PLE_CC1_Key_Rx20_UBU.md)</t>
        </is>
      </c>
      <c r="O463" s="18" t="inlineStr">
        <is>
          <t>Mock</t>
        </is>
      </c>
      <c r="P463" s="18" t="inlineStr">
        <is>
          <t>Mock Rx20 UBU</t>
        </is>
      </c>
    </row>
    <row r="464">
      <c r="A464" s="15" t="inlineStr">
        <is>
          <t>462</t>
        </is>
      </c>
      <c r="B464" s="18" t="inlineStr">
        <is>
          <t>(thiamine) และ folic acid</t>
        </is>
      </c>
      <c r="C464" s="18" t="inlineStr"/>
      <c r="D464" s="18" t="inlineStr">
        <is>
          <t>Bisoprolol 5 mg OD</t>
        </is>
      </c>
      <c r="E464" s="18" t="inlineStr">
        <is>
          <t>Spironolactone 25 mg OD</t>
        </is>
      </c>
      <c r="F464" s="18" t="inlineStr">
        <is>
          <t>Clopidogrel 75 mg OD</t>
        </is>
      </c>
      <c r="G464" s="18" t="inlineStr">
        <is>
          <t>Aspirin 81 mg OD</t>
        </is>
      </c>
      <c r="H464" s="18" t="inlineStr">
        <is>
          <t>Sacubitril/Valsartan 49/51 mg BID</t>
        </is>
      </c>
      <c r="I464" s="15" t="inlineStr">
        <is>
          <t>2</t>
        </is>
      </c>
      <c r="J464" s="22" t="inlineStr">
        <is>
          <t>✅ คำตอบที่ถูกต้อง: ข้อ ข. Spironolactone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Spironolactone 25 mg OD การเลือก Spironolactone 25 mg OD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(Bisoprolol 5 mg OD): เป็น cardioselective beta-1 blocker ไม่ใช่ first-line monotherapy สำหรับ uncomplicated HTN แต่เป็น first-line GDMT ใน HFrEF หรือ post-MI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464" s="18" t="inlineStr"/>
      <c r="L464" s="18" t="inlineStr">
        <is>
          <t>Hypertension</t>
        </is>
      </c>
      <c r="M464" s="18" t="inlineStr">
        <is>
          <t>Clinic</t>
        </is>
      </c>
      <c r="N464" s="18" t="inlineStr">
        <is>
          <t>ข้อ 3 (PLE_CC1_Key_Rx20_UBU.md)</t>
        </is>
      </c>
      <c r="O464" s="18" t="inlineStr">
        <is>
          <t>Mock</t>
        </is>
      </c>
      <c r="P464" s="18" t="inlineStr">
        <is>
          <t>Mock Rx20 UBU</t>
        </is>
      </c>
    </row>
    <row r="465">
      <c r="A465" s="15" t="inlineStr">
        <is>
          <t>463</t>
        </is>
      </c>
      <c r="B465" s="18"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C465" s="18" t="inlineStr"/>
      <c r="D465" s="18" t="inlineStr">
        <is>
          <t>0.60 ml/hr</t>
        </is>
      </c>
      <c r="E465" s="18" t="inlineStr">
        <is>
          <t>0.75 ml/hr</t>
        </is>
      </c>
      <c r="F465" s="18" t="inlineStr">
        <is>
          <t>0.80 ml/hr</t>
        </is>
      </c>
      <c r="G465" s="18" t="inlineStr">
        <is>
          <t>0.85 ml/hr</t>
        </is>
      </c>
      <c r="H465" s="18"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465" s="15" t="inlineStr">
        <is>
          <t>2</t>
        </is>
      </c>
      <c r="J465" s="22"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ข้อนี้ไม่ใช่คำตอบที่ถูกต้องสำหรับภาวะ Hypertension เนื่องจากกลไกการออกฤทธิ์, efficacy หรือข้อบ่งใช้ไม่ตรงกับโจทย์ที่กำหนด
• ข้อ ค. (0.80 ml/hr): ข้อนี้ไม่ใช่คำตอบที่ถูกต้องสำหรับภาวะ Hypertension เนื่องจากกลไกการออกฤทธิ์, efficacy หรือข้อบ่งใช้ไม่ตรงกับโจทย์ที่กำหนด
• ข้อ ง. (0.85 ml/hr): ข้อนี้ไม่ใช่คำตอบที่ถูกต้องสำหรับภาวะ Hypertension เนื่องจากกลไกการออกฤทธิ์, efficacy หรือข้อบ่งใช้ไม่ตรงกับโจทย์ที่กำหนด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65" s="18" t="inlineStr"/>
      <c r="L465" s="18" t="inlineStr">
        <is>
          <t>Hypertension</t>
        </is>
      </c>
      <c r="M465" s="18" t="inlineStr">
        <is>
          <t>Clinic</t>
        </is>
      </c>
      <c r="N465" s="18" t="inlineStr">
        <is>
          <t>ข้อ 85 (PLE_CC1_Key_Rx20_UBU.md)</t>
        </is>
      </c>
      <c r="O465" s="18" t="inlineStr">
        <is>
          <t>Mock</t>
        </is>
      </c>
      <c r="P465" s="18" t="inlineStr">
        <is>
          <t>Mock Rx20 UBU</t>
        </is>
      </c>
    </row>
    <row r="466">
      <c r="A466" s="15" t="inlineStr">
        <is>
          <t>464</t>
        </is>
      </c>
      <c r="B466" s="18" t="inlineStr">
        <is>
          <t>หลังจากผู$ป&amp;วยได$รับยา Deferoxamine แล$วผู$ป&amp;วยมีป[สสาวะเปญนสีชมพูแดง ลักษณะดังกลGาวเกิดจากสาเหตุใด</t>
        </is>
      </c>
      <c r="C466" s="18" t="inlineStr"/>
      <c r="D466" s="18" t="inlineStr">
        <is>
          <t>เปญนภาวะโรคของผู$ป&amp;วยอยูGแล$ว</t>
        </is>
      </c>
      <c r="E466" s="18" t="inlineStr">
        <is>
          <t>เปญนสีของ Deferoxamine ที่ขับออกมาทางป[สสาวะ</t>
        </is>
      </c>
      <c r="F466" s="18" t="inlineStr">
        <is>
          <t>เปญนสีของ Deferoxamine-Fe complex ที่ขับออกมาทางป[สสาวะ</t>
        </is>
      </c>
      <c r="G466" s="18" t="inlineStr">
        <is>
          <t>Amlodipine 5 mg OD</t>
        </is>
      </c>
      <c r="H466" s="18" t="inlineStr">
        <is>
          <t>Losartan 50 mg OD</t>
        </is>
      </c>
      <c r="I466" s="15" t="inlineStr">
        <is>
          <t>2</t>
        </is>
      </c>
      <c r="J466" s="22"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ข้อนี้ไม่ใช่คำตอบที่ถูกต้องสำหรับภาวะ Hypertension เนื่องจากกลไกการออกฤทธิ์, efficacy หรือข้อบ่งใช้ไม่ตรงกับโจทย์ที่กำหนด
• ข้อ ค. (เปญนสีของ Deferoxamine-Fe complex ที่ขับออกมาทางป[สสาวะ): ข้อนี้ไม่ใช่คำตอบที่ถูกต้องสำหรับภาวะ Hypertension เนื่องจากกลไกการออกฤทธิ์, efficacy หรือข้อบ่งใช้ไม่ตรงกับโจทย์ที่กำหนด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66" s="18" t="inlineStr"/>
      <c r="L466" s="18" t="inlineStr">
        <is>
          <t>Hypertension</t>
        </is>
      </c>
      <c r="M466" s="18" t="inlineStr">
        <is>
          <t>Clinic</t>
        </is>
      </c>
      <c r="N466" s="18" t="inlineStr">
        <is>
          <t>ข้อ 86 (PLE_CC1_Key_Rx20_UBU.md)</t>
        </is>
      </c>
      <c r="O466" s="18" t="inlineStr">
        <is>
          <t>Mock</t>
        </is>
      </c>
      <c r="P466" s="18" t="inlineStr">
        <is>
          <t>Mock Rx20 UBU</t>
        </is>
      </c>
    </row>
    <row r="467">
      <c r="A467" s="15" t="inlineStr">
        <is>
          <t>465</t>
        </is>
      </c>
      <c r="B467" s="18" t="inlineStr">
        <is>
          <t>จากโครงสร$างของ Deferoxamine หมูGฟ[งก_ชันใดที่เข$าจับกับเหล็ก</t>
        </is>
      </c>
      <c r="C467" s="18" t="inlineStr"/>
      <c r="D467" s="18" t="inlineStr">
        <is>
          <t>Nitro carbamate</t>
        </is>
      </c>
      <c r="E467" s="18" t="inlineStr">
        <is>
          <t>Nitro-carbonyl</t>
        </is>
      </c>
      <c r="F467" s="18" t="inlineStr">
        <is>
          <t>Enalapril 10 mg BID</t>
        </is>
      </c>
      <c r="G467" s="18" t="inlineStr">
        <is>
          <t>Hydrochlorothiazide 25 mg OD</t>
        </is>
      </c>
      <c r="H467" s="18" t="inlineStr">
        <is>
          <t>…Carbamate</t>
        </is>
      </c>
      <c r="I467" s="15" t="inlineStr">
        <is>
          <t>2</t>
        </is>
      </c>
      <c r="J467" s="22"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ข้อนี้ไม่ใช่คำตอบที่ถูกต้องสำหรับภาวะ Hypertension เนื่องจากกลไกการออกฤทธิ์, efficacy หรือข้อบ่งใช้ไม่ตรงกับโจทย์ที่กำหนด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(…Carbamate):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67" s="18" t="inlineStr"/>
      <c r="L467" s="18" t="inlineStr">
        <is>
          <t>Hypertension</t>
        </is>
      </c>
      <c r="M467" s="18" t="inlineStr">
        <is>
          <t>Clinic</t>
        </is>
      </c>
      <c r="N467" s="18" t="inlineStr">
        <is>
          <t>ข้อ 87 (PLE_CC1_Key_Rx20_UBU.md)</t>
        </is>
      </c>
      <c r="O467" s="18" t="inlineStr">
        <is>
          <t>Mock</t>
        </is>
      </c>
      <c r="P467" s="18" t="inlineStr">
        <is>
          <t>Mock Rx20 UBU</t>
        </is>
      </c>
    </row>
    <row r="468">
      <c r="A468" s="15" t="inlineStr">
        <is>
          <t>466</t>
        </is>
      </c>
      <c r="B468" s="18" t="inlineStr">
        <is>
          <t>uniformity of dosage unit เริ่มพีม</t>
        </is>
      </c>
      <c r="C468" s="18" t="inlineStr"/>
      <c r="D468" s="18" t="inlineStr">
        <is>
          <t>Hydrochlorothiazide 25 mg OD</t>
        </is>
      </c>
      <c r="E468" s="18" t="inlineStr">
        <is>
          <t>Atorvastatin 20 mg OD</t>
        </is>
      </c>
      <c r="F468" s="18" t="inlineStr">
        <is>
          <t>Simvastatin 20 mg HS</t>
        </is>
      </c>
      <c r="G468" s="18" t="inlineStr">
        <is>
          <t>Bisoprolol 5 mg OD</t>
        </is>
      </c>
      <c r="H468" s="18" t="inlineStr">
        <is>
          <t>Spironolactone 25 mg OD</t>
        </is>
      </c>
      <c r="I468" s="15" t="inlineStr">
        <is>
          <t>2</t>
        </is>
      </c>
      <c r="J468" s="22" t="inlineStr">
        <is>
          <t>✅ คำตอบที่ถูกต้อง: ข้อ ข. Atorvastatin 20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Atorvastatin 20 mg OD การเลือก Atorvastatin 20 mg OD เป็นคำตอบที่ถูกต้องตามแนวทางการรักษามาตรฐาน เนื่องจาก เป็น High-intensity statin (40-80 mg) ยับยั้ง HMG-CoA reductase มี clinical efficacy สูงสุดในการลด LDL-C ≥ 50% และ plaque stabilization ใน ACS/CAD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High-Intensity Dosing: ขนาดยา 40-80 mg จัดเป็น High-intensity statin ลด LDL-C ได้ ≥ 50% เป็น first-line ใน ASCVD
• Myopathy &amp; CYP3A4: เปลี่ยนสภาพผ่าน CYP3A4 เฝ้าระวังอาการปวดกล้ามเนื้อ (myalgia/rhabdomyolysis) เมื่อใช้ร่วมกับ Macrolides, Azoles หรือ Gemfibrozil</t>
        </is>
      </c>
      <c r="K468" s="18" t="inlineStr"/>
      <c r="L468" s="18" t="inlineStr">
        <is>
          <t>Hypertension</t>
        </is>
      </c>
      <c r="M468" s="18" t="inlineStr">
        <is>
          <t>Clinic</t>
        </is>
      </c>
      <c r="N468" s="18" t="inlineStr">
        <is>
          <t>ข้อ 5 (PLE_CC1_Key_Rx20_UBU.md)</t>
        </is>
      </c>
      <c r="O468" s="18" t="inlineStr">
        <is>
          <t>Mock</t>
        </is>
      </c>
      <c r="P468" s="18" t="inlineStr">
        <is>
          <t>Mock Rx20 UBU</t>
        </is>
      </c>
    </row>
    <row r="469">
      <c r="A469" s="15" t="inlineStr">
        <is>
          <t>467</t>
        </is>
      </c>
      <c r="B469" s="18" t="inlineStr">
        <is>
          <t>Aromatic amino Decarboxylase ออกฤทธิ์จับกับเอนไซม_อะไร แล$วตัวมันก็จะถูกทำลายโดย enzyme นั้นแทน L-DOPA</t>
        </is>
      </c>
      <c r="C469" s="18" t="inlineStr"/>
      <c r="D469" s="18" t="inlineStr">
        <is>
          <t>Bisoprolol 5 mg OD</t>
        </is>
      </c>
      <c r="E469" s="18" t="inlineStr">
        <is>
          <t>Spironolactone 25 mg OD</t>
        </is>
      </c>
      <c r="F469" s="18" t="inlineStr">
        <is>
          <t>Clopidogrel 75 mg OD</t>
        </is>
      </c>
      <c r="G469" s="18" t="inlineStr">
        <is>
          <t>Aspirin 81 mg OD</t>
        </is>
      </c>
      <c r="H469" s="18" t="inlineStr">
        <is>
          <t>Sacubitril/Valsartan 49/51 mg BID</t>
        </is>
      </c>
      <c r="I469" s="15" t="inlineStr">
        <is>
          <t>1</t>
        </is>
      </c>
      <c r="J46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69" s="18" t="inlineStr"/>
      <c r="L469" s="18" t="inlineStr">
        <is>
          <t>Hypertension</t>
        </is>
      </c>
      <c r="M469" s="18" t="inlineStr">
        <is>
          <t>Clinic</t>
        </is>
      </c>
      <c r="N469" s="18" t="inlineStr">
        <is>
          <t>ข้อ 5 (PLE_CC1_Key_Rx20_UBU.md)</t>
        </is>
      </c>
      <c r="O469" s="18" t="inlineStr">
        <is>
          <t>Mock</t>
        </is>
      </c>
      <c r="P469" s="18" t="inlineStr">
        <is>
          <t>Mock Rx20 UBU</t>
        </is>
      </c>
    </row>
    <row r="470">
      <c r="A470" s="15" t="inlineStr">
        <is>
          <t>468</t>
        </is>
      </c>
      <c r="B470" s="18" t="inlineStr">
        <is>
          <t>กรณีพบยา Midazolam ในร้านขายยา ใครถือเป็นผู้กระทำความผิด</t>
        </is>
      </c>
      <c r="C470" s="18" t="inlineStr"/>
      <c r="D470" s="18" t="inlineStr">
        <is>
          <t>นาย ก.</t>
        </is>
      </c>
      <c r="E470" s="18" t="inlineStr">
        <is>
          <t>นาย ข.</t>
        </is>
      </c>
      <c r="F470" s="18" t="inlineStr">
        <is>
          <t>นาย ค.</t>
        </is>
      </c>
      <c r="G470" s="18" t="inlineStr">
        <is>
          <t>นาย ก. และนาย ข.</t>
        </is>
      </c>
      <c r="H470" s="18"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470" s="15" t="inlineStr">
        <is>
          <t>4</t>
        </is>
      </c>
      <c r="J470" s="22"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ข้อนี้ไม่ใช่คำตอบที่ถูกต้องสำหรับภาวะ Hypertension เนื่องจากกลไกการออกฤทธิ์, efficacy หรือข้อบ่งใช้ไม่ตรงกับโจทย์ที่กำหนด
• ข้อ ข. (นาย ข.): ข้อนี้ไม่ใช่คำตอบที่ถูกต้องสำหรับภาวะ Hypertension เนื่องจากกลไกการออกฤทธิ์, efficacy หรือข้อบ่งใช้ไม่ตรงกับโจทย์ที่กำหนด
• ข้อ ค. (นาย ค.): ข้อนี้ไม่ใช่คำตอบที่ถูกต้องสำหรับภาวะ Hypertension เนื่องจากกลไกการออกฤทธิ์, efficacy หรือข้อบ่งใช้ไม่ตรงกับโจทย์ที่กำหนด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70" s="18" t="inlineStr"/>
      <c r="L470" s="18" t="inlineStr">
        <is>
          <t>Hypertension</t>
        </is>
      </c>
      <c r="M470" s="18" t="inlineStr">
        <is>
          <t>Clinic</t>
        </is>
      </c>
      <c r="N470" s="18" t="inlineStr">
        <is>
          <t>ข้อ 6 (PLE_CC1_Key_Rx20_UBU.md)</t>
        </is>
      </c>
      <c r="O470" s="18" t="inlineStr">
        <is>
          <t>Mock</t>
        </is>
      </c>
      <c r="P470" s="18" t="inlineStr">
        <is>
          <t>Mock Rx20 UBU</t>
        </is>
      </c>
    </row>
    <row r="471">
      <c r="A471" s="15" t="inlineStr">
        <is>
          <t>469</t>
        </is>
      </c>
      <c r="B471" s="18" t="inlineStr">
        <is>
          <t>NSAIDs อะไรที่สงผลเสียต่อหัวใจน้อยที่สุด</t>
        </is>
      </c>
      <c r="C471" s="18" t="inlineStr"/>
      <c r="D471" s="18" t="inlineStr">
        <is>
          <t>Indomethacin</t>
        </is>
      </c>
      <c r="E471" s="18" t="inlineStr">
        <is>
          <t>Diclofanac</t>
        </is>
      </c>
      <c r="F471" s="18" t="inlineStr">
        <is>
          <t>Ibuprofen</t>
        </is>
      </c>
      <c r="G471" s="18" t="inlineStr">
        <is>
          <t>Celecoxib</t>
        </is>
      </c>
      <c r="H471" s="18" t="inlineStr">
        <is>
          <t>Naproxen</t>
        </is>
      </c>
      <c r="I471" s="15" t="inlineStr">
        <is>
          <t>5</t>
        </is>
      </c>
      <c r="J471" s="22" t="inlineStr">
        <is>
          <t>✅ คำตอบที่ถูกต้อง: ข้อ จ. Naproxen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Naproxen การเลือก Naproxen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(Diclofanac): ข้อนี้ไม่ใช่คำตอบที่ถูกต้องสำหรับภาวะ Hypertension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471" s="18" t="inlineStr"/>
      <c r="L471" s="18" t="inlineStr">
        <is>
          <t>Hypertension</t>
        </is>
      </c>
      <c r="M471" s="18" t="inlineStr">
        <is>
          <t>Clinic</t>
        </is>
      </c>
      <c r="N471" s="18" t="inlineStr">
        <is>
          <t>ข้อ 3 (PLE_CC1_Key_Rx20_UBU.md)</t>
        </is>
      </c>
      <c r="O471" s="18" t="inlineStr">
        <is>
          <t>Mock</t>
        </is>
      </c>
      <c r="P471" s="18" t="inlineStr">
        <is>
          <t>Mock Rx20 UBU</t>
        </is>
      </c>
    </row>
    <row r="472">
      <c r="A472" s="15" t="inlineStr">
        <is>
          <t>470</t>
        </is>
      </c>
      <c r="B472" s="18"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472" s="18" t="inlineStr"/>
      <c r="D472" s="18" t="inlineStr">
        <is>
          <t>10xx</t>
        </is>
      </c>
      <c r="E472" s="18" t="inlineStr">
        <is>
          <t>1xxx</t>
        </is>
      </c>
      <c r="F472" s="15" t="inlineStr">
        <is>
          <t>1500</t>
        </is>
      </c>
      <c r="G472" s="15" t="inlineStr">
        <is>
          <t>1844</t>
        </is>
      </c>
      <c r="H472" s="18"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t>
        </is>
      </c>
      <c r="I472" s="15" t="inlineStr">
        <is>
          <t>1</t>
        </is>
      </c>
      <c r="J472" s="22"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ข้อนี้ไม่ใช่คำตอบที่ถูกต้องสำหรับภาวะ Hypertension เนื่องจากกลไกการออกฤทธิ์, efficacy หรือข้อบ่งใช้ไม่ตรงกับโจทย์ที่กำหนด
• ข้อ ค. (1500): ข้อนี้ไม่ใช่คำตอบที่ถูกต้องสำหรับภาวะ Hypertension เนื่องจากกลไกการออกฤทธิ์, efficacy หรือข้อบ่งใช้ไม่ตรงกับโจทย์ที่กำหนด
• ข้อ ง. (1844): ข้อนี้ไม่ใช่คำตอบที่ถูกต้องสำหรับภาวะ Hypertension เนื่องจากกลไกการออกฤทธิ์, efficacy หรือข้อบ่งใช้ไม่ตรงกับโจทย์ที่กำหนด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เป็นเพียง dietary supplement / symptom-modifying therapy สำหรับ OA ไม่ได้จัดเป็น disease-modifying agent และ CPG สากล (ACR) ไม่แนะนำให้ใช้เป็น first-line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72" s="18" t="inlineStr"/>
      <c r="L472" s="18" t="inlineStr">
        <is>
          <t>Hypertension</t>
        </is>
      </c>
      <c r="M472" s="18" t="inlineStr">
        <is>
          <t>Clinic</t>
        </is>
      </c>
      <c r="N472" s="18" t="inlineStr">
        <is>
          <t>ข้อ 5 (PLE_CC1_Key_Rx20_UBU.md)</t>
        </is>
      </c>
      <c r="O472" s="18" t="inlineStr">
        <is>
          <t>Mock</t>
        </is>
      </c>
      <c r="P472" s="18" t="inlineStr">
        <is>
          <t>Mock Rx20 UBU</t>
        </is>
      </c>
    </row>
    <row r="473">
      <c r="A473" s="15" t="inlineStr">
        <is>
          <t>471</t>
        </is>
      </c>
      <c r="B473" s="18" t="inlineStr">
        <is>
          <t>อาการไม่พึงประสงค์ที่เกิดจากยา enalapril คือ</t>
        </is>
      </c>
      <c r="C473" s="18" t="inlineStr"/>
      <c r="D473" s="18" t="inlineStr">
        <is>
          <t>Hydrochlorothiazide 25 mg OD</t>
        </is>
      </c>
      <c r="E473" s="18" t="inlineStr">
        <is>
          <t>Atorvastatin 20 mg OD</t>
        </is>
      </c>
      <c r="F473" s="18" t="inlineStr">
        <is>
          <t>Simvastatin 20 mg HS</t>
        </is>
      </c>
      <c r="G473" s="18" t="inlineStr">
        <is>
          <t>Bisoprolol 5 mg OD</t>
        </is>
      </c>
      <c r="H473" s="18" t="inlineStr">
        <is>
          <t>Spironolactone 25 mg OD</t>
        </is>
      </c>
      <c r="I473" s="15" t="inlineStr">
        <is>
          <t>1</t>
        </is>
      </c>
      <c r="J47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473" s="18" t="inlineStr"/>
      <c r="L473" s="18" t="inlineStr">
        <is>
          <t>Hypertension</t>
        </is>
      </c>
      <c r="M473" s="18" t="inlineStr">
        <is>
          <t>Clinic</t>
        </is>
      </c>
      <c r="N473" s="18" t="inlineStr">
        <is>
          <t>ข้อ 5 (PLE_CC1_Key_Rx20_UBU.md)</t>
        </is>
      </c>
      <c r="O473" s="18" t="inlineStr">
        <is>
          <t>Mock</t>
        </is>
      </c>
      <c r="P473" s="18" t="inlineStr">
        <is>
          <t>Mock Rx20 UBU</t>
        </is>
      </c>
    </row>
    <row r="474">
      <c r="A474" s="15" t="inlineStr">
        <is>
          <t>472</t>
        </is>
      </c>
      <c r="B474" s="18" t="inlineStr">
        <is>
          <t>ไข้สูง Case 4: HTN ผู้ป่วย อายุ 65 ปี ความดันโลหิตสูง ยาที่ได้รับ enalapril 20 mg 1x2 …etc...</t>
        </is>
      </c>
      <c r="C474" s="18" t="inlineStr"/>
      <c r="D474" s="18" t="inlineStr">
        <is>
          <t>Bisoprolol 5 mg OD</t>
        </is>
      </c>
      <c r="E474" s="18" t="inlineStr">
        <is>
          <t>Spironolactone 25 mg OD</t>
        </is>
      </c>
      <c r="F474" s="18" t="inlineStr">
        <is>
          <t>Clopidogrel 75 mg OD</t>
        </is>
      </c>
      <c r="G474" s="18" t="inlineStr">
        <is>
          <t>Aspirin 81 mg OD</t>
        </is>
      </c>
      <c r="H474" s="18" t="inlineStr">
        <is>
          <t>Sacubitril/Valsartan 49/51 mg BID</t>
        </is>
      </c>
      <c r="I474" s="15" t="inlineStr">
        <is>
          <t>5</t>
        </is>
      </c>
      <c r="J474" s="22" t="inlineStr">
        <is>
          <t>✅ คำตอบที่ถูกต้อง: ข้อ จ. Sacubitril/Valsartan 49/51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Sacubitril/Valsartan 49/51 mg BID การเลือก Sacubitril/Valsartan 49/51 mg BID เป็นคำตอบที่ถูกต้องตามแนวทางการรักษามาตรฐาน เนื่องจาก เป็น ARB ที่มี clinical evidence ชัดเจนใน Heart Failure (ร่วมกับ sacubitril เป็น ARNI) และ post-MI
🔍 ข้ออื่นผิดเพราะอะไร:
• ข้อ ก. (Bisoprolol 5 mg OD): เป็น cardioselective beta-1 blocker ไม่ใช่ first-line monotherapy สำหรับ uncomplicated HTN แต่เป็น first-line GDMT ใน HFrEF หรือ post-MI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474" s="18" t="inlineStr"/>
      <c r="L474" s="18" t="inlineStr">
        <is>
          <t>Hypertension</t>
        </is>
      </c>
      <c r="M474" s="18" t="inlineStr">
        <is>
          <t>Clinic</t>
        </is>
      </c>
      <c r="N474" s="18" t="inlineStr">
        <is>
          <t>ข้อ 2 (PLE_CC1_Key_Rx20_UBU.md)</t>
        </is>
      </c>
      <c r="O474" s="18" t="inlineStr">
        <is>
          <t>Mock</t>
        </is>
      </c>
      <c r="P474" s="18" t="inlineStr">
        <is>
          <t>Mock Rx20 UBU</t>
        </is>
      </c>
    </row>
    <row r="475">
      <c r="A475" s="15" t="inlineStr">
        <is>
          <t>473</t>
        </is>
      </c>
      <c r="B475" s="18" t="inlineStr">
        <is>
          <t>เกณฑ์เป้าหมายความดันโลหิต ตาม JNC 8 สำหรับผู้ป่วยรายนี้คือ</t>
        </is>
      </c>
      <c r="C475" s="18" t="inlineStr"/>
      <c r="D475" s="18" t="inlineStr">
        <is>
          <t>Aspirin 81 mg OD</t>
        </is>
      </c>
      <c r="E475" s="18" t="inlineStr">
        <is>
          <t>Sacubitril/Valsartan 49/51 mg BID</t>
        </is>
      </c>
      <c r="F475" s="18" t="inlineStr">
        <is>
          <t>Empagliflozin 10 mg OD</t>
        </is>
      </c>
      <c r="G475" s="18" t="inlineStr">
        <is>
          <t>Diltiazem 30 mg TID</t>
        </is>
      </c>
      <c r="H475" s="18" t="inlineStr">
        <is>
          <t>Warfarin 3 mg OD (target INR 2.0-3.0)</t>
        </is>
      </c>
      <c r="I475" s="15" t="inlineStr">
        <is>
          <t>1</t>
        </is>
      </c>
      <c r="J47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75" s="18" t="inlineStr"/>
      <c r="L475" s="18" t="inlineStr">
        <is>
          <t>Hypertension</t>
        </is>
      </c>
      <c r="M475" s="18" t="inlineStr">
        <is>
          <t>Clinic</t>
        </is>
      </c>
      <c r="N475" s="18" t="inlineStr">
        <is>
          <t>ข้อ 1 (PLE_CC1_Key_Rx20_UBU.md)</t>
        </is>
      </c>
      <c r="O475" s="18" t="inlineStr">
        <is>
          <t>Mock</t>
        </is>
      </c>
      <c r="P475" s="18" t="inlineStr">
        <is>
          <t>Mock Rx20 UBU</t>
        </is>
      </c>
    </row>
    <row r="476">
      <c r="A476" s="15" t="inlineStr">
        <is>
          <t>474</t>
        </is>
      </c>
      <c r="B476" s="18" t="inlineStr">
        <is>
          <t>หากจะเพิ่มยาลดความดันเลือกยาไหนดี</t>
        </is>
      </c>
      <c r="C476" s="18" t="inlineStr"/>
      <c r="D476" s="18" t="inlineStr">
        <is>
          <t>Diltiazem 30 mg TID</t>
        </is>
      </c>
      <c r="E476" s="18" t="inlineStr">
        <is>
          <t>Warfarin 3 mg OD (target INR 2.0-3.0)</t>
        </is>
      </c>
      <c r="F476" s="18" t="inlineStr">
        <is>
          <t>Furosemide 40 mg OD</t>
        </is>
      </c>
      <c r="G476" s="18" t="inlineStr">
        <is>
          <t>Amlodipine 5 mg OD</t>
        </is>
      </c>
      <c r="H476" s="18" t="inlineStr">
        <is>
          <t>Losartan 50 mg OD</t>
        </is>
      </c>
      <c r="I476" s="15" t="inlineStr">
        <is>
          <t>1</t>
        </is>
      </c>
      <c r="J47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76" s="18" t="inlineStr"/>
      <c r="L476" s="18" t="inlineStr">
        <is>
          <t>Hypertension</t>
        </is>
      </c>
      <c r="M476" s="18" t="inlineStr">
        <is>
          <t>Clinic</t>
        </is>
      </c>
      <c r="N476" s="18" t="inlineStr">
        <is>
          <t>ข้อ 2 (PLE_CC1_Key_Rx20_UBU.md)</t>
        </is>
      </c>
      <c r="O476" s="18" t="inlineStr">
        <is>
          <t>Mock</t>
        </is>
      </c>
      <c r="P476" s="18" t="inlineStr">
        <is>
          <t>Mock Rx20 UBU</t>
        </is>
      </c>
    </row>
    <row r="477">
      <c r="A477" s="15" t="inlineStr">
        <is>
          <t>475</t>
        </is>
      </c>
      <c r="B477" s="18" t="inlineStr">
        <is>
          <t>เพิ่มขนาดยา Enalapril</t>
        </is>
      </c>
      <c r="C477" s="18" t="inlineStr"/>
      <c r="D477" s="18" t="inlineStr">
        <is>
          <t>Amlodipine 5 mg OD</t>
        </is>
      </c>
      <c r="E477" s="18" t="inlineStr">
        <is>
          <t>Losartan 50 mg OD</t>
        </is>
      </c>
      <c r="F477" s="18" t="inlineStr">
        <is>
          <t>Enalapril 10 mg BID</t>
        </is>
      </c>
      <c r="G477" s="18" t="inlineStr">
        <is>
          <t>Hydrochlorothiazide 25 mg OD</t>
        </is>
      </c>
      <c r="H477" s="18" t="inlineStr">
        <is>
          <t>Atorvastatin 20 mg OD</t>
        </is>
      </c>
      <c r="I477" s="15" t="inlineStr">
        <is>
          <t>1</t>
        </is>
      </c>
      <c r="J47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77" s="18" t="inlineStr"/>
      <c r="L477" s="18" t="inlineStr">
        <is>
          <t>Hypertension</t>
        </is>
      </c>
      <c r="M477" s="18" t="inlineStr">
        <is>
          <t>Clinic</t>
        </is>
      </c>
      <c r="N477" s="18" t="inlineStr">
        <is>
          <t>ข้อ 4 (PLE_CC1_Key_Rx20_UBU.md)</t>
        </is>
      </c>
      <c r="O477" s="18" t="inlineStr">
        <is>
          <t>Mock</t>
        </is>
      </c>
      <c r="P477" s="18" t="inlineStr">
        <is>
          <t>Mock Rx20 UBU</t>
        </is>
      </c>
    </row>
    <row r="478">
      <c r="A478" s="15" t="inlineStr">
        <is>
          <t>476</t>
        </is>
      </c>
      <c r="B478" s="18" t="inlineStr">
        <is>
          <t>Amlodipine แล้ว และในแนวทางการรักษาไม่แนะนำการใช้ Beta-blocker หากไม่มีข้อบ่งใช้พิเศษ</t>
        </is>
      </c>
      <c r="C478" s="18" t="inlineStr"/>
      <c r="D478" s="18" t="inlineStr">
        <is>
          <t>Hydrochlorothiazide 25 mg OD</t>
        </is>
      </c>
      <c r="E478" s="18" t="inlineStr">
        <is>
          <t>Atorvastatin 20 mg OD</t>
        </is>
      </c>
      <c r="F478" s="18" t="inlineStr">
        <is>
          <t>Simvastatin 20 mg HS</t>
        </is>
      </c>
      <c r="G478" s="18" t="inlineStr">
        <is>
          <t>Bisoprolol 5 mg OD</t>
        </is>
      </c>
      <c r="H478" s="18" t="inlineStr">
        <is>
          <t>Spironolactone 25 mg OD</t>
        </is>
      </c>
      <c r="I478" s="15" t="inlineStr">
        <is>
          <t>3</t>
        </is>
      </c>
      <c r="J478" s="22" t="inlineStr">
        <is>
          <t>✅ คำตอบที่ถูกต้อง: ข้อ ค. Simvastatin 20 mg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20 mg HS การเลือก Simvastatin 20 mg HS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78" s="18" t="inlineStr"/>
      <c r="L478" s="18" t="inlineStr">
        <is>
          <t>Hypertension</t>
        </is>
      </c>
      <c r="M478" s="18" t="inlineStr">
        <is>
          <t>Clinic</t>
        </is>
      </c>
      <c r="N478" s="18" t="inlineStr">
        <is>
          <t>ข้อ 5 (PLE_CC1_Key_Rx20_UBU.md)</t>
        </is>
      </c>
      <c r="O478" s="18" t="inlineStr">
        <is>
          <t>Mock</t>
        </is>
      </c>
      <c r="P478" s="18" t="inlineStr">
        <is>
          <t>Mock Rx20 UBU</t>
        </is>
      </c>
    </row>
    <row r="479">
      <c r="A479" s="15" t="inlineStr">
        <is>
          <t>477</t>
        </is>
      </c>
      <c r="B479" s="18" t="inlineStr">
        <is>
          <t>Hydrolysis intermediate precursor ของ dopamine ซึ งจะถูกเปลี่ยนเป็น dopamine ด้วยเอนไซม์ aromatic amino acid decarboxylase (AADC) (DOPA decarboxylase)</t>
        </is>
      </c>
      <c r="C479" s="18" t="inlineStr"/>
      <c r="D479" s="18" t="inlineStr">
        <is>
          <t>Bisoprolol 5 mg OD</t>
        </is>
      </c>
      <c r="E479" s="18" t="inlineStr">
        <is>
          <t>Spironolactone 25 mg OD</t>
        </is>
      </c>
      <c r="F479" s="18" t="inlineStr">
        <is>
          <t>Clopidogrel 75 mg OD</t>
        </is>
      </c>
      <c r="G479" s="18" t="inlineStr">
        <is>
          <t>Aspirin 81 mg OD</t>
        </is>
      </c>
      <c r="H479" s="18" t="inlineStr">
        <is>
          <t>Sacubitril/Valsartan 49/51 mg BID</t>
        </is>
      </c>
      <c r="I479" s="15" t="inlineStr">
        <is>
          <t>4</t>
        </is>
      </c>
      <c r="J479" s="22" t="inlineStr">
        <is>
          <t>✅ คำตอบที่ถูกต้อง: ข้อ ง.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(Bisoprolol 5 mg OD): เป็น cardioselective beta-1 blocker ไม่ใช่ first-line monotherapy สำหรับ uncomplicated HTN แต่เป็น first-line GDMT ใน HFrEF หรือ post-MI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79" s="18" t="inlineStr"/>
      <c r="L479" s="18" t="inlineStr">
        <is>
          <t>Hypertension</t>
        </is>
      </c>
      <c r="M479" s="18" t="inlineStr">
        <is>
          <t>Clinic</t>
        </is>
      </c>
      <c r="N479" s="18" t="inlineStr">
        <is>
          <t>ข้อ 5 (PLE_CC1_Key_Rx20_UBU.md)</t>
        </is>
      </c>
      <c r="O479" s="18" t="inlineStr">
        <is>
          <t>Mock</t>
        </is>
      </c>
      <c r="P479" s="18" t="inlineStr">
        <is>
          <t>Mock Rx20 UBU</t>
        </is>
      </c>
    </row>
    <row r="480">
      <c r="A480" s="15" t="inlineStr">
        <is>
          <t>478</t>
        </is>
      </c>
      <c r="B480" s="18" t="inlineStr">
        <is>
          <t>เปลี่ยนเป็น dopamine ก่อนแล้วจึงผ่าน BBB</t>
        </is>
      </c>
      <c r="C480" s="18" t="inlineStr"/>
      <c r="D480" s="18" t="inlineStr">
        <is>
          <t>Aspirin 81 mg OD</t>
        </is>
      </c>
      <c r="E480" s="18" t="inlineStr">
        <is>
          <t>Sacubitril/Valsartan 49/51 mg BID</t>
        </is>
      </c>
      <c r="F480" s="18" t="inlineStr">
        <is>
          <t>Empagliflozin 10 mg OD</t>
        </is>
      </c>
      <c r="G480" s="18" t="inlineStr">
        <is>
          <t>Diltiazem 30 mg TID</t>
        </is>
      </c>
      <c r="H480" s="18" t="inlineStr">
        <is>
          <t>Warfarin 3 mg OD (target INR 2.0-3.0)</t>
        </is>
      </c>
      <c r="I480" s="15" t="inlineStr">
        <is>
          <t>1</t>
        </is>
      </c>
      <c r="J48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80" s="18" t="inlineStr"/>
      <c r="L480" s="18" t="inlineStr">
        <is>
          <t>Hypertension</t>
        </is>
      </c>
      <c r="M480" s="18" t="inlineStr">
        <is>
          <t>Clinic</t>
        </is>
      </c>
      <c r="N480" s="18" t="inlineStr">
        <is>
          <t>ข้อ 1 (PLE_CC1_Key_Rx20_UBU.md)</t>
        </is>
      </c>
      <c r="O480" s="18" t="inlineStr">
        <is>
          <t>Mock</t>
        </is>
      </c>
      <c r="P480" s="18" t="inlineStr">
        <is>
          <t>Mock Rx20 UBU</t>
        </is>
      </c>
    </row>
    <row r="481">
      <c r="A481" s="15" t="inlineStr">
        <is>
          <t>479</t>
        </is>
      </c>
      <c r="B481" s="18" t="inlineStr">
        <is>
          <t>Trihexyphenedryl เกิดอันตรกิริยากับ Levodopa และมีอาการเคลื่อนไหวแย่ลงเมื่อใกล้กับมื้อยาถัดไป เป็นภาวะการตอบสนองต่อยา levodopa ไม่ สม่ำเสมอที่พบบ่อย คือ wearing off เป็นภาวะที่ levodopa ได้ผลเพียง 1-2 ชั่วโมง จากนั้นก่อนได้รับยาในครั้งถัดไปผู้ป่วยจะมีอาการเกร็งและเคลื่อนไหวไม่ได้ สาเหตุเกิดจากการตายของเซลล์ประสาท dopamine และค่าครึ่งชีวิตของ levodopa ที่สั้น ทำให้การตอบสนองต่อยาขึ้นกับระดับ levodopa ที่มีในเลือดเท่านั้น</t>
        </is>
      </c>
      <c r="C481" s="18" t="inlineStr"/>
      <c r="D481" s="18" t="inlineStr">
        <is>
          <t>Diltiazem 30 mg TID</t>
        </is>
      </c>
      <c r="E481" s="18" t="inlineStr">
        <is>
          <t>Warfarin 3 mg OD (target INR 2.0-3.0)</t>
        </is>
      </c>
      <c r="F481" s="18" t="inlineStr">
        <is>
          <t>Furosemide 40 mg OD</t>
        </is>
      </c>
      <c r="G481" s="18" t="inlineStr">
        <is>
          <t>Amlodipine 5 mg OD</t>
        </is>
      </c>
      <c r="H481" s="18" t="inlineStr">
        <is>
          <t>Losartan 50 mg OD</t>
        </is>
      </c>
      <c r="I481" s="15" t="inlineStr">
        <is>
          <t>1</t>
        </is>
      </c>
      <c r="J48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81" s="18" t="inlineStr"/>
      <c r="L481" s="18" t="inlineStr">
        <is>
          <t>Hypertension</t>
        </is>
      </c>
      <c r="M481" s="18" t="inlineStr">
        <is>
          <t>Clinic</t>
        </is>
      </c>
      <c r="N481" s="18" t="inlineStr">
        <is>
          <t>ข้อ 3 (PLE_CC1_Key_Rx20_UBU.md)</t>
        </is>
      </c>
      <c r="O481" s="18" t="inlineStr">
        <is>
          <t>Mock</t>
        </is>
      </c>
      <c r="P481" s="18" t="inlineStr">
        <is>
          <t>Mock Rx20 UBU</t>
        </is>
      </c>
    </row>
    <row r="482">
      <c r="A482" s="15" t="inlineStr">
        <is>
          <t>480</t>
        </is>
      </c>
      <c r="B482" s="18" t="inlineStr">
        <is>
          <t>ควรประเมินค่าแคลเซียมของผู้ป่วย Hypokalemia, hypomagnesemia</t>
        </is>
      </c>
      <c r="C482" s="18" t="inlineStr"/>
      <c r="D482" s="18" t="inlineStr">
        <is>
          <t>Amlodipine 5 mg OD</t>
        </is>
      </c>
      <c r="E482" s="18" t="inlineStr">
        <is>
          <t>Losartan 50 mg OD</t>
        </is>
      </c>
      <c r="F482" s="18" t="inlineStr">
        <is>
          <t>Enalapril 10 mg BID</t>
        </is>
      </c>
      <c r="G482" s="18" t="inlineStr">
        <is>
          <t>Hydrochlorothiazide 25 mg OD</t>
        </is>
      </c>
      <c r="H482" s="18" t="inlineStr">
        <is>
          <t>Atorvastatin 20 mg OD</t>
        </is>
      </c>
      <c r="I482" s="15" t="inlineStr">
        <is>
          <t>3</t>
        </is>
      </c>
      <c r="J482" s="22" t="inlineStr">
        <is>
          <t>✅ คำตอบที่ถูกต้อง: ข้อ ค. Enalapril 10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482" s="18" t="inlineStr"/>
      <c r="L482" s="18" t="inlineStr">
        <is>
          <t>Hypertension</t>
        </is>
      </c>
      <c r="M482" s="18" t="inlineStr">
        <is>
          <t>Clinic</t>
        </is>
      </c>
      <c r="N482" s="18" t="inlineStr">
        <is>
          <t>ข้อ 5 (PLE_CC1_Key_Rx20_UBU.md)</t>
        </is>
      </c>
      <c r="O482" s="18" t="inlineStr">
        <is>
          <t>Mock</t>
        </is>
      </c>
      <c r="P482" s="18" t="inlineStr">
        <is>
          <t>Mock Rx20 UBU</t>
        </is>
      </c>
    </row>
    <row r="483">
      <c r="A483" s="15" t="inlineStr">
        <is>
          <t>481</t>
        </is>
      </c>
      <c r="B483" s="18" t="inlineStr">
        <is>
          <t>Zidovudine + Lamivudine + Efavirenz</t>
        </is>
      </c>
      <c r="C483" s="18" t="inlineStr"/>
      <c r="D483" s="18" t="inlineStr">
        <is>
          <t>Hydrochlorothiazide 25 mg OD</t>
        </is>
      </c>
      <c r="E483" s="18" t="inlineStr">
        <is>
          <t>Atorvastatin 20 mg OD</t>
        </is>
      </c>
      <c r="F483" s="18" t="inlineStr">
        <is>
          <t>Simvastatin 20 mg HS</t>
        </is>
      </c>
      <c r="G483" s="18" t="inlineStr">
        <is>
          <t>Bisoprolol 5 mg OD</t>
        </is>
      </c>
      <c r="H483" s="18" t="inlineStr">
        <is>
          <t>Spironolactone 25 mg OD</t>
        </is>
      </c>
      <c r="I483" s="15" t="inlineStr">
        <is>
          <t>1</t>
        </is>
      </c>
      <c r="J48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3" s="18" t="inlineStr"/>
      <c r="L483" s="18" t="inlineStr">
        <is>
          <t>Hypertension</t>
        </is>
      </c>
      <c r="M483" s="18" t="inlineStr">
        <is>
          <t>Clinic</t>
        </is>
      </c>
      <c r="N483" s="18" t="inlineStr">
        <is>
          <t>ข้อ 2 (PLE_CC1_Key_Rx20_UBU.md)</t>
        </is>
      </c>
      <c r="O483" s="18" t="inlineStr">
        <is>
          <t>Mock</t>
        </is>
      </c>
      <c r="P483" s="18" t="inlineStr">
        <is>
          <t>Mock Rx20 UBU</t>
        </is>
      </c>
    </row>
    <row r="484">
      <c r="A484" s="15" t="inlineStr">
        <is>
          <t>482</t>
        </is>
      </c>
      <c r="B484" s="18" t="inlineStr">
        <is>
          <t>Starvudine + Lamivudine + Efavirenz</t>
        </is>
      </c>
      <c r="C484" s="18" t="inlineStr"/>
      <c r="D484" s="18" t="inlineStr">
        <is>
          <t>Bisoprolol 5 mg OD</t>
        </is>
      </c>
      <c r="E484" s="18" t="inlineStr">
        <is>
          <t>Spironolactone 25 mg OD</t>
        </is>
      </c>
      <c r="F484" s="18" t="inlineStr">
        <is>
          <t>Clopidogrel 75 mg OD</t>
        </is>
      </c>
      <c r="G484" s="18" t="inlineStr">
        <is>
          <t>Aspirin 81 mg OD</t>
        </is>
      </c>
      <c r="H484" s="18" t="inlineStr">
        <is>
          <t>Sacubitril/Valsartan 49/51 mg BID</t>
        </is>
      </c>
      <c r="I484" s="15" t="inlineStr">
        <is>
          <t>1</t>
        </is>
      </c>
      <c r="J48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84" s="18" t="inlineStr"/>
      <c r="L484" s="18" t="inlineStr">
        <is>
          <t>Hypertension</t>
        </is>
      </c>
      <c r="M484" s="18" t="inlineStr">
        <is>
          <t>Clinic</t>
        </is>
      </c>
      <c r="N484" s="18" t="inlineStr">
        <is>
          <t>ข้อ 4 (PLE_CC1_Key_Rx20_UBU.md)</t>
        </is>
      </c>
      <c r="O484" s="18" t="inlineStr">
        <is>
          <t>Mock</t>
        </is>
      </c>
      <c r="P484" s="18" t="inlineStr">
        <is>
          <t>Mock Rx20 UBU</t>
        </is>
      </c>
    </row>
    <row r="485">
      <c r="A485" s="15" t="inlineStr">
        <is>
          <t>483</t>
        </is>
      </c>
      <c r="B485" s="18" t="inlineStr">
        <is>
          <t>Tenofovir + Lamivudine + Efavirenz</t>
        </is>
      </c>
      <c r="C485" s="18" t="inlineStr"/>
      <c r="D485" s="18" t="inlineStr">
        <is>
          <t>Aspirin 81 mg OD</t>
        </is>
      </c>
      <c r="E485" s="18" t="inlineStr">
        <is>
          <t>Sacubitril/Valsartan 49/51 mg BID</t>
        </is>
      </c>
      <c r="F485" s="18" t="inlineStr">
        <is>
          <t>Empagliflozin 10 mg OD</t>
        </is>
      </c>
      <c r="G485" s="18" t="inlineStr">
        <is>
          <t>Diltiazem 30 mg TID</t>
        </is>
      </c>
      <c r="H485" s="18" t="inlineStr">
        <is>
          <t>Warfarin 3 mg OD (target INR 2.0-3.0)</t>
        </is>
      </c>
      <c r="I485" s="15" t="inlineStr">
        <is>
          <t>5</t>
        </is>
      </c>
      <c r="J485" s="22" t="inlineStr">
        <is>
          <t>✅ คำตอบที่ถูกต้อง: ข้อ จ. Warfarin 3 mg OD (target INR 2.0-3.0)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3 mg OD (target INR 2.0-3.0) การเลือก Warfarin 3 mg OD (target INR 2.0-3.0)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85" s="18" t="inlineStr"/>
      <c r="L485" s="18" t="inlineStr">
        <is>
          <t>Hypertension</t>
        </is>
      </c>
      <c r="M485" s="18" t="inlineStr">
        <is>
          <t>Clinic</t>
        </is>
      </c>
      <c r="N485" s="18" t="inlineStr">
        <is>
          <t>ข้อ 5 (PLE_CC1_Key_Rx20_UBU.md)</t>
        </is>
      </c>
      <c r="O485" s="18" t="inlineStr">
        <is>
          <t>Mock</t>
        </is>
      </c>
      <c r="P485" s="18" t="inlineStr">
        <is>
          <t>Mock Rx20 UBU</t>
        </is>
      </c>
    </row>
    <row r="486">
      <c r="A486" s="15" t="inlineStr">
        <is>
          <t>484</t>
        </is>
      </c>
      <c r="B486" s="18" t="inlineStr">
        <is>
          <t>ยาเป็น Thymidine analog</t>
        </is>
      </c>
      <c r="C486" s="18" t="inlineStr"/>
      <c r="D486" s="18" t="inlineStr">
        <is>
          <t>Diltiazem 30 mg TID</t>
        </is>
      </c>
      <c r="E486" s="18" t="inlineStr">
        <is>
          <t>Warfarin 3 mg OD (target INR 2.0-3.0)</t>
        </is>
      </c>
      <c r="F486" s="18" t="inlineStr">
        <is>
          <t>Furosemide 40 mg OD</t>
        </is>
      </c>
      <c r="G486" s="18" t="inlineStr">
        <is>
          <t>Amlodipine 5 mg OD</t>
        </is>
      </c>
      <c r="H486" s="18" t="inlineStr">
        <is>
          <t>Losartan 50 mg OD</t>
        </is>
      </c>
      <c r="I486" s="15" t="inlineStr">
        <is>
          <t>1</t>
        </is>
      </c>
      <c r="J48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86" s="18" t="inlineStr"/>
      <c r="L486" s="18" t="inlineStr">
        <is>
          <t>Hypertension</t>
        </is>
      </c>
      <c r="M486" s="18" t="inlineStr">
        <is>
          <t>Clinic</t>
        </is>
      </c>
      <c r="N486" s="18" t="inlineStr">
        <is>
          <t>ข้อ 1 (PLE_CC1_Key_Rx20_UBU.md)</t>
        </is>
      </c>
      <c r="O486" s="18" t="inlineStr">
        <is>
          <t>Mock</t>
        </is>
      </c>
      <c r="P486" s="18" t="inlineStr">
        <is>
          <t>Mock Rx20 UBU</t>
        </is>
      </c>
    </row>
    <row r="487">
      <c r="A487" s="15" t="inlineStr">
        <is>
          <t>485</t>
        </is>
      </c>
      <c r="B487" s="18" t="inlineStr">
        <is>
          <t>30 ml/min</t>
        </is>
      </c>
      <c r="C487" s="18" t="inlineStr"/>
      <c r="D487" s="18" t="inlineStr">
        <is>
          <t>Amlodipine 5 mg OD</t>
        </is>
      </c>
      <c r="E487" s="18" t="inlineStr">
        <is>
          <t>Losartan 50 mg OD</t>
        </is>
      </c>
      <c r="F487" s="18" t="inlineStr">
        <is>
          <t>Enalapril 10 mg BID</t>
        </is>
      </c>
      <c r="G487" s="18" t="inlineStr">
        <is>
          <t>Hydrochlorothiazide 25 mg OD</t>
        </is>
      </c>
      <c r="H487" s="18" t="inlineStr">
        <is>
          <t>Atorvastatin 20 mg OD</t>
        </is>
      </c>
      <c r="I487" s="15" t="inlineStr">
        <is>
          <t>1</t>
        </is>
      </c>
      <c r="J48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87" s="18" t="inlineStr"/>
      <c r="L487" s="18" t="inlineStr">
        <is>
          <t>Hypertension</t>
        </is>
      </c>
      <c r="M487" s="18" t="inlineStr">
        <is>
          <t>Clinic</t>
        </is>
      </c>
      <c r="N487" s="18" t="inlineStr">
        <is>
          <t>ข้อ 5 (PLE_CC1_Key_Rx20_UBU.md)</t>
        </is>
      </c>
      <c r="O487" s="18" t="inlineStr">
        <is>
          <t>Mock</t>
        </is>
      </c>
      <c r="P487" s="18" t="inlineStr">
        <is>
          <t>Mock Rx20 UBU</t>
        </is>
      </c>
    </row>
    <row r="488">
      <c r="A488" s="15" t="inlineStr">
        <is>
          <t>486</t>
        </is>
      </c>
      <c r="B488" s="18" t="inlineStr">
        <is>
          <t>ใช้ยาใดรักษา hyperphosphatemia</t>
        </is>
      </c>
      <c r="C488" s="18" t="inlineStr"/>
      <c r="D488" s="18" t="inlineStr">
        <is>
          <t>Hydrochlorothiazide 25 mg OD</t>
        </is>
      </c>
      <c r="E488" s="18" t="inlineStr">
        <is>
          <t>Atorvastatin 20 mg OD</t>
        </is>
      </c>
      <c r="F488" s="18" t="inlineStr">
        <is>
          <t>Simvastatin 20 mg HS</t>
        </is>
      </c>
      <c r="G488" s="18" t="inlineStr">
        <is>
          <t>Bisoprolol 5 mg OD</t>
        </is>
      </c>
      <c r="H488" s="18" t="inlineStr">
        <is>
          <t>Spironolactone 25 mg OD</t>
        </is>
      </c>
      <c r="I488" s="15" t="inlineStr">
        <is>
          <t>1</t>
        </is>
      </c>
      <c r="J48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8" s="18" t="inlineStr"/>
      <c r="L488" s="18" t="inlineStr">
        <is>
          <t>Hypertension</t>
        </is>
      </c>
      <c r="M488" s="18" t="inlineStr">
        <is>
          <t>Clinic</t>
        </is>
      </c>
      <c r="N488" s="18" t="inlineStr">
        <is>
          <t>ข้อ 3 (PLE_CC1_Key_Rx20_UBU.md)</t>
        </is>
      </c>
      <c r="O488" s="18" t="inlineStr">
        <is>
          <t>Mock</t>
        </is>
      </c>
      <c r="P488" s="18" t="inlineStr">
        <is>
          <t>Mock Rx20 UBU</t>
        </is>
      </c>
    </row>
    <row r="489">
      <c r="A489" s="15" t="inlineStr">
        <is>
          <t>487</t>
        </is>
      </c>
      <c r="B489" s="18" t="inlineStr">
        <is>
          <t>Aluminum hydroxide</t>
        </is>
      </c>
      <c r="C489" s="18" t="inlineStr"/>
      <c r="D489" s="18" t="inlineStr">
        <is>
          <t>Bisoprolol 5 mg OD</t>
        </is>
      </c>
      <c r="E489" s="18" t="inlineStr">
        <is>
          <t>Spironolactone 25 mg OD</t>
        </is>
      </c>
      <c r="F489" s="18" t="inlineStr">
        <is>
          <t>Clopidogrel 75 mg OD</t>
        </is>
      </c>
      <c r="G489" s="18" t="inlineStr">
        <is>
          <t>Aspirin 81 mg OD</t>
        </is>
      </c>
      <c r="H489" s="18" t="inlineStr">
        <is>
          <t>Sacubitril/Valsartan 49/51 mg BID</t>
        </is>
      </c>
      <c r="I489" s="15" t="inlineStr">
        <is>
          <t>1</t>
        </is>
      </c>
      <c r="J48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89" s="18" t="inlineStr"/>
      <c r="L489" s="18" t="inlineStr">
        <is>
          <t>Hypertension</t>
        </is>
      </c>
      <c r="M489" s="18" t="inlineStr">
        <is>
          <t>Clinic</t>
        </is>
      </c>
      <c r="N489" s="18" t="inlineStr">
        <is>
          <t>ข้อ 2 (PLE_CC1_Key_Rx20_UBU.md)</t>
        </is>
      </c>
      <c r="O489" s="18" t="inlineStr">
        <is>
          <t>Mock</t>
        </is>
      </c>
      <c r="P489" s="18" t="inlineStr">
        <is>
          <t>Mock Rx20 UBU</t>
        </is>
      </c>
    </row>
    <row r="490">
      <c r="A490" s="15" t="inlineStr">
        <is>
          <t>488</t>
        </is>
      </c>
      <c r="B490" s="18" t="inlineStr">
        <is>
          <t>ใช้ยาใดรักษา hyperkalemia</t>
        </is>
      </c>
      <c r="C490" s="18" t="inlineStr"/>
      <c r="D490" s="18" t="inlineStr">
        <is>
          <t>Aspirin 81 mg OD</t>
        </is>
      </c>
      <c r="E490" s="18" t="inlineStr">
        <is>
          <t>Sacubitril/Valsartan 49/51 mg BID</t>
        </is>
      </c>
      <c r="F490" s="18" t="inlineStr">
        <is>
          <t>Empagliflozin 10 mg OD</t>
        </is>
      </c>
      <c r="G490" s="18" t="inlineStr">
        <is>
          <t>Diltiazem 30 mg TID</t>
        </is>
      </c>
      <c r="H490" s="18" t="inlineStr">
        <is>
          <t>Warfarin 3 mg OD (target INR 2.0-3.0)</t>
        </is>
      </c>
      <c r="I490" s="15" t="inlineStr">
        <is>
          <t>1</t>
        </is>
      </c>
      <c r="J49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0" s="18" t="inlineStr"/>
      <c r="L490" s="18" t="inlineStr">
        <is>
          <t>Hypertension</t>
        </is>
      </c>
      <c r="M490" s="18" t="inlineStr">
        <is>
          <t>Clinic</t>
        </is>
      </c>
      <c r="N490" s="18" t="inlineStr">
        <is>
          <t>ข้อ 4 (PLE_CC1_Key_Rx20_UBU.md)</t>
        </is>
      </c>
      <c r="O490" s="18" t="inlineStr">
        <is>
          <t>Mock</t>
        </is>
      </c>
      <c r="P490" s="18" t="inlineStr">
        <is>
          <t>Mock Rx20 UBU</t>
        </is>
      </c>
    </row>
    <row r="491">
      <c r="A491" s="15" t="inlineStr">
        <is>
          <t>489</t>
        </is>
      </c>
      <c r="B491" s="18" t="inlineStr">
        <is>
          <t>ในการวิเคราะห์ uniformity of dosage ตาม USP36 ของ calcium carbonate</t>
        </is>
      </c>
      <c r="C491" s="18" t="inlineStr"/>
      <c r="D491" s="18" t="inlineStr">
        <is>
          <t>Diltiazem 30 mg TID</t>
        </is>
      </c>
      <c r="E491" s="18" t="inlineStr">
        <is>
          <t>Warfarin 3 mg OD (target INR 2.0-3.0)</t>
        </is>
      </c>
      <c r="F491" s="18" t="inlineStr">
        <is>
          <t>Furosemide 40 mg OD</t>
        </is>
      </c>
      <c r="G491" s="18" t="inlineStr">
        <is>
          <t>Amlodipine 5 mg OD</t>
        </is>
      </c>
      <c r="H491" s="18" t="inlineStr">
        <is>
          <t>Losartan 50 mg OD</t>
        </is>
      </c>
      <c r="I491" s="15" t="inlineStr">
        <is>
          <t>1</t>
        </is>
      </c>
      <c r="J49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1" s="18" t="inlineStr"/>
      <c r="L491" s="18" t="inlineStr">
        <is>
          <t>Hypertension</t>
        </is>
      </c>
      <c r="M491" s="18" t="inlineStr">
        <is>
          <t>Clinic</t>
        </is>
      </c>
      <c r="N491" s="18" t="inlineStr">
        <is>
          <t>ข้อ 7 (PLE_CC1_Key_Rx20_UBU.md)</t>
        </is>
      </c>
      <c r="O491" s="18" t="inlineStr">
        <is>
          <t>Mock</t>
        </is>
      </c>
      <c r="P491" s="18" t="inlineStr">
        <is>
          <t>Mock Rx20 UBU</t>
        </is>
      </c>
    </row>
    <row r="492">
      <c r="A492" s="15" t="inlineStr">
        <is>
          <t>490</t>
        </is>
      </c>
      <c r="B492" s="18" t="inlineStr">
        <is>
          <t>spironolactone และ furosemide</t>
        </is>
      </c>
      <c r="C492" s="18" t="inlineStr"/>
      <c r="D492" s="18" t="inlineStr">
        <is>
          <t>Amlodipine 5 mg OD</t>
        </is>
      </c>
      <c r="E492" s="18" t="inlineStr">
        <is>
          <t>Losartan 50 mg OD</t>
        </is>
      </c>
      <c r="F492" s="18" t="inlineStr">
        <is>
          <t>Enalapril 10 mg BID</t>
        </is>
      </c>
      <c r="G492" s="18" t="inlineStr">
        <is>
          <t>Hydrochlorothiazide 25 mg OD</t>
        </is>
      </c>
      <c r="H492" s="18" t="inlineStr">
        <is>
          <t>Atorvastatin 20 mg OD</t>
        </is>
      </c>
      <c r="I492" s="15" t="inlineStr">
        <is>
          <t>1</t>
        </is>
      </c>
      <c r="J49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2" s="18" t="inlineStr"/>
      <c r="L492" s="18" t="inlineStr">
        <is>
          <t>Hypertension</t>
        </is>
      </c>
      <c r="M492" s="18" t="inlineStr">
        <is>
          <t>Clinic</t>
        </is>
      </c>
      <c r="N492" s="18" t="inlineStr">
        <is>
          <t>ข้อ 1 (PLE_CC1_Key_Rx20_UBU.md)</t>
        </is>
      </c>
      <c r="O492" s="18" t="inlineStr">
        <is>
          <t>Mock</t>
        </is>
      </c>
      <c r="P492" s="18" t="inlineStr">
        <is>
          <t>Mock Rx20 UBU</t>
        </is>
      </c>
    </row>
    <row r="493">
      <c r="A493" s="15" t="inlineStr">
        <is>
          <t>491</t>
        </is>
      </c>
      <c r="B493" s="18" t="inlineStr">
        <is>
          <t>ประมาณว่าหลังจากได้รับการรักษา พบว่าผู้ป่วยมีไข้ขึ้นสูงและเจาะน้ำในช่องท้องพบ WBC ได้รับการวินิจฉัยเป็น SBP ควรให้การรักษาอย่างไร</t>
        </is>
      </c>
      <c r="C493" s="18" t="inlineStr"/>
      <c r="D493" s="18" t="inlineStr">
        <is>
          <t>Hydrochlorothiazide 25 mg OD</t>
        </is>
      </c>
      <c r="E493" s="18" t="inlineStr">
        <is>
          <t>Atorvastatin 20 mg OD</t>
        </is>
      </c>
      <c r="F493" s="18" t="inlineStr">
        <is>
          <t>Simvastatin 20 mg HS</t>
        </is>
      </c>
      <c r="G493" s="18" t="inlineStr">
        <is>
          <t>Bisoprolol 5 mg OD</t>
        </is>
      </c>
      <c r="H493" s="18" t="inlineStr">
        <is>
          <t>Spironolactone 25 mg OD</t>
        </is>
      </c>
      <c r="I493" s="15" t="inlineStr">
        <is>
          <t>1</t>
        </is>
      </c>
      <c r="J49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93" s="18" t="inlineStr"/>
      <c r="L493" s="18" t="inlineStr">
        <is>
          <t>Hypertension</t>
        </is>
      </c>
      <c r="M493" s="18" t="inlineStr">
        <is>
          <t>Clinic</t>
        </is>
      </c>
      <c r="N493" s="18" t="inlineStr">
        <is>
          <t>ข้อ 5 (PLE_CC1_Key_Rx20_UBU.md)</t>
        </is>
      </c>
      <c r="O493" s="18" t="inlineStr">
        <is>
          <t>Mock</t>
        </is>
      </c>
      <c r="P493" s="18" t="inlineStr">
        <is>
          <t>Mock Rx20 UBU</t>
        </is>
      </c>
    </row>
    <row r="494">
      <c r="A494" s="15" t="inlineStr">
        <is>
          <t>492</t>
        </is>
      </c>
      <c r="B494" s="18" t="inlineStr">
        <is>
          <t>Uniformity of Dosage Unit</t>
        </is>
      </c>
      <c r="C494" s="18" t="inlineStr"/>
      <c r="D494" s="18" t="inlineStr">
        <is>
          <t>Bisoprolol 5 mg OD</t>
        </is>
      </c>
      <c r="E494" s="18" t="inlineStr">
        <is>
          <t>Spironolactone 25 mg OD</t>
        </is>
      </c>
      <c r="F494" s="18" t="inlineStr">
        <is>
          <t>Clopidogrel 75 mg OD</t>
        </is>
      </c>
      <c r="G494" s="18" t="inlineStr">
        <is>
          <t>Aspirin 81 mg OD</t>
        </is>
      </c>
      <c r="H494" s="18" t="inlineStr">
        <is>
          <t>Sacubitril/Valsartan 49/51 mg BID</t>
        </is>
      </c>
      <c r="I494" s="15" t="inlineStr">
        <is>
          <t>1</t>
        </is>
      </c>
      <c r="J49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94" s="18" t="inlineStr"/>
      <c r="L494" s="18" t="inlineStr">
        <is>
          <t>Hypertension</t>
        </is>
      </c>
      <c r="M494" s="18" t="inlineStr">
        <is>
          <t>Clinic</t>
        </is>
      </c>
      <c r="N494" s="18" t="inlineStr">
        <is>
          <t>ข้อ 2 (PLE_CC1_Key_Rx20_UBU.md)</t>
        </is>
      </c>
      <c r="O494" s="18" t="inlineStr">
        <is>
          <t>Mock</t>
        </is>
      </c>
      <c r="P494" s="18" t="inlineStr">
        <is>
          <t>Mock Rx20 UBU</t>
        </is>
      </c>
    </row>
    <row r="495">
      <c r="A495" s="15" t="inlineStr">
        <is>
          <t>493</t>
        </is>
      </c>
      <c r="B495" s="18" t="inlineStr">
        <is>
          <t>Optical rotation . Uniformity of dosage units = เป็นการวิเคราะห์ปริมาณยาสำคัญในแต่ละเม็ด ซึ่งแบ่งเป็น Content uniformity และ weight variation</t>
        </is>
      </c>
      <c r="C495" s="18" t="inlineStr"/>
      <c r="D495" s="18" t="inlineStr">
        <is>
          <t>Aspirin 81 mg OD</t>
        </is>
      </c>
      <c r="E495" s="18" t="inlineStr">
        <is>
          <t>Sacubitril/Valsartan 49/51 mg BID</t>
        </is>
      </c>
      <c r="F495" s="18" t="inlineStr">
        <is>
          <t>Empagliflozin 10 mg OD</t>
        </is>
      </c>
      <c r="G495" s="18" t="inlineStr">
        <is>
          <t>Diltiazem 30 mg TID</t>
        </is>
      </c>
      <c r="H495" s="18" t="inlineStr">
        <is>
          <t>Warfarin 3 mg OD (target INR 2.0-3.0)</t>
        </is>
      </c>
      <c r="I495" s="15" t="inlineStr">
        <is>
          <t>1</t>
        </is>
      </c>
      <c r="J49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5" s="18" t="inlineStr"/>
      <c r="L495" s="18" t="inlineStr">
        <is>
          <t>Hypertension</t>
        </is>
      </c>
      <c r="M495" s="18" t="inlineStr">
        <is>
          <t>Clinic</t>
        </is>
      </c>
      <c r="N495" s="18" t="inlineStr">
        <is>
          <t>ข้อ 3 (PLE_CC1_Key_Rx20_UBU.md)</t>
        </is>
      </c>
      <c r="O495" s="18" t="inlineStr">
        <is>
          <t>Mock</t>
        </is>
      </c>
      <c r="P495" s="18" t="inlineStr">
        <is>
          <t>Mock Rx20 UBU</t>
        </is>
      </c>
    </row>
    <row r="496">
      <c r="A496" s="15" t="inlineStr">
        <is>
          <t>494</t>
        </is>
      </c>
      <c r="B496" s="18"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496" s="18" t="inlineStr"/>
      <c r="D496" s="18" t="inlineStr">
        <is>
          <t>3 g Myristyl alcohol 33.3 g</t>
        </is>
      </c>
      <c r="E496" s="18" t="inlineStr">
        <is>
          <t>Warfarin 3 mg OD (target INR 2.0-3.0)</t>
        </is>
      </c>
      <c r="F496" s="18" t="inlineStr">
        <is>
          <t>Furosemide 40 mg OD</t>
        </is>
      </c>
      <c r="G496" s="18" t="inlineStr">
        <is>
          <t>Amlodipine 5 mg OD</t>
        </is>
      </c>
      <c r="H496" s="18" t="inlineStr">
        <is>
          <t>Losartan 50 mg OD</t>
        </is>
      </c>
      <c r="I496" s="15" t="inlineStr">
        <is>
          <t>1</t>
        </is>
      </c>
      <c r="J496" s="22"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96" s="18" t="inlineStr"/>
      <c r="L496" s="18" t="inlineStr">
        <is>
          <t>Hypertension</t>
        </is>
      </c>
      <c r="M496" s="18" t="inlineStr">
        <is>
          <t>Clinic</t>
        </is>
      </c>
      <c r="N496" s="18" t="inlineStr">
        <is>
          <t>ข้อ 5 (PLE_CC1_Key_Rx20_UBU.md)</t>
        </is>
      </c>
      <c r="O496" s="18" t="inlineStr">
        <is>
          <t>Mock</t>
        </is>
      </c>
      <c r="P496" s="18" t="inlineStr">
        <is>
          <t>Mock Rx20 UBU</t>
        </is>
      </c>
    </row>
    <row r="497">
      <c r="A497" s="15" t="inlineStr">
        <is>
          <t>495</t>
        </is>
      </c>
      <c r="B497" s="18" t="inlineStr">
        <is>
          <t>ลักษณะอุปกรณ์ไม่มีผล หรืออันนี้รูปแบบอุปกรณ์นำส่งยามีผล เนื่องจาก DPI (Dry powder inhalers) การเป็นละอองยาขึ้นกับความแรงในการสูดหายใจเข้า ประกอบด้วยตัวยา &lt; 5 micro m ผสมกับสารเพิ่มปริมาณ มักใช้ Lactose ที่ทำหน้าที่เป็น Carrier เพิ่มการไหล ลดการเกิด Aggregation ,ช่วยในการกระจาย ข้อดี DPI : ไม่ต้องใช้ propellant , ไม่ต้องอาศัยเทคนิค กดพร้อมสูดเหมือน MDI ,เล็ก พกพาได้ ------------------------------------------------------------------------------ คนที่ 4 : case 4 DM case 5 breast CA @Thanaporn Teppitak ได้ยา Glipizide 5 mg ครั้งละ2เม็ด bid, simvastatin 20mg วันละ1ครั้ง คุมได้มาโดยตลอด</t>
        </is>
      </c>
      <c r="C497" s="18" t="inlineStr"/>
      <c r="D497" s="18" t="inlineStr">
        <is>
          <t>Amlodipine 5 mg OD</t>
        </is>
      </c>
      <c r="E497" s="18" t="inlineStr">
        <is>
          <t>Losartan 50 mg OD</t>
        </is>
      </c>
      <c r="F497" s="18" t="inlineStr">
        <is>
          <t>Enalapril 10 mg BID</t>
        </is>
      </c>
      <c r="G497" s="18" t="inlineStr">
        <is>
          <t>Hydrochlorothiazide 25 mg OD</t>
        </is>
      </c>
      <c r="H497" s="18" t="inlineStr">
        <is>
          <t>Atorvastatin 20 mg OD</t>
        </is>
      </c>
      <c r="I497" s="15" t="inlineStr">
        <is>
          <t>4</t>
        </is>
      </c>
      <c r="J497" s="22" t="inlineStr">
        <is>
          <t>✅ คำตอบที่ถูกต้อง: ข้อ ง.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97" s="18" t="inlineStr"/>
      <c r="L497" s="18" t="inlineStr">
        <is>
          <t>Hypertension</t>
        </is>
      </c>
      <c r="M497" s="18" t="inlineStr">
        <is>
          <t>Clinic</t>
        </is>
      </c>
      <c r="N497" s="18" t="inlineStr">
        <is>
          <t>ข้อ 5 (PLE_CC1_Key_Rx20_UBU.md)</t>
        </is>
      </c>
      <c r="O497" s="18" t="inlineStr">
        <is>
          <t>Mock</t>
        </is>
      </c>
      <c r="P497" s="18" t="inlineStr">
        <is>
          <t>Mock Rx20 UBU</t>
        </is>
      </c>
    </row>
    <row r="498">
      <c r="A498" s="15" t="inlineStr">
        <is>
          <t>496</t>
        </is>
      </c>
      <c r="B498" s="18" t="inlineStr">
        <is>
          <t>ข้อใดเป็นผลข้างเคียงโดยทั่วไปของ Glibenclamide</t>
        </is>
      </c>
      <c r="C498" s="18" t="inlineStr"/>
      <c r="D498" s="18" t="inlineStr">
        <is>
          <t>Hydrochlorothiazide 25 mg OD</t>
        </is>
      </c>
      <c r="E498" s="18" t="inlineStr">
        <is>
          <t>Atorvastatin 20 mg OD</t>
        </is>
      </c>
      <c r="F498" s="18" t="inlineStr">
        <is>
          <t>Simvastatin 20 mg HS</t>
        </is>
      </c>
      <c r="G498" s="18" t="inlineStr">
        <is>
          <t>Bisoprolol 5 mg OD</t>
        </is>
      </c>
      <c r="H498" s="18" t="inlineStr">
        <is>
          <t>Spironolactone 25 mg OD</t>
        </is>
      </c>
      <c r="I498" s="15" t="inlineStr">
        <is>
          <t>1</t>
        </is>
      </c>
      <c r="J49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98" s="18" t="inlineStr"/>
      <c r="L498" s="18" t="inlineStr">
        <is>
          <t>Hypertension</t>
        </is>
      </c>
      <c r="M498" s="18" t="inlineStr">
        <is>
          <t>Clinic</t>
        </is>
      </c>
      <c r="N498" s="18" t="inlineStr">
        <is>
          <t>ข้อ ๔ (PLE_CC1_Key_Rx20_UBU.md)</t>
        </is>
      </c>
      <c r="O498" s="18" t="inlineStr">
        <is>
          <t>Mock</t>
        </is>
      </c>
      <c r="P498" s="18" t="inlineStr">
        <is>
          <t>Mock Rx20 UBU</t>
        </is>
      </c>
    </row>
    <row r="499">
      <c r="A499" s="15" t="inlineStr">
        <is>
          <t>497</t>
        </is>
      </c>
      <c r="B499" s="18" t="inlineStr">
        <is>
          <t>Hypoglycemia</t>
        </is>
      </c>
      <c r="C499" s="18" t="inlineStr"/>
      <c r="D499" s="18" t="inlineStr">
        <is>
          <t>Bisoprolol 5 mg OD</t>
        </is>
      </c>
      <c r="E499" s="18" t="inlineStr">
        <is>
          <t>Spironolactone 25 mg OD</t>
        </is>
      </c>
      <c r="F499" s="18" t="inlineStr">
        <is>
          <t>Clopidogrel 75 mg OD</t>
        </is>
      </c>
      <c r="G499" s="18" t="inlineStr">
        <is>
          <t>Aspirin 81 mg OD</t>
        </is>
      </c>
      <c r="H499" s="18" t="inlineStr">
        <is>
          <t>Sacubitril/Valsartan 49/51 mg BID</t>
        </is>
      </c>
      <c r="I499" s="15" t="inlineStr">
        <is>
          <t>3</t>
        </is>
      </c>
      <c r="J499" s="22" t="inlineStr">
        <is>
          <t>✅ คำตอบที่ถูกต้อง: ข้อ ค. Clopidogrel 75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Clopidogrel 75 mg OD การเลือก Clopidogrel 75 mg OD เป็นคำตอบที่ถูกต้องตามแนวทางการรักษามาตรฐาน เนื่องจาก เป็น P2Y12 inhibitor ต้องผ่านการกระตุ้นโดยเอนไซม์ CYP2C19 (prodrug) จึงต้องระวัง drug interaction กับ strong CYP2C19 inhibitors เช่น omeprazole (ควรเลี่ยงไปใช้ pantoprazole)
🔍 ข้ออื่นผิดเพราะอะไร:
• ข้อ ก. (Bisoprolol 5 mg OD): เป็น cardioselective beta-1 blocker ไม่ใช่ first-line monotherapy สำหรับ uncomplicated HTN แต่เป็น first-line GDMT ใน HFrEF หรือ post-MI
• ข้อ ข. (Spironolactone 25 mg OD): เป็น Mineralocorticoid receptor antagonist (MRA) ใช้เป็น 4th-line ใน resistant HTN หรือ GDMT ใน HFrEF ต้อง monitor potassium และเสี่ยงต่อ gynecomastia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9" s="18" t="inlineStr"/>
      <c r="L499" s="18" t="inlineStr">
        <is>
          <t>Hypertension</t>
        </is>
      </c>
      <c r="M499" s="18" t="inlineStr">
        <is>
          <t>Clinic</t>
        </is>
      </c>
      <c r="N499" s="18" t="inlineStr">
        <is>
          <t>ข้อ 1 (PLE_CC1_Key_Rx20_UBU.md)</t>
        </is>
      </c>
      <c r="O499" s="18" t="inlineStr">
        <is>
          <t>Mock</t>
        </is>
      </c>
      <c r="P499" s="18" t="inlineStr">
        <is>
          <t>Mock Rx20 UBU</t>
        </is>
      </c>
    </row>
    <row r="500">
      <c r="A500" s="15" t="inlineStr">
        <is>
          <t>498</t>
        </is>
      </c>
      <c r="B500" s="18" t="inlineStr">
        <is>
          <t>insulin lispro ก่อนนอน Case breast cancer ผู้ป่วยหญิง อายุ 55 ปี ได้รับการวินิจฉัยเป็นมะเร็งเต้านม ได้รับยาสูตร AC 5 cycle doxorubicin 60 mg/m2 cyclophosphamide... ER+ ให้ Tamoxifen</t>
        </is>
      </c>
      <c r="C500" s="18" t="inlineStr"/>
      <c r="D500" s="18" t="inlineStr">
        <is>
          <t>Aspirin 81 mg OD</t>
        </is>
      </c>
      <c r="E500" s="18" t="inlineStr">
        <is>
          <t>Sacubitril/Valsartan 49/51 mg BID</t>
        </is>
      </c>
      <c r="F500" s="18" t="inlineStr">
        <is>
          <t>Empagliflozin 10 mg OD</t>
        </is>
      </c>
      <c r="G500" s="18" t="inlineStr">
        <is>
          <t>Diltiazem 30 mg TID</t>
        </is>
      </c>
      <c r="H500" s="18" t="inlineStr">
        <is>
          <t>Warfarin 3 mg OD (target INR 2.0-3.0)</t>
        </is>
      </c>
      <c r="I500" s="15" t="inlineStr">
        <is>
          <t>1</t>
        </is>
      </c>
      <c r="J50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00" s="18" t="inlineStr"/>
      <c r="L500" s="18" t="inlineStr">
        <is>
          <t>Hypertension</t>
        </is>
      </c>
      <c r="M500" s="18" t="inlineStr">
        <is>
          <t>Clinic</t>
        </is>
      </c>
      <c r="N500" s="18" t="inlineStr">
        <is>
          <t>ข้อ 5 (PLE_CC1_Key_Rx20_UBU.md)</t>
        </is>
      </c>
      <c r="O500" s="18" t="inlineStr">
        <is>
          <t>Mock</t>
        </is>
      </c>
      <c r="P500" s="18" t="inlineStr">
        <is>
          <t>Mock Rx20 UBU</t>
        </is>
      </c>
    </row>
    <row r="501">
      <c r="A501" s="15" t="inlineStr">
        <is>
          <t>499</t>
        </is>
      </c>
      <c r="B501" s="18" t="inlineStr">
        <is>
          <t>ข้อใดคือผลข้างเคียงที่สำคัญของยา Cyclophosphamide</t>
        </is>
      </c>
      <c r="C501" s="18" t="inlineStr"/>
      <c r="D501" s="18" t="inlineStr">
        <is>
          <t>Diltiazem 30 mg TID</t>
        </is>
      </c>
      <c r="E501" s="18" t="inlineStr">
        <is>
          <t>Warfarin 3 mg OD (target INR 2.0-3.0)</t>
        </is>
      </c>
      <c r="F501" s="18" t="inlineStr">
        <is>
          <t>Furosemide 40 mg OD</t>
        </is>
      </c>
      <c r="G501" s="18" t="inlineStr">
        <is>
          <t>Amlodipine 5 mg OD</t>
        </is>
      </c>
      <c r="H501" s="18" t="inlineStr">
        <is>
          <t>Losartan 50 mg OD</t>
        </is>
      </c>
      <c r="I501" s="15" t="inlineStr">
        <is>
          <t>1</t>
        </is>
      </c>
      <c r="J50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01" s="18" t="inlineStr"/>
      <c r="L501" s="18" t="inlineStr">
        <is>
          <t>Hypertension</t>
        </is>
      </c>
      <c r="M501" s="18" t="inlineStr">
        <is>
          <t>Clinic</t>
        </is>
      </c>
      <c r="N501" s="18" t="inlineStr">
        <is>
          <t>ข้อ 1 (PLE_CC1_Key_Rx20_UBU.md)</t>
        </is>
      </c>
      <c r="O501" s="18" t="inlineStr">
        <is>
          <t>Mock</t>
        </is>
      </c>
      <c r="P501" s="18" t="inlineStr">
        <is>
          <t>Mock Rx20 UBU</t>
        </is>
      </c>
    </row>
    <row r="502">
      <c r="A502" s="15" t="inlineStr">
        <is>
          <t>500</t>
        </is>
      </c>
      <c r="B502" s="18" t="inlineStr">
        <is>
          <t>กลไกของ cyclophosphamide</t>
        </is>
      </c>
      <c r="C502" s="18" t="inlineStr"/>
      <c r="D502" s="18" t="inlineStr">
        <is>
          <t>Amlodipine 5 mg OD</t>
        </is>
      </c>
      <c r="E502" s="18" t="inlineStr">
        <is>
          <t>Losartan 50 mg OD</t>
        </is>
      </c>
      <c r="F502" s="18" t="inlineStr">
        <is>
          <t>Enalapril 10 mg BID</t>
        </is>
      </c>
      <c r="G502" s="18" t="inlineStr">
        <is>
          <t>Hydrochlorothiazide 25 mg OD</t>
        </is>
      </c>
      <c r="H502" s="18" t="inlineStr">
        <is>
          <t>Atorvastatin 20 mg OD</t>
        </is>
      </c>
      <c r="I502" s="15" t="inlineStr">
        <is>
          <t>1</t>
        </is>
      </c>
      <c r="J50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2" s="18" t="inlineStr"/>
      <c r="L502" s="18" t="inlineStr">
        <is>
          <t>Hypertension</t>
        </is>
      </c>
      <c r="M502" s="18" t="inlineStr">
        <is>
          <t>Clinic</t>
        </is>
      </c>
      <c r="N502" s="18" t="inlineStr">
        <is>
          <t>ข้อ 2 (PLE_CC1_Key_Rx20_UBU.md)</t>
        </is>
      </c>
      <c r="O502" s="18" t="inlineStr">
        <is>
          <t>Mock</t>
        </is>
      </c>
      <c r="P502" s="18" t="inlineStr">
        <is>
          <t>Mock Rx20 UBU</t>
        </is>
      </c>
    </row>
    <row r="503">
      <c r="A503" s="15" t="inlineStr">
        <is>
          <t>501</t>
        </is>
      </c>
      <c r="B503" s="18" t="inlineStr">
        <is>
          <t>ยับยั้ง Mitotic spindle</t>
        </is>
      </c>
      <c r="C503" s="18" t="inlineStr"/>
      <c r="D503" s="18" t="inlineStr">
        <is>
          <t>Hydrochlorothiazide 25 mg OD</t>
        </is>
      </c>
      <c r="E503" s="18" t="inlineStr">
        <is>
          <t>Atorvastatin 20 mg OD</t>
        </is>
      </c>
      <c r="F503" s="18" t="inlineStr">
        <is>
          <t>Simvastatin 20 mg HS</t>
        </is>
      </c>
      <c r="G503" s="18" t="inlineStr">
        <is>
          <t>Bisoprolol 5 mg OD</t>
        </is>
      </c>
      <c r="H503" s="18" t="inlineStr">
        <is>
          <t>Spironolactone 25 mg OD</t>
        </is>
      </c>
      <c r="I503" s="15" t="inlineStr">
        <is>
          <t>1</t>
        </is>
      </c>
      <c r="J50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03" s="18" t="inlineStr"/>
      <c r="L503" s="18" t="inlineStr">
        <is>
          <t>Hypertension</t>
        </is>
      </c>
      <c r="M503" s="18" t="inlineStr">
        <is>
          <t>Clinic</t>
        </is>
      </c>
      <c r="N503" s="18" t="inlineStr">
        <is>
          <t>ข้อ 2 (PLE_CC1_Key_Rx20_UBU.md)</t>
        </is>
      </c>
      <c r="O503" s="18" t="inlineStr">
        <is>
          <t>Mock</t>
        </is>
      </c>
      <c r="P503" s="18" t="inlineStr">
        <is>
          <t>Mock Rx20 UBU</t>
        </is>
      </c>
    </row>
    <row r="504">
      <c r="A504" s="15" t="inlineStr">
        <is>
          <t>502</t>
        </is>
      </c>
      <c r="B504" s="18" t="inlineStr">
        <is>
          <t>จากโครงสร้าง ข้อใดผิด Cyclophosphamide Tamoxifen Doxorubicin</t>
        </is>
      </c>
      <c r="C504" s="18" t="inlineStr"/>
      <c r="D504" s="18" t="inlineStr">
        <is>
          <t>Bisoprolol 5 mg OD</t>
        </is>
      </c>
      <c r="E504" s="18" t="inlineStr">
        <is>
          <t>Spironolactone 25 mg OD</t>
        </is>
      </c>
      <c r="F504" s="18" t="inlineStr">
        <is>
          <t>Clopidogrel 75 mg OD</t>
        </is>
      </c>
      <c r="G504" s="18" t="inlineStr">
        <is>
          <t>Aspirin 81 mg OD</t>
        </is>
      </c>
      <c r="H504" s="18" t="inlineStr">
        <is>
          <t>Sacubitril/Valsartan 49/51 mg BID</t>
        </is>
      </c>
      <c r="I504" s="15" t="inlineStr">
        <is>
          <t>1</t>
        </is>
      </c>
      <c r="J50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04" s="18" t="inlineStr"/>
      <c r="L504" s="18" t="inlineStr">
        <is>
          <t>Hypertension</t>
        </is>
      </c>
      <c r="M504" s="18" t="inlineStr">
        <is>
          <t>Clinic</t>
        </is>
      </c>
      <c r="N504" s="18" t="inlineStr">
        <is>
          <t>ข้อ 3 (PLE_CC1_Key_Rx20_UBU.md)</t>
        </is>
      </c>
      <c r="O504" s="18" t="inlineStr">
        <is>
          <t>Mock</t>
        </is>
      </c>
      <c r="P504" s="18" t="inlineStr">
        <is>
          <t>Mock Rx20 UBU</t>
        </is>
      </c>
    </row>
    <row r="505">
      <c r="A505" s="15" t="inlineStr">
        <is>
          <t>503</t>
        </is>
      </c>
      <c r="B505" s="18" t="inlineStr">
        <is>
          <t>Metabolite ข อ ง cyclophosphamide คื อ acrolein intercalating ต่อสาย DNA ผู้ป่วยควรได้รับ Tamoxifen เป็นเวลานานเท่าใด</t>
        </is>
      </c>
      <c r="C505" s="18" t="inlineStr"/>
      <c r="D505" s="18" t="inlineStr">
        <is>
          <t>Aspirin 81 mg OD</t>
        </is>
      </c>
      <c r="E505" s="18" t="inlineStr">
        <is>
          <t>Sacubitril/Valsartan 49/51 mg BID</t>
        </is>
      </c>
      <c r="F505" s="18" t="inlineStr">
        <is>
          <t>Empagliflozin 10 mg OD</t>
        </is>
      </c>
      <c r="G505" s="18" t="inlineStr">
        <is>
          <t>Diltiazem 30 mg TID</t>
        </is>
      </c>
      <c r="H505" s="18" t="inlineStr">
        <is>
          <t>Warfarin 3 mg OD (target INR 2.0-3.0)</t>
        </is>
      </c>
      <c r="I505" s="15" t="inlineStr">
        <is>
          <t>4</t>
        </is>
      </c>
      <c r="J505" s="22" t="inlineStr">
        <is>
          <t>✅ คำตอบที่ถูกต้อง: ข้อ ง.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05" s="18" t="inlineStr"/>
      <c r="L505" s="18" t="inlineStr">
        <is>
          <t>Hypertension</t>
        </is>
      </c>
      <c r="M505" s="18" t="inlineStr">
        <is>
          <t>Clinic</t>
        </is>
      </c>
      <c r="N505" s="18" t="inlineStr">
        <is>
          <t>ข้อ 5 (PLE_CC1_Key_Rx20_UBU.md)</t>
        </is>
      </c>
      <c r="O505" s="18" t="inlineStr">
        <is>
          <t>Mock</t>
        </is>
      </c>
      <c r="P505" s="18" t="inlineStr">
        <is>
          <t>Mock Rx20 UBU</t>
        </is>
      </c>
    </row>
    <row r="506">
      <c r="A506" s="15" t="inlineStr">
        <is>
          <t>504</t>
        </is>
      </c>
      <c r="B506" s="18" t="inlineStr">
        <is>
          <t>Dyslipidemia ประจำเดือนมาไม่สม่ำเสมอ</t>
        </is>
      </c>
      <c r="C506" s="18" t="inlineStr"/>
      <c r="D506" s="18" t="inlineStr">
        <is>
          <t>Diltiazem 30 mg TID</t>
        </is>
      </c>
      <c r="E506" s="18" t="inlineStr">
        <is>
          <t>Warfarin 3 mg OD (target INR 2.0-3.0)</t>
        </is>
      </c>
      <c r="F506" s="18" t="inlineStr">
        <is>
          <t>Furosemide 40 mg OD</t>
        </is>
      </c>
      <c r="G506" s="18" t="inlineStr">
        <is>
          <t>Amlodipine 5 mg OD</t>
        </is>
      </c>
      <c r="H506" s="18" t="inlineStr">
        <is>
          <t>Losartan 50 mg OD</t>
        </is>
      </c>
      <c r="I506" s="15" t="inlineStr">
        <is>
          <t>4</t>
        </is>
      </c>
      <c r="J506" s="22" t="inlineStr">
        <is>
          <t>✅ คำตอบที่ถูกต้อง: ข้อ ง.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6" s="18" t="inlineStr"/>
      <c r="L506" s="18" t="inlineStr">
        <is>
          <t>Hypertension</t>
        </is>
      </c>
      <c r="M506" s="18" t="inlineStr">
        <is>
          <t>Clinic</t>
        </is>
      </c>
      <c r="N506" s="18" t="inlineStr">
        <is>
          <t>ข้อ 5 (PLE_CC1_Key_Rx20_UBU.md)</t>
        </is>
      </c>
      <c r="O506" s="18" t="inlineStr">
        <is>
          <t>Mock</t>
        </is>
      </c>
      <c r="P506" s="18" t="inlineStr">
        <is>
          <t>Mock Rx20 UBU</t>
        </is>
      </c>
    </row>
    <row r="507">
      <c r="A507" s="15" t="inlineStr">
        <is>
          <t>505</t>
        </is>
      </c>
      <c r="B507" s="18" t="inlineStr">
        <is>
          <t>ปีกไก่ทอด Case 7: ผู้ป่วยชาย มาด้วยอาการหอบเหนื่อย ไม่เคยรับประทาน ยาใดมาก่อน ไม่เคยมีโรคประจำตัว แพทย์วินิจฉัยเป็น Heart failure with left ventricular hypertrophy ระหว่างอยู่พบว่า ... เป็นความดัน?? BP 160/105 mmHg ยากลับบ้าน Furosemide 40 mg 1x1 pc, Enalapril 20 mg 1x1 pc</t>
        </is>
      </c>
      <c r="C507" s="18" t="inlineStr"/>
      <c r="D507" s="18" t="inlineStr">
        <is>
          <t>Amlodipine 5 mg OD</t>
        </is>
      </c>
      <c r="E507" s="18" t="inlineStr">
        <is>
          <t>Losartan 50 mg OD</t>
        </is>
      </c>
      <c r="F507" s="18" t="inlineStr">
        <is>
          <t>Enalapril 10 mg BID</t>
        </is>
      </c>
      <c r="G507" s="18" t="inlineStr">
        <is>
          <t>Hydrochlorothiazide 25 mg OD</t>
        </is>
      </c>
      <c r="H507" s="18" t="inlineStr">
        <is>
          <t>Atorvastatin 20 mg OD</t>
        </is>
      </c>
      <c r="I507" s="15" t="inlineStr">
        <is>
          <t>1</t>
        </is>
      </c>
      <c r="J50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7" s="18" t="inlineStr"/>
      <c r="L507" s="18" t="inlineStr">
        <is>
          <t>Hypertension</t>
        </is>
      </c>
      <c r="M507" s="18" t="inlineStr">
        <is>
          <t>Clinic</t>
        </is>
      </c>
      <c r="N507" s="18" t="inlineStr">
        <is>
          <t>ข้อ 5 (PLE_CC1_Key_Rx20_UBU.md)</t>
        </is>
      </c>
      <c r="O507" s="18" t="inlineStr">
        <is>
          <t>Mock</t>
        </is>
      </c>
      <c r="P507" s="18" t="inlineStr">
        <is>
          <t>Mock Rx20 UBU</t>
        </is>
      </c>
    </row>
    <row r="508">
      <c r="A508" s="15" t="inlineStr">
        <is>
          <t>506</t>
        </is>
      </c>
      <c r="B508" s="18" t="inlineStr">
        <is>
          <t>โรคความดันโลหิตสูง</t>
        </is>
      </c>
      <c r="C508" s="18" t="inlineStr"/>
      <c r="D508" s="18" t="inlineStr">
        <is>
          <t>Hydrochlorothiazide 25 mg OD</t>
        </is>
      </c>
      <c r="E508" s="18" t="inlineStr">
        <is>
          <t>Atorvastatin 20 mg OD</t>
        </is>
      </c>
      <c r="F508" s="18" t="inlineStr">
        <is>
          <t>Simvastatin 20 mg HS</t>
        </is>
      </c>
      <c r="G508" s="18" t="inlineStr">
        <is>
          <t>Bisoprolol 5 mg OD</t>
        </is>
      </c>
      <c r="H508" s="18" t="inlineStr">
        <is>
          <t>Spironolactone 25 mg OD</t>
        </is>
      </c>
      <c r="I508" s="15" t="inlineStr">
        <is>
          <t>1</t>
        </is>
      </c>
      <c r="J50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08" s="18" t="inlineStr"/>
      <c r="L508" s="18" t="inlineStr">
        <is>
          <t>Hypertension</t>
        </is>
      </c>
      <c r="M508" s="18" t="inlineStr">
        <is>
          <t>Clinic</t>
        </is>
      </c>
      <c r="N508" s="18" t="inlineStr">
        <is>
          <t>ข้อ 3 (PLE_CC1_Key_Rx20_UBU.md)</t>
        </is>
      </c>
      <c r="O508" s="18" t="inlineStr">
        <is>
          <t>Mock</t>
        </is>
      </c>
      <c r="P508" s="18" t="inlineStr">
        <is>
          <t>Mock Rx20 UBU</t>
        </is>
      </c>
    </row>
    <row r="509">
      <c r="A509" s="15" t="inlineStr">
        <is>
          <t>507</t>
        </is>
      </c>
      <c r="B509" s="18" t="inlineStr">
        <is>
          <t>ออกกำลังกาย Ref http://www.revespcardiol.org/en/acute-heart-failure-epidemiology- risk/articulo/90387088/ 2 ควรเริ่มการรักษาในโรงพยาบาลอย่างไร</t>
        </is>
      </c>
      <c r="C509" s="18" t="inlineStr"/>
      <c r="D509" s="18" t="inlineStr">
        <is>
          <t>Bisoprolol 5 mg OD</t>
        </is>
      </c>
      <c r="E509" s="18" t="inlineStr">
        <is>
          <t>Spironolactone 25 mg OD</t>
        </is>
      </c>
      <c r="F509" s="18" t="inlineStr">
        <is>
          <t>Clopidogrel 75 mg OD</t>
        </is>
      </c>
      <c r="G509" s="18" t="inlineStr">
        <is>
          <t>Aspirin 81 mg OD</t>
        </is>
      </c>
      <c r="H509" s="18" t="inlineStr">
        <is>
          <t>Sacubitril/Valsartan 49/51 mg BID</t>
        </is>
      </c>
      <c r="I509" s="15" t="inlineStr">
        <is>
          <t>1</t>
        </is>
      </c>
      <c r="J50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09" s="18" t="inlineStr"/>
      <c r="L509" s="18" t="inlineStr">
        <is>
          <t>Hypertension</t>
        </is>
      </c>
      <c r="M509" s="18" t="inlineStr">
        <is>
          <t>Clinic</t>
        </is>
      </c>
      <c r="N509" s="18" t="inlineStr">
        <is>
          <t>ข้อ 5 (PLE_CC1_Key_Rx20_UBU.md)</t>
        </is>
      </c>
      <c r="O509" s="18" t="inlineStr">
        <is>
          <t>Mock</t>
        </is>
      </c>
      <c r="P509" s="18" t="inlineStr">
        <is>
          <t>Mock Rx20 UBU</t>
        </is>
      </c>
    </row>
    <row r="510">
      <c r="A510" s="15" t="inlineStr">
        <is>
          <t>508</t>
        </is>
      </c>
      <c r="B510" s="18" t="inlineStr">
        <is>
          <t>Chewable aspirin</t>
        </is>
      </c>
      <c r="C510" s="18" t="inlineStr"/>
      <c r="D510" s="18" t="inlineStr">
        <is>
          <t>Aspirin 81 mg OD</t>
        </is>
      </c>
      <c r="E510" s="18" t="inlineStr">
        <is>
          <t>Sacubitril/Valsartan 49/51 mg BID</t>
        </is>
      </c>
      <c r="F510" s="18" t="inlineStr">
        <is>
          <t>Empagliflozin 10 mg OD</t>
        </is>
      </c>
      <c r="G510" s="18" t="inlineStr">
        <is>
          <t>Diltiazem 30 mg TID</t>
        </is>
      </c>
      <c r="H510" s="18" t="inlineStr">
        <is>
          <t>Warfarin 3 mg OD (target INR 2.0-3.0)</t>
        </is>
      </c>
      <c r="I510" s="15" t="inlineStr">
        <is>
          <t>1</t>
        </is>
      </c>
      <c r="J51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10" s="18" t="inlineStr"/>
      <c r="L510" s="18" t="inlineStr">
        <is>
          <t>Hypertension</t>
        </is>
      </c>
      <c r="M510" s="18" t="inlineStr">
        <is>
          <t>Clinic</t>
        </is>
      </c>
      <c r="N510" s="18" t="inlineStr">
        <is>
          <t>ข้อ 4 (PLE_CC1_Key_Rx20_UBU.md)</t>
        </is>
      </c>
      <c r="O510" s="18" t="inlineStr">
        <is>
          <t>Mock</t>
        </is>
      </c>
      <c r="P510" s="18" t="inlineStr">
        <is>
          <t>Mock Rx20 UBU</t>
        </is>
      </c>
    </row>
    <row r="511">
      <c r="A511" s="15" t="inlineStr">
        <is>
          <t>509</t>
        </is>
      </c>
      <c r="B511" s="18" t="inlineStr">
        <is>
          <t>คำแนะนำเกี่ยวกับยา Furosemide</t>
        </is>
      </c>
      <c r="C511" s="18" t="inlineStr"/>
      <c r="D511" s="18" t="inlineStr">
        <is>
          <t>Diltiazem 30 mg TID</t>
        </is>
      </c>
      <c r="E511" s="18" t="inlineStr">
        <is>
          <t>Warfarin 3 mg OD (target INR 2.0-3.0)</t>
        </is>
      </c>
      <c r="F511" s="18" t="inlineStr">
        <is>
          <t>Furosemide 40 mg OD</t>
        </is>
      </c>
      <c r="G511" s="18" t="inlineStr">
        <is>
          <t>Amlodipine 5 mg OD</t>
        </is>
      </c>
      <c r="H511" s="18" t="inlineStr">
        <is>
          <t>Losartan 50 mg OD</t>
        </is>
      </c>
      <c r="I511" s="15" t="inlineStr">
        <is>
          <t>1</t>
        </is>
      </c>
      <c r="J51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11" s="18" t="inlineStr"/>
      <c r="L511" s="18" t="inlineStr">
        <is>
          <t>Hypertension</t>
        </is>
      </c>
      <c r="M511" s="18" t="inlineStr">
        <is>
          <t>Clinic</t>
        </is>
      </c>
      <c r="N511" s="18" t="inlineStr">
        <is>
          <t>ข้อ 4 (PLE_CC1_Key_Rx20_UBU.md)</t>
        </is>
      </c>
      <c r="O511" s="18" t="inlineStr">
        <is>
          <t>Mock</t>
        </is>
      </c>
      <c r="P511" s="18" t="inlineStr">
        <is>
          <t>Mock Rx20 UBU</t>
        </is>
      </c>
    </row>
    <row r="512">
      <c r="A512" s="15" t="inlineStr">
        <is>
          <t>510</t>
        </is>
      </c>
      <c r="B512" s="18" t="inlineStr">
        <is>
          <t>ในผู้ป่วยที่มีอาการกำเริบไม่รุนแรงสามารถให้ prokinetic ตัวเดียวเพื่อควบคุมอาการได้ Case 9 ผู้ป่วยหญิงนอนไม่หลับมา 1 เดือน เพิ่งเลื่อนตำแหน่งทำให้เครียด โดยใช้เวลา 1 ชั่วโมงถึงจะนอนหลับ เมื่อหลับตื่นกลางดึก 2-3 ครั้ง ไม่สูบบุหรี่ ออกกำลังกายกอนนอน 1 ชั่วโมงเพื่อชวยให้หลับ ดื่มชาและไวน์เพื่อช่วยใหหลับ งีบระหวางวัน พอเสียชีวิตเมื่อ 6 เดือนก่อน แม่ปวยเปนโรคหัวใจและมะเร็ง</t>
        </is>
      </c>
      <c r="C512" s="18" t="inlineStr"/>
      <c r="D512" s="18" t="inlineStr">
        <is>
          <t>Amlodipine 5 mg OD</t>
        </is>
      </c>
      <c r="E512" s="18" t="inlineStr">
        <is>
          <t>Losartan 50 mg OD</t>
        </is>
      </c>
      <c r="F512" s="18" t="inlineStr">
        <is>
          <t>Enalapril 10 mg BID</t>
        </is>
      </c>
      <c r="G512" s="18" t="inlineStr">
        <is>
          <t>Hydrochlorothiazide 25 mg OD</t>
        </is>
      </c>
      <c r="H512" s="18" t="inlineStr">
        <is>
          <t>Atorvastatin 20 mg OD</t>
        </is>
      </c>
      <c r="I512" s="15" t="inlineStr">
        <is>
          <t>1</t>
        </is>
      </c>
      <c r="J51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2" s="18" t="inlineStr"/>
      <c r="L512" s="18" t="inlineStr">
        <is>
          <t>Hypertension</t>
        </is>
      </c>
      <c r="M512" s="18" t="inlineStr">
        <is>
          <t>Clinic</t>
        </is>
      </c>
      <c r="N512" s="18" t="inlineStr">
        <is>
          <t>ข้อ 4 (PLE_CC1_Key_Rx20_UBU.md)</t>
        </is>
      </c>
      <c r="O512" s="18" t="inlineStr">
        <is>
          <t>Mock</t>
        </is>
      </c>
      <c r="P512" s="18" t="inlineStr">
        <is>
          <t>Mock Rx20 UBU</t>
        </is>
      </c>
    </row>
    <row r="513">
      <c r="A513" s="15" t="inlineStr">
        <is>
          <t>511</t>
        </is>
      </c>
      <c r="B513" s="18" t="inlineStr">
        <is>
          <t>อุณหภูมิ 25-30 C Case 12: HIV กับไมเกรน ผู ป ว ย กิ น ยำ ตำ น HIV สู ต ร AZT + 3TC +lopinavir/ritonavir มีอาการปวดหัวไมเกรนบอย กินยา แ ก ป ว ด หั ว ไ ม เ ก ร น ป ร ะ จํ า คื อ ergotamine +caffeine ผูปวยมีประวัติเปนโรคซึมเศรา และความดันโลหิตสูง</t>
        </is>
      </c>
      <c r="C513" s="18" t="inlineStr"/>
      <c r="D513" s="18" t="inlineStr">
        <is>
          <t>Hydrochlorothiazide 25 mg OD</t>
        </is>
      </c>
      <c r="E513" s="18" t="inlineStr">
        <is>
          <t>Atorvastatin 20 mg OD</t>
        </is>
      </c>
      <c r="F513" s="18" t="inlineStr">
        <is>
          <t>Simvastatin 20 mg HS</t>
        </is>
      </c>
      <c r="G513" s="18" t="inlineStr">
        <is>
          <t>Bisoprolol 5 mg OD</t>
        </is>
      </c>
      <c r="H513" s="18" t="inlineStr">
        <is>
          <t>Spironolactone 25 mg OD</t>
        </is>
      </c>
      <c r="I513" s="15" t="inlineStr">
        <is>
          <t>5</t>
        </is>
      </c>
      <c r="J513" s="22" t="inlineStr">
        <is>
          <t>✅ คำตอบที่ถูกต้อง: ข้อ จ. Spironolactone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Spironolactone 25 mg OD การเลือก Spironolactone 25 mg OD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13" s="18" t="inlineStr"/>
      <c r="L513" s="18" t="inlineStr">
        <is>
          <t>Hypertension</t>
        </is>
      </c>
      <c r="M513" s="18" t="inlineStr">
        <is>
          <t>Clinic</t>
        </is>
      </c>
      <c r="N513" s="18" t="inlineStr">
        <is>
          <t>ข้อ 5 (PLE_CC1_Key_Rx20_UBU.md)</t>
        </is>
      </c>
      <c r="O513" s="18" t="inlineStr">
        <is>
          <t>Mock</t>
        </is>
      </c>
      <c r="P513" s="18" t="inlineStr">
        <is>
          <t>Mock Rx20 UBU</t>
        </is>
      </c>
    </row>
    <row r="514">
      <c r="A514" s="15" t="inlineStr">
        <is>
          <t>512</t>
        </is>
      </c>
      <c r="B514" s="18" t="inlineStr">
        <is>
          <t>ลดการดูดซึม ergotamine</t>
        </is>
      </c>
      <c r="C514" s="18" t="inlineStr"/>
      <c r="D514" s="18" t="inlineStr">
        <is>
          <t>Bisoprolol 5 mg OD</t>
        </is>
      </c>
      <c r="E514" s="18" t="inlineStr">
        <is>
          <t>Spironolactone 25 mg OD</t>
        </is>
      </c>
      <c r="F514" s="18" t="inlineStr">
        <is>
          <t>Clopidogrel 75 mg OD</t>
        </is>
      </c>
      <c r="G514" s="18" t="inlineStr">
        <is>
          <t>Aspirin 81 mg OD</t>
        </is>
      </c>
      <c r="H514" s="18" t="inlineStr">
        <is>
          <t>Sacubitril/Valsartan 49/51 mg BID</t>
        </is>
      </c>
      <c r="I514" s="15" t="inlineStr">
        <is>
          <t>1</t>
        </is>
      </c>
      <c r="J51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14" s="18" t="inlineStr"/>
      <c r="L514" s="18" t="inlineStr">
        <is>
          <t>Hypertension</t>
        </is>
      </c>
      <c r="M514" s="18" t="inlineStr">
        <is>
          <t>Clinic</t>
        </is>
      </c>
      <c r="N514" s="18" t="inlineStr">
        <is>
          <t>ข้อ 1 (PLE_CC1_Key_Rx20_UBU.md)</t>
        </is>
      </c>
      <c r="O514" s="18" t="inlineStr">
        <is>
          <t>Mock</t>
        </is>
      </c>
      <c r="P514" s="18" t="inlineStr">
        <is>
          <t>Mock Rx20 UBU</t>
        </is>
      </c>
    </row>
    <row r="515">
      <c r="A515" s="15" t="inlineStr">
        <is>
          <t>513</t>
        </is>
      </c>
      <c r="B515" s="18" t="inlineStr">
        <is>
          <t>เพิ่มการเมทาบอลิซึมของ ergotamine</t>
        </is>
      </c>
      <c r="C515" s="18" t="inlineStr"/>
      <c r="D515" s="18" t="inlineStr">
        <is>
          <t>Aspirin 81 mg OD</t>
        </is>
      </c>
      <c r="E515" s="18" t="inlineStr">
        <is>
          <t>Sacubitril/Valsartan 49/51 mg BID</t>
        </is>
      </c>
      <c r="F515" s="18" t="inlineStr">
        <is>
          <t>Empagliflozin 10 mg OD</t>
        </is>
      </c>
      <c r="G515" s="18" t="inlineStr">
        <is>
          <t>Diltiazem 30 mg TID</t>
        </is>
      </c>
      <c r="H515" s="18" t="inlineStr">
        <is>
          <t>Warfarin 3 mg OD (target INR 2.0-3.0)</t>
        </is>
      </c>
      <c r="I515" s="15" t="inlineStr">
        <is>
          <t>1</t>
        </is>
      </c>
      <c r="J51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15" s="18" t="inlineStr"/>
      <c r="L515" s="18" t="inlineStr">
        <is>
          <t>Hypertension</t>
        </is>
      </c>
      <c r="M515" s="18" t="inlineStr">
        <is>
          <t>Clinic</t>
        </is>
      </c>
      <c r="N515" s="18" t="inlineStr">
        <is>
          <t>ข้อ 2 (PLE_CC1_Key_Rx20_UBU.md)</t>
        </is>
      </c>
      <c r="O515" s="18" t="inlineStr">
        <is>
          <t>Mock</t>
        </is>
      </c>
      <c r="P515" s="18" t="inlineStr">
        <is>
          <t>Mock Rx20 UBU</t>
        </is>
      </c>
    </row>
    <row r="516">
      <c r="A516" s="15" t="inlineStr">
        <is>
          <t>514</t>
        </is>
      </c>
      <c r="B516" s="18" t="inlineStr">
        <is>
          <t>ลดการเมทาบอลิซึมของ ergotamine</t>
        </is>
      </c>
      <c r="C516" s="18" t="inlineStr"/>
      <c r="D516" s="18" t="inlineStr">
        <is>
          <t>Diltiazem 30 mg TID</t>
        </is>
      </c>
      <c r="E516" s="18" t="inlineStr">
        <is>
          <t>Warfarin 3 mg OD (target INR 2.0-3.0)</t>
        </is>
      </c>
      <c r="F516" s="18" t="inlineStr">
        <is>
          <t>Furosemide 40 mg OD</t>
        </is>
      </c>
      <c r="G516" s="18" t="inlineStr">
        <is>
          <t>Amlodipine 5 mg OD</t>
        </is>
      </c>
      <c r="H516" s="18" t="inlineStr">
        <is>
          <t>Losartan 50 mg OD</t>
        </is>
      </c>
      <c r="I516" s="15" t="inlineStr">
        <is>
          <t>1</t>
        </is>
      </c>
      <c r="J51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16" s="18" t="inlineStr"/>
      <c r="L516" s="18" t="inlineStr">
        <is>
          <t>Hypertension</t>
        </is>
      </c>
      <c r="M516" s="18" t="inlineStr">
        <is>
          <t>Clinic</t>
        </is>
      </c>
      <c r="N516" s="18" t="inlineStr">
        <is>
          <t>ข้อ 3 (PLE_CC1_Key_Rx20_UBU.md)</t>
        </is>
      </c>
      <c r="O516" s="18" t="inlineStr">
        <is>
          <t>Mock</t>
        </is>
      </c>
      <c r="P516" s="18" t="inlineStr">
        <is>
          <t>Mock Rx20 UBU</t>
        </is>
      </c>
    </row>
    <row r="517">
      <c r="A517" s="15" t="inlineStr">
        <is>
          <t>515</t>
        </is>
      </c>
      <c r="B517" s="18" t="inlineStr">
        <is>
          <t>เพิ่มการขับออกของ ergotamine</t>
        </is>
      </c>
      <c r="C517" s="18" t="inlineStr"/>
      <c r="D517" s="18" t="inlineStr">
        <is>
          <t>Amlodipine 5 mg OD</t>
        </is>
      </c>
      <c r="E517" s="18" t="inlineStr">
        <is>
          <t>Losartan 50 mg OD</t>
        </is>
      </c>
      <c r="F517" s="18" t="inlineStr">
        <is>
          <t>Enalapril 10 mg BID</t>
        </is>
      </c>
      <c r="G517" s="18" t="inlineStr">
        <is>
          <t>Hydrochlorothiazide 25 mg OD</t>
        </is>
      </c>
      <c r="H517" s="18" t="inlineStr">
        <is>
          <t>Atorvastatin 20 mg OD</t>
        </is>
      </c>
      <c r="I517" s="15" t="inlineStr">
        <is>
          <t>1</t>
        </is>
      </c>
      <c r="J51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7" s="18" t="inlineStr"/>
      <c r="L517" s="18" t="inlineStr">
        <is>
          <t>Hypertension</t>
        </is>
      </c>
      <c r="M517" s="18" t="inlineStr">
        <is>
          <t>Clinic</t>
        </is>
      </c>
      <c r="N517" s="18" t="inlineStr">
        <is>
          <t>ข้อ 4 (PLE_CC1_Key_Rx20_UBU.md)</t>
        </is>
      </c>
      <c r="O517" s="18" t="inlineStr">
        <is>
          <t>Mock</t>
        </is>
      </c>
      <c r="P517" s="18" t="inlineStr">
        <is>
          <t>Mock Rx20 UBU</t>
        </is>
      </c>
    </row>
    <row r="518">
      <c r="A518" s="15" t="inlineStr">
        <is>
          <t>516</t>
        </is>
      </c>
      <c r="B518" s="18" t="inlineStr">
        <is>
          <t>ลดการขับออกของ ergotamine</t>
        </is>
      </c>
      <c r="C518" s="18" t="inlineStr"/>
      <c r="D518" s="18" t="inlineStr">
        <is>
          <t>Hydrochlorothiazide 25 mg OD</t>
        </is>
      </c>
      <c r="E518" s="18" t="inlineStr">
        <is>
          <t>Atorvastatin 20 mg OD</t>
        </is>
      </c>
      <c r="F518" s="18" t="inlineStr">
        <is>
          <t>Simvastatin 20 mg HS</t>
        </is>
      </c>
      <c r="G518" s="18" t="inlineStr">
        <is>
          <t>Bisoprolol 5 mg OD</t>
        </is>
      </c>
      <c r="H518" s="18" t="inlineStr">
        <is>
          <t>Spironolactone 25 mg OD</t>
        </is>
      </c>
      <c r="I518" s="15" t="inlineStr">
        <is>
          <t>5</t>
        </is>
      </c>
      <c r="J518" s="22" t="inlineStr">
        <is>
          <t>✅ คำตอบที่ถูกต้อง: ข้อ จ. Spironolactone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Spironolactone 25 mg OD การเลือก Spironolactone 25 mg OD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18" s="18" t="inlineStr"/>
      <c r="L518" s="18" t="inlineStr">
        <is>
          <t>Hypertension</t>
        </is>
      </c>
      <c r="M518" s="18" t="inlineStr">
        <is>
          <t>Clinic</t>
        </is>
      </c>
      <c r="N518" s="18" t="inlineStr">
        <is>
          <t>ข้อ 5 (PLE_CC1_Key_Rx20_UBU.md)</t>
        </is>
      </c>
      <c r="O518" s="18" t="inlineStr">
        <is>
          <t>Mock</t>
        </is>
      </c>
      <c r="P518" s="18" t="inlineStr">
        <is>
          <t>Mock Rx20 UBU</t>
        </is>
      </c>
    </row>
    <row r="519">
      <c r="A519" s="15" t="inlineStr">
        <is>
          <t>517</t>
        </is>
      </c>
      <c r="B519" s="18" t="inlineStr">
        <is>
          <t>เปลี่ยน ergotamine เปน naproxen sodium</t>
        </is>
      </c>
      <c r="C519" s="18" t="inlineStr"/>
      <c r="D519" s="18" t="inlineStr">
        <is>
          <t>Bisoprolol 5 mg OD</t>
        </is>
      </c>
      <c r="E519" s="18" t="inlineStr">
        <is>
          <t>Spironolactone 25 mg OD</t>
        </is>
      </c>
      <c r="F519" s="18" t="inlineStr">
        <is>
          <t>Clopidogrel 75 mg OD</t>
        </is>
      </c>
      <c r="G519" s="18" t="inlineStr">
        <is>
          <t>Aspirin 81 mg OD</t>
        </is>
      </c>
      <c r="H519" s="18" t="inlineStr">
        <is>
          <t>Sacubitril/Valsartan 49/51 mg BID</t>
        </is>
      </c>
      <c r="I519" s="15" t="inlineStr">
        <is>
          <t>1</t>
        </is>
      </c>
      <c r="J51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19" s="18" t="inlineStr"/>
      <c r="L519" s="18" t="inlineStr">
        <is>
          <t>Hypertension</t>
        </is>
      </c>
      <c r="M519" s="18" t="inlineStr">
        <is>
          <t>Clinic</t>
        </is>
      </c>
      <c r="N519" s="18" t="inlineStr">
        <is>
          <t>ข้อ 1 (PLE_CC1_Key_Rx20_UBU.md)</t>
        </is>
      </c>
      <c r="O519" s="18" t="inlineStr">
        <is>
          <t>Mock</t>
        </is>
      </c>
      <c r="P519" s="18" t="inlineStr">
        <is>
          <t>Mock Rx20 UBU</t>
        </is>
      </c>
    </row>
    <row r="520">
      <c r="A520" s="15" t="inlineStr">
        <is>
          <t>518</t>
        </is>
      </c>
      <c r="B520" s="18" t="inlineStr">
        <is>
          <t>เปลี่ยน ergotamine เปน flunarizine</t>
        </is>
      </c>
      <c r="C520" s="18" t="inlineStr"/>
      <c r="D520" s="18" t="inlineStr">
        <is>
          <t>Aspirin 81 mg OD</t>
        </is>
      </c>
      <c r="E520" s="18" t="inlineStr">
        <is>
          <t>Sacubitril/Valsartan 49/51 mg BID</t>
        </is>
      </c>
      <c r="F520" s="18" t="inlineStr">
        <is>
          <t>Empagliflozin 10 mg OD</t>
        </is>
      </c>
      <c r="G520" s="18" t="inlineStr">
        <is>
          <t>Diltiazem 30 mg TID</t>
        </is>
      </c>
      <c r="H520" s="18" t="inlineStr">
        <is>
          <t>Warfarin 3 mg OD (target INR 2.0-3.0)</t>
        </is>
      </c>
      <c r="I520" s="15" t="inlineStr">
        <is>
          <t>1</t>
        </is>
      </c>
      <c r="J520"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20" s="18" t="inlineStr"/>
      <c r="L520" s="18" t="inlineStr">
        <is>
          <t>Hypertension</t>
        </is>
      </c>
      <c r="M520" s="18" t="inlineStr">
        <is>
          <t>Clinic</t>
        </is>
      </c>
      <c r="N520" s="18" t="inlineStr">
        <is>
          <t>ข้อ 2 (PLE_CC1_Key_Rx20_UBU.md)</t>
        </is>
      </c>
      <c r="O520" s="18" t="inlineStr">
        <is>
          <t>Mock</t>
        </is>
      </c>
      <c r="P520" s="18" t="inlineStr">
        <is>
          <t>Mock Rx20 UBU</t>
        </is>
      </c>
    </row>
    <row r="521">
      <c r="A521" s="15" t="inlineStr">
        <is>
          <t>519</t>
        </is>
      </c>
      <c r="B521" s="18" t="inlineStr">
        <is>
          <t>เปลี่ยน ergotamine เปน propanolol</t>
        </is>
      </c>
      <c r="C521" s="18" t="inlineStr"/>
      <c r="D521" s="18" t="inlineStr">
        <is>
          <t>Diltiazem 30 mg TID</t>
        </is>
      </c>
      <c r="E521" s="18" t="inlineStr">
        <is>
          <t>Warfarin 3 mg OD (target INR 2.0-3.0)</t>
        </is>
      </c>
      <c r="F521" s="18" t="inlineStr">
        <is>
          <t>Furosemide 40 mg OD</t>
        </is>
      </c>
      <c r="G521" s="18" t="inlineStr">
        <is>
          <t>Amlodipine 5 mg OD</t>
        </is>
      </c>
      <c r="H521" s="18" t="inlineStr">
        <is>
          <t>Losartan 50 mg OD</t>
        </is>
      </c>
      <c r="I521" s="15" t="inlineStr">
        <is>
          <t>1</t>
        </is>
      </c>
      <c r="J52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21" s="18" t="inlineStr"/>
      <c r="L521" s="18" t="inlineStr">
        <is>
          <t>Hypertension</t>
        </is>
      </c>
      <c r="M521" s="18" t="inlineStr">
        <is>
          <t>Clinic</t>
        </is>
      </c>
      <c r="N521" s="18" t="inlineStr">
        <is>
          <t>ข้อ 3 (PLE_CC1_Key_Rx20_UBU.md)</t>
        </is>
      </c>
      <c r="O521" s="18" t="inlineStr">
        <is>
          <t>Mock</t>
        </is>
      </c>
      <c r="P521" s="18" t="inlineStr">
        <is>
          <t>Mock Rx20 UBU</t>
        </is>
      </c>
    </row>
    <row r="522">
      <c r="A522" s="15" t="inlineStr">
        <is>
          <t>520</t>
        </is>
      </c>
      <c r="B522" s="18" t="inlineStr">
        <is>
          <t>ลดขนาด ergotamine ลงครึ่งหนึ่ง</t>
        </is>
      </c>
      <c r="C522" s="18" t="inlineStr"/>
      <c r="D522" s="18" t="inlineStr">
        <is>
          <t>Amlodipine 5 mg OD</t>
        </is>
      </c>
      <c r="E522" s="18" t="inlineStr">
        <is>
          <t>Losartan 50 mg OD</t>
        </is>
      </c>
      <c r="F522" s="18" t="inlineStr">
        <is>
          <t>Enalapril 10 mg BID</t>
        </is>
      </c>
      <c r="G522" s="18" t="inlineStr">
        <is>
          <t>Hydrochlorothiazide 25 mg OD</t>
        </is>
      </c>
      <c r="H522" s="18" t="inlineStr">
        <is>
          <t>Atorvastatin 20 mg OD</t>
        </is>
      </c>
      <c r="I522" s="15" t="inlineStr">
        <is>
          <t>1</t>
        </is>
      </c>
      <c r="J52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22" s="18" t="inlineStr"/>
      <c r="L522" s="18" t="inlineStr">
        <is>
          <t>Hypertension</t>
        </is>
      </c>
      <c r="M522" s="18" t="inlineStr">
        <is>
          <t>Clinic</t>
        </is>
      </c>
      <c r="N522" s="18" t="inlineStr">
        <is>
          <t>ข้อ 4 (PLE_CC1_Key_Rx20_UBU.md)</t>
        </is>
      </c>
      <c r="O522" s="18" t="inlineStr">
        <is>
          <t>Mock</t>
        </is>
      </c>
      <c r="P522" s="18" t="inlineStr">
        <is>
          <t>Mock Rx20 UBU</t>
        </is>
      </c>
    </row>
    <row r="523">
      <c r="A523" s="15" t="inlineStr">
        <is>
          <t>521</t>
        </is>
      </c>
      <c r="B523" s="18" t="inlineStr">
        <is>
          <t>เพิ่มขนาด ergotamine ขึ้นครึ่งหนึ่ง อาจซ้ำกับยาลดความดันกลัว hypotension</t>
        </is>
      </c>
      <c r="C523" s="18" t="inlineStr"/>
      <c r="D523" s="18" t="inlineStr">
        <is>
          <t>Hydrochlorothiazide 25 mg OD</t>
        </is>
      </c>
      <c r="E523" s="18" t="inlineStr">
        <is>
          <t>Atorvastatin 20 mg OD</t>
        </is>
      </c>
      <c r="F523" s="18" t="inlineStr">
        <is>
          <t>Simvastatin 20 mg HS</t>
        </is>
      </c>
      <c r="G523" s="18" t="inlineStr">
        <is>
          <t>Bisoprolol 5 mg OD</t>
        </is>
      </c>
      <c r="H523" s="18" t="inlineStr">
        <is>
          <t>Spironolactone 25 mg OD</t>
        </is>
      </c>
      <c r="I523" s="15" t="inlineStr">
        <is>
          <t>1</t>
        </is>
      </c>
      <c r="J52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23" s="18" t="inlineStr"/>
      <c r="L523" s="18" t="inlineStr">
        <is>
          <t>Hypertension</t>
        </is>
      </c>
      <c r="M523" s="18" t="inlineStr">
        <is>
          <t>Clinic</t>
        </is>
      </c>
      <c r="N523" s="18" t="inlineStr">
        <is>
          <t>ข้อ 5 (PLE_CC1_Key_Rx20_UBU.md)</t>
        </is>
      </c>
      <c r="O523" s="18" t="inlineStr">
        <is>
          <t>Mock</t>
        </is>
      </c>
      <c r="P523" s="18" t="inlineStr">
        <is>
          <t>Mock Rx20 UBU</t>
        </is>
      </c>
    </row>
    <row r="524">
      <c r="A524" s="15" t="inlineStr">
        <is>
          <t>522</t>
        </is>
      </c>
      <c r="B524" s="18" t="inlineStr">
        <is>
          <t>ควรแนะนำอะไรให้กับผู้ปวยที่ใช ergotamine</t>
        </is>
      </c>
      <c r="C524" s="18" t="inlineStr"/>
      <c r="D524" s="18" t="inlineStr">
        <is>
          <t>Bisoprolol 5 mg OD</t>
        </is>
      </c>
      <c r="E524" s="18" t="inlineStr">
        <is>
          <t>Spironolactone 25 mg OD</t>
        </is>
      </c>
      <c r="F524" s="18" t="inlineStr">
        <is>
          <t>Clopidogrel 75 mg OD</t>
        </is>
      </c>
      <c r="G524" s="18" t="inlineStr">
        <is>
          <t>Aspirin 81 mg OD</t>
        </is>
      </c>
      <c r="H524" s="18" t="inlineStr">
        <is>
          <t>Sacubitril/Valsartan 49/51 mg BID</t>
        </is>
      </c>
      <c r="I524" s="15" t="inlineStr">
        <is>
          <t>1</t>
        </is>
      </c>
      <c r="J52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24" s="18" t="inlineStr"/>
      <c r="L524" s="18" t="inlineStr">
        <is>
          <t>Hypertension</t>
        </is>
      </c>
      <c r="M524" s="18" t="inlineStr">
        <is>
          <t>Clinic</t>
        </is>
      </c>
      <c r="N524" s="18" t="inlineStr">
        <is>
          <t>ข้อ 4 (PLE_CC1_Key_Rx20_UBU.md)</t>
        </is>
      </c>
      <c r="O524" s="18" t="inlineStr">
        <is>
          <t>Mock</t>
        </is>
      </c>
      <c r="P524" s="18" t="inlineStr">
        <is>
          <t>Mock Rx20 UBU</t>
        </is>
      </c>
    </row>
    <row r="525">
      <c r="A525" s="15" t="inlineStr">
        <is>
          <t>523</t>
        </is>
      </c>
      <c r="B525" s="18" t="inlineStr">
        <is>
          <t>ขอใดไมใชผลขางเคียงจากการใชยา ergotamine</t>
        </is>
      </c>
      <c r="C525" s="18" t="inlineStr"/>
      <c r="D525" s="18" t="inlineStr">
        <is>
          <t>Aspirin 81 mg OD</t>
        </is>
      </c>
      <c r="E525" s="18" t="inlineStr">
        <is>
          <t>Sacubitril/Valsartan 49/51 mg BID</t>
        </is>
      </c>
      <c r="F525" s="18" t="inlineStr">
        <is>
          <t>Empagliflozin 10 mg OD</t>
        </is>
      </c>
      <c r="G525" s="18" t="inlineStr">
        <is>
          <t>Diltiazem 30 mg TID</t>
        </is>
      </c>
      <c r="H525" s="18" t="inlineStr">
        <is>
          <t>Warfarin 3 mg OD (target INR 2.0-3.0)</t>
        </is>
      </c>
      <c r="I525" s="15" t="inlineStr">
        <is>
          <t>1</t>
        </is>
      </c>
      <c r="J52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25" s="18" t="inlineStr"/>
      <c r="L525" s="18" t="inlineStr">
        <is>
          <t>Hypertension</t>
        </is>
      </c>
      <c r="M525" s="18" t="inlineStr">
        <is>
          <t>Clinic</t>
        </is>
      </c>
      <c r="N525" s="18" t="inlineStr">
        <is>
          <t>ข้อ 5 (PLE_CC1_Key_Rx20_UBU.md)</t>
        </is>
      </c>
      <c r="O525" s="18" t="inlineStr">
        <is>
          <t>Mock</t>
        </is>
      </c>
      <c r="P525" s="18" t="inlineStr">
        <is>
          <t>Mock Rx20 UBU</t>
        </is>
      </c>
    </row>
    <row r="526">
      <c r="A526" s="15" t="inlineStr">
        <is>
          <t>524</t>
        </is>
      </c>
      <c r="B526" s="18" t="inlineStr">
        <is>
          <t>angina-like pain</t>
        </is>
      </c>
      <c r="C526" s="18" t="inlineStr"/>
      <c r="D526" s="18" t="inlineStr">
        <is>
          <t>Diltiazem 30 mg TID</t>
        </is>
      </c>
      <c r="E526" s="18" t="inlineStr">
        <is>
          <t>Warfarin 3 mg OD (target INR 2.0-3.0)</t>
        </is>
      </c>
      <c r="F526" s="18" t="inlineStr">
        <is>
          <t>Furosemide 40 mg OD</t>
        </is>
      </c>
      <c r="G526" s="18" t="inlineStr">
        <is>
          <t>Amlodipine 5 mg OD</t>
        </is>
      </c>
      <c r="H526" s="18" t="inlineStr">
        <is>
          <t>Losartan 50 mg OD</t>
        </is>
      </c>
      <c r="I526" s="15" t="inlineStr">
        <is>
          <t>1</t>
        </is>
      </c>
      <c r="J52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26" s="18" t="inlineStr"/>
      <c r="L526" s="18" t="inlineStr">
        <is>
          <t>Hypertension</t>
        </is>
      </c>
      <c r="M526" s="18" t="inlineStr">
        <is>
          <t>Clinic</t>
        </is>
      </c>
      <c r="N526" s="18" t="inlineStr">
        <is>
          <t>ข้อ 1 (PLE_CC1_Key_Rx20_UBU.md)</t>
        </is>
      </c>
      <c r="O526" s="18" t="inlineStr">
        <is>
          <t>Mock</t>
        </is>
      </c>
      <c r="P526" s="18" t="inlineStr">
        <is>
          <t>Mock Rx20 UBU</t>
        </is>
      </c>
    </row>
    <row r="527">
      <c r="A527" s="15" t="inlineStr">
        <is>
          <t>525</t>
        </is>
      </c>
      <c r="B527" s="18" t="inlineStr">
        <is>
          <t>ไม่มีการแสดง Uniformity of Dosage Unit</t>
        </is>
      </c>
      <c r="C527" s="18" t="inlineStr"/>
      <c r="D527" s="18" t="inlineStr">
        <is>
          <t>Amlodipine 5 mg OD</t>
        </is>
      </c>
      <c r="E527" s="18" t="inlineStr">
        <is>
          <t>Losartan 50 mg OD</t>
        </is>
      </c>
      <c r="F527" s="18" t="inlineStr">
        <is>
          <t>Enalapril 10 mg BID</t>
        </is>
      </c>
      <c r="G527" s="18" t="inlineStr">
        <is>
          <t>Hydrochlorothiazide 25 mg OD</t>
        </is>
      </c>
      <c r="H527" s="18" t="inlineStr">
        <is>
          <t>Atorvastatin 20 mg OD</t>
        </is>
      </c>
      <c r="I527" s="15" t="inlineStr">
        <is>
          <t>1</t>
        </is>
      </c>
      <c r="J52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27" s="18" t="inlineStr"/>
      <c r="L527" s="18" t="inlineStr">
        <is>
          <t>Hypertension</t>
        </is>
      </c>
      <c r="M527" s="18" t="inlineStr">
        <is>
          <t>Clinic</t>
        </is>
      </c>
      <c r="N527" s="18" t="inlineStr">
        <is>
          <t>ข้อ 2 (PLE_CC1_Key_Rx20_UBU.md)</t>
        </is>
      </c>
      <c r="O527" s="18" t="inlineStr">
        <is>
          <t>Mock</t>
        </is>
      </c>
      <c r="P527" s="18" t="inlineStr">
        <is>
          <t>Mock Rx20 UBU</t>
        </is>
      </c>
    </row>
    <row r="528">
      <c r="A528" s="15" t="inlineStr">
        <is>
          <t>526</t>
        </is>
      </c>
      <c r="B528" s="18" t="inlineStr">
        <is>
          <t>Furosemide 40 mg ½ tab bid pc</t>
        </is>
      </c>
      <c r="C528" s="18" t="inlineStr"/>
      <c r="D528" s="18" t="inlineStr">
        <is>
          <t>Hydrochlorothiazide 25 mg OD</t>
        </is>
      </c>
      <c r="E528" s="18" t="inlineStr">
        <is>
          <t>Atorvastatin 20 mg OD</t>
        </is>
      </c>
      <c r="F528" s="18" t="inlineStr">
        <is>
          <t>Simvastatin 20 mg HS</t>
        </is>
      </c>
      <c r="G528" s="18" t="inlineStr">
        <is>
          <t>Bisoprolol 5 mg OD</t>
        </is>
      </c>
      <c r="H528" s="18" t="inlineStr">
        <is>
          <t>Spironolactone 25 mg OD</t>
        </is>
      </c>
      <c r="I528" s="15" t="inlineStr">
        <is>
          <t>1</t>
        </is>
      </c>
      <c r="J528"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28" s="18" t="inlineStr"/>
      <c r="L528" s="18" t="inlineStr">
        <is>
          <t>Hypertension</t>
        </is>
      </c>
      <c r="M528" s="18" t="inlineStr">
        <is>
          <t>Clinic</t>
        </is>
      </c>
      <c r="N528" s="18" t="inlineStr">
        <is>
          <t>ข้อ 1 (PLE_CC1_Key_Rx20_UBU.md)</t>
        </is>
      </c>
      <c r="O528" s="18" t="inlineStr">
        <is>
          <t>Mock</t>
        </is>
      </c>
      <c r="P528" s="18" t="inlineStr">
        <is>
          <t>Mock Rx20 UBU</t>
        </is>
      </c>
    </row>
    <row r="529">
      <c r="A529" s="15" t="inlineStr">
        <is>
          <t>527</t>
        </is>
      </c>
      <c r="B529" s="18" t="inlineStr">
        <is>
          <t>Enalapril 5 mg 1 tab od pc</t>
        </is>
      </c>
      <c r="C529" s="18" t="inlineStr"/>
      <c r="D529" s="18" t="inlineStr">
        <is>
          <t>Bisoprolol 5 mg OD</t>
        </is>
      </c>
      <c r="E529" s="18" t="inlineStr">
        <is>
          <t>Spironolactone 25 mg OD</t>
        </is>
      </c>
      <c r="F529" s="18" t="inlineStr">
        <is>
          <t>Clopidogrel 75 mg OD</t>
        </is>
      </c>
      <c r="G529" s="18" t="inlineStr">
        <is>
          <t>Aspirin 81 mg OD</t>
        </is>
      </c>
      <c r="H529" s="18" t="inlineStr">
        <is>
          <t>Sacubitril/Valsartan 49/51 mg BID</t>
        </is>
      </c>
      <c r="I529" s="15" t="inlineStr">
        <is>
          <t>1</t>
        </is>
      </c>
      <c r="J529"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529" s="18" t="inlineStr"/>
      <c r="L529" s="18" t="inlineStr">
        <is>
          <t>Hypertension</t>
        </is>
      </c>
      <c r="M529" s="18" t="inlineStr">
        <is>
          <t>Clinic</t>
        </is>
      </c>
      <c r="N529" s="18" t="inlineStr">
        <is>
          <t>ข้อ 3 (PLE_CC1_Key_Rx20_UBU.md)</t>
        </is>
      </c>
      <c r="O529" s="18" t="inlineStr">
        <is>
          <t>Mock</t>
        </is>
      </c>
      <c r="P529" s="18" t="inlineStr">
        <is>
          <t>Mock Rx20 UBU</t>
        </is>
      </c>
    </row>
    <row r="530">
      <c r="A530" s="15" t="inlineStr">
        <is>
          <t>528</t>
        </is>
      </c>
      <c r="B530" s="18" t="inlineStr">
        <is>
          <t>หากเกิด Angioedema จาก Enalapril ควรทำอย่างไร</t>
        </is>
      </c>
      <c r="C530" s="18" t="inlineStr"/>
      <c r="D530" s="18" t="inlineStr">
        <is>
          <t>เปลี่ยนเป็น Lisinopril</t>
        </is>
      </c>
      <c r="E530" s="18" t="inlineStr">
        <is>
          <t>เปลี่ยนเป็น Candesartan</t>
        </is>
      </c>
      <c r="F530" s="18" t="inlineStr">
        <is>
          <t>ใช้ Enalapril ต่อไป อาการจะเริ่มดีขึ้น พร้อมติดตามอย่างใกล้ชิด</t>
        </is>
      </c>
      <c r="G530" s="18" t="inlineStr">
        <is>
          <t>ลดขนาดยา Enalapril</t>
        </is>
      </c>
      <c r="H530" s="18" t="inlineStr">
        <is>
          <t>หยุดยาจนหาย แล้วลองใช้อีกครั้ง ร่วมกับต้องติดตามอย่างใกล้ชิด</t>
        </is>
      </c>
      <c r="I530" s="15" t="inlineStr">
        <is>
          <t>2</t>
        </is>
      </c>
      <c r="J530" s="22" t="inlineStr">
        <is>
          <t>✅ คำตอบที่ถูกต้อง: ข้อ ข. เปลี่ยนเป็น Candesartan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Candesartan การเลือก เปลี่ยนเป็น Candesartan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(เปลี่ยนเป็น Lisinopril): ข้อนี้ไม่ใช่คำตอบที่ถูกต้องสำหรับภาวะ Hypertension เนื่องจากกลไกการออกฤทธิ์, efficacy หรือข้อบ่งใช้ไม่ตรงกับโจทย์ที่กำหนด
• ข้อ ค. (ใช้ Enalapril ต่อไป อาการจะเริ่มดีขึ้น พร้อมติดตามอย่างใกล้ชิด): เป็น ACE inhibitor ลด Angiotensin II และ intraglomerular pressure มี renal protective efficacy เด่นชัดใน diabetic kidney disease แต่อาจเกิด dry cough จากการสะสมของ bradykinin
• ข้อ ง. (ลดขนาดยา Enalapril): เป็น ACE inhibitor ลด Angiotensin II และ intraglomerular pressure มี renal protective efficacy เด่นชัดใน diabetic kidney disease แต่อาจเกิด dry cough จากการสะสมของ bradykinin
• ข้อ จ. (หยุดยาจนหาย แล้วลองใช้อีกครั้ง ร่วมกับต้องติดตามอย่างใกล้ชิด):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530" s="18" t="inlineStr"/>
      <c r="L530" s="18" t="inlineStr">
        <is>
          <t>Hypertension</t>
        </is>
      </c>
      <c r="M530" s="18" t="inlineStr">
        <is>
          <t>Clinic</t>
        </is>
      </c>
      <c r="N530" s="18" t="inlineStr">
        <is>
          <t>ข้อ 40 (PLE_CC1_Key_Rx20_UBU.md)</t>
        </is>
      </c>
      <c r="O530" s="18" t="inlineStr">
        <is>
          <t>Mock</t>
        </is>
      </c>
      <c r="P530" s="18" t="inlineStr">
        <is>
          <t>Mock Rx20 UBU</t>
        </is>
      </c>
    </row>
    <row r="531">
      <c r="A531" s="15" t="inlineStr">
        <is>
          <t>529</t>
        </is>
      </c>
      <c r="B531" s="18" t="inlineStr">
        <is>
          <t>ข้อใด คืออาการไม่พึงประสงค์ของ Enalapril</t>
        </is>
      </c>
      <c r="C531" s="18" t="inlineStr"/>
      <c r="D531" s="18" t="inlineStr">
        <is>
          <t>Hyperkalemia</t>
        </is>
      </c>
      <c r="E531" s="18" t="inlineStr">
        <is>
          <t>Hepatotoxicity</t>
        </is>
      </c>
      <c r="F531" s="18" t="inlineStr">
        <is>
          <t>Pakinsonism</t>
        </is>
      </c>
      <c r="G531" s="18" t="inlineStr">
        <is>
          <t>Hypokalemia</t>
        </is>
      </c>
      <c r="H531" s="18" t="inlineStr">
        <is>
          <t>Hypertension</t>
        </is>
      </c>
      <c r="I531" s="15" t="inlineStr">
        <is>
          <t>1</t>
        </is>
      </c>
      <c r="J531" s="22"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(Hepatotoxicity): ข้อนี้ไม่ใช่คำตอบที่ถูกต้องสำหรับภาวะ Hypertension เนื่องจากกลไกการออกฤทธิ์, efficacy หรือข้อบ่งใช้ไม่ตรงกับโจทย์ที่กำหนด
• ข้อ ค. (Pakinsonism): ข้อนี้ไม่ใช่คำตอบที่ถูกต้องสำหรับภาวะ Hypertension เนื่องจากกลไกการออกฤทธิ์, efficacy หรือข้อบ่งใช้ไม่ตรงกับโจทย์ที่กำหนด
• ข้อ ง. (Hypokalemia): ข้อนี้ไม่ใช่คำตอบที่ถูกต้องสำหรับภาวะ Hypertension เนื่องจากกลไกการออกฤทธิ์, efficacy หรือข้อบ่งใช้ไม่ตรงกับโจทย์ที่กำหนด
• ข้อ จ. (Hypertension):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531" s="18" t="inlineStr"/>
      <c r="L531" s="18" t="inlineStr">
        <is>
          <t>Hypertension</t>
        </is>
      </c>
      <c r="M531" s="18" t="inlineStr">
        <is>
          <t>Clinic</t>
        </is>
      </c>
      <c r="N531" s="18" t="inlineStr">
        <is>
          <t>ข้อ 41 (PLE_CC1_Key_Rx20_UBU.md)</t>
        </is>
      </c>
      <c r="O531" s="18" t="inlineStr">
        <is>
          <t>Mock</t>
        </is>
      </c>
      <c r="P531" s="18" t="inlineStr">
        <is>
          <t>Mock Rx20 UBU</t>
        </is>
      </c>
    </row>
    <row r="532">
      <c r="A532" s="15" t="inlineStr">
        <is>
          <t>530</t>
        </is>
      </c>
      <c r="B532" s="18" t="inlineStr">
        <is>
          <t>ในการผลิตระดับอุตสาหกรรม ต้องใช้น้ำอะไร ในการผลิตยา Furosemide injection ตามฉลากต่อไปนี้</t>
        </is>
      </c>
      <c r="C532" s="18" t="inlineStr"/>
      <c r="D532" s="18" t="inlineStr">
        <is>
          <t>Purified water</t>
        </is>
      </c>
      <c r="E532" s="18" t="inlineStr">
        <is>
          <t>Water for injection USP</t>
        </is>
      </c>
      <c r="F532" s="18" t="inlineStr">
        <is>
          <t>Sterile water for injection USP</t>
        </is>
      </c>
      <c r="G532" s="18" t="inlineStr">
        <is>
          <t>Sterile water for irrigation USP</t>
        </is>
      </c>
      <c r="H532" s="18" t="inlineStr">
        <is>
          <t>Bacteriostatic water for injection USP</t>
        </is>
      </c>
      <c r="I532" s="15" t="inlineStr">
        <is>
          <t>2</t>
        </is>
      </c>
      <c r="J532" s="22"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ข้อนี้ไม่ใช่คำตอบที่ถูกต้องสำหรับภาวะ Hypertension เนื่องจากกลไกการออกฤทธิ์, efficacy หรือข้อบ่งใช้ไม่ตรงกับโจทย์ที่กำหนด
• ข้อ ค. (Sterile water for injection USP): วัคซีนไข้สมองอักเสบเจอี ชนิดเชื้อเป็น (Live attenuated CD.JEV) ให้ 2 เข็ม ที่อายุ 9-12 เดือน และเข็ม 2 ห่างกัน 3-12 เดือน
• ข้อ ง. (Sterile water for irrigation USP): ข้อนี้ไม่ใช่คำตอบที่ถูกต้องสำหรับภาวะ Hypertension เนื่องจากกลไกการออกฤทธิ์, efficacy หรือข้อบ่งใช้ไม่ตรงกับโจทย์ที่กำหนด
• ข้อ จ. (Bacteriostatic water for injection USP):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32" s="18" t="inlineStr"/>
      <c r="L532" s="18" t="inlineStr">
        <is>
          <t>Hypertension</t>
        </is>
      </c>
      <c r="M532" s="18" t="inlineStr">
        <is>
          <t>Clinic</t>
        </is>
      </c>
      <c r="N532" s="18" t="inlineStr">
        <is>
          <t>ข้อ 45 (PLE_CC1_Key_Rx20_UBU.md)</t>
        </is>
      </c>
      <c r="O532" s="18" t="inlineStr">
        <is>
          <t>Mock</t>
        </is>
      </c>
      <c r="P532" s="18" t="inlineStr">
        <is>
          <t>Mock Rx20 UBU</t>
        </is>
      </c>
    </row>
    <row r="533">
      <c r="A533" s="15" t="inlineStr">
        <is>
          <t>531</t>
        </is>
      </c>
      <c r="B533" s="18" t="inlineStr">
        <is>
          <t>ยาใดทำให้เกิด Hyperkalemia</t>
        </is>
      </c>
      <c r="C533" s="18" t="inlineStr"/>
      <c r="D533" s="18" t="inlineStr">
        <is>
          <t>Aspirin</t>
        </is>
      </c>
      <c r="E533" s="18" t="inlineStr">
        <is>
          <t>Moduretic</t>
        </is>
      </c>
      <c r="F533" s="18" t="inlineStr">
        <is>
          <t>Glipizide</t>
        </is>
      </c>
      <c r="G533" s="18" t="inlineStr">
        <is>
          <t>Amlodipine</t>
        </is>
      </c>
      <c r="H533" s="18" t="inlineStr">
        <is>
          <t>Omeprazole</t>
        </is>
      </c>
      <c r="I533" s="15" t="inlineStr">
        <is>
          <t>2</t>
        </is>
      </c>
      <c r="J533" s="22" t="inlineStr">
        <is>
          <t>✅ คำตอบที่ถูกต้อง: ข้อ ข. Moduretic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Moduretic การเลือก Moduretic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3" s="18" t="inlineStr"/>
      <c r="L533" s="18" t="inlineStr">
        <is>
          <t>Hypertension</t>
        </is>
      </c>
      <c r="M533" s="18" t="inlineStr">
        <is>
          <t>Clinic</t>
        </is>
      </c>
      <c r="N533" s="18" t="inlineStr">
        <is>
          <t>ข้อ 56 (PLE_CC1_Key_Rx20_UBU.md)</t>
        </is>
      </c>
      <c r="O533" s="18" t="inlineStr">
        <is>
          <t>Mock</t>
        </is>
      </c>
      <c r="P533" s="18" t="inlineStr">
        <is>
          <t>Mock Rx20 UBU</t>
        </is>
      </c>
    </row>
    <row r="534">
      <c r="A534" s="15" t="inlineStr">
        <is>
          <t>532</t>
        </is>
      </c>
      <c r="B534" s="18" t="inlineStr">
        <is>
          <t>ผู้ป่วยรายนี้ควรรักษา hyperkalemia ด้วยวิธีใด</t>
        </is>
      </c>
      <c r="C534" s="18" t="inlineStr"/>
      <c r="D534" s="18" t="inlineStr">
        <is>
          <t>ฉีด Insulin+glucose</t>
        </is>
      </c>
      <c r="E534" s="18" t="inlineStr">
        <is>
          <t>พ่น Salbutamol</t>
        </is>
      </c>
      <c r="F534" s="18" t="inlineStr">
        <is>
          <t>ฉีด Calcium gluconate</t>
        </is>
      </c>
      <c r="G534" s="18" t="inlineStr">
        <is>
          <t>ฟอกไต</t>
        </is>
      </c>
      <c r="H534" s="18" t="inlineStr">
        <is>
          <t>ไม่ต้องให้การรักษา</t>
        </is>
      </c>
      <c r="I534" s="15" t="inlineStr">
        <is>
          <t>5</t>
        </is>
      </c>
      <c r="J534" s="22" t="inlineStr">
        <is>
          <t>✅ คำตอบที่ถูกต้อง: ข้อ จ. ไม่ต้องให้การรักษา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ไม่ต้องให้การรักษา การเลือก ไม่ต้องให้การรักษา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(ฉีด Insulin+glucose): ข้อนี้ไม่ใช่คำตอบที่ถูกต้องสำหรับภาวะ Hypertension เนื่องจากกลไกการออกฤทธิ์, efficacy หรือข้อบ่งใช้ไม่ตรงกับโจทย์ที่กำหนด
• ข้อ ข. (พ่น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(ฉีด Calcium gluconate): ข้อนี้ไม่ใช่คำตอบที่ถูกต้องสำหรับภาวะ Hypertension เนื่องจากกลไกการออกฤทธิ์, efficacy หรือข้อบ่งใช้ไม่ตรงกับโจทย์ที่กำหนด
• ข้อ ง. (ฟอกไต):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4" s="18" t="inlineStr"/>
      <c r="L534" s="18" t="inlineStr">
        <is>
          <t>Hypertension</t>
        </is>
      </c>
      <c r="M534" s="18" t="inlineStr">
        <is>
          <t>Clinic</t>
        </is>
      </c>
      <c r="N534" s="18" t="inlineStr">
        <is>
          <t>ข้อ 58 (PLE_CC1_Key_Rx20_UBU.md)</t>
        </is>
      </c>
      <c r="O534" s="18" t="inlineStr">
        <is>
          <t>Mock</t>
        </is>
      </c>
      <c r="P534" s="18" t="inlineStr">
        <is>
          <t>Mock Rx20 UBU</t>
        </is>
      </c>
    </row>
    <row r="535">
      <c r="A535" s="15" t="inlineStr">
        <is>
          <t>533</t>
        </is>
      </c>
      <c r="B535" s="18" t="inlineStr">
        <is>
          <t>อีก 3 เดือนต่อมาผู้ป่วยเป็น Acute kidney injury on top CKD และมีภาวะ Hyperkalemia ยาใดที่เป็น Ion exchange ในการรักษาภาวะ hyperkalemia นี้</t>
        </is>
      </c>
      <c r="C535" s="18" t="inlineStr"/>
      <c r="D535" s="18" t="inlineStr">
        <is>
          <t>Calcium polystyrene sulfonate</t>
        </is>
      </c>
      <c r="E535" s="18" t="inlineStr">
        <is>
          <t>Insulin</t>
        </is>
      </c>
      <c r="F535" s="18" t="inlineStr">
        <is>
          <t>Calcium gluconate</t>
        </is>
      </c>
      <c r="G535" s="18" t="inlineStr">
        <is>
          <t>Beta 2 agonist</t>
        </is>
      </c>
      <c r="H535" s="18" t="inlineStr">
        <is>
          <t>Sodium bicarbonate</t>
        </is>
      </c>
      <c r="I535" s="15" t="inlineStr">
        <is>
          <t>1</t>
        </is>
      </c>
      <c r="J535" s="22"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ข้อนี้ไม่ใช่คำตอบที่ถูกต้องสำหรับภาวะ Hypertension เนื่องจากกลไกการออกฤทธิ์, efficacy หรือข้อบ่งใช้ไม่ตรงกับโจทย์ที่กำหนด
• ข้อ ค. (Calcium gluconate): ข้อนี้ไม่ใช่คำตอบที่ถูกต้องสำหรับภาวะ Hypertension เนื่องจากกลไกการออกฤทธิ์, efficacy หรือข้อบ่งใช้ไม่ตรงกับโจทย์ที่กำหนด
• ข้อ ง. (Beta 2 agonist): ข้อนี้ไม่ใช่คำตอบที่ถูกต้องสำหรับภาวะ Hypertension เนื่องจากกลไกการออกฤทธิ์, efficacy หรือข้อบ่งใช้ไม่ตรงกับโจทย์ที่กำหนด
• ข้อ จ. (Sodium bicarbonate):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5" s="18" t="inlineStr"/>
      <c r="L535" s="18" t="inlineStr">
        <is>
          <t>Hypertension</t>
        </is>
      </c>
      <c r="M535" s="18" t="inlineStr">
        <is>
          <t>Clinic</t>
        </is>
      </c>
      <c r="N535" s="18" t="inlineStr">
        <is>
          <t>ข้อ 61 (PLE_CC1_Key_Rx20_UBU.md)</t>
        </is>
      </c>
      <c r="O535" s="18" t="inlineStr">
        <is>
          <t>Mock</t>
        </is>
      </c>
      <c r="P535" s="18" t="inlineStr">
        <is>
          <t>Mock Rx20 UBU</t>
        </is>
      </c>
    </row>
    <row r="536">
      <c r="A536" s="15" t="inlineStr">
        <is>
          <t>534</t>
        </is>
      </c>
      <c r="B536" s="18" t="inlineStr">
        <is>
          <t>ยา ergotamine ไม่ละลายน้ำ จึงนำมาบรรจุลงใน capsule ซึ่งต้องเติมสารใดเพื่อช่วยในการไหล</t>
        </is>
      </c>
      <c r="C536" s="18" t="inlineStr"/>
      <c r="D536" s="18" t="inlineStr">
        <is>
          <t>Colloidal silica dioxide</t>
        </is>
      </c>
      <c r="E536" s="18" t="inlineStr">
        <is>
          <t>Crosscamellose</t>
        </is>
      </c>
      <c r="F536" s="18" t="inlineStr">
        <is>
          <t>PVP</t>
        </is>
      </c>
      <c r="G536" s="18" t="inlineStr">
        <is>
          <t>Sodium lauryl sulfate</t>
        </is>
      </c>
      <c r="H536" s="18"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536" s="15" t="inlineStr">
        <is>
          <t>1</t>
        </is>
      </c>
      <c r="J536" s="22"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ข้อนี้ไม่ใช่คำตอบที่ถูกต้องสำหรับภาวะ Hypertension เนื่องจากกลไกการออกฤทธิ์, efficacy หรือข้อบ่งใช้ไม่ตรงกับโจทย์ที่กำหนด
• ข้อ ค. (PVP): ข้อนี้ไม่ใช่คำตอบที่ถูกต้องสำหรับภาวะ Hypertension เนื่องจากกลไกการออกฤทธิ์, efficacy หรือข้อบ่งใช้ไม่ตรงกับโจทย์ที่กำหนด
• ข้อ ง. (Sodium lauryl sulfate): ข้อนี้ไม่ใช่คำตอบที่ถูกต้องสำหรับภาวะ Hypertension เนื่องจากกลไกการออกฤทธิ์, efficacy หรือข้อบ่งใช้ไม่ตรงกับโจทย์ที่กำหนด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เป็น non-DHP CCB ลดอัตราการเต้นของหัวใจและ myocardial contractility มี contraindication ในผู้ป่วย HFrEF (LVEF &lt; 40%) และ 2nd/3rd degree AV block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6" s="18" t="inlineStr"/>
      <c r="L536" s="18" t="inlineStr">
        <is>
          <t>Hypertension</t>
        </is>
      </c>
      <c r="M536" s="18" t="inlineStr">
        <is>
          <t>Clinic</t>
        </is>
      </c>
      <c r="N536" s="18" t="inlineStr">
        <is>
          <t>ข้อ 73 (PLE_CC1_Key_Rx20_UBU.md)</t>
        </is>
      </c>
      <c r="O536" s="18" t="inlineStr">
        <is>
          <t>Mock</t>
        </is>
      </c>
      <c r="P536" s="18" t="inlineStr">
        <is>
          <t>Mock Rx20 UBU</t>
        </is>
      </c>
    </row>
    <row r="537">
      <c r="A537" s="15" t="inlineStr">
        <is>
          <t>535</t>
        </is>
      </c>
      <c r="B537" s="18" t="inlineStr">
        <is>
          <t>ปัจจัยใดทำให้ผู้ป่วยได้รับ Aspirin</t>
        </is>
      </c>
      <c r="C537" s="18" t="inlineStr"/>
      <c r="D537" s="18" t="inlineStr">
        <is>
          <t>อายุ</t>
        </is>
      </c>
      <c r="E537" s="18" t="inlineStr">
        <is>
          <t>อ้วน</t>
        </is>
      </c>
      <c r="F537" s="18" t="inlineStr">
        <is>
          <t>แอลกอฮอล์</t>
        </is>
      </c>
      <c r="G537" s="18" t="inlineStr">
        <is>
          <t>ไม่ออกกาลังกาย</t>
        </is>
      </c>
      <c r="H537" s="18" t="inlineStr">
        <is>
          <t>เพศ</t>
        </is>
      </c>
      <c r="I537" s="15" t="inlineStr">
        <is>
          <t>1</t>
        </is>
      </c>
      <c r="J537" s="22"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ข้อนี้ไม่ใช่คำตอบที่ถูกต้องสำหรับภาวะ Hypertension เนื่องจากกลไกการออกฤทธิ์, efficacy หรือข้อบ่งใช้ไม่ตรงกับโจทย์ที่กำหนด
• ข้อ ค. (แอลกอฮอล์): ข้อนี้ไม่ใช่คำตอบที่ถูกต้องสำหรับภาวะ Hypertension เนื่องจากกลไกการออกฤทธิ์, efficacy หรือข้อบ่งใช้ไม่ตรงกับโจทย์ที่กำหนด
• ข้อ ง. (ไม่ออกกาลังกาย): ข้อนี้ไม่ใช่คำตอบที่ถูกต้องสำหรับภาวะ Hypertension เนื่องจากกลไกการออกฤทธิ์, efficacy หรือข้อบ่งใช้ไม่ตรงกับโจทย์ที่กำหนด
• ข้อ จ. (เพศ):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7" s="18" t="inlineStr"/>
      <c r="L537" s="18" t="inlineStr">
        <is>
          <t>Hypertension</t>
        </is>
      </c>
      <c r="M537" s="18" t="inlineStr">
        <is>
          <t>Clinic</t>
        </is>
      </c>
      <c r="N537" s="18" t="inlineStr">
        <is>
          <t>ข้อ 76 (PLE_CC1_Key_Rx20_UBU.md)</t>
        </is>
      </c>
      <c r="O537" s="18" t="inlineStr">
        <is>
          <t>Mock</t>
        </is>
      </c>
      <c r="P537" s="18" t="inlineStr">
        <is>
          <t>Mock Rx20 UBU</t>
        </is>
      </c>
    </row>
    <row r="538">
      <c r="A538" s="15" t="inlineStr">
        <is>
          <t>536</t>
        </is>
      </c>
      <c r="B538" s="18" t="inlineStr">
        <is>
          <t>ผู้ป่วยน้ำตาลสูงมาก HbA1C 10.0 %, FBS 320 mg/dL, SCr 2 mg/dL ได้รับ Insulin Mixtard 8- 0-4 ac ข้อใดถูกต้องเกี่ยวกับ Insulin Mixtard</t>
        </is>
      </c>
      <c r="C538" s="18" t="inlineStr"/>
      <c r="D538" s="18" t="inlineStr">
        <is>
          <t>ออกฤทธิ์ช้ากว่า Glulisine</t>
        </is>
      </c>
      <c r="E538" s="18" t="inlineStr">
        <is>
          <t>ประกอบด้วย NPH 30%, RI 70%</t>
        </is>
      </c>
      <c r="F538" s="18" t="inlineStr">
        <is>
          <t>แก้ไขภาวะ Diabetic ketoacidosis</t>
        </is>
      </c>
      <c r="G538" s="18" t="inlineStr">
        <is>
          <t>เกิด Hypoglycemia น้อยกว่า Lispro</t>
        </is>
      </c>
      <c r="H538" s="18" t="inlineStr">
        <is>
          <t>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t>
        </is>
      </c>
      <c r="I538" s="15" t="inlineStr">
        <is>
          <t>1</t>
        </is>
      </c>
      <c r="J538" s="22"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ข้อนี้ไม่ใช่คำตอบที่ถูกต้องสำหรับภาวะ Hypertension เนื่องจากกลไกการออกฤทธิ์, efficacy หรือข้อบ่งใช้ไม่ตรงกับโจทย์ที่กำหนด
• ข้อ ค. (แก้ไขภาวะ Diabetic ketoacidosis): ข้อนี้ไม่ใช่คำตอบที่ถูกต้องสำหรับภาวะ Hypertension เนื่องจากกลไกการออกฤทธิ์, efficacy หรือข้อบ่งใช้ไม่ตรงกับโจทย์ที่กำหนด
• ข้อ ง. (เกิด Hypoglycemia น้อยกว่า Lispro): ข้อนี้ไม่ใช่คำตอบที่ถูกต้องสำหรับภาวะ Hypertension เนื่องจากกลไกการออกฤทธิ์, efficacy หรือข้อบ่งใช้ไม่ตรงกับโจทย์ที่กำหนด
• ข้อ จ. (สามารถฉีดได้ทั้ง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8" s="18" t="inlineStr"/>
      <c r="L538" s="18" t="inlineStr">
        <is>
          <t>Hypertension</t>
        </is>
      </c>
      <c r="M538" s="18" t="inlineStr">
        <is>
          <t>Clinic</t>
        </is>
      </c>
      <c r="N538" s="18" t="inlineStr">
        <is>
          <t>ข้อ 78 (PLE_CC1_Key_Rx20_UBU.md)</t>
        </is>
      </c>
      <c r="O538" s="18" t="inlineStr">
        <is>
          <t>Mock</t>
        </is>
      </c>
      <c r="P538" s="18" t="inlineStr">
        <is>
          <t>Mock Rx20 UBU</t>
        </is>
      </c>
    </row>
    <row r="539">
      <c r="A539" s="15" t="inlineStr">
        <is>
          <t>537</t>
        </is>
      </c>
      <c r="B539" s="18"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539" s="18" t="inlineStr"/>
      <c r="D539" s="18" t="inlineStr">
        <is>
          <t>บัญชี ก</t>
        </is>
      </c>
      <c r="E539" s="18" t="inlineStr">
        <is>
          <t>บัญชี ข</t>
        </is>
      </c>
      <c r="F539" s="18" t="inlineStr">
        <is>
          <t>บัญชี ค</t>
        </is>
      </c>
      <c r="G539" s="18" t="inlineStr">
        <is>
          <t>บัญชี ง</t>
        </is>
      </c>
      <c r="H539" s="18" t="inlineStr">
        <is>
          <t>บัญชี จ (2) เรื่องที่ 10. ยาคุมฉุกเฉิน ผู้ป่วยหญิงอายุ 20 ปี มีรอบเดือนคงที่ 28 วัน มาพบเภสัชกรวันที่ 7 กุมภาพันธ์</t>
        </is>
      </c>
      <c r="I539" s="15" t="inlineStr">
        <is>
          <t>4</t>
        </is>
      </c>
      <c r="J539" s="22"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ข้อนี้ไม่ใช่คำตอบที่ถูกต้องสำหรับภาวะ Hypertension เนื่องจากกลไกการออกฤทธิ์, efficacy หรือข้อบ่งใช้ไม่ตรงกับโจทย์ที่กำหนด
• ข้อ ข. (บัญชี ข): ข้อนี้ไม่ใช่คำตอบที่ถูกต้องสำหรับภาวะ Hypertension เนื่องจากกลไกการออกฤทธิ์, efficacy หรือข้อบ่งใช้ไม่ตรงกับโจทย์ที่กำหนด
• ข้อ ค. (บัญชี ค): ข้อนี้ไม่ใช่คำตอบที่ถูกต้องสำหรับภาวะ Hypertension เนื่องจากกลไกการออกฤทธิ์, efficacy หรือข้อบ่งใช้ไม่ตรงกับโจทย์ที่กำหนด
• ข้อ จ. (บัญชี จ (2) เรื่องที่ 10. ยาคุมฉุกเฉิน ผู้ป่วยหญิงอายุ 20 ปี มีรอบเดือนคงที่ 28 วัน มาพบเภสัชกรวันที่ 7 กุมภาพันธ์):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9" s="18" t="inlineStr"/>
      <c r="L539" s="18" t="inlineStr">
        <is>
          <t>Hypertension</t>
        </is>
      </c>
      <c r="M539" s="18" t="inlineStr">
        <is>
          <t>Clinic</t>
        </is>
      </c>
      <c r="N539" s="18" t="inlineStr">
        <is>
          <t>ข้อ 81 (PLE_CC1_Key_Rx20_UBU.md)</t>
        </is>
      </c>
      <c r="O539" s="18" t="inlineStr">
        <is>
          <t>Mock</t>
        </is>
      </c>
      <c r="P539" s="18" t="inlineStr">
        <is>
          <t>Mock Rx20 UBU</t>
        </is>
      </c>
    </row>
    <row r="540">
      <c r="A540" s="15" t="inlineStr">
        <is>
          <t>538</t>
        </is>
      </c>
      <c r="B540" s="18" t="inlineStr">
        <is>
          <t>ค่าผลปฏิบัติการใด มี Specificity สูงที่สุดสำหรับโรค Systemic lupus erythematosus</t>
        </is>
      </c>
      <c r="C540" s="18" t="inlineStr"/>
      <c r="D540" s="18" t="inlineStr">
        <is>
          <t>ANA</t>
        </is>
      </c>
      <c r="E540" s="18" t="inlineStr">
        <is>
          <t>Anti-dsDNA</t>
        </is>
      </c>
      <c r="F540" s="18" t="inlineStr">
        <is>
          <t>Lupus anticoagulant</t>
        </is>
      </c>
      <c r="G540" s="18" t="inlineStr">
        <is>
          <t>ES</t>
        </is>
      </c>
      <c r="H540" s="18" t="inlineStr">
        <is>
          <t>Proteinuria คำอธิบาย</t>
        </is>
      </c>
      <c r="I540" s="15" t="inlineStr">
        <is>
          <t>2</t>
        </is>
      </c>
      <c r="J540" s="22"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ข้อนี้ไม่ใช่คำตอบที่ถูกต้องสำหรับภาวะ Hypertension เนื่องจากกลไกการออกฤทธิ์, efficacy หรือข้อบ่งใช้ไม่ตรงกับโจทย์ที่กำหนด
• ข้อ ค. (Lupus anticoagulant): ข้อนี้ไม่ใช่คำตอบที่ถูกต้องสำหรับภาวะ Hypertension เนื่องจากกลไกการออกฤทธิ์, efficacy หรือข้อบ่งใช้ไม่ตรงกับโจทย์ที่กำหนด
• ข้อ ง. (ES): ข้อนี้ไม่ใช่คำตอบที่ถูกต้องสำหรับภาวะ Hypertension เนื่องจากกลไกการออกฤทธิ์, efficacy หรือข้อบ่งใช้ไม่ตรงกับโจทย์ที่กำหนด
• ข้อ จ. (Proteinuria คำอธิบาย):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40" s="18" t="inlineStr"/>
      <c r="L540" s="18" t="inlineStr">
        <is>
          <t>Hypertension</t>
        </is>
      </c>
      <c r="M540" s="18" t="inlineStr">
        <is>
          <t>Clinic</t>
        </is>
      </c>
      <c r="N540" s="18" t="inlineStr">
        <is>
          <t>ข้อ 92 (PLE_CC1_Key_Rx20_UBU.md)</t>
        </is>
      </c>
      <c r="O540" s="18" t="inlineStr">
        <is>
          <t>Mock</t>
        </is>
      </c>
      <c r="P540" s="18" t="inlineStr">
        <is>
          <t>Mock Rx20 UBU</t>
        </is>
      </c>
    </row>
    <row r="541">
      <c r="A541" s="15" t="inlineStr">
        <is>
          <t>539</t>
        </is>
      </c>
      <c r="B541" s="18" t="inlineStr">
        <is>
          <t>aspirin 300 mg 30 tabs</t>
        </is>
      </c>
      <c r="C541" s="18" t="inlineStr"/>
      <c r="D541" s="18" t="inlineStr">
        <is>
          <t>Diltiazem 30 mg TID</t>
        </is>
      </c>
      <c r="E541" s="18" t="inlineStr">
        <is>
          <t>Warfarin 3 mg OD (target INR 2.0-3.0)</t>
        </is>
      </c>
      <c r="F541" s="18" t="inlineStr">
        <is>
          <t>Furosemide 40 mg OD</t>
        </is>
      </c>
      <c r="G541" s="18" t="inlineStr">
        <is>
          <t>Amlodipine 5 mg OD</t>
        </is>
      </c>
      <c r="H541" s="18" t="inlineStr">
        <is>
          <t>Losartan 50 mg OD</t>
        </is>
      </c>
      <c r="I541" s="15" t="inlineStr">
        <is>
          <t>1</t>
        </is>
      </c>
      <c r="J54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41" s="18" t="inlineStr"/>
      <c r="L541" s="18" t="inlineStr">
        <is>
          <t>Hypertension</t>
        </is>
      </c>
      <c r="M541" s="18" t="inlineStr">
        <is>
          <t>Clinic</t>
        </is>
      </c>
      <c r="N541" s="18" t="inlineStr">
        <is>
          <t>ข้อ 1 (PLE_CC1_Key_Rx20_UBU.md)</t>
        </is>
      </c>
      <c r="O541" s="18" t="inlineStr">
        <is>
          <t>Mock</t>
        </is>
      </c>
      <c r="P541" s="18" t="inlineStr">
        <is>
          <t>Mock Rx20 UBU</t>
        </is>
      </c>
    </row>
    <row r="542">
      <c r="A542" s="15" t="inlineStr">
        <is>
          <t>540</t>
        </is>
      </c>
      <c r="B542" s="18" t="inlineStr">
        <is>
          <t>amlodipine 10 mg 30 tabs</t>
        </is>
      </c>
      <c r="C542" s="18" t="inlineStr"/>
      <c r="D542" s="18" t="inlineStr">
        <is>
          <t>Amlodipine 5 mg OD</t>
        </is>
      </c>
      <c r="E542" s="18" t="inlineStr">
        <is>
          <t>Losartan 50 mg OD</t>
        </is>
      </c>
      <c r="F542" s="18" t="inlineStr">
        <is>
          <t>Enalapril 10 mg BID</t>
        </is>
      </c>
      <c r="G542" s="18" t="inlineStr">
        <is>
          <t>Hydrochlorothiazide 25 mg OD</t>
        </is>
      </c>
      <c r="H542" s="18" t="inlineStr">
        <is>
          <t>Atorvastatin 20 mg OD</t>
        </is>
      </c>
      <c r="I542" s="15" t="inlineStr">
        <is>
          <t>1</t>
        </is>
      </c>
      <c r="J54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42" s="18" t="inlineStr"/>
      <c r="L542" s="18" t="inlineStr">
        <is>
          <t>Hypertension</t>
        </is>
      </c>
      <c r="M542" s="18" t="inlineStr">
        <is>
          <t>Clinic</t>
        </is>
      </c>
      <c r="N542" s="18" t="inlineStr">
        <is>
          <t>ข้อ 2 (PLE_CC1_Key_Rx20_UBU.md)</t>
        </is>
      </c>
      <c r="O542" s="18" t="inlineStr">
        <is>
          <t>Mock</t>
        </is>
      </c>
      <c r="P542" s="18" t="inlineStr">
        <is>
          <t>Mock Rx20 UBU</t>
        </is>
      </c>
    </row>
    <row r="543">
      <c r="A543" s="15" t="inlineStr">
        <is>
          <t>541</t>
        </is>
      </c>
      <c r="B543" s="18" t="inlineStr">
        <is>
          <t>คาร์บิน็อกซามีน (Carbinoxamine)</t>
        </is>
      </c>
      <c r="C543" s="18" t="inlineStr"/>
      <c r="D543" s="18" t="inlineStr">
        <is>
          <t>Hydrochlorothiazide 25 mg OD</t>
        </is>
      </c>
      <c r="E543" s="18" t="inlineStr">
        <is>
          <t>Atorvastatin 20 mg OD</t>
        </is>
      </c>
      <c r="F543" s="18" t="inlineStr">
        <is>
          <t>Simvastatin 20 mg HS</t>
        </is>
      </c>
      <c r="G543" s="18" t="inlineStr">
        <is>
          <t>Bisoprolol 5 mg OD</t>
        </is>
      </c>
      <c r="H543" s="18" t="inlineStr">
        <is>
          <t>Spironolactone 25 mg OD</t>
        </is>
      </c>
      <c r="I543" s="15" t="inlineStr">
        <is>
          <t>1</t>
        </is>
      </c>
      <c r="J54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43" s="18" t="inlineStr"/>
      <c r="L543" s="18" t="inlineStr">
        <is>
          <t>Hypertension</t>
        </is>
      </c>
      <c r="M543" s="18" t="inlineStr">
        <is>
          <t>Clinic</t>
        </is>
      </c>
      <c r="N543" s="18" t="inlineStr">
        <is>
          <t>ข้อ ๒ (PLE_CC1_Key_Rx20_UBU.md)</t>
        </is>
      </c>
      <c r="O543" s="18" t="inlineStr">
        <is>
          <t>Mock</t>
        </is>
      </c>
      <c r="P543" s="18" t="inlineStr">
        <is>
          <t>Mock Rx20 UBU</t>
        </is>
      </c>
    </row>
    <row r="544">
      <c r="A544" s="15" t="inlineStr">
        <is>
          <t>542</t>
        </is>
      </c>
      <c r="B544" s="18" t="inlineStr">
        <is>
          <t>ด็อกซี่ลามีน (Doxylamine)</t>
        </is>
      </c>
      <c r="C544" s="18" t="inlineStr"/>
      <c r="D544" s="18" t="inlineStr">
        <is>
          <t>Bisoprolol 5 mg OD</t>
        </is>
      </c>
      <c r="E544" s="18" t="inlineStr">
        <is>
          <t>Spironolactone 25 mg OD</t>
        </is>
      </c>
      <c r="F544" s="18" t="inlineStr">
        <is>
          <t>Clopidogrel 75 mg OD</t>
        </is>
      </c>
      <c r="G544" s="18" t="inlineStr">
        <is>
          <t>Aspirin 81 mg OD</t>
        </is>
      </c>
      <c r="H544" s="18" t="inlineStr">
        <is>
          <t>Sacubitril/Valsartan 49/51 mg BID</t>
        </is>
      </c>
      <c r="I544" s="15" t="inlineStr">
        <is>
          <t>1</t>
        </is>
      </c>
      <c r="J54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44" s="18" t="inlineStr"/>
      <c r="L544" s="18" t="inlineStr">
        <is>
          <t>Hypertension</t>
        </is>
      </c>
      <c r="M544" s="18" t="inlineStr">
        <is>
          <t>Clinic</t>
        </is>
      </c>
      <c r="N544" s="18" t="inlineStr">
        <is>
          <t>ข้อ ๘ (PLE_CC1_Key_Rx20_UBU.md)</t>
        </is>
      </c>
      <c r="O544" s="18" t="inlineStr">
        <is>
          <t>Mock</t>
        </is>
      </c>
      <c r="P544" s="18" t="inlineStr">
        <is>
          <t>Mock Rx20 UBU</t>
        </is>
      </c>
    </row>
    <row r="545">
      <c r="A545" s="15" t="inlineStr">
        <is>
          <t>543</t>
        </is>
      </c>
      <c r="B545" s="18" t="inlineStr">
        <is>
          <t>เภสัชกรจะแนะนำผลิตภัณฑ์ใดเพื่อรักษา Mild acne</t>
        </is>
      </c>
      <c r="C545" s="18" t="inlineStr"/>
      <c r="D545" s="18" t="inlineStr">
        <is>
          <t>สบู่มังคุด</t>
        </is>
      </c>
      <c r="E545" s="18" t="inlineStr">
        <is>
          <t>เจลพญายอ</t>
        </is>
      </c>
      <c r="F545" s="18" t="inlineStr">
        <is>
          <t>ครีมว่านหางจระเข้</t>
        </is>
      </c>
      <c r="G545" s="18" t="inlineStr">
        <is>
          <t>มาสก์ดึงผิวใบบัวบก</t>
        </is>
      </c>
      <c r="H545" s="18"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545" s="15" t="inlineStr">
        <is>
          <t>1</t>
        </is>
      </c>
      <c r="J545" s="22"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ข้อนี้ไม่ใช่คำตอบที่ถูกต้องสำหรับภาวะ Hypertension เนื่องจากกลไกการออกฤทธิ์, efficacy หรือข้อบ่งใช้ไม่ตรงกับโจทย์ที่กำหนด
• ข้อ ค. (ครีมว่านหางจระเข้): ข้อนี้ไม่ใช่คำตอบที่ถูกต้องสำหรับภาวะ Hypertension เนื่องจากกลไกการออกฤทธิ์, efficacy หรือข้อบ่งใช้ไม่ตรงกับโจทย์ที่กำหนด
• ข้อ ง. (มาสก์ดึงผิวใบบัวบก): ข้อนี้ไม่ใช่คำตอบที่ถูกต้องสำหรับภาวะ Hypertension เนื่องจากกลไกการออกฤทธิ์, efficacy หรือข้อบ่งใช้ไม่ตรงกับโจทย์ที่กำหนด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45" s="18" t="inlineStr"/>
      <c r="L545" s="18" t="inlineStr">
        <is>
          <t>Hypertension</t>
        </is>
      </c>
      <c r="M545" s="18" t="inlineStr">
        <is>
          <t>Clinic</t>
        </is>
      </c>
      <c r="N545" s="18" t="inlineStr">
        <is>
          <t>ข้อ 9 (PLE_CC1_Key_Rx20_UBU.md)</t>
        </is>
      </c>
      <c r="O545" s="18" t="inlineStr">
        <is>
          <t>Mock</t>
        </is>
      </c>
      <c r="P545" s="18" t="inlineStr">
        <is>
          <t>Mock Rx20 UBU</t>
        </is>
      </c>
    </row>
    <row r="546">
      <c r="A546" s="15" t="inlineStr">
        <is>
          <t>544</t>
        </is>
      </c>
      <c r="B546" s="18" t="inlineStr">
        <is>
          <t>ต่อมาผู้ป่วยเป็น CKD, eGFR 28 ml/min, BP 150/90 ควรให้ยาลดความดันใด</t>
        </is>
      </c>
      <c r="C546" s="18" t="inlineStr"/>
      <c r="D546" s="18" t="inlineStr">
        <is>
          <t>Losartan</t>
        </is>
      </c>
      <c r="E546" s="18" t="inlineStr">
        <is>
          <t>HCTZ</t>
        </is>
      </c>
      <c r="F546" s="18" t="inlineStr">
        <is>
          <t>Furosemide</t>
        </is>
      </c>
      <c r="G546" s="18" t="inlineStr">
        <is>
          <t>Hydralazine</t>
        </is>
      </c>
      <c r="H546" s="18" t="inlineStr">
        <is>
          <t>Carvedilol หรือมีประวัติแพ้ยา(angioedema) Furosemide Hydralazine Carvedilol ไมไ่ด้เป็นทางเลือกแรกในการเลือกใช้ , HCTZ ไม่มี eff ใน pt. CrCL &lt; 30 ml/min</t>
        </is>
      </c>
      <c r="I546" s="15" t="inlineStr">
        <is>
          <t>1</t>
        </is>
      </c>
      <c r="J546" s="22" t="inlineStr">
        <is>
          <t>✅ คำตอบที่ถูกต้อง: ข้อ ก. Losartan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(HCTZ): ข้อนี้ไม่ใช่คำตอบที่ถูกต้องสำหรับภาวะ Hypertension เนื่องจากกลไกการออกฤทธิ์, efficacy หรือข้อบ่งใช้ไม่ตรงกับโจทย์ที่กำหนด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(Carvedilol หรือมีประวัติแพ้ยา(angioedema) Furosemide Hydralazine Carvedilol ไมไ่ด้เป็นทางเลือกแรกในการเลือกใช้ , HCTZ ไม่มี eff ใน pt. CrCL &lt; 30 ml/min): เป็น non-selective beta-blocker ร่วมกับ alpha-1 blocker ช่วยลด afterload เป็น first-line GDMT ใน HFrEF ที่มี efficacy สูงในการลด mortality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46" s="18" t="inlineStr"/>
      <c r="L546" s="18" t="inlineStr">
        <is>
          <t>Hypertension</t>
        </is>
      </c>
      <c r="M546" s="18" t="inlineStr">
        <is>
          <t>Clinic</t>
        </is>
      </c>
      <c r="N546" s="18" t="inlineStr">
        <is>
          <t>ข้อ 22 (PLE_CC1_Key_Rx20_UBU.md)</t>
        </is>
      </c>
      <c r="O546" s="18" t="inlineStr">
        <is>
          <t>Mock</t>
        </is>
      </c>
      <c r="P546" s="18" t="inlineStr">
        <is>
          <t>Mock Rx20 UBU</t>
        </is>
      </c>
    </row>
    <row r="547">
      <c r="A547" s="15" t="inlineStr">
        <is>
          <t>545</t>
        </is>
      </c>
      <c r="B547" s="18" t="inlineStr">
        <is>
          <t>เพราะเหตุใดผู้ป่วยโรคไตจึงควรหยุดใช้ Metformin</t>
        </is>
      </c>
      <c r="C547" s="18" t="inlineStr"/>
      <c r="D547" s="18" t="inlineStr">
        <is>
          <t>ยังไม่มีการศึกษาข้อมูลความปลอดภัยของยาในผู้ป่วยโรคไต</t>
        </is>
      </c>
      <c r="E547" s="18" t="inlineStr">
        <is>
          <t>Metabolite ของยาเป็นพิษต่อตับและไต</t>
        </is>
      </c>
      <c r="F547" s="18" t="inlineStr">
        <is>
          <t>ยาสะสมจึงเพิ่มความเสี่ยงของการเกิด Lactic acidosis</t>
        </is>
      </c>
      <c r="G547" s="18" t="inlineStr">
        <is>
          <t>ยาเป็นพิษต่อไตโดยตรง</t>
        </is>
      </c>
      <c r="H547" s="18" t="inlineStr">
        <is>
          <t>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t>
        </is>
      </c>
      <c r="I547" s="15" t="inlineStr">
        <is>
          <t>3</t>
        </is>
      </c>
      <c r="J547" s="22" t="inlineStr">
        <is>
          <t>✅ คำตอบที่ถูกต้อง: ข้อ ค. ยาสะสมจึงเพิ่มความเสี่ยงของการเกิด Lactic acidosis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ยาสะสมจึงเพิ่มความเสี่ยงของการเกิด Lactic acidosis การเลือก ยาสะสมจึงเพิ่มความเสี่ยงของการเกิด Lactic acidosis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(ยังไม่มีการศึกษาข้อมูลความปลอดภัยของยาในผู้ป่วยโรคไต): ข้อนี้ไม่ใช่คำตอบที่ถูกต้องสำหรับภาวะ Hypertension เนื่องจากกลไกการออกฤทธิ์, efficacy หรือข้อบ่งใช้ไม่ตรงกับโจทย์ที่กำหนด
• ข้อ ข. (Metabolite ของยาเป็นพิษต่อตับและไต): ข้อนี้ไม่ใช่คำตอบที่ถูกต้องสำหรับภาวะ Hypertension เนื่องจากกลไกการออกฤทธิ์, efficacy หรือข้อบ่งใช้ไม่ตรงกับโจทย์ที่กำหนด
• ข้อ ง. (ยาเป็นพิษต่อไตโดยตรง): ข้อนี้ไม่ใช่คำตอบที่ถูกต้องสำหรับภาวะ Hypertension เนื่องจากกลไกการออกฤทธิ์, efficacy หรือข้อบ่งใช้ไม่ตรงกับโจทย์ที่กำหนด
• ข้อ จ. (ยามีผลเพิ่มกระบวนการ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47" s="18" t="inlineStr"/>
      <c r="L547" s="18" t="inlineStr">
        <is>
          <t>Hypertension</t>
        </is>
      </c>
      <c r="M547" s="18" t="inlineStr">
        <is>
          <t>Clinic</t>
        </is>
      </c>
      <c r="N547" s="18" t="inlineStr">
        <is>
          <t>ข้อ 23 (PLE_CC1_Key_Rx20_UBU.md)</t>
        </is>
      </c>
      <c r="O547" s="18" t="inlineStr">
        <is>
          <t>Mock</t>
        </is>
      </c>
      <c r="P547" s="18" t="inlineStr">
        <is>
          <t>Mock Rx20 UBU</t>
        </is>
      </c>
    </row>
    <row r="548">
      <c r="A548" s="15" t="inlineStr">
        <is>
          <t>546</t>
        </is>
      </c>
      <c r="B548" s="18" t="inlineStr">
        <is>
          <t>ข้อใดเป็นประโยชน์สำคัญของการให้ Vitamin D ร่วมกับ Calcium</t>
        </is>
      </c>
      <c r="C548" s="18" t="inlineStr"/>
      <c r="D548" s="18" t="inlineStr">
        <is>
          <t>ช่วยเร่งการสะสม calcium ที่กระดูก</t>
        </is>
      </c>
      <c r="E548" s="18" t="inlineStr">
        <is>
          <t>ลดการขับออกของ calcium ที่ไต</t>
        </is>
      </c>
      <c r="F548" s="18" t="inlineStr">
        <is>
          <t>เพิ่มการดูดซึมของ calcium ที่ทางเดินอาหาร</t>
        </is>
      </c>
      <c r="G548" s="18" t="inlineStr">
        <is>
          <t>ลดการเกิดพิษต่อตับ</t>
        </is>
      </c>
      <c r="H548" s="18"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548" s="15" t="inlineStr">
        <is>
          <t>3</t>
        </is>
      </c>
      <c r="J548" s="22"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ข้อนี้ไม่ใช่คำตอบที่ถูกต้องสำหรับภาวะ Hypertension เนื่องจากกลไกการออกฤทธิ์, efficacy หรือข้อบ่งใช้ไม่ตรงกับโจทย์ที่กำหนด
• ข้อ ข. (ลดการขับออกของ calcium ที่ไต): ข้อนี้ไม่ใช่คำตอบที่ถูกต้องสำหรับภาวะ Hypertension เนื่องจากกลไกการออกฤทธิ์, efficacy หรือข้อบ่งใช้ไม่ตรงกับโจทย์ที่กำหนด
• ข้อ ง. (ลดการเกิดพิษต่อตับ): ข้อนี้ไม่ใช่คำตอบที่ถูกต้องสำหรับภาวะ Hypertension เนื่องจากกลไกการออกฤทธิ์, efficacy หรือข้อบ่งใช้ไม่ตรงกับโจทย์ที่กำหนด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48" s="18" t="inlineStr"/>
      <c r="L548" s="18" t="inlineStr">
        <is>
          <t>Hypertension</t>
        </is>
      </c>
      <c r="M548" s="18" t="inlineStr">
        <is>
          <t>Clinic</t>
        </is>
      </c>
      <c r="N548" s="18" t="inlineStr">
        <is>
          <t>ข้อ 86 (PLE_CC1_Key_Rx20_UBU.md)</t>
        </is>
      </c>
      <c r="O548" s="18" t="inlineStr">
        <is>
          <t>Mock</t>
        </is>
      </c>
      <c r="P548" s="18" t="inlineStr">
        <is>
          <t>Mock Rx20 UBU</t>
        </is>
      </c>
    </row>
    <row r="549">
      <c r="A549" s="15" t="inlineStr">
        <is>
          <t>547</t>
        </is>
      </c>
      <c r="B549" s="18" t="inlineStr">
        <is>
          <t>โครงสร้าง Simvastatin โครงสร้างส่วนใด เปลี่ยนเป็น Active form แล้วจับกับ Target</t>
        </is>
      </c>
      <c r="C549" s="18" t="inlineStr"/>
      <c r="D549" s="18" t="inlineStr">
        <is>
          <t>Six-membered lactone ring</t>
        </is>
      </c>
      <c r="E549" s="18" t="inlineStr">
        <is>
          <t>naphthalenyl ester</t>
        </is>
      </c>
      <c r="F549" s="18" t="inlineStr">
        <is>
          <t>3’</t>
        </is>
      </c>
      <c r="G549" s="18" t="inlineStr">
        <is>
          <t>8’</t>
        </is>
      </c>
      <c r="H549" s="18" t="inlineStr">
        <is>
          <t>2’-methyl group</t>
        </is>
      </c>
      <c r="I549" s="15" t="inlineStr">
        <is>
          <t>1</t>
        </is>
      </c>
      <c r="J549" s="22" t="inlineStr">
        <is>
          <t>✅ คำตอบที่ถูกต้อง: ข้อ ก. Six-membered lactone ring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Six-membered lactone ring การเลือก Six-membered lactone ring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(naphthalenyl ester): ข้อนี้ไม่ใช่คำตอบที่ถูกต้องสำหรับภาวะ Hypertension เนื่องจากกลไกการออกฤทธิ์, efficacy หรือข้อบ่งใช้ไม่ตรงกับโจทย์ที่กำหนด
• ข้อ ค. (3’): ข้อนี้ไม่ใช่คำตอบที่ถูกต้องสำหรับภาวะ Hypertension เนื่องจากกลไกการออกฤทธิ์, efficacy หรือข้อบ่งใช้ไม่ตรงกับโจทย์ที่กำหนด
• ข้อ ง. (8’): ข้อนี้ไม่ใช่คำตอบที่ถูกต้องสำหรับภาวะ Hypertension เนื่องจากกลไกการออกฤทธิ์, efficacy หรือข้อบ่งใช้ไม่ตรงกับโจทย์ที่กำหนด
• ข้อ จ. (2’-methyl group):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49" s="18" t="inlineStr"/>
      <c r="L549" s="18" t="inlineStr">
        <is>
          <t>Hypertension</t>
        </is>
      </c>
      <c r="M549" s="18" t="inlineStr">
        <is>
          <t>Clinic</t>
        </is>
      </c>
      <c r="N549" s="18" t="inlineStr">
        <is>
          <t>ข้อ 95 (PLE_CC1_Key_Rx20_UBU.md)</t>
        </is>
      </c>
      <c r="O549" s="18" t="inlineStr">
        <is>
          <t>Mock</t>
        </is>
      </c>
      <c r="P549" s="18" t="inlineStr">
        <is>
          <t>Mock Rx20 UBU</t>
        </is>
      </c>
    </row>
    <row r="550">
      <c r="A550" s="15" t="inlineStr">
        <is>
          <t>548</t>
        </is>
      </c>
      <c r="B550" s="18" t="inlineStr">
        <is>
          <t>โครงสร้าง Amlodipine ข้อใดผิด</t>
        </is>
      </c>
      <c r="C550" s="18" t="inlineStr"/>
      <c r="D550" s="18" t="inlineStr">
        <is>
          <t>เป็น amphoteric compount</t>
        </is>
      </c>
      <c r="E550" s="18" t="inlineStr">
        <is>
          <t>มีตำแหน่งที่ 4 เป็น chiral carbon</t>
        </is>
      </c>
      <c r="F550" s="18" t="inlineStr">
        <is>
          <t>ทำเป็น sodium salt เพื่อความคงตัว</t>
        </is>
      </c>
      <c r="G550" s="18" t="inlineStr">
        <is>
          <t>เป็น 1,4-Dihydropyridine calcium channel blocker</t>
        </is>
      </c>
      <c r="H550" s="18" t="inlineStr">
        <is>
          <t>pKa เท่ากับ 7.4</t>
        </is>
      </c>
      <c r="I550" s="15" t="inlineStr">
        <is>
          <t>5</t>
        </is>
      </c>
      <c r="J550" s="22" t="inlineStr">
        <is>
          <t>✅ คำตอบที่ถูกต้อง: ข้อ จ. pKa เท่ากับ 7.4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pKa เท่ากับ 7.4 การเลือก pKa เท่ากับ 7.4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(เป็น amphoteric compount): ข้อนี้ไม่ใช่คำตอบที่ถูกต้องสำหรับภาวะ Hypertension เนื่องจากกลไกการออกฤทธิ์, efficacy หรือข้อบ่งใช้ไม่ตรงกับโจทย์ที่กำหนด
• ข้อ ข. (มีตำแหน่งที่ 4 เป็น chiral carbon): ข้อนี้ไม่ใช่คำตอบที่ถูกต้องสำหรับภาวะ Hypertension เนื่องจากกลไกการออกฤทธิ์, efficacy หรือข้อบ่งใช้ไม่ตรงกับโจทย์ที่กำหนด
• ข้อ ค. (ทำเป็น sodium salt เพื่อความคงตัว): ข้อนี้ไม่ใช่คำตอบที่ถูกต้องสำหรับภาวะ Hypertension เนื่องจากกลไกการออกฤทธิ์, efficacy หรือข้อบ่งใช้ไม่ตรงกับโจทย์ที่กำหนด
• ข้อ ง. (เป็น 1,4-Dihydropyridine calcium channel blocker):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50" s="18" t="inlineStr"/>
      <c r="L550" s="18" t="inlineStr">
        <is>
          <t>Hypertension</t>
        </is>
      </c>
      <c r="M550" s="18" t="inlineStr">
        <is>
          <t>Clinic</t>
        </is>
      </c>
      <c r="N550" s="18" t="inlineStr">
        <is>
          <t>ข้อ 96 (PLE_CC1_Key_Rx20_UBU.md)</t>
        </is>
      </c>
      <c r="O550" s="18" t="inlineStr">
        <is>
          <t>Mock</t>
        </is>
      </c>
      <c r="P550" s="18" t="inlineStr">
        <is>
          <t>Mock Rx20 UBU</t>
        </is>
      </c>
    </row>
    <row r="551">
      <c r="A551" s="15" t="inlineStr">
        <is>
          <t>549</t>
        </is>
      </c>
      <c r="B551" s="18" t="inlineStr">
        <is>
          <t>Amlodipine 10 mg 1 tab OD 30</t>
        </is>
      </c>
      <c r="C551" s="18" t="inlineStr"/>
      <c r="D551" s="18" t="inlineStr">
        <is>
          <t>Diltiazem 30 mg TID</t>
        </is>
      </c>
      <c r="E551" s="18" t="inlineStr">
        <is>
          <t>Warfarin 3 mg OD (target INR 2.0-3.0)</t>
        </is>
      </c>
      <c r="F551" s="18" t="inlineStr">
        <is>
          <t>Furosemide 40 mg OD</t>
        </is>
      </c>
      <c r="G551" s="18" t="inlineStr">
        <is>
          <t>Amlodipine 5 mg OD</t>
        </is>
      </c>
      <c r="H551" s="18" t="inlineStr">
        <is>
          <t>Losartan 50 mg OD</t>
        </is>
      </c>
      <c r="I551" s="15" t="inlineStr">
        <is>
          <t>1</t>
        </is>
      </c>
      <c r="J551"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51" s="18" t="inlineStr"/>
      <c r="L551" s="18" t="inlineStr">
        <is>
          <t>Hypertension</t>
        </is>
      </c>
      <c r="M551" s="18" t="inlineStr">
        <is>
          <t>Clinic</t>
        </is>
      </c>
      <c r="N551" s="18" t="inlineStr">
        <is>
          <t>ข้อ 3 (PLE_CC1_Key_Rx20_UBU.md)</t>
        </is>
      </c>
      <c r="O551" s="18" t="inlineStr">
        <is>
          <t>Mock</t>
        </is>
      </c>
      <c r="P551" s="18" t="inlineStr">
        <is>
          <t>Mock Rx20 UBU</t>
        </is>
      </c>
    </row>
    <row r="552">
      <c r="A552" s="15" t="inlineStr">
        <is>
          <t>550</t>
        </is>
      </c>
      <c r="B552" s="18" t="inlineStr">
        <is>
          <t>Sodamint 3 tab tid 90</t>
        </is>
      </c>
      <c r="C552" s="18" t="inlineStr"/>
      <c r="D552" s="18" t="inlineStr">
        <is>
          <t>Amlodipine 5 mg OD</t>
        </is>
      </c>
      <c r="E552" s="18" t="inlineStr">
        <is>
          <t>Losartan 50 mg OD</t>
        </is>
      </c>
      <c r="F552" s="18" t="inlineStr">
        <is>
          <t>Enalapril 10 mg BID</t>
        </is>
      </c>
      <c r="G552" s="18" t="inlineStr">
        <is>
          <t>Hydrochlorothiazide 25 mg OD</t>
        </is>
      </c>
      <c r="H552" s="18" t="inlineStr">
        <is>
          <t>Atorvastatin 20 mg OD</t>
        </is>
      </c>
      <c r="I552" s="15" t="inlineStr">
        <is>
          <t>1</t>
        </is>
      </c>
      <c r="J552"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52" s="18" t="inlineStr"/>
      <c r="L552" s="18" t="inlineStr">
        <is>
          <t>Hypertension</t>
        </is>
      </c>
      <c r="M552" s="18" t="inlineStr">
        <is>
          <t>Clinic</t>
        </is>
      </c>
      <c r="N552" s="18" t="inlineStr">
        <is>
          <t>ข้อ 4 (PLE_CC1_Key_Rx20_UBU.md)</t>
        </is>
      </c>
      <c r="O552" s="18" t="inlineStr">
        <is>
          <t>Mock</t>
        </is>
      </c>
      <c r="P552" s="18" t="inlineStr">
        <is>
          <t>Mock Rx20 UBU</t>
        </is>
      </c>
    </row>
    <row r="553">
      <c r="A553" s="15" t="inlineStr">
        <is>
          <t>551</t>
        </is>
      </c>
      <c r="B553" s="18" t="inlineStr">
        <is>
          <t>furosemide 40 mg 1 tab OD 30</t>
        </is>
      </c>
      <c r="C553" s="18" t="inlineStr"/>
      <c r="D553" s="18" t="inlineStr">
        <is>
          <t>Hydrochlorothiazide 25 mg OD</t>
        </is>
      </c>
      <c r="E553" s="18" t="inlineStr">
        <is>
          <t>Atorvastatin 20 mg OD</t>
        </is>
      </c>
      <c r="F553" s="18" t="inlineStr">
        <is>
          <t>Simvastatin 20 mg HS</t>
        </is>
      </c>
      <c r="G553" s="18" t="inlineStr">
        <is>
          <t>Bisoprolol 5 mg OD</t>
        </is>
      </c>
      <c r="H553" s="18" t="inlineStr">
        <is>
          <t>Spironolactone 25 mg OD</t>
        </is>
      </c>
      <c r="I553" s="15" t="inlineStr">
        <is>
          <t>1</t>
        </is>
      </c>
      <c r="J553" s="22"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53" s="18" t="inlineStr"/>
      <c r="L553" s="18" t="inlineStr">
        <is>
          <t>Hypertension</t>
        </is>
      </c>
      <c r="M553" s="18" t="inlineStr">
        <is>
          <t>Clinic</t>
        </is>
      </c>
      <c r="N553" s="18" t="inlineStr">
        <is>
          <t>ข้อ 8 (PLE_CC1_Key_Rx20_UBU.md)</t>
        </is>
      </c>
      <c r="O553" s="18" t="inlineStr">
        <is>
          <t>Mock</t>
        </is>
      </c>
      <c r="P553" s="18" t="inlineStr">
        <is>
          <t>Mock Rx20 UBU</t>
        </is>
      </c>
    </row>
    <row r="554">
      <c r="A554" s="15" t="inlineStr">
        <is>
          <t>552</t>
        </is>
      </c>
      <c r="B554" s="18" t="inlineStr">
        <is>
          <t>baby aspirin 1 tab OD 30</t>
        </is>
      </c>
      <c r="C554" s="18" t="inlineStr"/>
      <c r="D554" s="18" t="inlineStr">
        <is>
          <t>Bisoprolol 5 mg OD</t>
        </is>
      </c>
      <c r="E554" s="18" t="inlineStr">
        <is>
          <t>Spironolactone 25 mg OD</t>
        </is>
      </c>
      <c r="F554" s="18" t="inlineStr">
        <is>
          <t>Clopidogrel 75 mg OD</t>
        </is>
      </c>
      <c r="G554" s="18" t="inlineStr">
        <is>
          <t>Aspirin 81 mg OD</t>
        </is>
      </c>
      <c r="H554" s="18" t="inlineStr">
        <is>
          <t>Sacubitril/Valsartan 49/51 mg BID</t>
        </is>
      </c>
      <c r="I554" s="15" t="inlineStr">
        <is>
          <t>1</t>
        </is>
      </c>
      <c r="J554" s="22"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54" s="18" t="inlineStr"/>
      <c r="L554" s="18" t="inlineStr">
        <is>
          <t>Hypertension</t>
        </is>
      </c>
      <c r="M554" s="18" t="inlineStr">
        <is>
          <t>Clinic</t>
        </is>
      </c>
      <c r="N554" s="18" t="inlineStr">
        <is>
          <t>ข้อ 9 (PLE_CC1_Key_Rx20_UBU.md)</t>
        </is>
      </c>
      <c r="O554" s="18" t="inlineStr">
        <is>
          <t>Mock</t>
        </is>
      </c>
      <c r="P554" s="18" t="inlineStr">
        <is>
          <t>Mock Rx20 UBU</t>
        </is>
      </c>
    </row>
    <row r="555">
      <c r="A555" s="15" t="inlineStr">
        <is>
          <t>553</t>
        </is>
      </c>
      <c r="B555" s="18" t="inlineStr">
        <is>
          <t>Enalapril 10 mg 1 tab OD 30</t>
        </is>
      </c>
      <c r="C555" s="18" t="inlineStr"/>
      <c r="D555" s="18" t="inlineStr">
        <is>
          <t>Aspirin 81 mg OD</t>
        </is>
      </c>
      <c r="E555" s="18" t="inlineStr">
        <is>
          <t>Sacubitril/Valsartan 49/51 mg BID</t>
        </is>
      </c>
      <c r="F555" s="18" t="inlineStr">
        <is>
          <t>Empagliflozin 10 mg OD</t>
        </is>
      </c>
      <c r="G555" s="18" t="inlineStr">
        <is>
          <t>Diltiazem 30 mg TID</t>
        </is>
      </c>
      <c r="H555" s="18" t="inlineStr">
        <is>
          <t>Warfarin 3 mg OD (target INR 2.0-3.0)</t>
        </is>
      </c>
      <c r="I555" s="15" t="inlineStr">
        <is>
          <t>1</t>
        </is>
      </c>
      <c r="J555" s="22"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555" s="18" t="inlineStr"/>
      <c r="L555" s="18" t="inlineStr">
        <is>
          <t>Hypertension</t>
        </is>
      </c>
      <c r="M555" s="18" t="inlineStr">
        <is>
          <t>Clinic</t>
        </is>
      </c>
      <c r="N555" s="18" t="inlineStr">
        <is>
          <t>ข้อ 10 (PLE_CC1_Key_Rx20_UBU.md)</t>
        </is>
      </c>
      <c r="O555" s="18" t="inlineStr">
        <is>
          <t>Mock</t>
        </is>
      </c>
      <c r="P555" s="18" t="inlineStr">
        <is>
          <t>Mock Rx20 UBU</t>
        </is>
      </c>
    </row>
    <row r="556">
      <c r="A556" s="15" t="inlineStr">
        <is>
          <t>554</t>
        </is>
      </c>
      <c r="B556" s="18" t="inlineStr">
        <is>
          <t>Atrovastatin 40 mg 1 tab OD 30</t>
        </is>
      </c>
      <c r="C556" s="18" t="inlineStr"/>
      <c r="D556" s="18" t="inlineStr">
        <is>
          <t>Diltiazem 30 mg TID</t>
        </is>
      </c>
      <c r="E556" s="18" t="inlineStr">
        <is>
          <t>Warfarin 3 mg OD (target INR 2.0-3.0)</t>
        </is>
      </c>
      <c r="F556" s="18" t="inlineStr">
        <is>
          <t>Furosemide 40 mg OD</t>
        </is>
      </c>
      <c r="G556" s="18" t="inlineStr">
        <is>
          <t>Amlodipine 5 mg OD</t>
        </is>
      </c>
      <c r="H556" s="18" t="inlineStr">
        <is>
          <t>Losartan 50 mg OD</t>
        </is>
      </c>
      <c r="I556" s="15" t="inlineStr">
        <is>
          <t>1</t>
        </is>
      </c>
      <c r="J556" s="22"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56" s="18" t="inlineStr"/>
      <c r="L556" s="18" t="inlineStr">
        <is>
          <t>Hypertension</t>
        </is>
      </c>
      <c r="M556" s="18" t="inlineStr">
        <is>
          <t>Clinic</t>
        </is>
      </c>
      <c r="N556" s="18" t="inlineStr">
        <is>
          <t>ข้อ 11 (PLE_CC1_Key_Rx20_UBU.md)</t>
        </is>
      </c>
      <c r="O556" s="18" t="inlineStr">
        <is>
          <t>Mock</t>
        </is>
      </c>
      <c r="P556" s="18" t="inlineStr">
        <is>
          <t>Mock Rx20 UBU</t>
        </is>
      </c>
    </row>
    <row r="557">
      <c r="A557" s="15" t="inlineStr">
        <is>
          <t>555</t>
        </is>
      </c>
      <c r="B557" s="18" t="inlineStr">
        <is>
          <t>Hb &lt; 12 หรือ Hct &lt; 36% ในผู้หญิง และแยกว่าเป็น anemia ประเภท Iron deficiency anemia จากการพิจารณาผลแลปดังต่อไปนี้</t>
        </is>
      </c>
      <c r="C557" s="18" t="inlineStr"/>
      <c r="D557" s="18" t="inlineStr">
        <is>
          <t>Amlodipine 5 mg OD</t>
        </is>
      </c>
      <c r="E557" s="18" t="inlineStr">
        <is>
          <t>Losartan 50 mg OD</t>
        </is>
      </c>
      <c r="F557" s="18" t="inlineStr">
        <is>
          <t>Enalapril 10 mg BID</t>
        </is>
      </c>
      <c r="G557" s="18" t="inlineStr">
        <is>
          <t>Hydrochlorothiazide 25 mg OD</t>
        </is>
      </c>
      <c r="H557" s="18" t="inlineStr">
        <is>
          <t>Atorvastatin 20 mg OD</t>
        </is>
      </c>
      <c r="I557" s="15" t="inlineStr">
        <is>
          <t>1</t>
        </is>
      </c>
      <c r="J557" s="22"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57" s="18" t="inlineStr"/>
      <c r="L557" s="18" t="inlineStr">
        <is>
          <t>Hypertension</t>
        </is>
      </c>
      <c r="M557" s="18" t="inlineStr">
        <is>
          <t>Clinic</t>
        </is>
      </c>
      <c r="N557" s="18" t="inlineStr">
        <is>
          <t>ข้อ 2 (PLE_CC1_Key_Rx20_UBU.md)</t>
        </is>
      </c>
      <c r="O557" s="18" t="inlineStr">
        <is>
          <t>Mock</t>
        </is>
      </c>
      <c r="P557" s="18" t="inlineStr">
        <is>
          <t>Mock Rx20 UBU</t>
        </is>
      </c>
    </row>
    <row r="558">
      <c r="A558" s="18" t="n">
        <v>556</v>
      </c>
      <c r="B558" s="18" t="inlineStr">
        <is>
          <t>ยาตัวใดต่อไปนี้มีฤทธิ์ยับยั้งผลของ Angiotensin II ได้ดีและตรงจุดที่สุดที่ระดับตัวรับ (Receptor)</t>
        </is>
      </c>
      <c r="C558" s="18" t="inlineStr"/>
      <c r="D558" s="18" t="inlineStr">
        <is>
          <t>Aliskiren</t>
        </is>
      </c>
      <c r="E558" s="18" t="inlineStr">
        <is>
          <t>Enalapril</t>
        </is>
      </c>
      <c r="F558" s="18" t="inlineStr">
        <is>
          <t>Losartan</t>
        </is>
      </c>
      <c r="G558" s="18" t="inlineStr">
        <is>
          <t>Carvedilol</t>
        </is>
      </c>
      <c r="H558" s="18" t="inlineStr">
        <is>
          <t>Furosemide</t>
        </is>
      </c>
      <c r="I558" s="15" t="inlineStr">
        <is>
          <t>3</t>
        </is>
      </c>
      <c r="J558" s="22"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558" s="18" t="inlineStr"/>
      <c r="L558" s="18" t="inlineStr">
        <is>
          <t>Hypertension</t>
        </is>
      </c>
      <c r="M558" s="18" t="inlineStr">
        <is>
          <t>Clinic</t>
        </is>
      </c>
      <c r="N558" s="18" t="inlineStr">
        <is>
          <t>PLE_CC1_2567_Key ข้อ 1</t>
        </is>
      </c>
      <c r="O558" s="18" t="inlineStr">
        <is>
          <t>ข้อสอบจริง</t>
        </is>
      </c>
      <c r="P558" s="18" t="inlineStr">
        <is>
          <t>ปี 2567</t>
        </is>
      </c>
    </row>
    <row r="559">
      <c r="J559" s="22" t="n"/>
    </row>
    <row r="560">
      <c r="J560" s="22" t="n"/>
    </row>
    <row r="561">
      <c r="J561" s="22" t="n"/>
    </row>
    <row r="562">
      <c r="J562" s="22" t="n"/>
    </row>
    <row r="563">
      <c r="J563" s="22" t="n"/>
    </row>
    <row r="564">
      <c r="J564" s="22" t="n"/>
    </row>
    <row r="565">
      <c r="J565" s="22" t="n"/>
    </row>
    <row r="566">
      <c r="J566" s="22" t="n"/>
    </row>
    <row r="567">
      <c r="J567" s="22" t="n"/>
    </row>
    <row r="568">
      <c r="J568" s="22" t="n"/>
    </row>
    <row r="569">
      <c r="J569" s="22" t="n"/>
    </row>
    <row r="570">
      <c r="J570" s="22" t="n"/>
    </row>
    <row r="571">
      <c r="J571" s="22" t="n"/>
    </row>
    <row r="572">
      <c r="J572" s="22" t="n"/>
    </row>
    <row r="573">
      <c r="J573" s="22" t="n"/>
    </row>
    <row r="574">
      <c r="J574" s="22" t="n"/>
    </row>
    <row r="575">
      <c r="J575" s="22" t="n"/>
    </row>
    <row r="576">
      <c r="J576" s="22" t="n"/>
    </row>
    <row r="577">
      <c r="J577" s="22" t="n"/>
    </row>
    <row r="578">
      <c r="J578" s="22" t="n"/>
    </row>
    <row r="579">
      <c r="J579" s="22" t="n"/>
    </row>
    <row r="580">
      <c r="J580" s="22" t="n"/>
    </row>
    <row r="581">
      <c r="J581" s="22" t="n"/>
    </row>
    <row r="582">
      <c r="J582" s="22" t="n"/>
    </row>
    <row r="583">
      <c r="J583" s="22" t="n"/>
    </row>
    <row r="584">
      <c r="J584" s="22" t="n"/>
    </row>
    <row r="585">
      <c r="J585" s="22" t="n"/>
    </row>
    <row r="586">
      <c r="J586" s="22" t="n"/>
    </row>
    <row r="587">
      <c r="J587" s="22" t="n"/>
    </row>
    <row r="588">
      <c r="J588" s="22" t="n"/>
    </row>
    <row r="589">
      <c r="J589" s="22" t="n"/>
    </row>
    <row r="590">
      <c r="J590" s="22" t="n"/>
    </row>
    <row r="591">
      <c r="J591" s="22" t="n"/>
    </row>
    <row r="592">
      <c r="J592" s="22" t="n"/>
    </row>
    <row r="593">
      <c r="J593" s="22" t="n"/>
    </row>
    <row r="594">
      <c r="J594" s="22" t="n"/>
    </row>
    <row r="595">
      <c r="J595" s="22" t="n"/>
    </row>
    <row r="596">
      <c r="J596" s="22" t="n"/>
    </row>
    <row r="597">
      <c r="J597" s="22" t="n"/>
    </row>
    <row r="598">
      <c r="J598" s="22" t="n"/>
    </row>
    <row r="599">
      <c r="J599" s="22" t="n"/>
    </row>
    <row r="600">
      <c r="J600" s="22" t="n"/>
    </row>
    <row r="601">
      <c r="J601" s="22" t="n"/>
    </row>
    <row r="602">
      <c r="J602" s="22" t="n"/>
    </row>
    <row r="603">
      <c r="J603" s="22" t="n"/>
    </row>
    <row r="604">
      <c r="J604" s="22" t="n"/>
    </row>
    <row r="605">
      <c r="J605" s="22" t="n"/>
    </row>
    <row r="606">
      <c r="J606" s="22" t="n"/>
    </row>
    <row r="607">
      <c r="J607" s="22" t="n"/>
    </row>
    <row r="608">
      <c r="J608" s="22" t="n"/>
    </row>
    <row r="609">
      <c r="J609" s="22" t="n"/>
    </row>
    <row r="610">
      <c r="J610" s="22" t="n"/>
    </row>
    <row r="611">
      <c r="J611" s="22" t="n"/>
    </row>
    <row r="612">
      <c r="J612" s="22" t="n"/>
    </row>
    <row r="613">
      <c r="J613" s="22" t="n"/>
    </row>
    <row r="614">
      <c r="J614" s="22" t="n"/>
    </row>
    <row r="615">
      <c r="J615" s="22" t="n"/>
    </row>
    <row r="616">
      <c r="J616" s="22" t="n"/>
    </row>
    <row r="617">
      <c r="J617" s="22" t="n"/>
    </row>
    <row r="618">
      <c r="J618" s="22" t="n"/>
    </row>
    <row r="619">
      <c r="J619" s="22" t="n"/>
    </row>
    <row r="620">
      <c r="J620" s="22" t="n"/>
    </row>
    <row r="621">
      <c r="J621" s="22" t="n"/>
    </row>
    <row r="622">
      <c r="J622" s="22" t="n"/>
    </row>
    <row r="623">
      <c r="J623" s="22" t="n"/>
    </row>
    <row r="624">
      <c r="J624" s="22" t="n"/>
    </row>
    <row r="625">
      <c r="J625" s="22" t="n"/>
    </row>
    <row r="626">
      <c r="J626" s="22" t="n"/>
    </row>
    <row r="627">
      <c r="J627" s="22" t="n"/>
    </row>
    <row r="628">
      <c r="J628" s="22" t="n"/>
    </row>
    <row r="629">
      <c r="J629" s="22" t="n"/>
    </row>
    <row r="630">
      <c r="J630" s="22" t="n"/>
    </row>
    <row r="631">
      <c r="J631" s="22" t="n"/>
    </row>
    <row r="632">
      <c r="J632" s="22" t="n"/>
    </row>
    <row r="633">
      <c r="J633" s="22" t="n"/>
    </row>
    <row r="634">
      <c r="J634" s="22" t="n"/>
    </row>
    <row r="635">
      <c r="J635" s="22" t="n"/>
    </row>
    <row r="636">
      <c r="J636" s="22" t="n"/>
    </row>
    <row r="637">
      <c r="J637" s="22" t="n"/>
    </row>
    <row r="638">
      <c r="J638" s="22" t="n"/>
    </row>
    <row r="639">
      <c r="J639" s="22" t="n"/>
    </row>
    <row r="640">
      <c r="J640" s="22" t="n"/>
    </row>
    <row r="641">
      <c r="J641" s="22" t="n"/>
    </row>
    <row r="642">
      <c r="J642" s="22" t="n"/>
    </row>
    <row r="643">
      <c r="J643" s="22" t="n"/>
    </row>
    <row r="644">
      <c r="J644" s="22" t="n"/>
    </row>
    <row r="645">
      <c r="J645" s="22" t="n"/>
    </row>
    <row r="646">
      <c r="J646" s="22" t="n"/>
    </row>
    <row r="647">
      <c r="J647" s="22" t="n"/>
    </row>
    <row r="648">
      <c r="J648" s="22" t="n"/>
    </row>
    <row r="649">
      <c r="J649" s="22" t="n"/>
    </row>
    <row r="650">
      <c r="J650" s="22" t="n"/>
    </row>
    <row r="651">
      <c r="J651" s="22" t="n"/>
    </row>
    <row r="652">
      <c r="J652" s="22" t="n"/>
    </row>
    <row r="653">
      <c r="J653" s="22" t="n"/>
    </row>
    <row r="654">
      <c r="J654" s="22" t="n"/>
    </row>
    <row r="655">
      <c r="J655" s="22" t="n"/>
    </row>
    <row r="656">
      <c r="J656" s="22" t="n"/>
    </row>
    <row r="657">
      <c r="J657" s="22" t="n"/>
    </row>
    <row r="658">
      <c r="J658" s="22" t="n"/>
    </row>
    <row r="659">
      <c r="J659" s="22" t="n"/>
    </row>
    <row r="660">
      <c r="J660" s="22" t="n"/>
    </row>
    <row r="661">
      <c r="J661" s="22" t="n"/>
    </row>
    <row r="662">
      <c r="J662" s="22" t="n"/>
    </row>
    <row r="663">
      <c r="J663" s="22" t="n"/>
    </row>
    <row r="664">
      <c r="J664" s="22" t="n"/>
    </row>
    <row r="665">
      <c r="J665" s="22" t="n"/>
    </row>
    <row r="666">
      <c r="J666" s="22" t="n"/>
    </row>
    <row r="667">
      <c r="J667" s="22" t="n"/>
    </row>
    <row r="668">
      <c r="J668" s="22" t="n"/>
    </row>
    <row r="669">
      <c r="J669" s="22" t="n"/>
    </row>
    <row r="670">
      <c r="J670" s="22" t="n"/>
    </row>
    <row r="671">
      <c r="J671" s="22" t="n"/>
    </row>
    <row r="672">
      <c r="J672" s="22" t="n"/>
    </row>
    <row r="673">
      <c r="J673" s="22" t="n"/>
    </row>
    <row r="674">
      <c r="J674" s="22" t="n"/>
    </row>
    <row r="675">
      <c r="J675" s="22" t="n"/>
    </row>
    <row r="676">
      <c r="J676" s="22" t="n"/>
    </row>
    <row r="677">
      <c r="J677" s="22" t="n"/>
    </row>
    <row r="678">
      <c r="J678" s="22" t="n"/>
    </row>
    <row r="679">
      <c r="J679" s="22" t="n"/>
    </row>
    <row r="680">
      <c r="J680" s="22" t="n"/>
    </row>
    <row r="681">
      <c r="J681" s="22" t="n"/>
    </row>
    <row r="682">
      <c r="J682" s="22" t="n"/>
    </row>
    <row r="683">
      <c r="J683" s="22" t="n"/>
    </row>
    <row r="684">
      <c r="J684" s="22" t="n"/>
    </row>
    <row r="685">
      <c r="J685" s="22" t="n"/>
    </row>
    <row r="686">
      <c r="J686" s="22" t="n"/>
    </row>
    <row r="687">
      <c r="J687" s="22" t="n"/>
    </row>
    <row r="688">
      <c r="J688" s="22" t="n"/>
    </row>
    <row r="689">
      <c r="J689" s="22" t="n"/>
    </row>
    <row r="690">
      <c r="J690" s="22" t="n"/>
    </row>
    <row r="691">
      <c r="J691" s="22" t="n"/>
    </row>
    <row r="692">
      <c r="J692" s="22" t="n"/>
    </row>
    <row r="693">
      <c r="J693" s="22" t="n"/>
    </row>
    <row r="694">
      <c r="J694" s="22" t="n"/>
    </row>
    <row r="695">
      <c r="J695" s="22" t="n"/>
    </row>
    <row r="696">
      <c r="J696" s="22" t="n"/>
    </row>
    <row r="697">
      <c r="J697" s="22" t="n"/>
    </row>
    <row r="698">
      <c r="J698" s="22" t="n"/>
    </row>
    <row r="699">
      <c r="J699" s="22" t="n"/>
    </row>
    <row r="700">
      <c r="J700" s="22" t="n"/>
    </row>
    <row r="701">
      <c r="J701" s="22" t="n"/>
    </row>
    <row r="702">
      <c r="J702" s="22" t="n"/>
    </row>
    <row r="703">
      <c r="J703" s="22" t="n"/>
    </row>
    <row r="704">
      <c r="J704" s="22" t="n"/>
    </row>
    <row r="705">
      <c r="J705" s="22" t="n"/>
    </row>
    <row r="706">
      <c r="J706" s="22" t="n"/>
    </row>
    <row r="707">
      <c r="J707" s="22" t="n"/>
    </row>
    <row r="708">
      <c r="J708" s="22" t="n"/>
    </row>
    <row r="709">
      <c r="J709" s="22" t="n"/>
    </row>
    <row r="710">
      <c r="J710" s="22" t="n"/>
    </row>
    <row r="711">
      <c r="J711" s="22" t="n"/>
    </row>
    <row r="712">
      <c r="J712" s="22" t="n"/>
    </row>
    <row r="713">
      <c r="J713" s="22" t="n"/>
    </row>
    <row r="714">
      <c r="J714" s="22" t="n"/>
    </row>
    <row r="715">
      <c r="J715" s="22" t="n"/>
    </row>
    <row r="716">
      <c r="J716" s="22" t="n"/>
    </row>
    <row r="717">
      <c r="J717" s="22" t="n"/>
    </row>
    <row r="718">
      <c r="J718" s="22" t="n"/>
    </row>
    <row r="719">
      <c r="J719" s="22" t="n"/>
    </row>
    <row r="720">
      <c r="J720" s="22" t="n"/>
    </row>
    <row r="721">
      <c r="J721" s="22" t="n"/>
    </row>
    <row r="722">
      <c r="J722" s="22" t="n"/>
    </row>
    <row r="723">
      <c r="J723" s="22" t="n"/>
    </row>
    <row r="724">
      <c r="J724" s="22" t="n"/>
    </row>
    <row r="725">
      <c r="J725" s="22" t="n"/>
    </row>
    <row r="726">
      <c r="J726" s="22" t="n"/>
    </row>
    <row r="727">
      <c r="J727" s="22" t="n"/>
    </row>
    <row r="728">
      <c r="J728" s="22" t="n"/>
    </row>
    <row r="729">
      <c r="J729" s="22" t="n"/>
    </row>
    <row r="730">
      <c r="J730" s="22" t="n"/>
    </row>
    <row r="731">
      <c r="J731" s="22" t="n"/>
    </row>
    <row r="732">
      <c r="J732" s="22" t="n"/>
    </row>
    <row r="733">
      <c r="J733" s="22" t="n"/>
    </row>
    <row r="734">
      <c r="J734" s="22" t="n"/>
    </row>
    <row r="735">
      <c r="J735" s="22" t="n"/>
    </row>
    <row r="736">
      <c r="J736" s="22" t="n"/>
    </row>
    <row r="737">
      <c r="J737" s="22" t="n"/>
    </row>
    <row r="738">
      <c r="J738" s="22" t="n"/>
    </row>
    <row r="739">
      <c r="J739" s="22" t="n"/>
    </row>
    <row r="740">
      <c r="J740" s="22" t="n"/>
    </row>
    <row r="741">
      <c r="J741" s="22" t="n"/>
    </row>
    <row r="742">
      <c r="J742" s="22" t="n"/>
    </row>
    <row r="743">
      <c r="J743" s="22" t="n"/>
    </row>
    <row r="744">
      <c r="J744" s="22" t="n"/>
    </row>
    <row r="745">
      <c r="J745" s="22" t="n"/>
    </row>
    <row r="746">
      <c r="J746" s="22" t="n"/>
    </row>
    <row r="747">
      <c r="J747" s="22" t="n"/>
    </row>
    <row r="748">
      <c r="J748" s="22" t="n"/>
    </row>
    <row r="749">
      <c r="J749" s="22" t="n"/>
    </row>
    <row r="750">
      <c r="J750" s="22" t="n"/>
    </row>
    <row r="751">
      <c r="J751" s="22" t="n"/>
    </row>
    <row r="752">
      <c r="J752" s="22" t="n"/>
    </row>
    <row r="753">
      <c r="J753" s="22" t="n"/>
    </row>
    <row r="754">
      <c r="J754" s="22" t="n"/>
    </row>
    <row r="755">
      <c r="J755" s="22" t="n"/>
    </row>
    <row r="756">
      <c r="J756" s="22" t="n"/>
    </row>
    <row r="757">
      <c r="J757" s="22" t="n"/>
    </row>
    <row r="758">
      <c r="J758" s="22" t="n"/>
    </row>
    <row r="759">
      <c r="J759" s="22" t="n"/>
    </row>
    <row r="760">
      <c r="J760" s="22" t="n"/>
    </row>
    <row r="761">
      <c r="J761" s="22" t="n"/>
    </row>
    <row r="762">
      <c r="J762" s="22" t="n"/>
    </row>
    <row r="763">
      <c r="J763" s="22" t="n"/>
    </row>
    <row r="764">
      <c r="J764" s="22" t="n"/>
    </row>
    <row r="765">
      <c r="J765" s="22" t="n"/>
    </row>
    <row r="766">
      <c r="J766" s="22" t="n"/>
    </row>
    <row r="767">
      <c r="J767" s="22" t="n"/>
    </row>
    <row r="768">
      <c r="J768" s="22" t="n"/>
    </row>
    <row r="769">
      <c r="J769" s="22" t="n"/>
    </row>
    <row r="770">
      <c r="J770" s="22" t="n"/>
    </row>
    <row r="771">
      <c r="J771" s="22" t="n"/>
    </row>
    <row r="772">
      <c r="J772" s="22" t="n"/>
    </row>
    <row r="773">
      <c r="J773" s="22" t="n"/>
    </row>
    <row r="774">
      <c r="J774" s="22" t="n"/>
    </row>
    <row r="775">
      <c r="J775" s="22" t="n"/>
    </row>
    <row r="776">
      <c r="J776" s="22" t="n"/>
    </row>
    <row r="777">
      <c r="J777" s="22" t="n"/>
    </row>
    <row r="778">
      <c r="J778" s="22" t="n"/>
    </row>
    <row r="779">
      <c r="J779" s="22" t="n"/>
    </row>
    <row r="780">
      <c r="J780" s="22" t="n"/>
    </row>
    <row r="781">
      <c r="J781" s="22" t="n"/>
    </row>
    <row r="782">
      <c r="J782" s="22" t="n"/>
    </row>
    <row r="783">
      <c r="J783" s="22" t="n"/>
    </row>
    <row r="784">
      <c r="J784" s="22" t="n"/>
    </row>
    <row r="785">
      <c r="J785" s="22" t="n"/>
    </row>
    <row r="786">
      <c r="J786" s="22" t="n"/>
    </row>
    <row r="787">
      <c r="J787" s="22" t="n"/>
    </row>
    <row r="788">
      <c r="J788" s="22" t="n"/>
    </row>
    <row r="789">
      <c r="J789" s="22" t="n"/>
    </row>
    <row r="790">
      <c r="J790" s="22" t="n"/>
    </row>
    <row r="791">
      <c r="J791" s="22" t="n"/>
    </row>
    <row r="792">
      <c r="J792" s="22" t="n"/>
    </row>
    <row r="793">
      <c r="J793" s="22" t="n"/>
    </row>
    <row r="794">
      <c r="J794" s="22" t="n"/>
    </row>
    <row r="795">
      <c r="J795" s="22" t="n"/>
    </row>
    <row r="796">
      <c r="J796" s="22" t="n"/>
    </row>
    <row r="797">
      <c r="J797" s="22" t="n"/>
    </row>
    <row r="798">
      <c r="J798" s="22" t="n"/>
    </row>
    <row r="799">
      <c r="J799" s="22" t="n"/>
    </row>
    <row r="800">
      <c r="J800" s="22" t="n"/>
    </row>
    <row r="801">
      <c r="J801" s="22" t="n"/>
    </row>
    <row r="802">
      <c r="J802" s="22" t="n"/>
    </row>
    <row r="803">
      <c r="J803" s="22" t="n"/>
    </row>
    <row r="804">
      <c r="J804" s="22" t="n"/>
    </row>
    <row r="805">
      <c r="J805" s="22" t="n"/>
    </row>
    <row r="806">
      <c r="J806" s="22" t="n"/>
    </row>
    <row r="807">
      <c r="J807" s="22" t="n"/>
    </row>
    <row r="808">
      <c r="J808" s="22" t="n"/>
    </row>
    <row r="809">
      <c r="J809" s="22" t="n"/>
    </row>
    <row r="810">
      <c r="J810" s="22" t="n"/>
    </row>
    <row r="811">
      <c r="J811" s="22" t="n"/>
    </row>
    <row r="812">
      <c r="J812" s="22" t="n"/>
    </row>
    <row r="813">
      <c r="J813" s="22" t="n"/>
    </row>
    <row r="814">
      <c r="J814" s="22" t="n"/>
    </row>
    <row r="815">
      <c r="J815" s="22" t="n"/>
    </row>
    <row r="816">
      <c r="J816" s="22" t="n"/>
    </row>
    <row r="817">
      <c r="J817" s="22" t="n"/>
    </row>
    <row r="818">
      <c r="J818" s="22" t="n"/>
    </row>
    <row r="819">
      <c r="J819" s="22" t="n"/>
    </row>
    <row r="820">
      <c r="J820" s="22" t="n"/>
    </row>
    <row r="821">
      <c r="J821" s="22" t="n"/>
    </row>
    <row r="822">
      <c r="J822" s="22" t="n"/>
    </row>
    <row r="823">
      <c r="J823" s="22" t="n"/>
    </row>
    <row r="824">
      <c r="J824" s="22" t="n"/>
    </row>
    <row r="825">
      <c r="J825" s="22" t="n"/>
    </row>
    <row r="826">
      <c r="J826" s="22" t="n"/>
    </row>
    <row r="827">
      <c r="J827" s="22" t="n"/>
    </row>
    <row r="828">
      <c r="J828" s="22" t="n"/>
    </row>
    <row r="829">
      <c r="J829" s="22" t="n"/>
    </row>
    <row r="830">
      <c r="J830" s="22" t="n"/>
    </row>
    <row r="831">
      <c r="J831" s="22" t="n"/>
    </row>
    <row r="832">
      <c r="J832" s="22" t="n"/>
    </row>
    <row r="833">
      <c r="J833" s="22" t="n"/>
    </row>
    <row r="834">
      <c r="J834" s="22" t="n"/>
    </row>
    <row r="835">
      <c r="J835" s="22" t="n"/>
    </row>
    <row r="836">
      <c r="J836" s="22" t="n"/>
    </row>
    <row r="837">
      <c r="J837" s="22" t="n"/>
    </row>
    <row r="838">
      <c r="J838" s="22" t="n"/>
    </row>
    <row r="839">
      <c r="J839" s="22" t="n"/>
    </row>
    <row r="840">
      <c r="J840" s="22" t="n"/>
    </row>
    <row r="841">
      <c r="J841" s="22" t="n"/>
    </row>
    <row r="842">
      <c r="J842" s="22" t="n"/>
    </row>
    <row r="843">
      <c r="J843" s="22" t="n"/>
    </row>
    <row r="844">
      <c r="J844" s="22" t="n"/>
    </row>
    <row r="845">
      <c r="J845" s="22" t="n"/>
    </row>
    <row r="846">
      <c r="J846" s="22" t="n"/>
    </row>
    <row r="847">
      <c r="J847" s="22" t="n"/>
    </row>
    <row r="848">
      <c r="J848" s="22" t="n"/>
    </row>
    <row r="849">
      <c r="J849" s="22" t="n"/>
    </row>
    <row r="850">
      <c r="J850" s="22" t="n"/>
    </row>
    <row r="851">
      <c r="J851" s="22" t="n"/>
    </row>
    <row r="852">
      <c r="J852" s="22" t="n"/>
    </row>
    <row r="853">
      <c r="J853" s="22" t="n"/>
    </row>
    <row r="854">
      <c r="J854" s="22" t="n"/>
    </row>
    <row r="855">
      <c r="J855" s="22" t="n"/>
    </row>
    <row r="856">
      <c r="J856" s="22" t="n"/>
    </row>
    <row r="857">
      <c r="J857" s="22" t="n"/>
    </row>
    <row r="858">
      <c r="J858" s="22" t="n"/>
    </row>
    <row r="859">
      <c r="J859" s="22" t="n"/>
    </row>
    <row r="860">
      <c r="J860" s="22" t="n"/>
    </row>
    <row r="861">
      <c r="J861" s="22" t="n"/>
    </row>
    <row r="862">
      <c r="J862" s="22" t="n"/>
    </row>
    <row r="863">
      <c r="J863" s="22" t="n"/>
    </row>
    <row r="864">
      <c r="J864" s="22" t="n"/>
    </row>
    <row r="865">
      <c r="J865" s="22" t="n"/>
    </row>
    <row r="866">
      <c r="J866" s="22" t="n"/>
    </row>
    <row r="867">
      <c r="J867" s="22" t="n"/>
    </row>
    <row r="868">
      <c r="J868" s="22" t="n"/>
    </row>
    <row r="869">
      <c r="J869" s="22" t="n"/>
    </row>
    <row r="870">
      <c r="J870" s="22" t="n"/>
    </row>
    <row r="871">
      <c r="J871" s="22" t="n"/>
    </row>
    <row r="872">
      <c r="J872" s="22" t="n"/>
    </row>
    <row r="873">
      <c r="J873" s="22" t="n"/>
    </row>
    <row r="874">
      <c r="J874" s="22" t="n"/>
    </row>
    <row r="875">
      <c r="J875" s="22" t="n"/>
    </row>
    <row r="876">
      <c r="J876" s="22" t="n"/>
    </row>
    <row r="877">
      <c r="J877" s="22" t="n"/>
    </row>
    <row r="878">
      <c r="J878" s="22" t="n"/>
    </row>
    <row r="879">
      <c r="J879" s="22" t="n"/>
    </row>
    <row r="880">
      <c r="J880" s="22" t="n"/>
    </row>
    <row r="881">
      <c r="J881" s="22" t="n"/>
    </row>
    <row r="882">
      <c r="J882" s="22" t="n"/>
    </row>
    <row r="883">
      <c r="J883" s="22" t="n"/>
    </row>
    <row r="884">
      <c r="J884" s="22" t="n"/>
    </row>
    <row r="885">
      <c r="J885" s="22" t="n"/>
    </row>
    <row r="886">
      <c r="J886" s="22" t="n"/>
    </row>
    <row r="887">
      <c r="J887" s="22" t="n"/>
    </row>
    <row r="888">
      <c r="J888" s="22" t="n"/>
    </row>
    <row r="889">
      <c r="J889" s="22" t="n"/>
    </row>
    <row r="890">
      <c r="J890" s="22" t="n"/>
    </row>
    <row r="891">
      <c r="J891" s="22" t="n"/>
    </row>
    <row r="892">
      <c r="J892" s="22" t="n"/>
    </row>
    <row r="893">
      <c r="J893" s="22" t="n"/>
    </row>
    <row r="894">
      <c r="J894" s="22" t="n"/>
    </row>
    <row r="895">
      <c r="J895" s="22" t="n"/>
    </row>
    <row r="896">
      <c r="J896" s="22" t="n"/>
    </row>
    <row r="897">
      <c r="J897" s="22" t="n"/>
    </row>
    <row r="898">
      <c r="J898" s="22" t="n"/>
    </row>
    <row r="899">
      <c r="J899" s="22" t="n"/>
    </row>
    <row r="900">
      <c r="J900" s="22" t="n"/>
    </row>
    <row r="901">
      <c r="J901" s="22" t="n"/>
    </row>
    <row r="902">
      <c r="J902" s="22" t="n"/>
    </row>
    <row r="903">
      <c r="J903" s="22" t="n"/>
    </row>
    <row r="904">
      <c r="J904" s="22" t="n"/>
    </row>
    <row r="905">
      <c r="J905" s="22" t="n"/>
    </row>
    <row r="906">
      <c r="J906" s="22" t="n"/>
    </row>
    <row r="907">
      <c r="J907" s="22" t="n"/>
    </row>
    <row r="908">
      <c r="J908" s="22" t="n"/>
    </row>
    <row r="909">
      <c r="J909" s="22" t="n"/>
    </row>
    <row r="910">
      <c r="J910" s="22" t="n"/>
    </row>
    <row r="911">
      <c r="J911" s="22" t="n"/>
    </row>
    <row r="912">
      <c r="J912" s="22" t="n"/>
    </row>
    <row r="913">
      <c r="J913" s="22" t="n"/>
    </row>
    <row r="914">
      <c r="J914" s="22" t="n"/>
    </row>
    <row r="915">
      <c r="J915" s="22" t="n"/>
    </row>
    <row r="916">
      <c r="J916" s="22" t="n"/>
    </row>
    <row r="917">
      <c r="J917" s="22" t="n"/>
    </row>
    <row r="918">
      <c r="J918" s="22" t="n"/>
    </row>
    <row r="919">
      <c r="J919" s="22" t="n"/>
    </row>
    <row r="920">
      <c r="J920" s="22" t="n"/>
    </row>
    <row r="921">
      <c r="J921" s="22" t="n"/>
    </row>
    <row r="922">
      <c r="J922" s="22" t="n"/>
    </row>
    <row r="923">
      <c r="J923" s="22" t="n"/>
    </row>
    <row r="924">
      <c r="J924" s="22" t="n"/>
    </row>
    <row r="925">
      <c r="J925" s="22" t="n"/>
    </row>
    <row r="926">
      <c r="J926" s="22" t="n"/>
    </row>
    <row r="927">
      <c r="J927" s="22" t="n"/>
    </row>
    <row r="928">
      <c r="J928" s="22" t="n"/>
    </row>
    <row r="929">
      <c r="J929" s="22" t="n"/>
    </row>
    <row r="930">
      <c r="J930" s="22" t="n"/>
    </row>
    <row r="931">
      <c r="J931" s="22" t="n"/>
    </row>
    <row r="932">
      <c r="J932" s="22" t="n"/>
    </row>
    <row r="933">
      <c r="J933" s="22" t="n"/>
    </row>
    <row r="934">
      <c r="J934" s="22" t="n"/>
    </row>
    <row r="935">
      <c r="J935" s="22" t="n"/>
    </row>
    <row r="936">
      <c r="J936" s="22" t="n"/>
    </row>
    <row r="937">
      <c r="J937" s="22" t="n"/>
    </row>
    <row r="938">
      <c r="J938" s="22" t="n"/>
    </row>
    <row r="939">
      <c r="J939" s="22" t="n"/>
    </row>
    <row r="940">
      <c r="J940" s="22" t="n"/>
    </row>
    <row r="941">
      <c r="J941" s="22" t="n"/>
    </row>
    <row r="942">
      <c r="J942" s="22" t="n"/>
    </row>
    <row r="943">
      <c r="J943" s="22" t="n"/>
    </row>
    <row r="944">
      <c r="J944" s="22" t="n"/>
    </row>
    <row r="945">
      <c r="J945" s="22" t="n"/>
    </row>
    <row r="946">
      <c r="J946" s="22" t="n"/>
    </row>
    <row r="947">
      <c r="J947" s="22" t="n"/>
    </row>
    <row r="948">
      <c r="J948" s="22" t="n"/>
    </row>
    <row r="949">
      <c r="J949" s="22" t="n"/>
    </row>
    <row r="950">
      <c r="J950" s="22" t="n"/>
    </row>
    <row r="951">
      <c r="J951" s="22" t="n"/>
    </row>
    <row r="952">
      <c r="J952" s="22" t="n"/>
    </row>
    <row r="953">
      <c r="J953" s="22" t="n"/>
    </row>
    <row r="954">
      <c r="J954" s="22" t="n"/>
    </row>
    <row r="955">
      <c r="J955" s="22" t="n"/>
    </row>
    <row r="956">
      <c r="J956" s="22" t="n"/>
    </row>
    <row r="957">
      <c r="J957" s="22" t="n"/>
    </row>
    <row r="958">
      <c r="J958" s="22" t="n"/>
    </row>
    <row r="959">
      <c r="J959" s="22" t="n"/>
    </row>
    <row r="960">
      <c r="J960" s="22" t="n"/>
    </row>
    <row r="961">
      <c r="J961" s="22" t="n"/>
    </row>
    <row r="962">
      <c r="J962" s="22" t="n"/>
    </row>
    <row r="963">
      <c r="J963" s="22" t="n"/>
    </row>
    <row r="964">
      <c r="J964" s="22" t="n"/>
    </row>
    <row r="965">
      <c r="J965" s="22" t="n"/>
    </row>
    <row r="966">
      <c r="J966" s="22" t="n"/>
    </row>
    <row r="967">
      <c r="J967" s="22" t="n"/>
    </row>
    <row r="968">
      <c r="J968" s="22" t="n"/>
    </row>
    <row r="969">
      <c r="J969" s="22" t="n"/>
    </row>
    <row r="970">
      <c r="J970" s="22" t="n"/>
    </row>
    <row r="971">
      <c r="J971" s="22" t="n"/>
    </row>
    <row r="972">
      <c r="J972" s="22" t="n"/>
    </row>
    <row r="973">
      <c r="J973" s="22" t="n"/>
    </row>
    <row r="974">
      <c r="J974" s="22" t="n"/>
    </row>
    <row r="975">
      <c r="J975" s="22" t="n"/>
    </row>
    <row r="976">
      <c r="J976" s="22" t="n"/>
    </row>
    <row r="977">
      <c r="J977" s="22" t="n"/>
    </row>
    <row r="978">
      <c r="J978" s="22" t="n"/>
    </row>
    <row r="979">
      <c r="J979" s="22" t="n"/>
    </row>
    <row r="980">
      <c r="J980" s="22" t="n"/>
    </row>
    <row r="981">
      <c r="J981" s="22" t="n"/>
    </row>
    <row r="982">
      <c r="J982" s="22" t="n"/>
    </row>
    <row r="983">
      <c r="J983" s="22" t="n"/>
    </row>
    <row r="984">
      <c r="J984" s="22" t="n"/>
    </row>
    <row r="985">
      <c r="J985" s="22" t="n"/>
    </row>
    <row r="986">
      <c r="J986" s="22" t="n"/>
    </row>
    <row r="987">
      <c r="J987" s="22" t="n"/>
    </row>
    <row r="988">
      <c r="J988" s="22" t="n"/>
    </row>
    <row r="989">
      <c r="J989" s="22" t="n"/>
    </row>
    <row r="990">
      <c r="J990" s="22" t="n"/>
    </row>
    <row r="991">
      <c r="J991" s="22" t="n"/>
    </row>
    <row r="992">
      <c r="J992" s="22" t="n"/>
    </row>
    <row r="993">
      <c r="J993" s="22" t="n"/>
    </row>
    <row r="994">
      <c r="J994" s="22" t="n"/>
    </row>
    <row r="995">
      <c r="J995" s="22" t="n"/>
    </row>
    <row r="996">
      <c r="J996" s="22" t="n"/>
    </row>
    <row r="997">
      <c r="J997" s="22" t="n"/>
    </row>
    <row r="998">
      <c r="J998" s="22" t="n"/>
    </row>
    <row r="999">
      <c r="J999" s="22" t="n"/>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Q224"/>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1</t>
        </is>
      </c>
      <c r="B3" s="18"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18" t="inlineStr"/>
      <c r="D3" s="18" t="inlineStr">
        <is>
          <t>เคยใช้ยารักษาสิวใดมาก่อนหรือไม่</t>
        </is>
      </c>
      <c r="E3" s="18" t="inlineStr">
        <is>
          <t>รับประทานยาคุมกำเนิดอยู่หรือไม่</t>
        </is>
      </c>
      <c r="F3" s="18" t="inlineStr">
        <is>
          <t>ออกกำลังกายโดยวิธีใด</t>
        </is>
      </c>
      <c r="G3" s="18" t="inlineStr">
        <is>
          <t>เคยมีประวัติแพ้หรือเครื่องสำอางใดมาก่อนหรือไม่</t>
        </is>
      </c>
      <c r="H3" s="18" t="inlineStr">
        <is>
          <t>กำลังตั้งครรภ์อยู่หรือไม่ หรือวางแผนจะมีบุตรในช่วงนี้หรือไม่</t>
        </is>
      </c>
      <c r="I3" s="15" t="inlineStr">
        <is>
          <t>3</t>
        </is>
      </c>
      <c r="J3" s="18"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ข้อนี้ไม่ใช่คำตอบที่ถูกต้องสำหรับภาวะ Acne เนื่องจากกลไกการออกฤทธิ์, efficacy หรือข้อบ่งใช้ไม่ตรงกับโจทย์ที่กำหนด
• ข้อ ข. (รับประทานยาคุมกำเนิดอยู่หรือไม่): ข้อนี้ไม่ใช่คำตอบที่ถูกต้องสำหรับภาวะ Acne เนื่องจากกลไกการออกฤทธิ์, efficacy หรือข้อบ่งใช้ไม่ตรงกับโจทย์ที่กำหนด
• ข้อ ง. (เคยมีประวัติแพ้หรือเครื่องสำอางใดมาก่อนหรือไม่): ข้อนี้ไม่ใช่คำตอบที่ถูกต้องสำหรับภาวะ Acne เนื่องจากกลไกการออกฤทธิ์, efficacy หรือข้อบ่งใช้ไม่ตรงกับโจทย์ที่กำหนด
• ข้อ จ. (กำลังตั้งครรภ์อยู่หรือไม่ หรือวางแผนจะมีบุตรในช่วงนี้หรือไม่):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18" t="inlineStr"/>
      <c r="L3" s="18" t="inlineStr">
        <is>
          <t>Acne</t>
        </is>
      </c>
      <c r="M3" s="18" t="inlineStr">
        <is>
          <t>Clinic</t>
        </is>
      </c>
      <c r="N3" s="18" t="inlineStr">
        <is>
          <t>ข้อ 1 ชุด 1 (เฉลยข้อ ค)</t>
        </is>
      </c>
      <c r="O3" s="18" t="inlineStr">
        <is>
          <t>Mock</t>
        </is>
      </c>
      <c r="P3" s="18" t="inlineStr">
        <is>
          <t>ชุด 1</t>
        </is>
      </c>
    </row>
    <row r="4">
      <c r="A4" s="15" t="inlineStr">
        <is>
          <t>2</t>
        </is>
      </c>
      <c r="B4" s="18"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18" t="inlineStr"/>
      <c r="D4" s="18" t="inlineStr">
        <is>
          <t>Chloramphenicol</t>
        </is>
      </c>
      <c r="E4" s="18" t="inlineStr">
        <is>
          <t>Tetracycline</t>
        </is>
      </c>
      <c r="F4" s="18" t="inlineStr">
        <is>
          <t>Roxithromycin</t>
        </is>
      </c>
      <c r="G4" s="18" t="inlineStr">
        <is>
          <t>Norfloxacin</t>
        </is>
      </c>
      <c r="H4" s="18" t="inlineStr">
        <is>
          <t>Azithromycin</t>
        </is>
      </c>
      <c r="I4" s="15" t="inlineStr">
        <is>
          <t>2</t>
        </is>
      </c>
      <c r="J4" s="18"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ข้อนี้ไม่ใช่คำตอบที่ถูกต้องสำหรับภาวะ Acne เนื่องจากกลไกการออกฤทธิ์, efficacy หรือข้อบ่งใช้ไม่ตรงกับโจทย์ที่กำหนด
• ข้อ ค. (Roxithromycin): ข้อนี้ไม่ใช่คำตอบที่ถูกต้องสำหรับภาวะ Acne เนื่องจากกลไกการออกฤทธิ์, efficacy หรือข้อบ่งใช้ไม่ตรงกับโจทย์ที่กำหนด
• ข้อ ง. (Norfloxacin): ข้อนี้ไม่ใช่คำตอบที่ถูกต้องสำหรับภาวะ Acne เนื่องจากกลไกการออกฤทธิ์, efficacy หรือข้อบ่งใช้ไม่ตรงกับโจทย์ที่กำหนด
• ข้อ จ. (Azithromycin): เป็น Macrolide ครอบคลุม atypical pathogens (Mycoplasma, Chlamydia, Legionella) ขจัดออกทางตับเป็นหลัก และมี half-life ยาวนาน (~68 ชม.)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18" t="inlineStr"/>
      <c r="L4" s="18" t="inlineStr">
        <is>
          <t>Acne</t>
        </is>
      </c>
      <c r="M4" s="18" t="inlineStr">
        <is>
          <t>Clinic</t>
        </is>
      </c>
      <c r="N4" s="18" t="inlineStr">
        <is>
          <t>ข้อ 2 ชุด 1 (เฉลยข้อ ข)</t>
        </is>
      </c>
      <c r="O4" s="18" t="inlineStr">
        <is>
          <t>Mock</t>
        </is>
      </c>
      <c r="P4" s="18" t="inlineStr">
        <is>
          <t>ชุด 1</t>
        </is>
      </c>
    </row>
    <row r="5">
      <c r="A5" s="15" t="inlineStr">
        <is>
          <t>3</t>
        </is>
      </c>
      <c r="B5" s="18" t="inlineStr">
        <is>
          <t>กลไกการออกฤทธิ์ของยาในข้อ 2 เป็นอย่างไร</t>
        </is>
      </c>
      <c r="C5" s="18" t="inlineStr"/>
      <c r="D5" s="18" t="inlineStr">
        <is>
          <t>ขัดขวางการสร้างผนังเซลล์ของเชื้อแบคทีเรีย ทำให้เซลล์แตกง่าย</t>
        </is>
      </c>
      <c r="E5" s="18" t="inlineStr">
        <is>
          <t>ยับยั้งการสร้าง folate ซึ่งจำเป็นต่อการสร้าง DNA ของเชื้อแบคทีเรีย</t>
        </is>
      </c>
      <c r="F5" s="18" t="inlineStr">
        <is>
          <t>ยับยั้งการสร้างไขมันของเชื้อ</t>
        </is>
      </c>
      <c r="G5" s="18" t="inlineStr">
        <is>
          <t>ยับยั้งการสร้างโปรตีนที่ 30S</t>
        </is>
      </c>
      <c r="H5" s="18" t="inlineStr">
        <is>
          <t>ยับยั้งการสร้างโปรตีนที่ 50S</t>
        </is>
      </c>
      <c r="I5" s="15" t="inlineStr">
        <is>
          <t>5</t>
        </is>
      </c>
      <c r="J5" s="18"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ข้อนี้ไม่ใช่คำตอบที่ถูกต้องสำหรับภาวะ Superficial fungal เนื่องจากกลไกการออกฤทธิ์, efficacy หรือข้อบ่งใช้ไม่ตรงกับโจทย์ที่กำหนด
• ข้อ ข. (ยับยั้งการสร้าง folate ซึ่งจำเป็นต่อการสร้าง DNA ของเชื้อแบคทีเรีย): ข้อนี้ไม่ใช่คำตอบที่ถูกต้องสำหรับภาวะ Superficial fungal เนื่องจากกลไกการออกฤทธิ์, efficacy หรือข้อบ่งใช้ไม่ตรงกับโจทย์ที่กำหนด
• ข้อ ค. (ยับยั้งการสร้างไขมันของเชื้อ): ข้อนี้ไม่ใช่คำตอบที่ถูกต้องสำหรับภาวะ Superficial fungal เนื่องจากกลไกการออกฤทธิ์, efficacy หรือข้อบ่งใช้ไม่ตรงกับโจทย์ที่กำหนด
• ข้อ ง. (ยับยั้งการสร้างโปรตีนที่ 30S):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8" t="inlineStr"/>
      <c r="L5" s="18" t="inlineStr">
        <is>
          <t>Superficial fungal</t>
        </is>
      </c>
      <c r="M5" s="18" t="inlineStr">
        <is>
          <t>Clinic</t>
        </is>
      </c>
      <c r="N5" s="18" t="inlineStr">
        <is>
          <t>ข้อ 3 ชุด 1 (เฉลยข้อ จ)</t>
        </is>
      </c>
      <c r="O5" s="18" t="inlineStr">
        <is>
          <t>Mock</t>
        </is>
      </c>
      <c r="P5" s="18" t="inlineStr">
        <is>
          <t>ชุด 1</t>
        </is>
      </c>
    </row>
    <row r="6">
      <c r="A6" s="15" t="inlineStr">
        <is>
          <t>4</t>
        </is>
      </c>
      <c r="B6" s="18" t="inlineStr">
        <is>
          <t>ยาทา (topical) ใดที่ไม่มีฤทธิ์ antibacterial</t>
        </is>
      </c>
      <c r="C6" s="18" t="inlineStr"/>
      <c r="D6" s="18" t="inlineStr">
        <is>
          <t>Erythromycin cream</t>
        </is>
      </c>
      <c r="E6" s="18" t="inlineStr">
        <is>
          <t>Benzoyl peroxide gel</t>
        </is>
      </c>
      <c r="F6" s="18" t="inlineStr">
        <is>
          <t>Adapalene gel</t>
        </is>
      </c>
      <c r="G6" s="18" t="inlineStr">
        <is>
          <t>Azelaic acid cream</t>
        </is>
      </c>
      <c r="H6" s="18" t="inlineStr">
        <is>
          <t>Clindamycin gel</t>
        </is>
      </c>
      <c r="I6" s="15" t="inlineStr">
        <is>
          <t>3</t>
        </is>
      </c>
      <c r="J6" s="18"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ข้อนี้ไม่ใช่คำตอบที่ถูกต้องสำหรับภาวะ Acne เนื่องจากกลไกการออกฤทธิ์, efficacy หรือข้อบ่งใช้ไม่ตรงกับโจทย์ที่กำหนด
• ข้อ ข. (Benzoyl peroxide gel): ข้อนี้ไม่ใช่คำตอบที่ถูกต้องสำหรับภาวะ Acne เนื่องจากกลไกการออกฤทธิ์, efficacy หรือข้อบ่งใช้ไม่ตรงกับโจทย์ที่กำหนด
• ข้อ ง. (Azelaic acid cream): ข้อนี้ไม่ใช่คำตอบที่ถูกต้องสำหรับภาวะ Acne เนื่องจากกลไกการออกฤทธิ์, efficacy หรือข้อบ่งใช้ไม่ตรงกับโจทย์ที่กำหนด
• ข้อ จ. (Clindamycin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18" t="inlineStr"/>
      <c r="L6" s="18" t="inlineStr">
        <is>
          <t>Acne</t>
        </is>
      </c>
      <c r="M6" s="18" t="inlineStr">
        <is>
          <t>Clinic</t>
        </is>
      </c>
      <c r="N6" s="18" t="inlineStr">
        <is>
          <t>ข้อ 4 ชุด 1 (เฉลยข้อ ค)</t>
        </is>
      </c>
      <c r="O6" s="18" t="inlineStr">
        <is>
          <t>Mock</t>
        </is>
      </c>
      <c r="P6" s="18" t="inlineStr">
        <is>
          <t>ชุด 1</t>
        </is>
      </c>
    </row>
    <row r="7">
      <c r="A7" s="15" t="inlineStr">
        <is>
          <t>5</t>
        </is>
      </c>
      <c r="B7" s="18" t="inlineStr">
        <is>
          <t>คำแนะนำเกี่ยวกับยา ATB ชนิดกินเพื่อรักษาสิวในผู้ป่วยรายนี้ ข้อใดผิด</t>
        </is>
      </c>
      <c r="C7" s="18" t="inlineStr"/>
      <c r="D7" s="18" t="inlineStr">
        <is>
          <t>ควรกินต่อกันเป็นเวลา 6 เดือน</t>
        </is>
      </c>
      <c r="E7" s="18" t="inlineStr">
        <is>
          <t>ผลข้างเคียงที่พบได้บ่อยคือ N/V</t>
        </is>
      </c>
      <c r="F7" s="18" t="inlineStr">
        <is>
          <t>จะเริ่มเห็นผลของยาในเวลา 3-4 weeks</t>
        </is>
      </c>
      <c r="G7" s="18" t="inlineStr">
        <is>
          <t>การใช้ยาจะเริ่มขนาดต่ำ ๆ แล้วค่อยเพิ่มขนาดสูงขึ้น</t>
        </is>
      </c>
      <c r="H7" s="18" t="inlineStr">
        <is>
          <t>อาจทำให้การคุมกำเนิดด้วย OC ไม่ได้ผล</t>
        </is>
      </c>
      <c r="I7" s="15" t="inlineStr">
        <is>
          <t>4</t>
        </is>
      </c>
      <c r="J7" s="18"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ข้อนี้ไม่ใช่คำตอบที่ถูกต้องสำหรับภาวะ Acne เนื่องจากกลไกการออกฤทธิ์, efficacy หรือข้อบ่งใช้ไม่ตรงกับโจทย์ที่กำหนด
• ข้อ ข. (ผลข้างเคียงที่พบได้บ่อยคือ N/V): ข้อนี้ไม่ใช่คำตอบที่ถูกต้องสำหรับภาวะ Acne เนื่องจากกลไกการออกฤทธิ์, efficacy หรือข้อบ่งใช้ไม่ตรงกับโจทย์ที่กำหนด
• ข้อ ค. (จะเริ่มเห็นผลของยาในเวลา 3-4 weeks): ข้อนี้ไม่ใช่คำตอบที่ถูกต้องสำหรับภาวะ Acne เนื่องจากกลไกการออกฤทธิ์, efficacy หรือข้อบ่งใช้ไม่ตรงกับโจทย์ที่กำหนด
• ข้อ จ. (อาจทำให้การคุมกำเนิดด้วย OC ไม่ได้ผล):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18" t="inlineStr"/>
      <c r="L7" s="18" t="inlineStr">
        <is>
          <t>Acne</t>
        </is>
      </c>
      <c r="M7" s="18" t="inlineStr">
        <is>
          <t>Clinic</t>
        </is>
      </c>
      <c r="N7" s="18" t="inlineStr">
        <is>
          <t>ข้อ 5 ชุด 1 (เฉลยข้อ ง)</t>
        </is>
      </c>
      <c r="O7" s="18" t="inlineStr">
        <is>
          <t>Mock</t>
        </is>
      </c>
      <c r="P7" s="18" t="inlineStr">
        <is>
          <t>ชุด 1</t>
        </is>
      </c>
    </row>
    <row r="8">
      <c r="A8" s="15" t="inlineStr">
        <is>
          <t>6</t>
        </is>
      </c>
      <c r="B8" s="18" t="inlineStr">
        <is>
          <t>เภสัชกรจ่ายยาทา isotretinoin ให้กับผู้ป่วย ข้อแนะนำใดที่ให้กับผู้ป่วยไม่ถูกต้อง</t>
        </is>
      </c>
      <c r="C8" s="18" t="inlineStr"/>
      <c r="D8" s="18" t="inlineStr">
        <is>
          <t>ทายาวันละ 1 ครั้ง ตอนเช้าโดยไม่ให้ใช้ร่วมกับครีมกันแดด</t>
        </is>
      </c>
      <c r="E8" s="18" t="inlineStr">
        <is>
          <t>อาจทำให้สิวมากขึ้นในช่วง 3-4 สัปดาห์แรกที่ใช้ยา</t>
        </is>
      </c>
      <c r="F8" s="18" t="inlineStr">
        <is>
          <t>ทายาทั่วหน้า ระวังอย่าให้เข้าตา</t>
        </is>
      </c>
      <c r="G8" s="18" t="inlineStr">
        <is>
          <t>อาจเกิดอาการข้างเคียง คือ หน้าแดง แสบ แห้งและลอก</t>
        </is>
      </c>
      <c r="H8" s="18" t="inlineStr">
        <is>
          <t>ยาจะได้ผลดีเมื่อใช้ประมาณ 3-4 เดือน</t>
        </is>
      </c>
      <c r="I8" s="15" t="inlineStr">
        <is>
          <t>1</t>
        </is>
      </c>
      <c r="J8" s="18"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ข้อนี้ไม่ใช่คำตอบที่ถูกต้องสำหรับภาวะ Acne เนื่องจากกลไกการออกฤทธิ์, efficacy หรือข้อบ่งใช้ไม่ตรงกับโจทย์ที่กำหนด
• ข้อ ค. (ทายาทั่วหน้า ระวังอย่าให้เข้าตา): ข้อนี้ไม่ใช่คำตอบที่ถูกต้องสำหรับภาวะ Acne เนื่องจากกลไกการออกฤทธิ์, efficacy หรือข้อบ่งใช้ไม่ตรงกับโจทย์ที่กำหนด
• ข้อ ง. (อาจเกิดอาการข้างเคียง คือ หน้าแดง แสบ แห้งและลอก): ข้อนี้ไม่ใช่คำตอบที่ถูกต้องสำหรับภาวะ Acne เนื่องจากกลไกการออกฤทธิ์, efficacy หรือข้อบ่งใช้ไม่ตรงกับโจทย์ที่กำหนด
• ข้อ จ. (ยาจะได้ผลดีเมื่อใช้ประมาณ 3-4 เดือน):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18" t="inlineStr"/>
      <c r="L8" s="18" t="inlineStr">
        <is>
          <t>Acne</t>
        </is>
      </c>
      <c r="M8" s="18" t="inlineStr">
        <is>
          <t>Clinic</t>
        </is>
      </c>
      <c r="N8" s="18" t="inlineStr">
        <is>
          <t>ข้อ 6 ชุด 1 (เฉลยข้อ ก)</t>
        </is>
      </c>
      <c r="O8" s="18" t="inlineStr">
        <is>
          <t>Mock</t>
        </is>
      </c>
      <c r="P8" s="18" t="inlineStr">
        <is>
          <t>ชุด 1</t>
        </is>
      </c>
    </row>
    <row r="9">
      <c r="A9" s="15" t="inlineStr">
        <is>
          <t>7</t>
        </is>
      </c>
      <c r="B9" s="18" t="inlineStr">
        <is>
          <t>ยา isotretinoin มีข้อควรระวังที่สำคัญในผู้ป่วยรายนี้คือข้อใด</t>
        </is>
      </c>
      <c r="C9" s="18" t="inlineStr"/>
      <c r="D9" s="18" t="inlineStr">
        <is>
          <t>Cardiac arrhythmia</t>
        </is>
      </c>
      <c r="E9" s="18" t="inlineStr">
        <is>
          <t>Rhabdomyolysis</t>
        </is>
      </c>
      <c r="F9" s="18" t="inlineStr">
        <is>
          <t>Hemorrhagic stroke</t>
        </is>
      </c>
      <c r="G9" s="18" t="inlineStr">
        <is>
          <t>Teratogenic effect</t>
        </is>
      </c>
      <c r="H9" s="18" t="inlineStr">
        <is>
          <t>Subarachnoid hemorrhage</t>
        </is>
      </c>
      <c r="I9" s="15" t="inlineStr">
        <is>
          <t>4</t>
        </is>
      </c>
      <c r="J9" s="18"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ข้อนี้ไม่ใช่คำตอบที่ถูกต้องสำหรับภาวะ Acne เนื่องจากกลไกการออกฤทธิ์, efficacy หรือข้อบ่งใช้ไม่ตรงกับโจทย์ที่กำหนด
• ข้อ ข. (Rhabdomyolysis): ข้อนี้ไม่ใช่คำตอบที่ถูกต้องสำหรับภาวะ Acne เนื่องจากกลไกการออกฤทธิ์, efficacy หรือข้อบ่งใช้ไม่ตรงกับโจทย์ที่กำหนด
• ข้อ ค. (Hemorrhagic stroke): ข้อนี้ไม่ใช่คำตอบที่ถูกต้องสำหรับภาวะ Acne เนื่องจากกลไกการออกฤทธิ์, efficacy หรือข้อบ่งใช้ไม่ตรงกับโจทย์ที่กำหนด
• ข้อ จ. (Subarachnoid hemorrhage):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18" t="inlineStr"/>
      <c r="L9" s="18" t="inlineStr">
        <is>
          <t>Acne</t>
        </is>
      </c>
      <c r="M9" s="18" t="inlineStr">
        <is>
          <t>Clinic</t>
        </is>
      </c>
      <c r="N9" s="18" t="inlineStr">
        <is>
          <t>ข้อ 7 ชุด 1 (เฉลยข้อ ง)</t>
        </is>
      </c>
      <c r="O9" s="18" t="inlineStr">
        <is>
          <t>Mock</t>
        </is>
      </c>
      <c r="P9" s="18" t="inlineStr">
        <is>
          <t>ชุด 1</t>
        </is>
      </c>
    </row>
    <row r="10">
      <c r="A10" s="15" t="inlineStr">
        <is>
          <t>8</t>
        </is>
      </c>
      <c r="B10" s="18" t="inlineStr">
        <is>
          <t>ผู้ป่วยหญิงไทยู่อายุ 28 ปี มาพบเภสัชกรที่ร้านยา เพื่อซื้อยารักษาสิว
ข้อใดสัมพันธ์กับการเกิดสิวน้อยที่สุด</t>
        </is>
      </c>
      <c r="C10" s="18" t="inlineStr"/>
      <c r="D10" s="18" t="inlineStr">
        <is>
          <t>พันธุกรรม</t>
        </is>
      </c>
      <c r="E10" s="18" t="inlineStr">
        <is>
          <t>ยา steroid</t>
        </is>
      </c>
      <c r="F10" s="18" t="inlineStr">
        <is>
          <t>ฮอร์โมนเพศไม่สมดุล</t>
        </is>
      </c>
      <c r="G10" s="18" t="inlineStr">
        <is>
          <t>ภาวะเครียด</t>
        </is>
      </c>
      <c r="H10" s="18" t="inlineStr">
        <is>
          <t>อาหารประเภทโปรตีนสูง</t>
        </is>
      </c>
      <c r="I10" s="15" t="inlineStr">
        <is>
          <t>5</t>
        </is>
      </c>
      <c r="J10" s="18"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ข้อนี้ไม่ใช่คำตอบที่ถูกต้องสำหรับภาวะ Acne เนื่องจากกลไกการออกฤทธิ์, efficacy หรือข้อบ่งใช้ไม่ตรงกับโจทย์ที่กำหนด
• ข้อ ข. (ยา steroid): ข้อนี้ไม่ใช่คำตอบที่ถูกต้องสำหรับภาวะ Acne เนื่องจากกลไกการออกฤทธิ์, efficacy หรือข้อบ่งใช้ไม่ตรงกับโจทย์ที่กำหนด
• ข้อ ค. (ฮอร์โมนเพศไม่สมดุล): ข้อนี้ไม่ใช่คำตอบที่ถูกต้องสำหรับภาวะ Acne เนื่องจากกลไกการออกฤทธิ์, efficacy หรือข้อบ่งใช้ไม่ตรงกับโจทย์ที่กำหนด
• ข้อ ง. (ภาวะเครียด):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18" t="inlineStr"/>
      <c r="L10" s="18" t="inlineStr">
        <is>
          <t>Acne</t>
        </is>
      </c>
      <c r="M10" s="18" t="inlineStr">
        <is>
          <t>Clinic</t>
        </is>
      </c>
      <c r="N10" s="18" t="inlineStr">
        <is>
          <t>ข้อ 8 ชุด 1 (เฉลยข้อ จ)</t>
        </is>
      </c>
      <c r="O10" s="18" t="inlineStr">
        <is>
          <t>Mock</t>
        </is>
      </c>
      <c r="P10" s="18" t="inlineStr">
        <is>
          <t>ชุด 1</t>
        </is>
      </c>
    </row>
    <row r="11">
      <c r="A11" s="15" t="inlineStr">
        <is>
          <t>9</t>
        </is>
      </c>
      <c r="B11" s="18" t="inlineStr">
        <is>
          <t>ข้อใดผิดเกี่ยวกับวิธีการรักษาสิว</t>
        </is>
      </c>
      <c r="C11" s="18" t="inlineStr"/>
      <c r="D11" s="18" t="inlineStr">
        <is>
          <t>การลดการทำงานของต่อมไขมัน</t>
        </is>
      </c>
      <c r="E11" s="18" t="inlineStr">
        <is>
          <t>สิวอักเสบและสิวไม่อักเสบ มีวิธีการรักษาแตกต่างกัน</t>
        </is>
      </c>
      <c r="F11" s="18" t="inlineStr">
        <is>
          <t>การรักษาสิวที่ดีต้องเริ่มต้นด้วย systemic antibiotic เท่านั้น</t>
        </is>
      </c>
      <c r="G11" s="18" t="inlineStr">
        <is>
          <t>มีฮอร์โมนบางชนิดใช้รักษาสิวได้</t>
        </is>
      </c>
      <c r="H11" s="18" t="inlineStr">
        <is>
          <t>การใช้ antibiotic รักษาต้องใช้ติดต่อกันเป็นระยะยาว</t>
        </is>
      </c>
      <c r="I11" s="15" t="inlineStr">
        <is>
          <t>3</t>
        </is>
      </c>
      <c r="J11" s="18"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ข้อนี้ไม่ใช่คำตอบที่ถูกต้องสำหรับภาวะ Acne เนื่องจากกลไกการออกฤทธิ์, efficacy หรือข้อบ่งใช้ไม่ตรงกับโจทย์ที่กำหนด
• ข้อ ข. (สิวอักเสบและสิวไม่อักเสบ มีวิธีการรักษาแตกต่างกัน): ข้อนี้ไม่ใช่คำตอบที่ถูกต้องสำหรับภาวะ Acne เนื่องจากกลไกการออกฤทธิ์, efficacy หรือข้อบ่งใช้ไม่ตรงกับโจทย์ที่กำหนด
• ข้อ ง. (มีฮอร์โมนบางชนิดใช้รักษาสิวได้): ข้อนี้ไม่ใช่คำตอบที่ถูกต้องสำหรับภาวะ Acne เนื่องจากกลไกการออกฤทธิ์, efficacy หรือข้อบ่งใช้ไม่ตรงกับโจทย์ที่กำหนด
• ข้อ จ. (การใช้ antibiotic รักษาต้องใช้ติดต่อกันเป็นระยะยาว):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18" t="inlineStr"/>
      <c r="L11" s="18" t="inlineStr">
        <is>
          <t>Acne</t>
        </is>
      </c>
      <c r="M11" s="18" t="inlineStr">
        <is>
          <t>Clinic</t>
        </is>
      </c>
      <c r="N11" s="18" t="inlineStr">
        <is>
          <t>ข้อ 9 ชุด 1 (เฉลยข้อ ค)</t>
        </is>
      </c>
      <c r="O11" s="18" t="inlineStr">
        <is>
          <t>Mock</t>
        </is>
      </c>
      <c r="P11" s="18" t="inlineStr">
        <is>
          <t>ชุด 1</t>
        </is>
      </c>
    </row>
    <row r="12">
      <c r="A12" s="15" t="inlineStr">
        <is>
          <t>10</t>
        </is>
      </c>
      <c r="B12" s="18" t="inlineStr">
        <is>
          <t>ข้อใดผิดเกี่ยวกับ Isotretinoin ชนิดรับประทาน</t>
        </is>
      </c>
      <c r="C12" s="18" t="inlineStr"/>
      <c r="D12" s="18" t="inlineStr">
        <is>
          <t>เป็นอนุพันธ์ของ vitamin A ที่ดูดซึมได้ในทางเดินอาหาร</t>
        </is>
      </c>
      <c r="E12" s="18" t="inlineStr">
        <is>
          <t>จัดเป็น drug of choice สำหรับการรักษาสิว</t>
        </is>
      </c>
      <c r="F12" s="18" t="inlineStr">
        <is>
          <t>ใช้ได้กับสิวที่ไม่ตอบสนองต่อการรักษาด้วยวิธีอื่น</t>
        </is>
      </c>
      <c r="G12" s="18" t="inlineStr">
        <is>
          <t>ห้ามใช้ในคนไข้ที่ตั้งครรภ์</t>
        </is>
      </c>
      <c r="H12" s="18" t="inlineStr">
        <is>
          <t>ทำให้ระดับ serum triglyceride สูงขึ้น</t>
        </is>
      </c>
      <c r="I12" s="15" t="inlineStr">
        <is>
          <t>2</t>
        </is>
      </c>
      <c r="J12" s="18"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ข้อนี้ไม่ใช่คำตอบที่ถูกต้องสำหรับภาวะ Acne เนื่องจากกลไกการออกฤทธิ์, efficacy หรือข้อบ่งใช้ไม่ตรงกับโจทย์ที่กำหนด
• ข้อ ค. (ใช้ได้กับสิวที่ไม่ตอบสนองต่อการรักษาด้วยวิธีอื่น): ข้อนี้ไม่ใช่คำตอบที่ถูกต้องสำหรับภาวะ Acne เนื่องจากกลไกการออกฤทธิ์, efficacy หรือข้อบ่งใช้ไม่ตรงกับโจทย์ที่กำหนด
• ข้อ ง. (ห้ามใช้ในคนไข้ที่ตั้งครรภ์): ข้อนี้ไม่ใช่คำตอบที่ถูกต้องสำหรับภาวะ Acne เนื่องจากกลไกการออกฤทธิ์, efficacy หรือข้อบ่งใช้ไม่ตรงกับโจทย์ที่กำหนด
• ข้อ จ. (ทำให้ระดับ serum triglyceride สูงขึ้น):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18" t="inlineStr"/>
      <c r="L12" s="18" t="inlineStr">
        <is>
          <t>Acne</t>
        </is>
      </c>
      <c r="M12" s="18" t="inlineStr">
        <is>
          <t>Clinic</t>
        </is>
      </c>
      <c r="N12" s="18" t="inlineStr">
        <is>
          <t>ข้อ 10 ชุด 1 (เฉลยข้อ ข)</t>
        </is>
      </c>
      <c r="O12" s="18" t="inlineStr">
        <is>
          <t>Mock</t>
        </is>
      </c>
      <c r="P12" s="18" t="inlineStr">
        <is>
          <t>ชุด 1</t>
        </is>
      </c>
    </row>
    <row r="13">
      <c r="A13" s="15" t="inlineStr">
        <is>
          <t>11</t>
        </is>
      </c>
      <c r="B13" s="18" t="inlineStr">
        <is>
          <t>ข้อใดผิดเกี่ยวกับการใช้ฮอร์โมนรักษาสิว</t>
        </is>
      </c>
      <c r="C13" s="18" t="inlineStr"/>
      <c r="D13" s="18" t="inlineStr">
        <is>
          <t>ใช้ยาคุมกำเนิดที่มี cyproterone เป็นส่วนประกอบ เช่น Yasmin</t>
        </is>
      </c>
      <c r="E13" s="18" t="inlineStr">
        <is>
          <t>Spironolactone ออกฤทธิ์ต้าน androgen ซึ่งจะทำให้ขนาดของต่อมไขมันและปริมาณของไขมันลดลง</t>
        </is>
      </c>
      <c r="F13" s="18" t="inlineStr">
        <is>
          <t>Spironolactone ไม่ควรใช้ในผู้ชาย เนื่องจากทำให้เกิดอาการ loss of libido และ gynecomastia</t>
        </is>
      </c>
      <c r="G13" s="18" t="inlineStr">
        <is>
          <t>การใช้ฮอร์โมนรักษาสิวควรพิจารณาในผู้หญิงที่มีสิวและมีภาวะอื่นของ hyperandrogen เช่น hirsutism</t>
        </is>
      </c>
      <c r="H13" s="18" t="inlineStr">
        <is>
          <t>ปริมาณของ ethinyl estradiol (EE) ที่ใช้ คือ 0.02-0.35mg</t>
        </is>
      </c>
      <c r="I13" s="15" t="inlineStr">
        <is>
          <t>1</t>
        </is>
      </c>
      <c r="J13" s="18"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เป็น Mineralocorticoid receptor antagonist (MRA) ใช้เป็น 4th-line ใน resistant HTN หรือ GDMT ใน HFrEF ต้อง monitor potassium และเสี่ยงต่อ gynecomastia
• ข้อ ค. (Spironolactone ไม่ควรใช้ในผู้ชาย เนื่องจากทำให้เกิดอาการ loss of libido และ gynecomastia): เป็น Mineralocorticoid receptor antagonist (MRA) ใช้เป็น 4th-line ใน resistant HTN หรือ GDMT ใน HFrEF ต้อง monitor potassium และเสี่ยงต่อ gynecomastia
• ข้อ ง. (การใช้ฮอร์โมนรักษาสิวควรพิจารณาในผู้หญิงที่มีสิวและมีภาวะอื่นของ hyperandrogen เช่น hirsutism): ข้อนี้ไม่ใช่คำตอบที่ถูกต้องสำหรับภาวะ Acne เนื่องจากกลไกการออกฤทธิ์, efficacy หรือข้อบ่งใช้ไม่ตรงกับโจทย์ที่กำหนด
• ข้อ จ. (ปริมาณของ ethinyl estradiol (EE) ที่ใช้ คือ 0.02-0.35mg):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18" t="inlineStr"/>
      <c r="L13" s="18" t="inlineStr">
        <is>
          <t>Acne</t>
        </is>
      </c>
      <c r="M13" s="18" t="inlineStr">
        <is>
          <t>Clinic</t>
        </is>
      </c>
      <c r="N13" s="18" t="inlineStr">
        <is>
          <t>ข้อ 11 ชุด 1 (เฉลยข้อ ก)</t>
        </is>
      </c>
      <c r="O13" s="18" t="inlineStr">
        <is>
          <t>Mock</t>
        </is>
      </c>
      <c r="P13" s="18" t="inlineStr">
        <is>
          <t>ชุด 1</t>
        </is>
      </c>
    </row>
    <row r="14">
      <c r="A14" s="15" t="inlineStr">
        <is>
          <t>12</t>
        </is>
      </c>
      <c r="B14" s="18" t="inlineStr">
        <is>
          <t>ถ้าเภสัชกรพิจารณาให้ยา tetracycline แก่ผู้ป่วยข้อใดคือคำแนะนำที่ไม่ถูกต้อง</t>
        </is>
      </c>
      <c r="C14" s="18" t="inlineStr"/>
      <c r="D14" s="18" t="inlineStr">
        <is>
          <t>ควรหลีกเลี่ยงแสงแดด</t>
        </is>
      </c>
      <c r="E14" s="18" t="inlineStr">
        <is>
          <t>ไม่ควรรับประทานพร้อมนมหรือยาลดกรด</t>
        </is>
      </c>
      <c r="F14" s="18" t="inlineStr">
        <is>
          <t>ถ้าเป็นผู้หญิงที่รับประทานยาคุมกำเนิด ควรแนะนำให้คุมกำเนิดวิธีอื่นร่วมด้วย</t>
        </is>
      </c>
      <c r="G14" s="18" t="inlineStr">
        <is>
          <t>แนะนำให้ใช้ครีมกันแดด</t>
        </is>
      </c>
      <c r="H14" s="18" t="inlineStr">
        <is>
          <t>สามารถใช้ในหญิงมีครรภ์และหญิงให้นมบุตรได้</t>
        </is>
      </c>
      <c r="I14" s="15" t="inlineStr">
        <is>
          <t>5</t>
        </is>
      </c>
      <c r="J14" s="18"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ข้อนี้ไม่ใช่คำตอบที่ถูกต้องสำหรับภาวะ Superficial fungal เนื่องจากกลไกการออกฤทธิ์, efficacy หรือข้อบ่งใช้ไม่ตรงกับโจทย์ที่กำหนด
• ข้อ ข. (ไม่ควรรับประทานพร้อมนมหรือยาลดกรด): ข้อนี้ไม่ใช่คำตอบที่ถูกต้องสำหรับภาวะ Superficial fungal เนื่องจากกลไกการออกฤทธิ์, efficacy หรือข้อบ่งใช้ไม่ตรงกับโจทย์ที่กำหนด
• ข้อ ค. (ถ้าเป็นผู้หญิงที่รับประทานยาคุมกำเนิด ควรแนะนำให้คุมกำเนิดวิธีอื่นร่วมด้วย): ข้อนี้ไม่ใช่คำตอบที่ถูกต้องสำหรับภาวะ Superficial fungal เนื่องจากกลไกการออกฤทธิ์, efficacy หรือข้อบ่งใช้ไม่ตรงกับโจทย์ที่กำหนด
• ข้อ ง. (แนะนำให้ใช้ครีมกันแดด):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8" t="inlineStr"/>
      <c r="L14" s="18" t="inlineStr">
        <is>
          <t>Superficial fungal</t>
        </is>
      </c>
      <c r="M14" s="18" t="inlineStr">
        <is>
          <t>Clinic</t>
        </is>
      </c>
      <c r="N14" s="18" t="inlineStr">
        <is>
          <t>ข้อ 12 ชุด 1 (เฉลยข้อ จ)</t>
        </is>
      </c>
      <c r="O14" s="18" t="inlineStr">
        <is>
          <t>Mock</t>
        </is>
      </c>
      <c r="P14" s="18" t="inlineStr">
        <is>
          <t>ชุด 1</t>
        </is>
      </c>
    </row>
    <row r="15">
      <c r="A15" s="15" t="inlineStr">
        <is>
          <t>13</t>
        </is>
      </c>
      <c r="B15" s="18" t="inlineStr">
        <is>
          <t>ยาครีม isotretinoin 0.05% cream จัดเป็นยาประเภทใดตาม พรบ.ยา</t>
        </is>
      </c>
      <c r="C15" s="18" t="inlineStr"/>
      <c r="D15" s="18" t="inlineStr">
        <is>
          <t>ยาใช้ภายนอกที่ไม่ใช่ยาอันตราย</t>
        </is>
      </c>
      <c r="E15" s="18" t="inlineStr">
        <is>
          <t>ยาใช้ภายนอกและยาอันตราย</t>
        </is>
      </c>
      <c r="F15" s="18" t="inlineStr">
        <is>
          <t>ยาใช้ภายนอกและยาควบคุมพิเศษ</t>
        </is>
      </c>
      <c r="G15" s="18" t="inlineStr">
        <is>
          <t>ยาใช้เฉพาะที่และยาอันตราย</t>
        </is>
      </c>
      <c r="H15" s="18" t="inlineStr">
        <is>
          <t>ยาใช้เฉพาะที่และยาควบคุมพิเศษ</t>
        </is>
      </c>
      <c r="I15" s="15" t="inlineStr">
        <is>
          <t>2</t>
        </is>
      </c>
      <c r="J15" s="18"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18" t="inlineStr"/>
      <c r="L15" s="18" t="inlineStr">
        <is>
          <t>Acne</t>
        </is>
      </c>
      <c r="M15" s="18" t="inlineStr">
        <is>
          <t>Clinic</t>
        </is>
      </c>
      <c r="N15" s="18" t="inlineStr">
        <is>
          <t>ข้อ 13 ชุด 1 (เฉลยข้อ ข)</t>
        </is>
      </c>
      <c r="O15" s="18" t="inlineStr">
        <is>
          <t>Mock</t>
        </is>
      </c>
      <c r="P15" s="18" t="inlineStr">
        <is>
          <t>ชุด 1</t>
        </is>
      </c>
    </row>
    <row r="16">
      <c r="A16" s="15" t="inlineStr">
        <is>
          <t>14</t>
        </is>
      </c>
      <c r="B16" s="1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18" t="inlineStr"/>
      <c r="D16" s="18" t="inlineStr">
        <is>
          <t>Alkaloid</t>
        </is>
      </c>
      <c r="E16" s="18" t="inlineStr">
        <is>
          <t>Flavonoid</t>
        </is>
      </c>
      <c r="F16" s="18" t="inlineStr">
        <is>
          <t>Glycoside</t>
        </is>
      </c>
      <c r="G16" s="18" t="inlineStr">
        <is>
          <t>Retinoid</t>
        </is>
      </c>
      <c r="H16" s="18" t="inlineStr">
        <is>
          <t>Terpenoid</t>
        </is>
      </c>
      <c r="I16" s="15" t="inlineStr">
        <is>
          <t>4</t>
        </is>
      </c>
      <c r="J16" s="18"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ข้อนี้ไม่ใช่คำตอบที่ถูกต้องสำหรับภาวะ Acne เนื่องจากกลไกการออกฤทธิ์, efficacy หรือข้อบ่งใช้ไม่ตรงกับโจทย์ที่กำหนด
• ข้อ ข. (Flavonoid): ข้อนี้ไม่ใช่คำตอบที่ถูกต้องสำหรับภาวะ Acne เนื่องจากกลไกการออกฤทธิ์, efficacy หรือข้อบ่งใช้ไม่ตรงกับโจทย์ที่กำหนด
• ข้อ ค. (Glycoside): ข้อนี้ไม่ใช่คำตอบที่ถูกต้องสำหรับภาวะ Acne เนื่องจากกลไกการออกฤทธิ์, efficacy หรือข้อบ่งใช้ไม่ตรงกับโจทย์ที่กำหนด
• ข้อ จ. (Terpenoid):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18" t="inlineStr"/>
      <c r="L16" s="18" t="inlineStr">
        <is>
          <t>Acne</t>
        </is>
      </c>
      <c r="M16" s="18" t="inlineStr">
        <is>
          <t>Clinic</t>
        </is>
      </c>
      <c r="N16" s="18" t="inlineStr">
        <is>
          <t>ข้อ 14 ชุด 1 (เฉลยข้อ ง)</t>
        </is>
      </c>
      <c r="O16" s="18" t="inlineStr">
        <is>
          <t>Mock</t>
        </is>
      </c>
      <c r="P16" s="18" t="inlineStr">
        <is>
          <t>ชุด 1</t>
        </is>
      </c>
    </row>
    <row r="17">
      <c r="A17" s="15" t="inlineStr">
        <is>
          <t>15</t>
        </is>
      </c>
      <c r="B17" s="1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18" t="inlineStr"/>
      <c r="D17" s="18" t="inlineStr">
        <is>
          <t>Isotretinoin ออกฤทธิ์โดยฆ่าเชื้อ P. acnes ซึ่งเป็นแบคทีเรียที่ไปย่อยสลาย sebum เป็น free fatty acid ซึ่งเป็นตัวกระตุ้นกระบวนการอักเสบ</t>
        </is>
      </c>
      <c r="E17" s="18" t="inlineStr">
        <is>
          <t>Benzoyl peroxide ออกฤทธิ์โดยไปย่อย comedone และเร่งการแบ่งตัวของepithelial cell จึงลดการอุดตันของสิว</t>
        </is>
      </c>
      <c r="F17" s="18" t="inlineStr">
        <is>
          <t>Doxycycline ออกฤทธิ์โดยฆ่าเชื้อ P. acnes แต่ไม่มีฤทธิ์ต้านการทำงานของฮอร์โมนเพศชาย</t>
        </is>
      </c>
      <c r="G17" s="18" t="inlineStr">
        <is>
          <t>Isotretinoin สามารถเสริมฤทธิ์ต้านการอักเสบของ benzoyl peroxide</t>
        </is>
      </c>
      <c r="H17" s="18" t="inlineStr">
        <is>
          <t>Silver sulfadiazine 1% cream</t>
        </is>
      </c>
      <c r="I17" s="15" t="inlineStr">
        <is>
          <t>3</t>
        </is>
      </c>
      <c r="J17" s="18"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ข้อนี้ไม่ใช่คำตอบที่ถูกต้องสำหรับภาวะ Acne เนื่องจากกลไกการออกฤทธิ์, efficacy หรือข้อบ่งใช้ไม่ตรงกับโจทย์ที่กำหนด
• ข้อ ข. (Benzoyl peroxide ออกฤทธิ์โดยไปย่อย comedone และเร่งการแบ่งตัวของepithelial cell จึงลดการอุดตันของสิว): ข้อนี้ไม่ใช่คำตอบที่ถูกต้องสำหรับภาวะ Acne เนื่องจากกลไกการออกฤทธิ์, efficacy หรือข้อบ่งใช้ไม่ตรงกับโจทย์ที่กำหนด
• ข้อ ง. (Isotretinoin สามารถเสริมฤทธิ์ต้านการอักเสบของ benzoyl peroxide): ข้อนี้ไม่ใช่คำตอบที่ถูกต้องสำหรับภาวะ Acne เนื่องจากกลไกการออกฤทธิ์, efficacy หรือข้อบ่งใช้ไม่ตรงกับโจทย์ที่กำหนด
• ข้อ จ. (Silver sulfadiazine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18" t="inlineStr"/>
      <c r="L17" s="18" t="inlineStr">
        <is>
          <t>Acne</t>
        </is>
      </c>
      <c r="M17" s="18" t="inlineStr">
        <is>
          <t>Clinic</t>
        </is>
      </c>
      <c r="N17" s="18" t="inlineStr">
        <is>
          <t>ข้อ 15 ชุด 1 (เฉลยข้อ ค)</t>
        </is>
      </c>
      <c r="O17" s="18" t="inlineStr">
        <is>
          <t>Mock</t>
        </is>
      </c>
      <c r="P17" s="18" t="inlineStr">
        <is>
          <t>ชุด 1</t>
        </is>
      </c>
    </row>
    <row r="18">
      <c r="A18" s="15" t="inlineStr">
        <is>
          <t>16</t>
        </is>
      </c>
      <c r="B18" s="1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18" t="inlineStr"/>
      <c r="D18" s="18" t="inlineStr">
        <is>
          <t>Anti-inflammation</t>
        </is>
      </c>
      <c r="E18" s="18" t="inlineStr">
        <is>
          <t>Antimicrobial</t>
        </is>
      </c>
      <c r="F18" s="18" t="inlineStr">
        <is>
          <t>Antioxidant</t>
        </is>
      </c>
      <c r="G18" s="18" t="inlineStr">
        <is>
          <t>Astringent</t>
        </is>
      </c>
      <c r="H18" s="18" t="inlineStr">
        <is>
          <t>Comedolytic</t>
        </is>
      </c>
      <c r="I18" s="15" t="inlineStr">
        <is>
          <t>5</t>
        </is>
      </c>
      <c r="J18" s="18"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ข้อนี้ไม่ใช่คำตอบที่ถูกต้องสำหรับภาวะ Acne เนื่องจากกลไกการออกฤทธิ์, efficacy หรือข้อบ่งใช้ไม่ตรงกับโจทย์ที่กำหนด
• ข้อ ข. (Antimicrobial): ข้อนี้ไม่ใช่คำตอบที่ถูกต้องสำหรับภาวะ Acne เนื่องจากกลไกการออกฤทธิ์, efficacy หรือข้อบ่งใช้ไม่ตรงกับโจทย์ที่กำหนด
• ข้อ ค. (Antioxidant): ข้อนี้ไม่ใช่คำตอบที่ถูกต้องสำหรับภาวะ Acne เนื่องจากกลไกการออกฤทธิ์, efficacy หรือข้อบ่งใช้ไม่ตรงกับโจทย์ที่กำหนด
• ข้อ ง. (Astringent):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18" t="inlineStr"/>
      <c r="L18" s="18" t="inlineStr">
        <is>
          <t>Acne</t>
        </is>
      </c>
      <c r="M18" s="18" t="inlineStr">
        <is>
          <t>Clinic</t>
        </is>
      </c>
      <c r="N18" s="18" t="inlineStr">
        <is>
          <t>ข้อ 16 ชุด 1 (เฉลยข้อ จ)</t>
        </is>
      </c>
      <c r="O18" s="18" t="inlineStr">
        <is>
          <t>Mock</t>
        </is>
      </c>
      <c r="P18" s="18" t="inlineStr">
        <is>
          <t>ชุด 1</t>
        </is>
      </c>
    </row>
    <row r="19">
      <c r="A19" s="15" t="inlineStr">
        <is>
          <t>17</t>
        </is>
      </c>
      <c r="B19" s="1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18" t="inlineStr"/>
      <c r="D19" s="18" t="inlineStr">
        <is>
          <t>Comedonal acne</t>
        </is>
      </c>
      <c r="E19" s="18" t="inlineStr">
        <is>
          <t>Non-inflammatory acne</t>
        </is>
      </c>
      <c r="F19" s="18" t="inlineStr">
        <is>
          <t>Papular acne</t>
        </is>
      </c>
      <c r="G19" s="18" t="inlineStr">
        <is>
          <t>Pustule acne</t>
        </is>
      </c>
      <c r="H19" s="18" t="inlineStr">
        <is>
          <t>Nodulocystic acne</t>
        </is>
      </c>
      <c r="I19" s="15" t="inlineStr">
        <is>
          <t>5</t>
        </is>
      </c>
      <c r="J19" s="18"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ข้อนี้ไม่ใช่คำตอบที่ถูกต้องสำหรับภาวะ Acne เนื่องจากกลไกการออกฤทธิ์, efficacy หรือข้อบ่งใช้ไม่ตรงกับโจทย์ที่กำหนด
• ข้อ ข. (Non-inflammatory acne): ข้อนี้ไม่ใช่คำตอบที่ถูกต้องสำหรับภาวะ Acne เนื่องจากกลไกการออกฤทธิ์, efficacy หรือข้อบ่งใช้ไม่ตรงกับโจทย์ที่กำหนด
• ข้อ ค. (Papular acne): ข้อนี้ไม่ใช่คำตอบที่ถูกต้องสำหรับภาวะ Acne เนื่องจากกลไกการออกฤทธิ์, efficacy หรือข้อบ่งใช้ไม่ตรงกับโจทย์ที่กำหนด
• ข้อ ง. (Pustule acne):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18" t="inlineStr"/>
      <c r="L19" s="18" t="inlineStr">
        <is>
          <t>Acne</t>
        </is>
      </c>
      <c r="M19" s="18" t="inlineStr">
        <is>
          <t>Clinic</t>
        </is>
      </c>
      <c r="N19" s="18" t="inlineStr">
        <is>
          <t>ข้อ 17 ชุด 1 (เฉลยข้อ จ)</t>
        </is>
      </c>
      <c r="O19" s="18" t="inlineStr">
        <is>
          <t>Mock</t>
        </is>
      </c>
      <c r="P19" s="18" t="inlineStr">
        <is>
          <t>ชุด 1</t>
        </is>
      </c>
    </row>
    <row r="20">
      <c r="A20" s="15" t="inlineStr">
        <is>
          <t>18</t>
        </is>
      </c>
      <c r="B20" s="1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18" t="inlineStr"/>
      <c r="D20" s="18" t="inlineStr">
        <is>
          <t>ขนาดยารวมในผู้ป่วยปกติคือ 120-150 มก./กก.</t>
        </is>
      </c>
      <c r="E20" s="18" t="inlineStr">
        <is>
          <t>ผู้หญิงที่รับประทานยานี้ต้องคุมกำเนิดโดยวิธีอื่น ๆ ยกเว้นการรับประทานยาคุมกำเนิด</t>
        </is>
      </c>
      <c r="F20" s="18" t="inlineStr">
        <is>
          <t>ผู้ป่วยควรหลีกเลี่ยงการถูกแสงแดด เนื่องจากอาจเกิดภาวะผิวหนังไวต่อแสง</t>
        </is>
      </c>
      <c r="G20" s="18" t="inlineStr">
        <is>
          <t>อาการข้างเคียงที่พบได้บ่อยได้แก่ หน้าแห้ง ริมฝีปากลอก</t>
        </is>
      </c>
      <c r="H20" s="18" t="inlineStr">
        <is>
          <t>อาจมีระดับไตรглиเซอไรด์ในเลือดสูง</t>
        </is>
      </c>
      <c r="I20" s="15" t="inlineStr">
        <is>
          <t>2</t>
        </is>
      </c>
      <c r="J20" s="18"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ข้อนี้ไม่ใช่คำตอบที่ถูกต้องสำหรับภาวะ Acne เนื่องจากกลไกการออกฤทธิ์, efficacy หรือข้อบ่งใช้ไม่ตรงกับโจทย์ที่กำหนด
• ข้อ ค. (ผู้ป่วยควรหลีกเลี่ยงการถูกแสงแดด เนื่องจากอาจเกิดภาวะผิวหนังไวต่อแสง): ข้อนี้ไม่ใช่คำตอบที่ถูกต้องสำหรับภาวะ Acne เนื่องจากกลไกการออกฤทธิ์, efficacy หรือข้อบ่งใช้ไม่ตรงกับโจทย์ที่กำหนด
• ข้อ ง. (อาการข้างเคียงที่พบได้บ่อยได้แก่ หน้าแห้ง ริมฝีปากลอก): ข้อนี้ไม่ใช่คำตอบที่ถูกต้องสำหรับภาวะ Acne เนื่องจากกลไกการออกฤทธิ์, efficacy หรือข้อบ่งใช้ไม่ตรงกับโจทย์ที่กำหนด
• ข้อ จ. (อาจมีระดับไตรглиเซอไรด์ในเลือดสูง):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18" t="inlineStr"/>
      <c r="L20" s="18" t="inlineStr">
        <is>
          <t>Acne</t>
        </is>
      </c>
      <c r="M20" s="18" t="inlineStr">
        <is>
          <t>Clinic</t>
        </is>
      </c>
      <c r="N20" s="18" t="inlineStr">
        <is>
          <t>ข้อ 18 ชุด 1 (เฉลยข้อ ข)</t>
        </is>
      </c>
      <c r="O20" s="18" t="inlineStr">
        <is>
          <t>Mock</t>
        </is>
      </c>
      <c r="P20" s="18" t="inlineStr">
        <is>
          <t>ชุด 1</t>
        </is>
      </c>
    </row>
    <row r="21">
      <c r="A21" s="15" t="inlineStr">
        <is>
          <t>19</t>
        </is>
      </c>
      <c r="B21" s="1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18" t="inlineStr"/>
      <c r="D21" s="18" t="inlineStr">
        <is>
          <t>Chloramphenicol gel</t>
        </is>
      </c>
      <c r="E21" s="18" t="inlineStr">
        <is>
          <t>Erythromycin cream</t>
        </is>
      </c>
      <c r="F21" s="18" t="inlineStr">
        <is>
          <t>Benzoyl peroxide cream</t>
        </is>
      </c>
      <c r="G21" s="18" t="inlineStr">
        <is>
          <t>Benzoyl peroxide hydrophase gel</t>
        </is>
      </c>
      <c r="H21" s="18" t="inlineStr">
        <is>
          <t>Isotretinoin cream</t>
        </is>
      </c>
      <c r="I21" s="15" t="inlineStr">
        <is>
          <t>2</t>
        </is>
      </c>
      <c r="J21" s="18"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ข้อนี้ไม่ใช่คำตอบที่ถูกต้องสำหรับภาวะ Acne เนื่องจากกลไกการออกฤทธิ์, efficacy หรือข้อบ่งใช้ไม่ตรงกับโจทย์ที่กำหนด
• ข้อ ค. (Benzoyl peroxide cream): ข้อนี้ไม่ใช่คำตอบที่ถูกต้องสำหรับภาวะ Acne เนื่องจากกลไกการออกฤทธิ์, efficacy หรือข้อบ่งใช้ไม่ตรงกับโจทย์ที่กำหนด
• ข้อ ง. (Benzoyl peroxide hydrophase gel): ข้อนี้ไม่ใช่คำตอบที่ถูกต้องสำหรับภาวะ Acne เนื่องจากกลไกการออกฤทธิ์, efficacy หรือข้อบ่งใช้ไม่ตรงกับโจทย์ที่กำหนด
• ข้อ จ. (Isotretinoin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18" t="inlineStr"/>
      <c r="L21" s="18" t="inlineStr">
        <is>
          <t>Acne</t>
        </is>
      </c>
      <c r="M21" s="18" t="inlineStr">
        <is>
          <t>Clinic</t>
        </is>
      </c>
      <c r="N21" s="18" t="inlineStr">
        <is>
          <t>ข้อ 19 ชุด 1 (เฉลยข้อ ข)</t>
        </is>
      </c>
      <c r="O21" s="18" t="inlineStr">
        <is>
          <t>Mock</t>
        </is>
      </c>
      <c r="P21" s="18" t="inlineStr">
        <is>
          <t>ชุด 1</t>
        </is>
      </c>
    </row>
    <row r="22">
      <c r="A22" s="15" t="inlineStr">
        <is>
          <t>20</t>
        </is>
      </c>
      <c r="B22" s="18"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18" t="inlineStr"/>
      <c r="D22" s="18" t="inlineStr">
        <is>
          <t>สิวเป็นความผิดปกติของผิวหนังที่พบการอักเสบของรูขุมขน และต่อมเหงื่อ</t>
        </is>
      </c>
      <c r="E22" s="18" t="inlineStr">
        <is>
          <t>ภาวะที่ร่างกายมีฮอร์โมน estrogen สูงขึ้นจะทำให้การหลั่ง chemotactic factors สำหรับ PMN เพิ่มขึ้น</t>
        </is>
      </c>
      <c r="F22" s="18" t="inlineStr">
        <is>
          <t>P. acnes จะย่อยสลาย sebum ให้เป็น glycerol และ free fatty acid ซึ่ง glycerol จะระคายเคืองและทำให้เกิดการอักเสบของผิวหนัง</t>
        </is>
      </c>
      <c r="G22" s="18" t="inlineStr">
        <is>
          <t>ส่วนประกอบสำคัญในยาคุมกำเนิดที่กระตุ้นทำให้เกิดสิวคือ ฮอร์โมน progesterone</t>
        </is>
      </c>
      <c r="H22" s="18" t="inlineStr">
        <is>
          <t>กรณีที่ follicular canal มีการขยายตัว จะเป็นสิวชนิด open comedone ซึ่งมักมีการอักเสbร่วมด้วย</t>
        </is>
      </c>
      <c r="I22" s="15" t="inlineStr">
        <is>
          <t>1</t>
        </is>
      </c>
      <c r="J22" s="18"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ข้อนี้ไม่ใช่คำตอบที่ถูกต้องสำหรับภาวะ Acne เนื่องจากกลไกการออกฤทธิ์, efficacy หรือข้อบ่งใช้ไม่ตรงกับโจทย์ที่กำหนด
• ข้อ ค. (P. acnes จะย่อยสลาย sebum ให้เป็น glycerol และ free fatty acid ซึ่ง glycerol จะระคายเคืองและทำให้เกิดการอักเสบของผิวหนัง): ข้อนี้ไม่ใช่คำตอบที่ถูกต้องสำหรับภาวะ Acne เนื่องจากกลไกการออกฤทธิ์, efficacy หรือข้อบ่งใช้ไม่ตรงกับโจทย์ที่กำหนด
• ข้อ ง. (ส่วนประกอบสำคัญในยาคุมกำเนิดที่กระตุ้นทำให้เกิดสิวคือ ฮอร์โมน progesterone): ข้อนี้ไม่ใช่คำตอบที่ถูกต้องสำหรับภาวะ Acne เนื่องจากกลไกการออกฤทธิ์, efficacy หรือข้อบ่งใช้ไม่ตรงกับโจทย์ที่กำหนด
• ข้อ จ. (กรณีที่ follicular canal มีการขยายตัว จะเป็นสิวชนิด open comedone ซึ่งมักมีการอักเสbร่วมด้วย):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18" t="inlineStr"/>
      <c r="L22" s="18" t="inlineStr">
        <is>
          <t>Acne</t>
        </is>
      </c>
      <c r="M22" s="18" t="inlineStr">
        <is>
          <t>Clinic</t>
        </is>
      </c>
      <c r="N22" s="18" t="inlineStr">
        <is>
          <t>ข้อ 20 ชุด 1 (เฉลยข้อ ก)</t>
        </is>
      </c>
      <c r="O22" s="18" t="inlineStr">
        <is>
          <t>Mock</t>
        </is>
      </c>
      <c r="P22" s="18" t="inlineStr">
        <is>
          <t>ชุด 1</t>
        </is>
      </c>
    </row>
    <row r="23">
      <c r="A23" s="15" t="inlineStr">
        <is>
          <t>21</t>
        </is>
      </c>
      <c r="B23" s="18"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18" t="inlineStr"/>
      <c r="D23" s="18" t="inlineStr">
        <is>
          <t>การรับประทานยาฆ่าเชื้อ</t>
        </is>
      </c>
      <c r="E23" s="18" t="inlineStr">
        <is>
          <t>การอดนอน</t>
        </is>
      </c>
      <c r="F23" s="18" t="inlineStr">
        <is>
          <t>การดื่มน้ำอัดลม</t>
        </is>
      </c>
      <c r="G23" s="18" t="inlineStr">
        <is>
          <t>มีฮอร์โมน androgen</t>
        </is>
      </c>
      <c r="H23" s="18" t="inlineStr">
        <is>
          <t>การที่ประจำเดือนมาไม่สม่ำเสมอ</t>
        </is>
      </c>
      <c r="I23" s="15" t="inlineStr">
        <is>
          <t>4</t>
        </is>
      </c>
      <c r="J23" s="18"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ข้อนี้ไม่ใช่คำตอบที่ถูกต้องสำหรับภาวะ Acne เนื่องจากกลไกการออกฤทธิ์, efficacy หรือข้อบ่งใช้ไม่ตรงกับโจทย์ที่กำหนด
• ข้อ ข. (การอดนอน): ข้อนี้ไม่ใช่คำตอบที่ถูกต้องสำหรับภาวะ Acne เนื่องจากกลไกการออกฤทธิ์, efficacy หรือข้อบ่งใช้ไม่ตรงกับโจทย์ที่กำหนด
• ข้อ ค. (การดื่มน้ำอัดลม): ข้อนี้ไม่ใช่คำตอบที่ถูกต้องสำหรับภาวะ Acne เนื่องจากกลไกการออกฤทธิ์, efficacy หรือข้อบ่งใช้ไม่ตรงกับโจทย์ที่กำหนด
• ข้อ จ. (การที่ประจำเดือนมาไม่สม่ำเสมอ):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18" t="inlineStr"/>
      <c r="L23" s="18" t="inlineStr">
        <is>
          <t>Acne</t>
        </is>
      </c>
      <c r="M23" s="18" t="inlineStr">
        <is>
          <t>Clinic</t>
        </is>
      </c>
      <c r="N23" s="18" t="inlineStr">
        <is>
          <t>ข้อ 21 ชุด 1 (เฉลยข้อ ง)</t>
        </is>
      </c>
      <c r="O23" s="18" t="inlineStr">
        <is>
          <t>Mock</t>
        </is>
      </c>
      <c r="P23" s="18" t="inlineStr">
        <is>
          <t>ชุด 1</t>
        </is>
      </c>
    </row>
    <row r="24">
      <c r="A24" s="15" t="inlineStr">
        <is>
          <t>22</t>
        </is>
      </c>
      <c r="B24" s="18" t="inlineStr">
        <is>
          <t>ข้อใดถูกต้องเกี่ยวกับการรักษาสิว</t>
        </is>
      </c>
      <c r="C24" s="18" t="inlineStr"/>
      <c r="D24" s="18" t="inlineStr">
        <is>
          <t>เป้าหมายของการรักษาคือเพื่อรักษาสิวและป้องกันการเกิดสิวขึ้นเพิ่ม</t>
        </is>
      </c>
      <c r="E24" s="18" t="inlineStr">
        <is>
          <t>หลักการรักษาคือ การกำจัดความมันบนใบหน้าให้หมดไปโดยสิ้นเชิง</t>
        </is>
      </c>
      <c r="F24" s="18" t="inlineStr">
        <is>
          <t>ผู้ป่วยทุกรายที่เป็นสิวควรได้รับยาต้านจุลชีพชนิดรับประทาน</t>
        </is>
      </c>
      <c r="G24" s="18" t="inlineStr">
        <is>
          <t>การใช้ยาเฉพาะที่ต้องให้เพียงชนิดใดชนิดหนึ่งเพียงอย่างเดียว</t>
        </is>
      </c>
      <c r="H24" s="18" t="inlineStr">
        <is>
          <t>ผู้ป่วยหญิงที่เป็นสิวทุกรายควรได้รับยาที่มีฤทธิ์ต้านฮอร์โมนโครโดเจน</t>
        </is>
      </c>
      <c r="I24" s="15" t="inlineStr">
        <is>
          <t>1</t>
        </is>
      </c>
      <c r="J24" s="18"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ข้อนี้ไม่ใช่คำตอบที่ถูกต้องสำหรับภาวะ Acne เนื่องจากกลไกการออกฤทธิ์, efficacy หรือข้อบ่งใช้ไม่ตรงกับโจทย์ที่กำหนด
• ข้อ ค. (ผู้ป่วยทุกรายที่เป็นสิวควรได้รับยาต้านจุลชีพชนิดรับประทาน): ข้อนี้ไม่ใช่คำตอบที่ถูกต้องสำหรับภาวะ Acne เนื่องจากกลไกการออกฤทธิ์, efficacy หรือข้อบ่งใช้ไม่ตรงกับโจทย์ที่กำหนด
• ข้อ ง. (การใช้ยาเฉพาะที่ต้องให้เพียงชนิดใดชนิดหนึ่งเพียงอย่างเดียว): ข้อนี้ไม่ใช่คำตอบที่ถูกต้องสำหรับภาวะ Acne เนื่องจากกลไกการออกฤทธิ์, efficacy หรือข้อบ่งใช้ไม่ตรงกับโจทย์ที่กำหนด
• ข้อ จ. (ผู้ป่วยหญิงที่เป็นสิวทุกรายควรได้รับยาที่มีฤทธิ์ต้านฮอร์โมนโครโดเจน):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18" t="inlineStr"/>
      <c r="L24" s="18" t="inlineStr">
        <is>
          <t>Acne</t>
        </is>
      </c>
      <c r="M24" s="18" t="inlineStr">
        <is>
          <t>Clinic</t>
        </is>
      </c>
      <c r="N24" s="18" t="inlineStr">
        <is>
          <t>ข้อ 22 ชุด 1 (เฉลยข้อ ก)</t>
        </is>
      </c>
      <c r="O24" s="18" t="inlineStr">
        <is>
          <t>Mock</t>
        </is>
      </c>
      <c r="P24" s="18" t="inlineStr">
        <is>
          <t>ชุด 1</t>
        </is>
      </c>
    </row>
    <row r="25">
      <c r="A25" s="15" t="inlineStr">
        <is>
          <t>23</t>
        </is>
      </c>
      <c r="B25" s="18" t="inlineStr">
        <is>
          <t>ผู้ป่วยรายนี้ควรได้รับยาใดในการรักษาสิว จึงจะเหมาะสมที่สุด</t>
        </is>
      </c>
      <c r="C25" s="18" t="inlineStr"/>
      <c r="D25" s="18" t="inlineStr">
        <is>
          <t>รับประทานยา antibacterial ร่วมกับทายา isotretinoin</t>
        </is>
      </c>
      <c r="E25" s="18" t="inlineStr">
        <is>
          <t>รับประทานยา antibacterial ร่วมกับทายา benzoyl peroxide</t>
        </is>
      </c>
      <c r="F25" s="18" t="inlineStr">
        <is>
          <t>รับประทานยา tretinoin ร่วมกับทายา antibacterial</t>
        </is>
      </c>
      <c r="G25" s="18" t="inlineStr">
        <is>
          <t>ทายา isotretinoin ร่วมกับทายา antibacterial</t>
        </is>
      </c>
      <c r="H25" s="18" t="inlineStr">
        <is>
          <t>ทายา isotretinoin ร่วมกับทายา benzoyl peroxide</t>
        </is>
      </c>
      <c r="I25" s="15" t="inlineStr">
        <is>
          <t>1</t>
        </is>
      </c>
      <c r="J25" s="18"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ข้อนี้ไม่ใช่คำตอบที่ถูกต้องสำหรับภาวะ Acne เนื่องจากกลไกการออกฤทธิ์, efficacy หรือข้อบ่งใช้ไม่ตรงกับโจทย์ที่กำหนด
• ข้อ ค. (รับประทานยา tretinoin ร่วมกับทายา antibacterial): ข้อนี้ไม่ใช่คำตอบที่ถูกต้องสำหรับภาวะ Acne เนื่องจากกลไกการออกฤทธิ์, efficacy หรือข้อบ่งใช้ไม่ตรงกับโจทย์ที่กำหนด
• ข้อ ง. (ทายา isotretinoin ร่วมกับทายา antibacterial): ข้อนี้ไม่ใช่คำตอบที่ถูกต้องสำหรับภาวะ Acne เนื่องจากกลไกการออกฤทธิ์, efficacy หรือข้อบ่งใช้ไม่ตรงกับโจทย์ที่กำหนด
• ข้อ จ. (ทายา isotretinoin ร่วมกับทายา benzoyl peroxide):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18" t="inlineStr"/>
      <c r="L25" s="18" t="inlineStr">
        <is>
          <t>Acne</t>
        </is>
      </c>
      <c r="M25" s="18" t="inlineStr">
        <is>
          <t>Clinic</t>
        </is>
      </c>
      <c r="N25" s="18" t="inlineStr">
        <is>
          <t>ข้อ 23 ชุด 1 (เฉลยข้อ ก ข)</t>
        </is>
      </c>
      <c r="O25" s="18" t="inlineStr">
        <is>
          <t>Mock</t>
        </is>
      </c>
      <c r="P25" s="18" t="inlineStr">
        <is>
          <t>ชุด 1</t>
        </is>
      </c>
    </row>
    <row r="26">
      <c r="A26" s="15" t="inlineStr">
        <is>
          <t>24</t>
        </is>
      </c>
      <c r="B26" s="18" t="inlineStr">
        <is>
          <t>ข้อใดไม่ถูกต้องเกี่ยวกับรักษาสิว</t>
        </is>
      </c>
      <c r="C26" s="18" t="inlineStr"/>
      <c r="D26" s="18" t="inlineStr">
        <is>
          <t>Benzoyl peroxide เป็นยาที่มี antibacterial effect เป็นหลัก ฤทธิ์รองลงมาเป็น comedolytic และ exfoliative effect</t>
        </is>
      </c>
      <c r="E26" s="18" t="inlineStr">
        <is>
          <t>Isotretinoin และ tretinoin เป็นอนุพันธ์ของ retinoid ที่มี comedolytic effect, antiinflammation และ exfoliate effect เป็นหลัก โดยไม่มี antibacterial effect</t>
        </is>
      </c>
      <c r="F26" s="18" t="inlineStr">
        <is>
          <t>Systemic antibacterial ที่ได้ผลดีในการรักษาสิวอักเสบคือ tetracycline, erythromycin และ clindamycin</t>
        </is>
      </c>
      <c r="G26" s="18" t="inlineStr">
        <is>
          <t>การใช้ benzoyl peroxide ร่วมกับ tretinoin จะช่วยเสริมฤทธิ์กัน แต่การใช้ร่วมกับ topical antibacterial จะเกิดการต้านฤทธิ์กัน</t>
        </is>
      </c>
      <c r="H26" s="18" t="inlineStr">
        <is>
          <t>Cyproterone acetate เป็น progesterone ที่มี anti-androgenic effect เนื่องจากไปแย่งจับตัวรับของ dihydrotestosterone</t>
        </is>
      </c>
      <c r="I26" s="15" t="inlineStr">
        <is>
          <t>4</t>
        </is>
      </c>
      <c r="J26" s="18"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ข้อนี้ไม่ใช่คำตอบที่ถูกต้องสำหรับภาวะ Acne เนื่องจากกลไกการออกฤทธิ์, efficacy หรือข้อบ่งใช้ไม่ตรงกับโจทย์ที่กำหนด
• ข้อ ข. (Isotretinoin และ tretinoin เป็นอนุพันธ์ของ retinoid ที่มี comedolytic effect, antiinflammation และ exfoliate effect เป็นหลัก โดยไม่มี antibacterial effect): ข้อนี้ไม่ใช่คำตอบที่ถูกต้องสำหรับภาวะ Acne เนื่องจากกลไกการออกฤทธิ์, efficacy หรือข้อบ่งใช้ไม่ตรงกับโจทย์ที่กำหนด
• ข้อ ค. (Systemic antibacterial ที่ได้ผลดีในการรักษาสิวอักเสบคือ tetracycline, erythromycin และ clindamycin): ข้อนี้ไม่ใช่คำตอบที่ถูกต้องสำหรับภาวะ Acne เนื่องจากกลไกการออกฤทธิ์, efficacy หรือข้อบ่งใช้ไม่ตรงกับโจทย์ที่กำหนด
• ข้อ จ. (Cyproterone acetate เป็น progesterone ที่มี anti-androgenic effect เนื่องจากไปแย่งจับตัวรับของ dihydrotestosterone):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18" t="inlineStr"/>
      <c r="L26" s="18" t="inlineStr">
        <is>
          <t>Acne</t>
        </is>
      </c>
      <c r="M26" s="18" t="inlineStr">
        <is>
          <t>Clinic</t>
        </is>
      </c>
      <c r="N26" s="18" t="inlineStr">
        <is>
          <t>ข้อ 24 ชุด 1 (เฉลยข้อ ง)</t>
        </is>
      </c>
      <c r="O26" s="18" t="inlineStr">
        <is>
          <t>Mock</t>
        </is>
      </c>
      <c r="P26" s="18" t="inlineStr">
        <is>
          <t>ชุด 1</t>
        </is>
      </c>
    </row>
    <row r="27">
      <c r="A27" s="15" t="inlineStr">
        <is>
          <t>25</t>
        </is>
      </c>
      <c r="B27" s="18" t="inlineStr">
        <is>
          <t>คำแนะนำในการรักษาสิวที่ไม่เหมาะสมคือ</t>
        </is>
      </c>
      <c r="C27" s="18" t="inlineStr"/>
      <c r="D27" s="18" t="inlineStr">
        <is>
          <t>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t>
        </is>
      </c>
      <c r="E27" s="18" t="inlineStr">
        <is>
          <t>ควรทา antibacterial agent หลังล้างหน้าเพื่อให้สามารถดูดซึมเข้าสู่ผิวหนังได้ดี</t>
        </is>
      </c>
      <c r="F27" s="18" t="inlineStr">
        <is>
          <t>ควรทา tretinoin ในขณะผิวแห้ง โดยกรณีที่ผู้ป่วยมีผิวมัน ควรเลือกใช้ผลิตภัณฑ์ที่เป็นครีม</t>
        </is>
      </c>
      <c r="G27" s="18" t="inlineStr">
        <is>
          <t>ไม่ควรให้สตรีมีครรภ์รับประทานยา isotretinoin เนื่องจากอาจมีผลเสียต่อทารกในครรภ์</t>
        </is>
      </c>
      <c r="H27" s="18" t="inlineStr">
        <is>
          <t>ผู้ป่วยที่ทายา adapalene ควรหลีกเลี่ยงแสงแดด และไม่ควรใช้ยานี้ในสตรีมีครรภ์หรือให้นมบุตร</t>
        </is>
      </c>
      <c r="I27" s="15" t="inlineStr">
        <is>
          <t>2</t>
        </is>
      </c>
      <c r="J27" s="18"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ข้อนี้ไม่ใช่คำตอบที่ถูกต้องสำหรับภาวะ Acne เนื่องจากกลไกการออกฤทธิ์, efficacy หรือข้อบ่งใช้ไม่ตรงกับโจทย์ที่กำหนด
• ข้อ ค. (ควรทา tretinoin ในขณะผิวแห้ง โดยกรณีที่ผู้ป่วยมีผิวมัน ควรเลือกใช้ผลิตภัณฑ์ที่เป็นครีม): ข้อนี้ไม่ใช่คำตอบที่ถูกต้องสำหรับภาวะ Acne เนื่องจากกลไกการออกฤทธิ์, efficacy หรือข้อบ่งใช้ไม่ตรงกับโจทย์ที่กำหนด
• ข้อ ง. (ไม่ควรให้สตรีมีครรภ์รับประทานยา isotretinoin เนื่องจากอาจมีผลเสียต่อทารกในครรภ์): ข้อนี้ไม่ใช่คำตอบที่ถูกต้องสำหรับภาวะ Acne เนื่องจากกลไกการออกฤทธิ์, efficacy หรือข้อบ่งใช้ไม่ตรงกับโจทย์ที่กำหนด
• ข้อ จ. (ผู้ป่วยที่ทายา adapalene ควรหลีกเลี่ยงแสงแดด และไม่ควรใช้ยานี้ในสตรีมีครรภ์หรือให้นมบุตร):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18" t="inlineStr"/>
      <c r="L27" s="18" t="inlineStr">
        <is>
          <t>Acne</t>
        </is>
      </c>
      <c r="M27" s="18" t="inlineStr">
        <is>
          <t>Clinic</t>
        </is>
      </c>
      <c r="N27" s="18" t="inlineStr">
        <is>
          <t>ข้อ 25 ชุด 1 (เฉลยข้อ ข)</t>
        </is>
      </c>
      <c r="O27" s="18" t="inlineStr">
        <is>
          <t>Mock</t>
        </is>
      </c>
      <c r="P27" s="18" t="inlineStr">
        <is>
          <t>ชุด 1</t>
        </is>
      </c>
    </row>
    <row r="28">
      <c r="A28" s="15" t="inlineStr">
        <is>
          <t>26</t>
        </is>
      </c>
      <c r="B28" s="18"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18" t="inlineStr"/>
      <c r="D28" s="18" t="inlineStr">
        <is>
          <t>บัวบก</t>
        </is>
      </c>
      <c r="E28" s="18" t="inlineStr">
        <is>
          <t>ขมิ้นชัน</t>
        </is>
      </c>
      <c r="F28" s="18" t="inlineStr">
        <is>
          <t>ว่านหางจระเข้</t>
        </is>
      </c>
      <c r="G28" s="18" t="inlineStr">
        <is>
          <t>หม่อน</t>
        </is>
      </c>
      <c r="H28" s="18" t="inlineStr">
        <is>
          <t>แตงกวา</t>
        </is>
      </c>
      <c r="I28" s="15" t="inlineStr">
        <is>
          <t>1</t>
        </is>
      </c>
      <c r="J28" s="18"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ข้อนี้ไม่ใช่คำตอบที่ถูกต้องสำหรับภาวะ Acne เนื่องจากกลไกการออกฤทธิ์, efficacy หรือข้อบ่งใช้ไม่ตรงกับโจทย์ที่กำหนด
• ข้อ ค. (ว่านหางจระเข้): ข้อนี้ไม่ใช่คำตอบที่ถูกต้องสำหรับภาวะ Acne เนื่องจากกลไกการออกฤทธิ์, efficacy หรือข้อบ่งใช้ไม่ตรงกับโจทย์ที่กำหนด
• ข้อ ง. (หม่อน): ข้อนี้ไม่ใช่คำตอบที่ถูกต้องสำหรับภาวะ Acne เนื่องจากกลไกการออกฤทธิ์, efficacy หรือข้อบ่งใช้ไม่ตรงกับโจทย์ที่กำหนด
• ข้อ จ. (แตงกวา):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8" t="inlineStr"/>
      <c r="L28" s="18" t="inlineStr">
        <is>
          <t>Acne</t>
        </is>
      </c>
      <c r="M28" s="18" t="inlineStr">
        <is>
          <t>Clinic</t>
        </is>
      </c>
      <c r="N28" s="18" t="inlineStr">
        <is>
          <t>ข้อ 26 ชุด 1 (เฉลยข้อ ก)</t>
        </is>
      </c>
      <c r="O28" s="18" t="inlineStr">
        <is>
          <t>Mock</t>
        </is>
      </c>
      <c r="P28" s="18" t="inlineStr">
        <is>
          <t>ชุด 1</t>
        </is>
      </c>
    </row>
    <row r="29">
      <c r="A29" s="15" t="inlineStr">
        <is>
          <t>27</t>
        </is>
      </c>
      <c r="B29" s="18" t="inlineStr">
        <is>
          <t>อาหารประเภทใดที่ต้องแนะนำให้ผู้ป่วยรายนี้งดหรือบริโภคให้น้อยลง</t>
        </is>
      </c>
      <c r="C29" s="18" t="inlineStr"/>
      <c r="D29" s="18" t="inlineStr">
        <is>
          <t>อาหารที่มีไขมันและคาร์โบไฮเดรตสูง</t>
        </is>
      </c>
      <c r="E29" s="18" t="inlineStr">
        <is>
          <t>อาหารที่มีโปรตีนและไฟเบอร์สูง</t>
        </is>
      </c>
      <c r="F29" s="18" t="inlineStr">
        <is>
          <t>อาหารที่มีวิตามิน และ แร่ธาตุสูง</t>
        </is>
      </c>
      <c r="G29" s="18" t="inlineStr">
        <is>
          <t>อาหารที่มีเกลือและวิตามินสูง</t>
        </is>
      </c>
      <c r="H29" s="18" t="inlineStr">
        <is>
          <t>อาหารที่มีรสเผ็ดและรสเปรี้ยว</t>
        </is>
      </c>
      <c r="I29" s="15" t="inlineStr">
        <is>
          <t>1</t>
        </is>
      </c>
      <c r="J29" s="18"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ข้อนี้ไม่ใช่คำตอบที่ถูกต้องสำหรับภาวะ Acne เนื่องจากกลไกการออกฤทธิ์, efficacy หรือข้อบ่งใช้ไม่ตรงกับโจทย์ที่กำหนด
• ข้อ ค. (อาหารที่มีวิตามิน และ แร่ธาตุสูง): ข้อนี้ไม่ใช่คำตอบที่ถูกต้องสำหรับภาวะ Acne เนื่องจากกลไกการออกฤทธิ์, efficacy หรือข้อบ่งใช้ไม่ตรงกับโจทย์ที่กำหนด
• ข้อ ง. (อาหารที่มีเกลือและวิตามินสูง): ข้อนี้ไม่ใช่คำตอบที่ถูกต้องสำหรับภาวะ Acne เนื่องจากกลไกการออกฤทธิ์, efficacy หรือข้อบ่งใช้ไม่ตรงกับโจทย์ที่กำหนด
• ข้อ จ. (อาหารที่มีรสเผ็ดและรสเปรี้ยว):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18" t="inlineStr"/>
      <c r="L29" s="18" t="inlineStr">
        <is>
          <t>Acne</t>
        </is>
      </c>
      <c r="M29" s="18" t="inlineStr">
        <is>
          <t>Clinic</t>
        </is>
      </c>
      <c r="N29" s="18" t="inlineStr">
        <is>
          <t>ข้อ 27 ชุด 1 (เฉลยข้อ ก)</t>
        </is>
      </c>
      <c r="O29" s="18" t="inlineStr">
        <is>
          <t>Mock</t>
        </is>
      </c>
      <c r="P29" s="18" t="inlineStr">
        <is>
          <t>ชุด 1</t>
        </is>
      </c>
    </row>
    <row r="30">
      <c r="A30" s="15" t="inlineStr">
        <is>
          <t>28</t>
        </is>
      </c>
      <c r="B30" s="18"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8" t="inlineStr"/>
      <c r="D30" s="18" t="inlineStr">
        <is>
          <t>Norethindrone acetate 3 mg &amp; ethinylestradiol 0.05 mg</t>
        </is>
      </c>
      <c r="E30" s="18" t="inlineStr">
        <is>
          <t>Desogestrel 0.15 mg &amp; ethinylestradiol 0.03 mg</t>
        </is>
      </c>
      <c r="F30" s="18" t="inlineStr">
        <is>
          <t>Ethynodiol diacetate 1 mg &amp; ethinylestradiol 0.045 mg</t>
        </is>
      </c>
      <c r="G30" s="18" t="inlineStr">
        <is>
          <t>Cyproterone acetate 2 mg &amp; ethinylestradiol 0.035 mg</t>
        </is>
      </c>
      <c r="H30" s="18" t="inlineStr">
        <is>
          <t>Levonorgestrel 0.15 mg &amp; ethinylestradiol 0.025 mg</t>
        </is>
      </c>
      <c r="I30" s="15" t="inlineStr">
        <is>
          <t>4</t>
        </is>
      </c>
      <c r="J30" s="18"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ข้อนี้ไม่ใช่คำตอบที่ถูกต้องสำหรับภาวะ Acne เนื่องจากกลไกการออกฤทธิ์, efficacy หรือข้อบ่งใช้ไม่ตรงกับโจทย์ที่กำหนด
• ข้อ ข. (Desogestrel 0.15 mg &amp; ethinylestradiol 0.03 mg): ข้อนี้ไม่ใช่คำตอบที่ถูกต้องสำหรับภาวะ Acne เนื่องจากกลไกการออกฤทธิ์, efficacy หรือข้อบ่งใช้ไม่ตรงกับโจทย์ที่กำหนด
• ข้อ ค. (Ethynodiol diacetate 1 mg &amp; ethinylestradiol 0.045 mg): ข้อนี้ไม่ใช่คำตอบที่ถูกต้องสำหรับภาวะ Acne เนื่องจากกลไกการออกฤทธิ์, efficacy หรือข้อบ่งใช้ไม่ตรงกับโจทย์ที่กำหนด
• ข้อ จ. (Levonorgestrel 0.15 mg &amp; ethinylestradiol 0.025 mg):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18" t="inlineStr"/>
      <c r="L30" s="18" t="inlineStr">
        <is>
          <t>Acne</t>
        </is>
      </c>
      <c r="M30" s="18" t="inlineStr">
        <is>
          <t>Clinic</t>
        </is>
      </c>
      <c r="N30" s="18" t="inlineStr">
        <is>
          <t>ข้อ 28 ชุด 1 (เฉลยข้อ ง)</t>
        </is>
      </c>
      <c r="O30" s="18" t="inlineStr">
        <is>
          <t>Mock</t>
        </is>
      </c>
      <c r="P30" s="18" t="inlineStr">
        <is>
          <t>ชุด 1</t>
        </is>
      </c>
    </row>
    <row r="31">
      <c r="A31" s="15" t="inlineStr">
        <is>
          <t>29</t>
        </is>
      </c>
      <c r="B31" s="18"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18" t="inlineStr"/>
      <c r="D31" s="18" t="inlineStr">
        <is>
          <t>Aloe vera gel</t>
        </is>
      </c>
      <c r="E31" s="18" t="inlineStr">
        <is>
          <t>Capsaicin gel</t>
        </is>
      </c>
      <c r="F31" s="18" t="inlineStr">
        <is>
          <t>Mupirocin ointment</t>
        </is>
      </c>
      <c r="G31" s="18" t="inlineStr">
        <is>
          <t>Gentamicin cream</t>
        </is>
      </c>
      <c r="H31" s="18" t="inlineStr">
        <is>
          <t>Silver sulfasalazine</t>
        </is>
      </c>
      <c r="I31" s="15" t="inlineStr">
        <is>
          <t>5</t>
        </is>
      </c>
      <c r="J31" s="18"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ข้อนี้ไม่ใช่คำตอบที่ถูกต้องสำหรับภาวะ Wound เนื่องจากกลไกการออกฤทธิ์, efficacy หรือข้อบ่งใช้ไม่ตรงกับโจทย์ที่กำหนด
• ข้อ ข. (Capsaicin gel): ข้อนี้ไม่ใช่คำตอบที่ถูกต้องสำหรับภาวะ Wound เนื่องจากกลไกการออกฤทธิ์, efficacy หรือข้อบ่งใช้ไม่ตรงกับโจทย์ที่กำหนด
• ข้อ ค. (Mupirocin ointment): ข้อนี้ไม่ใช่คำตอบที่ถูกต้องสำหรับภาวะ Wound เนื่องจากกลไกการออกฤทธิ์, efficacy หรือข้อบ่งใช้ไม่ตรงกับโจทย์ที่กำหนด
• ข้อ ง. (Gentamicin cream): เป็น Aminoglycoside มี concentration-dependent bactericidal effect ต่อ gram-negative มี nephrotoxicity และ ototoxicity ต้อง monitoring renal function และ serum level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18" t="inlineStr"/>
      <c r="L31" s="18" t="inlineStr">
        <is>
          <t>Wound</t>
        </is>
      </c>
      <c r="M31" s="18" t="inlineStr">
        <is>
          <t>Clinic</t>
        </is>
      </c>
      <c r="N31" s="18" t="inlineStr">
        <is>
          <t>ข้อ 29 ชุด 1 (เฉลยข้อ จ)</t>
        </is>
      </c>
      <c r="O31" s="18" t="inlineStr">
        <is>
          <t>Mock</t>
        </is>
      </c>
      <c r="P31" s="18" t="inlineStr">
        <is>
          <t>ชุด 1</t>
        </is>
      </c>
    </row>
    <row r="32">
      <c r="A32" s="15" t="inlineStr">
        <is>
          <t>30</t>
        </is>
      </c>
      <c r="B32" s="18" t="inlineStr">
        <is>
          <t>Mupirocin ointment มีข้อดีกว่า gentamicin cream อย่างไร</t>
        </is>
      </c>
      <c r="C32" s="18" t="inlineStr"/>
      <c r="D32" s="18" t="inlineStr">
        <is>
          <t>มีคุณสมบัติครอบคลุมเชื้อกลุ่ม anaerobic</t>
        </is>
      </c>
      <c r="E32" s="18" t="inlineStr">
        <is>
          <t>มีคุณสมบัติครอบคลุมเชื้อ MRSA</t>
        </is>
      </c>
      <c r="F32" s="18" t="inlineStr">
        <is>
          <t>มีคุณสมบัติครอบคลุมเชื้อ Pseudomonas aeruginosa</t>
        </is>
      </c>
      <c r="G32" s="18" t="inlineStr">
        <is>
          <t>ระคายเคืองน้อยกว่าและหายเร็วกว่า</t>
        </is>
      </c>
      <c r="H32" s="18" t="inlineStr">
        <is>
          <t>ดูดซึมเข้าผิวหนังได้ดี ใช้ในการติดเชื้อที่บริเวณผิวหนัง</t>
        </is>
      </c>
      <c r="I32" s="15" t="inlineStr">
        <is>
          <t>2</t>
        </is>
      </c>
      <c r="J32" s="18"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ข้อนี้ไม่ใช่คำตอบที่ถูกต้องสำหรับภาวะ Superficial fungal เนื่องจากกลไกการออกฤทธิ์, efficacy หรือข้อบ่งใช้ไม่ตรงกับโจทย์ที่กำหนด
• ข้อ ค. (มีคุณสมบัติครอบคลุมเชื้อ Pseudomonas aeruginosa): ข้อนี้ไม่ใช่คำตอบที่ถูกต้องสำหรับภาวะ Superficial fungal เนื่องจากกลไกการออกฤทธิ์, efficacy หรือข้อบ่งใช้ไม่ตรงกับโจทย์ที่กำหนด
• ข้อ ง. (ระคายเคืองน้อยกว่าและหายเร็วกว่า): ข้อนี้ไม่ใช่คำตอบที่ถูกต้องสำหรับภาวะ Superficial fungal เนื่องจากกลไกการออกฤทธิ์, efficacy หรือข้อบ่งใช้ไม่ตรงกับโจทย์ที่กำหนด
• ข้อ จ. (ดูดซึมเข้าผิวหนังได้ดี ใช้ในการติดเชื้อที่บริเวณผิวหนัง):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8" t="inlineStr"/>
      <c r="L32" s="18" t="inlineStr">
        <is>
          <t>Superficial fungal</t>
        </is>
      </c>
      <c r="M32" s="18" t="inlineStr">
        <is>
          <t>Clinic</t>
        </is>
      </c>
      <c r="N32" s="18" t="inlineStr">
        <is>
          <t>ข้อ 30 ชุด 1 (เฉลยข้อ ข)</t>
        </is>
      </c>
      <c r="O32" s="18" t="inlineStr">
        <is>
          <t>Mock</t>
        </is>
      </c>
      <c r="P32" s="18" t="inlineStr">
        <is>
          <t>ชุด 1</t>
        </is>
      </c>
    </row>
    <row r="33">
      <c r="A33" s="15" t="inlineStr">
        <is>
          <t>31</t>
        </is>
      </c>
      <c r="B33" s="18" t="inlineStr">
        <is>
          <t>สมุนไพรใดนำมาใช้รักษาแผลเป็น</t>
        </is>
      </c>
      <c r="C33" s="18" t="inlineStr"/>
      <c r="D33" s="18" t="inlineStr">
        <is>
          <t>หอมหัวใหญ่</t>
        </is>
      </c>
      <c r="E33" s="18" t="inlineStr">
        <is>
          <t>กระเทียม</t>
        </is>
      </c>
      <c r="F33" s="18" t="inlineStr">
        <is>
          <t>พริกไทย</t>
        </is>
      </c>
      <c r="G33" s="18" t="inlineStr">
        <is>
          <t>มะกรูด</t>
        </is>
      </c>
      <c r="H33" s="18" t="inlineStr">
        <is>
          <t>ข่า</t>
        </is>
      </c>
      <c r="I33" s="15" t="inlineStr">
        <is>
          <t>1</t>
        </is>
      </c>
      <c r="J33" s="18"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ข้อนี้ไม่ใช่คำตอบที่ถูกต้องสำหรับภาวะ Wound เนื่องจากกลไกการออกฤทธิ์, efficacy หรือข้อบ่งใช้ไม่ตรงกับโจทย์ที่กำหนด
• ข้อ ค. (พริกไทย): ข้อนี้ไม่ใช่คำตอบที่ถูกต้องสำหรับภาวะ Wound เนื่องจากกลไกการออกฤทธิ์, efficacy หรือข้อบ่งใช้ไม่ตรงกับโจทย์ที่กำหนด
• ข้อ ง. (มะกรูด): ข้อนี้ไม่ใช่คำตอบที่ถูกต้องสำหรับภาวะ Wound เนื่องจากกลไกการออกฤทธิ์, efficacy หรือข้อบ่งใช้ไม่ตรงกับโจทย์ที่กำหนด
• ข้อ จ. (ข่า):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8" t="inlineStr"/>
      <c r="L33" s="18" t="inlineStr">
        <is>
          <t>Wound</t>
        </is>
      </c>
      <c r="M33" s="18" t="inlineStr">
        <is>
          <t>Clinic</t>
        </is>
      </c>
      <c r="N33" s="18" t="inlineStr">
        <is>
          <t>ข้อ 31 ชุด 1 (เฉลยข้อ ก)</t>
        </is>
      </c>
      <c r="O33" s="18" t="inlineStr">
        <is>
          <t>Mock</t>
        </is>
      </c>
      <c r="P33" s="18" t="inlineStr">
        <is>
          <t>ชุด 1</t>
        </is>
      </c>
    </row>
    <row r="34">
      <c r="A34" s="15" t="inlineStr">
        <is>
          <t>32</t>
        </is>
      </c>
      <c r="B34" s="18" t="inlineStr">
        <is>
          <t>สมุนไพรใดที่นำมาใช้เพื่อสมานแผล</t>
        </is>
      </c>
      <c r="C34" s="18" t="inlineStr"/>
      <c r="D34" s="18" t="inlineStr">
        <is>
          <t>ขมิ้น</t>
        </is>
      </c>
      <c r="E34" s="18" t="inlineStr">
        <is>
          <t>บัวบก</t>
        </is>
      </c>
      <c r="F34" s="18" t="inlineStr">
        <is>
          <t>พญายอ</t>
        </is>
      </c>
      <c r="G34" s="18" t="inlineStr">
        <is>
          <t>ทองพันชั่ง</t>
        </is>
      </c>
      <c r="H34" s="18" t="inlineStr">
        <is>
          <t>สะระแหน่</t>
        </is>
      </c>
      <c r="I34" s="15" t="inlineStr">
        <is>
          <t>2</t>
        </is>
      </c>
      <c r="J34" s="18"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ข้อนี้ไม่ใช่คำตอบที่ถูกต้องสำหรับภาวะ Wound เนื่องจากกลไกการออกฤทธิ์, efficacy หรือข้อบ่งใช้ไม่ตรงกับโจทย์ที่กำหนด
• ข้อ ค. (พญายอ): ข้อนี้ไม่ใช่คำตอบที่ถูกต้องสำหรับภาวะ Wound เนื่องจากกลไกการออกฤทธิ์, efficacy หรือข้อบ่งใช้ไม่ตรงกับโจทย์ที่กำหนด
• ข้อ ง. (ทองพันชั่ง): ข้อนี้ไม่ใช่คำตอบที่ถูกต้องสำหรับภาวะ Wound เนื่องจากกลไกการออกฤทธิ์, efficacy หรือข้อบ่งใช้ไม่ตรงกับโจทย์ที่กำหนด
• ข้อ จ. (สะระแหน่):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8" t="inlineStr"/>
      <c r="L34" s="18" t="inlineStr">
        <is>
          <t>Wound</t>
        </is>
      </c>
      <c r="M34" s="18" t="inlineStr">
        <is>
          <t>Clinic</t>
        </is>
      </c>
      <c r="N34" s="18" t="inlineStr">
        <is>
          <t>ข้อ 32 ชุด 1 (เฉลยข้อ ข)</t>
        </is>
      </c>
      <c r="O34" s="18" t="inlineStr">
        <is>
          <t>Mock</t>
        </is>
      </c>
      <c r="P34" s="18" t="inlineStr">
        <is>
          <t>ชุด 1</t>
        </is>
      </c>
    </row>
    <row r="35">
      <c r="A35" s="15" t="inlineStr">
        <is>
          <t>33</t>
        </is>
      </c>
      <c r="B35" s="18" t="inlineStr">
        <is>
          <t>อีก 1 สัปดาห์ต่อมา ผู้ป่วยมีภาวะแทรกซ้อน คือ cellulitis ได้เข้ารับการรักษาที่โรงพยาบาล ผู้ป่วยควรได้รับยาใด</t>
        </is>
      </c>
      <c r="C35" s="18" t="inlineStr"/>
      <c r="D35" s="18" t="inlineStr">
        <is>
          <t>Amoxicillin รับประทาน</t>
        </is>
      </c>
      <c r="E35" s="18" t="inlineStr">
        <is>
          <t>Cefdinir รับประทาน</t>
        </is>
      </c>
      <c r="F35" s="18" t="inlineStr">
        <is>
          <t>Ceftriaxone ฉีด</t>
        </is>
      </c>
      <c r="G35" s="18" t="inlineStr">
        <is>
          <t>Cloxacillin-รับประทาน</t>
        </is>
      </c>
      <c r="H35" s="18" t="inlineStr">
        <is>
          <t>Penicillin G ฉีด</t>
        </is>
      </c>
      <c r="I35" s="15" t="inlineStr">
        <is>
          <t>4</t>
        </is>
      </c>
      <c r="J35" s="18"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เป็น Aminopenicillin ยับยั้ง bacterial cell wall synthesis เป็น first-line สำหรับ uncomplicated bacterial infections (เช่น Strep pharyngitis, AOM, sinusitis)
• ข้อ ข. (Cefdinir รับประทาน): ข้อนี้ไม่ใช่คำตอบที่ถูกต้องสำหรับภาวะ Superficial fungal เนื่องจากกลไกการออกฤทธิ์, efficacy หรือข้อบ่งใช้ไม่ตรงกับโจทย์ที่กำหนด
• ข้อ ค. (Ceftriaxone ฉีด): เป็น 3rd generation cephalosporin มี broad spectrum ต่อ gram-negative bacteria และผ่าน BBB ได้ดี ขับออกทาง biliary tract จึงไม่ต้องปรับ dose ใน renal impairment
• ข้อ จ. (Penicillin G ฉีด):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8" t="inlineStr"/>
      <c r="L35" s="18" t="inlineStr">
        <is>
          <t>Superficial fungal</t>
        </is>
      </c>
      <c r="M35" s="18" t="inlineStr">
        <is>
          <t>Clinic</t>
        </is>
      </c>
      <c r="N35" s="18" t="inlineStr">
        <is>
          <t>ข้อ 33 ชุด 1 (เฉลยข้อ ง)</t>
        </is>
      </c>
      <c r="O35" s="18" t="inlineStr">
        <is>
          <t>Mock</t>
        </is>
      </c>
      <c r="P35" s="18" t="inlineStr">
        <is>
          <t>ชุด 1</t>
        </is>
      </c>
    </row>
    <row r="36">
      <c r="A36" s="15" t="inlineStr">
        <is>
          <t>34</t>
        </is>
      </c>
      <c r="B36" s="18" t="inlineStr">
        <is>
          <t>ถ้าผู้ป่วย cellulitis แพ้ penicillin ควรให้ยาอะไรแทน</t>
        </is>
      </c>
      <c r="C36" s="18" t="inlineStr"/>
      <c r="D36" s="18" t="inlineStr">
        <is>
          <t>Clindamycin</t>
        </is>
      </c>
      <c r="E36" s="18" t="inlineStr">
        <is>
          <t>Cotrimoxazole</t>
        </is>
      </c>
      <c r="F36" s="18" t="inlineStr">
        <is>
          <t>Ciprofloxacin</t>
        </is>
      </c>
      <c r="G36" s="18" t="inlineStr">
        <is>
          <t>Doxycycline</t>
        </is>
      </c>
      <c r="H36" s="18" t="inlineStr">
        <is>
          <t>Erythromycin</t>
        </is>
      </c>
      <c r="I36" s="15" t="inlineStr">
        <is>
          <t>1</t>
        </is>
      </c>
      <c r="J36" s="18"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(Ciprofloxacin): เป็น Fluoroquinolone เด่นต่อ Gram-negative รวมทั้ง Pseudomonas aeruginosa แต่มี black box warning เรื่อง tendon rupture, QT prolongation, aortic aneurysm และ dysglycemia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(Erythromycin):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8" t="inlineStr"/>
      <c r="L36" s="18" t="inlineStr">
        <is>
          <t>Superficial fungal</t>
        </is>
      </c>
      <c r="M36" s="18" t="inlineStr">
        <is>
          <t>Clinic</t>
        </is>
      </c>
      <c r="N36" s="18" t="inlineStr">
        <is>
          <t>ข้อ 34 ชุด 1 (เฉลยข้อ ก ข ง)</t>
        </is>
      </c>
      <c r="O36" s="18" t="inlineStr">
        <is>
          <t>Mock</t>
        </is>
      </c>
      <c r="P36" s="18" t="inlineStr">
        <is>
          <t>ชุด 1</t>
        </is>
      </c>
    </row>
    <row r="37">
      <c r="A37" s="15" t="inlineStr">
        <is>
          <t>35</t>
        </is>
      </c>
      <c r="B37" s="18"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18" t="inlineStr"/>
      <c r="D37" s="18" t="inlineStr">
        <is>
          <t>Tinea capitis</t>
        </is>
      </c>
      <c r="E37" s="18" t="inlineStr">
        <is>
          <t>Tinea corporis</t>
        </is>
      </c>
      <c r="F37" s="18" t="inlineStr">
        <is>
          <t>Tinea curis</t>
        </is>
      </c>
      <c r="G37" s="18" t="inlineStr">
        <is>
          <t>Tinea versicolor</t>
        </is>
      </c>
      <c r="H37" s="18" t="inlineStr">
        <is>
          <t>Tinea pedis</t>
        </is>
      </c>
      <c r="I37" s="15" t="inlineStr">
        <is>
          <t>1</t>
        </is>
      </c>
      <c r="J37" s="18"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ข้อนี้ไม่ใช่คำตอบที่ถูกต้องสำหรับภาวะ Eczema &amp; Dermatitis เนื่องจากกลไกการออกฤทธิ์, efficacy หรือข้อบ่งใช้ไม่ตรงกับโจทย์ที่กำหนด
• ข้อ ค. (Tinea curis): ข้อนี้ไม่ใช่คำตอบที่ถูกต้องสำหรับภาวะ Eczema &amp; Dermatitis เนื่องจากกลไกการออกฤทธิ์, efficacy หรือข้อบ่งใช้ไม่ตรงกับโจทย์ที่กำหนด
• ข้อ ง. (Tinea versicolor): ข้อนี้ไม่ใช่คำตอบที่ถูกต้องสำหรับภาวะ Eczema &amp; Dermatitis เนื่องจากกลไกการออกฤทธิ์, efficacy หรือข้อบ่งใช้ไม่ตรงกับโจทย์ที่กำหนด
• ข้อ จ. (Tinea pedis):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18" t="inlineStr"/>
      <c r="L37" s="18" t="inlineStr">
        <is>
          <t>Eczema &amp; Dermatitis</t>
        </is>
      </c>
      <c r="M37" s="18" t="inlineStr">
        <is>
          <t>Clinic</t>
        </is>
      </c>
      <c r="N37" s="18" t="inlineStr">
        <is>
          <t>ข้อ 35 ชุด 1 (เฉลยข้อ ก)</t>
        </is>
      </c>
      <c r="O37" s="18" t="inlineStr">
        <is>
          <t>Mock</t>
        </is>
      </c>
      <c r="P37" s="18" t="inlineStr">
        <is>
          <t>ชุด 1</t>
        </is>
      </c>
    </row>
    <row r="38">
      <c r="A38" s="15" t="inlineStr">
        <is>
          <t>36</t>
        </is>
      </c>
      <c r="B38" s="18"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18" t="inlineStr"/>
      <c r="D38" s="18" t="inlineStr">
        <is>
          <t>14 วัน</t>
        </is>
      </c>
      <c r="E38" s="18" t="inlineStr">
        <is>
          <t>2 เดือน</t>
        </is>
      </c>
      <c r="F38" s="18" t="inlineStr">
        <is>
          <t>3 เดือน</t>
        </is>
      </c>
      <c r="G38" s="18" t="inlineStr">
        <is>
          <t>4 เดือน</t>
        </is>
      </c>
      <c r="H38" s="18" t="inlineStr">
        <is>
          <t>5 เดือน</t>
        </is>
      </c>
      <c r="I38" s="15" t="inlineStr">
        <is>
          <t>2</t>
        </is>
      </c>
      <c r="J38" s="18"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ข้อนี้ไม่ใช่คำตอบที่ถูกต้องสำหรับภาวะ Eczema &amp; Dermatitis เนื่องจากกลไกการออกฤทธิ์, efficacy หรือข้อบ่งใช้ไม่ตรงกับโจทย์ที่กำหนด
• ข้อ ค. (3 เดือน): ข้อนี้ไม่ใช่คำตอบที่ถูกต้องสำหรับภาวะ Eczema &amp; Dermatitis เนื่องจากกลไกการออกฤทธิ์, efficacy หรือข้อบ่งใช้ไม่ตรงกับโจทย์ที่กำหนด
• ข้อ ง. (4 เดือน): ข้อนี้ไม่ใช่คำตอบที่ถูกต้องสำหรับภาวะ Eczema &amp; Dermatitis เนื่องจากกลไกการออกฤทธิ์, efficacy หรือข้อบ่งใช้ไม่ตรงกับโจทย์ที่กำหนด
• ข้อ จ. (5 เดือน):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18" t="inlineStr"/>
      <c r="L38" s="18" t="inlineStr">
        <is>
          <t>Eczema &amp; Dermatitis</t>
        </is>
      </c>
      <c r="M38" s="18" t="inlineStr">
        <is>
          <t>Clinic</t>
        </is>
      </c>
      <c r="N38" s="18" t="inlineStr">
        <is>
          <t>ข้อ 36 ชุด 1 (เฉลยข้อ ข)</t>
        </is>
      </c>
      <c r="O38" s="18" t="inlineStr">
        <is>
          <t>Mock</t>
        </is>
      </c>
      <c r="P38" s="18" t="inlineStr">
        <is>
          <t>ชุด 1</t>
        </is>
      </c>
    </row>
    <row r="39">
      <c r="A39" s="15" t="inlineStr">
        <is>
          <t>37</t>
        </is>
      </c>
      <c r="B39" s="18" t="inlineStr">
        <is>
          <t>ข้อใดคือ กลไกการออกฤทธิ์ของยา griseofulvin</t>
        </is>
      </c>
      <c r="C39" s="18" t="inlineStr"/>
      <c r="D39" s="18" t="inlineStr">
        <is>
          <t>ยับยั้งและรบกวนการสังเคราะห์ ergosterol</t>
        </is>
      </c>
      <c r="E39" s="18" t="inlineStr">
        <is>
          <t>ยับยั้งการสร้าง mycolic acid ใน cell wall</t>
        </is>
      </c>
      <c r="F39" s="18" t="inlineStr">
        <is>
          <t>ยับยั้งการสร้าง microtubule ของ dermatophytes</t>
        </is>
      </c>
      <c r="G39" s="18" t="inlineStr">
        <is>
          <t>จับกับ phospholipids ยับยั้งการสร้าง cell wall</t>
        </is>
      </c>
      <c r="H39" s="18" t="inlineStr">
        <is>
          <t>จับกับ sterol ยับยั้งการสร้างผนังเซลล์</t>
        </is>
      </c>
      <c r="I39" s="15" t="inlineStr">
        <is>
          <t>3</t>
        </is>
      </c>
      <c r="J39" s="18"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ข้อนี้ไม่ใช่คำตอบที่ถูกต้องสำหรับภาวะ Superficial fungal เนื่องจากกลไกการออกฤทธิ์, efficacy หรือข้อบ่งใช้ไม่ตรงกับโจทย์ที่กำหนด
• ข้อ ข. (ยับยั้งการสร้าง mycolic acid ใน cell wall): ข้อนี้ไม่ใช่คำตอบที่ถูกต้องสำหรับภาวะ Superficial fungal เนื่องจากกลไกการออกฤทธิ์, efficacy หรือข้อบ่งใช้ไม่ตรงกับโจทย์ที่กำหนด
• ข้อ ง. (จับกับ phospholipids ยับยั้งการสร้าง cell wall): ข้อนี้ไม่ใช่คำตอบที่ถูกต้องสำหรับภาวะ Superficial fungal เนื่องจากกลไกการออกฤทธิ์, efficacy หรือข้อบ่งใช้ไม่ตรงกับโจทย์ที่กำหนด
• ข้อ จ. (จับกับ sterol ยับยั้งการสร้างผนังเซลล์):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8" t="inlineStr"/>
      <c r="L39" s="18" t="inlineStr">
        <is>
          <t>Superficial fungal</t>
        </is>
      </c>
      <c r="M39" s="18" t="inlineStr">
        <is>
          <t>Clinic</t>
        </is>
      </c>
      <c r="N39" s="18" t="inlineStr">
        <is>
          <t>ข้อ 37 ชุด 1 (เฉลยข้อ ค)</t>
        </is>
      </c>
      <c r="O39" s="18" t="inlineStr">
        <is>
          <t>Mock</t>
        </is>
      </c>
      <c r="P39" s="18" t="inlineStr">
        <is>
          <t>ชุด 1</t>
        </is>
      </c>
    </row>
    <row r="40">
      <c r="A40" s="15" t="inlineStr">
        <is>
          <t>38</t>
        </is>
      </c>
      <c r="B40" s="1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18" t="inlineStr"/>
      <c r="D40" s="18" t="inlineStr">
        <is>
          <t>มีเฉพาะยาฉีดเท่านั้น</t>
        </is>
      </c>
      <c r="E40" s="18" t="inlineStr">
        <is>
          <t>มีเฉพาะยาใช้ภายนอก</t>
        </is>
      </c>
      <c r="F40" s="18" t="inlineStr">
        <is>
          <t>มีอาการข้างเคียงน้อย</t>
        </is>
      </c>
      <c r="G40" s="18" t="inlineStr">
        <is>
          <t>ถูกเมตาบอไลต์ช้า อยู่ในร่างกายได้นาน</t>
        </is>
      </c>
      <c r="H40" s="18" t="inlineStr">
        <is>
          <t>มีปฏิกิริยาระหว่างยาลดลง</t>
        </is>
      </c>
      <c r="I40" s="15" t="inlineStr">
        <is>
          <t>4</t>
        </is>
      </c>
      <c r="J40" s="18"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ข้อนี้ไม่ใช่คำตอบที่ถูกต้องสำหรับภาวะ Superficial fungal เนื่องจากกลไกการออกฤทธิ์, efficacy หรือข้อบ่งใช้ไม่ตรงกับโจทย์ที่กำหนด
• ข้อ ข. (มีเฉพาะยาใช้ภายนอก): ข้อนี้ไม่ใช่คำตอบที่ถูกต้องสำหรับภาวะ Superficial fungal เนื่องจากกลไกการออกฤทธิ์, efficacy หรือข้อบ่งใช้ไม่ตรงกับโจทย์ที่กำหนด
• ข้อ ค. (มีอาการข้างเคียงน้อย): ข้อนี้ไม่ใช่คำตอบที่ถูกต้องสำหรับภาวะ Superficial fungal เนื่องจากกลไกการออกฤทธิ์, efficacy หรือข้อบ่งใช้ไม่ตรงกับโจทย์ที่กำหนด
• ข้อ จ. (มีปฏิกิริยาระหว่างยาลดลง):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8" t="inlineStr"/>
      <c r="L40" s="18" t="inlineStr">
        <is>
          <t>Superficial fungal</t>
        </is>
      </c>
      <c r="M40" s="18" t="inlineStr">
        <is>
          <t>Clinic</t>
        </is>
      </c>
      <c r="N40" s="18" t="inlineStr">
        <is>
          <t>ข้อ 38 ชุด 1 (เฉลยข้อ ง)</t>
        </is>
      </c>
      <c r="O40" s="18" t="inlineStr">
        <is>
          <t>Mock</t>
        </is>
      </c>
      <c r="P40" s="18" t="inlineStr">
        <is>
          <t>ชุด 1</t>
        </is>
      </c>
    </row>
    <row r="41">
      <c r="A41" s="15" t="inlineStr">
        <is>
          <t>39</t>
        </is>
      </c>
      <c r="B41" s="18"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8" t="inlineStr"/>
      <c r="D41" s="18" t="inlineStr">
        <is>
          <t>Trichophyton spp.</t>
        </is>
      </c>
      <c r="E41" s="18" t="inlineStr">
        <is>
          <t>Cryptococcus spp.</t>
        </is>
      </c>
      <c r="F41" s="18" t="inlineStr">
        <is>
          <t>Malassezia furfur</t>
        </is>
      </c>
      <c r="G41" s="18" t="inlineStr">
        <is>
          <t>Pneumocystis carinii</t>
        </is>
      </c>
      <c r="H41" s="18" t="inlineStr">
        <is>
          <t>Staphylococcus aureus</t>
        </is>
      </c>
      <c r="I41" s="15" t="inlineStr">
        <is>
          <t>1</t>
        </is>
      </c>
      <c r="J41" s="18"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ข้อนี้ไม่ใช่คำตอบที่ถูกต้องสำหรับภาวะ Superficial fungal เนื่องจากกลไกการออกฤทธิ์, efficacy หรือข้อบ่งใช้ไม่ตรงกับโจทย์ที่กำหนด
• ข้อ ค. (Malassezia furfur): ข้อนี้ไม่ใช่คำตอบที่ถูกต้องสำหรับภาวะ Superficial fungal เนื่องจากกลไกการออกฤทธิ์, efficacy หรือข้อบ่งใช้ไม่ตรงกับโจทย์ที่กำหนด
• ข้อ ง. (Pneumocystis carinii): ข้อนี้ไม่ใช่คำตอบที่ถูกต้องสำหรับภาวะ Superficial fungal เนื่องจากกลไกการออกฤทธิ์, efficacy หรือข้อบ่งใช้ไม่ตรงกับโจทย์ที่กำหนด
• ข้อ จ. (Staphylococcus aureus):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8" t="inlineStr"/>
      <c r="L41" s="18" t="inlineStr">
        <is>
          <t>Superficial fungal</t>
        </is>
      </c>
      <c r="M41" s="18" t="inlineStr">
        <is>
          <t>Clinic</t>
        </is>
      </c>
      <c r="N41" s="18" t="inlineStr">
        <is>
          <t>ข้อ 39 ชุด 1 (เฉลยข้อ ก)</t>
        </is>
      </c>
      <c r="O41" s="18" t="inlineStr">
        <is>
          <t>Mock</t>
        </is>
      </c>
      <c r="P41" s="18" t="inlineStr">
        <is>
          <t>ชุด 1</t>
        </is>
      </c>
    </row>
    <row r="42">
      <c r="A42" s="15" t="inlineStr">
        <is>
          <t>40</t>
        </is>
      </c>
      <c r="B42" s="18"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18" t="inlineStr"/>
      <c r="D42" s="18" t="inlineStr">
        <is>
          <t>Whitefield's ointment</t>
        </is>
      </c>
      <c r="E42" s="18" t="inlineStr">
        <is>
          <t>Clotrimazole cream</t>
        </is>
      </c>
      <c r="F42" s="18" t="inlineStr">
        <is>
          <t>Ciclopirox olamine</t>
        </is>
      </c>
      <c r="G42" s="18" t="inlineStr">
        <is>
          <t>Selenium sulfide</t>
        </is>
      </c>
      <c r="H42" s="18" t="inlineStr">
        <is>
          <t>Sulfur dioxide</t>
        </is>
      </c>
      <c r="I42" s="15" t="inlineStr">
        <is>
          <t>3</t>
        </is>
      </c>
      <c r="J42" s="18"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ข้อนี้ไม่ใช่คำตอบที่ถูกต้องสำหรับภาวะ Superficial fungal เนื่องจากกลไกการออกฤทธิ์, efficacy หรือข้อบ่งใช้ไม่ตรงกับโจทย์ที่กำหนด
• ข้อ ข. (Clotrimazole cream): ข้อนี้ไม่ใช่คำตอบที่ถูกต้องสำหรับภาวะ Superficial fungal เนื่องจากกลไกการออกฤทธิ์, efficacy หรือข้อบ่งใช้ไม่ตรงกับโจทย์ที่กำหนด
• ข้อ ง. (Selenium sulfide): ข้อนี้ไม่ใช่คำตอบที่ถูกต้องสำหรับภาวะ Superficial fungal เนื่องจากกลไกการออกฤทธิ์, efficacy หรือข้อบ่งใช้ไม่ตรงกับโจทย์ที่กำหนด
• ข้อ จ. (Sulfur dioxide):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8" t="inlineStr"/>
      <c r="L42" s="18" t="inlineStr">
        <is>
          <t>Superficial fungal</t>
        </is>
      </c>
      <c r="M42" s="18" t="inlineStr">
        <is>
          <t>Clinic</t>
        </is>
      </c>
      <c r="N42" s="18" t="inlineStr">
        <is>
          <t>ข้อ 40 ชุด 1 (เฉลยข้อ ค)</t>
        </is>
      </c>
      <c r="O42" s="18" t="inlineStr">
        <is>
          <t>Mock</t>
        </is>
      </c>
      <c r="P42" s="18" t="inlineStr">
        <is>
          <t>ชุด 1</t>
        </is>
      </c>
    </row>
    <row r="43">
      <c r="A43" s="15" t="inlineStr">
        <is>
          <t>41</t>
        </is>
      </c>
      <c r="B43" s="18"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18" t="inlineStr"/>
      <c r="D43" s="18" t="inlineStr">
        <is>
          <t>4 สัปดาห์</t>
        </is>
      </c>
      <c r="E43" s="18" t="inlineStr">
        <is>
          <t>2 เดือน</t>
        </is>
      </c>
      <c r="F43" s="18" t="inlineStr">
        <is>
          <t>6 เดือน</t>
        </is>
      </c>
      <c r="G43" s="18" t="inlineStr">
        <is>
          <t>8 เดือน</t>
        </is>
      </c>
      <c r="H43" s="18" t="inlineStr">
        <is>
          <t>จนกว่าเล็บจะเป็นปกติ</t>
        </is>
      </c>
      <c r="I43" s="15" t="inlineStr">
        <is>
          <t>1</t>
        </is>
      </c>
      <c r="J43" s="18"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ข้อนี้ไม่ใช่คำตอบที่ถูกต้องสำหรับภาวะ Superficial fungal เนื่องจากกลไกการออกฤทธิ์, efficacy หรือข้อบ่งใช้ไม่ตรงกับโจทย์ที่กำหนด
• ข้อ ค. (6 เดือน): ข้อนี้ไม่ใช่คำตอบที่ถูกต้องสำหรับภาวะ Superficial fungal เนื่องจากกลไกการออกฤทธิ์, efficacy หรือข้อบ่งใช้ไม่ตรงกับโจทย์ที่กำหนด
• ข้อ ง. (8 เดือน): ข้อนี้ไม่ใช่คำตอบที่ถูกต้องสำหรับภาวะ Superficial fungal เนื่องจากกลไกการออกฤทธิ์, efficacy หรือข้อบ่งใช้ไม่ตรงกับโจทย์ที่กำหนด
• ข้อ จ. (จนกว่าเล็บจะเป็นปกติ):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8" t="inlineStr"/>
      <c r="L43" s="18" t="inlineStr">
        <is>
          <t>Superficial fungal</t>
        </is>
      </c>
      <c r="M43" s="18" t="inlineStr">
        <is>
          <t>Clinic</t>
        </is>
      </c>
      <c r="N43" s="18" t="inlineStr">
        <is>
          <t>ข้อ 41 ชุด 1 (เฉลยข้อ )</t>
        </is>
      </c>
      <c r="O43" s="18" t="inlineStr">
        <is>
          <t>Mock</t>
        </is>
      </c>
      <c r="P43" s="18" t="inlineStr">
        <is>
          <t>ชุด 1</t>
        </is>
      </c>
    </row>
    <row r="44">
      <c r="A44" s="15" t="inlineStr">
        <is>
          <t>42</t>
        </is>
      </c>
      <c r="B44" s="18" t="inlineStr">
        <is>
          <t>ข้อใดไม่ใช่เหตุผลในการให้ยา itraconazole pulse therapy</t>
        </is>
      </c>
      <c r="C44" s="18" t="inlineStr"/>
      <c r="D44" s="18" t="inlineStr">
        <is>
          <t>ลดค่าใช้จ่าย</t>
        </is>
      </c>
      <c r="E44" s="18" t="inlineStr">
        <is>
          <t>ลดอาการอันไม่พึงประสงค์จากการใช้ยา</t>
        </is>
      </c>
      <c r="F44" s="18" t="inlineStr">
        <is>
          <t>เพิ่ม compliance ในการรักษา</t>
        </is>
      </c>
      <c r="G44" s="18" t="inlineStr">
        <is>
          <t>การรักษาแบบ pulse therapy ให้ผลการรักษาเหมือนกับการรักษาแบบเดิม</t>
        </is>
      </c>
      <c r="H44" s="18" t="inlineStr">
        <is>
          <t>ลดปัญหาการดื้อยา</t>
        </is>
      </c>
      <c r="I44" s="15" t="inlineStr">
        <is>
          <t>5</t>
        </is>
      </c>
      <c r="J44" s="18"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ข้อนี้ไม่ใช่คำตอบที่ถูกต้องสำหรับภาวะ Superficial fungal เนื่องจากกลไกการออกฤทธิ์, efficacy หรือข้อบ่งใช้ไม่ตรงกับโจทย์ที่กำหนด
• ข้อ ข. (ลดอาการอันไม่พึงประสงค์จากการใช้ยา): ข้อนี้ไม่ใช่คำตอบที่ถูกต้องสำหรับภาวะ Superficial fungal เนื่องจากกลไกการออกฤทธิ์, efficacy หรือข้อบ่งใช้ไม่ตรงกับโจทย์ที่กำหนด
• ข้อ ค. (เพิ่ม compliance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ง. (การรักษาแบบ pulse therapy ให้ผลการรักษาเหมือนกับการรักษาแบบเดิม):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8" t="inlineStr"/>
      <c r="L44" s="18" t="inlineStr">
        <is>
          <t>Superficial fungal</t>
        </is>
      </c>
      <c r="M44" s="18" t="inlineStr">
        <is>
          <t>Clinic</t>
        </is>
      </c>
      <c r="N44" s="18" t="inlineStr">
        <is>
          <t>ข้อ 42 ชุด 1 (เฉลยข้อ จ)</t>
        </is>
      </c>
      <c r="O44" s="18" t="inlineStr">
        <is>
          <t>Mock</t>
        </is>
      </c>
      <c r="P44" s="18" t="inlineStr">
        <is>
          <t>ชุด 1</t>
        </is>
      </c>
    </row>
    <row r="45">
      <c r="A45" s="15" t="inlineStr">
        <is>
          <t>43</t>
        </is>
      </c>
      <c r="B45" s="18" t="inlineStr">
        <is>
          <t>ถ้าใช้ Itraconazole tablet แล้วการรักษาล้มเหลว จะใช้อะไรในการรักษาได้อีก</t>
        </is>
      </c>
      <c r="C45" s="18" t="inlineStr"/>
      <c r="D45" s="18" t="inlineStr">
        <is>
          <t>Griseofulvin</t>
        </is>
      </c>
      <c r="E45" s="18" t="inlineStr">
        <is>
          <t>Terbinafine</t>
        </is>
      </c>
      <c r="F45" s="18" t="inlineStr">
        <is>
          <t>Tolnaftate</t>
        </is>
      </c>
      <c r="G45" s="18" t="inlineStr">
        <is>
          <t>Fluconazole</t>
        </is>
      </c>
      <c r="H45" s="18" t="inlineStr">
        <is>
          <t>Miconazole</t>
        </is>
      </c>
      <c r="I45" s="15" t="inlineStr">
        <is>
          <t>2</t>
        </is>
      </c>
      <c r="J45" s="18"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ข้อนี้ไม่ใช่คำตอบที่ถูกต้องสำหรับภาวะ Superficial fungal เนื่องจากกลไกการออกฤทธิ์, efficacy หรือข้อบ่งใช้ไม่ตรงกับโจทย์ที่กำหนด
• ข้อ ค. (Tolnaftate): ข้อนี้ไม่ใช่คำตอบที่ถูกต้องสำหรับภาวะ Superficial fungal เนื่องจากกลไกการออกฤทธิ์, efficacy หรือข้อบ่งใช้ไม่ตรงกับโจทย์ที่กำหนด
• ข้อ ง. (Fluconazole): เป็น Triazole antifungal เป็น first-line สำหรับ Candida albicans และ Cryptococcal maintenance therapy ขับออกทางไตเด่นชัดจึงต้องปรับ dose ตาม CrCl
• ข้อ จ. (Miconazole):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18" t="inlineStr"/>
      <c r="L45" s="18" t="inlineStr">
        <is>
          <t>Superficial fungal</t>
        </is>
      </c>
      <c r="M45" s="18" t="inlineStr">
        <is>
          <t>Clinic</t>
        </is>
      </c>
      <c r="N45" s="18" t="inlineStr">
        <is>
          <t>ข้อ 43 ชุด 1 (เฉลยข้อ ข)</t>
        </is>
      </c>
      <c r="O45" s="18" t="inlineStr">
        <is>
          <t>Mock</t>
        </is>
      </c>
      <c r="P45" s="18" t="inlineStr">
        <is>
          <t>ชุด 1</t>
        </is>
      </c>
    </row>
    <row r="46">
      <c r="A46" s="15" t="inlineStr">
        <is>
          <t>44</t>
        </is>
      </c>
      <c r="B46" s="18" t="inlineStr">
        <is>
          <t>กลไกการออกฤทธิ์ของยา amphotericin B</t>
        </is>
      </c>
      <c r="C46" s="18" t="inlineStr"/>
      <c r="D46" s="18" t="inlineStr">
        <is>
          <t>ยับยั้ง CYP 450</t>
        </is>
      </c>
      <c r="E46" s="18" t="inlineStr">
        <is>
          <t>ยับยั้งการสร้าง ergosterol</t>
        </is>
      </c>
      <c r="F46" s="18" t="inlineStr">
        <is>
          <t>จับ ergosterol ทำให้เกิดรูรั่วของ cell membrane</t>
        </is>
      </c>
      <c r="G46" s="18" t="inlineStr">
        <is>
          <t>ยับยั้งการสร้าง RNA polymerase</t>
        </is>
      </c>
      <c r="H46" s="18" t="inlineStr">
        <is>
          <t>ยับยั้งการสร้างโปรตีน</t>
        </is>
      </c>
      <c r="I46" s="15" t="inlineStr">
        <is>
          <t>3</t>
        </is>
      </c>
      <c r="J46" s="18"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ข้อนี้ไม่ใช่คำตอบที่ถูกต้องสำหรับภาวะ Superficial fungal เนื่องจากกลไกการออกฤทธิ์, efficacy หรือข้อบ่งใช้ไม่ตรงกับโจทย์ที่กำหนด
• ข้อ ข. (ยับยั้งการสร้าง ergosterol): ข้อนี้ไม่ใช่คำตอบที่ถูกต้องสำหรับภาวะ Superficial fungal เนื่องจากกลไกการออกฤทธิ์, efficacy หรือข้อบ่งใช้ไม่ตรงกับโจทย์ที่กำหนด
• ข้อ ง. (ยับยั้งการสร้าง RNA polymerase): ข้อนี้ไม่ใช่คำตอบที่ถูกต้องสำหรับภาวะ Superficial fungal เนื่องจากกลไกการออกฤทธิ์, efficacy หรือข้อบ่งใช้ไม่ตรงกับโจทย์ที่กำหนด
• ข้อ จ. (ยับยั้งการสร้างโปรตีน):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8" t="inlineStr"/>
      <c r="L46" s="18" t="inlineStr">
        <is>
          <t>Superficial fungal</t>
        </is>
      </c>
      <c r="M46" s="18" t="inlineStr">
        <is>
          <t>Clinic</t>
        </is>
      </c>
      <c r="N46" s="18" t="inlineStr">
        <is>
          <t>ข้อ 44 ชุด 1 (เฉลยข้อ ค)</t>
        </is>
      </c>
      <c r="O46" s="18" t="inlineStr">
        <is>
          <t>Mock</t>
        </is>
      </c>
      <c r="P46" s="18" t="inlineStr">
        <is>
          <t>ชุด 1</t>
        </is>
      </c>
    </row>
    <row r="47">
      <c r="A47" s="15" t="inlineStr">
        <is>
          <t>45</t>
        </is>
      </c>
      <c r="B47" s="18"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18" t="inlineStr"/>
      <c r="D47" s="18" t="inlineStr">
        <is>
          <t>Contact dermatitis</t>
        </is>
      </c>
      <c r="E47" s="18" t="inlineStr">
        <is>
          <t>Psoriasis</t>
        </is>
      </c>
      <c r="F47" s="18" t="inlineStr">
        <is>
          <t>Seborrheic dermatitis</t>
        </is>
      </c>
      <c r="G47" s="18" t="inlineStr">
        <is>
          <t>Dandruff</t>
        </is>
      </c>
      <c r="H47" s="18" t="inlineStr">
        <is>
          <t>Tinea versicolor</t>
        </is>
      </c>
      <c r="I47" s="15" t="inlineStr">
        <is>
          <t>3</t>
        </is>
      </c>
      <c r="J47" s="18"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ข้อนี้ไม่ใช่คำตอบที่ถูกต้องสำหรับภาวะ Superficial fungal เนื่องจากกลไกการออกฤทธิ์, efficacy หรือข้อบ่งใช้ไม่ตรงกับโจทย์ที่กำหนด
• ข้อ ข. (Psoriasis): ข้อนี้ไม่ใช่คำตอบที่ถูกต้องสำหรับภาวะ Superficial fungal เนื่องจากกลไกการออกฤทธิ์, efficacy หรือข้อบ่งใช้ไม่ตรงกับโจทย์ที่กำหนด
• ข้อ ง. (Dandruff): ข้อนี้ไม่ใช่คำตอบที่ถูกต้องสำหรับภาวะ Superficial fungal เนื่องจากกลไกการออกฤทธิ์, efficacy หรือข้อบ่งใช้ไม่ตรงกับโจทย์ที่กำหนด
• ข้อ จ. (Tinea versicolor):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8" t="inlineStr"/>
      <c r="L47" s="18" t="inlineStr">
        <is>
          <t>Superficial fungal</t>
        </is>
      </c>
      <c r="M47" s="18" t="inlineStr">
        <is>
          <t>Clinic</t>
        </is>
      </c>
      <c r="N47" s="18" t="inlineStr">
        <is>
          <t>ข้อ 45 ชุด 1 (เฉลยข้อ ค)</t>
        </is>
      </c>
      <c r="O47" s="18" t="inlineStr">
        <is>
          <t>Mock</t>
        </is>
      </c>
      <c r="P47" s="18" t="inlineStr">
        <is>
          <t>ชุด 1</t>
        </is>
      </c>
    </row>
    <row r="48">
      <c r="A48" s="15" t="inlineStr">
        <is>
          <t>46</t>
        </is>
      </c>
      <c r="B48" s="18"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18" t="inlineStr"/>
      <c r="D48" s="18" t="inlineStr">
        <is>
          <t>Selenium sulfide shampoo</t>
        </is>
      </c>
      <c r="E48" s="18" t="inlineStr">
        <is>
          <t>Tar shampoo</t>
        </is>
      </c>
      <c r="F48" s="18" t="inlineStr">
        <is>
          <t>Salicylic acid</t>
        </is>
      </c>
      <c r="G48" s="18" t="inlineStr">
        <is>
          <t>Topical steroid</t>
        </is>
      </c>
      <c r="H48" s="18" t="inlineStr">
        <is>
          <t>Ketoconazole shampoo</t>
        </is>
      </c>
      <c r="I48" s="15" t="inlineStr">
        <is>
          <t>3</t>
        </is>
      </c>
      <c r="J48" s="18"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ข้อนี้ไม่ใช่คำตอบที่ถูกต้องสำหรับภาวะ Superficial fungal เนื่องจากกลไกการออกฤทธิ์, efficacy หรือข้อบ่งใช้ไม่ตรงกับโจทย์ที่กำหนด
• ข้อ ข. (Tar shampoo): ข้อนี้ไม่ใช่คำตอบที่ถูกต้องสำหรับภาวะ Superficial fungal เนื่องจากกลไกการออกฤทธิ์, efficacy หรือข้อบ่งใช้ไม่ตรงกับโจทย์ที่กำหนด
• ข้อ ง. (Topical steroid): ข้อนี้ไม่ใช่คำตอบที่ถูกต้องสำหรับภาวะ Superficial fungal เนื่องจากกลไกการออกฤทธิ์, efficacy หรือข้อบ่งใช้ไม่ตรงกับโจทย์ที่กำหนด
• ข้อ จ. (Ketoconazole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8" t="inlineStr"/>
      <c r="L48" s="18" t="inlineStr">
        <is>
          <t>Superficial fungal</t>
        </is>
      </c>
      <c r="M48" s="18" t="inlineStr">
        <is>
          <t>Clinic</t>
        </is>
      </c>
      <c r="N48" s="18" t="inlineStr">
        <is>
          <t>ข้อ 46 ชุด 1 (เฉลยข้อ ค)</t>
        </is>
      </c>
      <c r="O48" s="18" t="inlineStr">
        <is>
          <t>Mock</t>
        </is>
      </c>
      <c r="P48" s="18" t="inlineStr">
        <is>
          <t>ชุด 1</t>
        </is>
      </c>
    </row>
    <row r="49">
      <c r="A49" s="15" t="inlineStr">
        <is>
          <t>47</t>
        </is>
      </c>
      <c r="B49" s="18"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8" t="inlineStr"/>
      <c r="D49" s="18" t="inlineStr">
        <is>
          <t>0.1% betamethasone valerate &lt; 0.05% betamethasone dipropionate &lt; 0.05% clobetasone propionate</t>
        </is>
      </c>
      <c r="E49" s="18" t="inlineStr">
        <is>
          <t>0.05% clobetasone propionate &lt; 0.1% betamethasone valerate &lt; 0.05% betamethasone dipropionate</t>
        </is>
      </c>
      <c r="F49" s="18" t="inlineStr">
        <is>
          <t>0.05% betamethasone dipropionate &lt; 0.05% clobetasone propionate &lt; 0.1% betamethasone valerate</t>
        </is>
      </c>
      <c r="G49" s="18" t="inlineStr">
        <is>
          <t>0.1% betamethasone valerate &lt; 0.1% triamcinolone acetonide &lt; 0.05% clobetasone propionate</t>
        </is>
      </c>
      <c r="H49" s="18" t="inlineStr">
        <is>
          <t>0.05% clobetasone propionate &lt; 0.1% betamethasone valerate &lt; 0.1% triamcinolone acetonide</t>
        </is>
      </c>
      <c r="I49" s="15" t="inlineStr">
        <is>
          <t>1</t>
        </is>
      </c>
      <c r="J49" s="18"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ข้อนี้ไม่ใช่คำตอบที่ถูกต้องสำหรับภาวะ Superficial fungal เนื่องจากกลไกการออกฤทธิ์, efficacy หรือข้อบ่งใช้ไม่ตรงกับโจทย์ที่กำหนด
• ข้อ ค. (0.05% betamethasone dipropionate &lt; 0.05% clobetasone propionate &lt; 0.1% betamethasone valerate): ข้อนี้ไม่ใช่คำตอบที่ถูกต้องสำหรับภาวะ Superficial fungal เนื่องจากกลไกการออกฤทธิ์, efficacy หรือข้อบ่งใช้ไม่ตรงกับโจทย์ที่กำหนด
• ข้อ ง. (0.1% betamethasone valerate &lt; 0.1% triamcinolone acetonide &lt; 0.05% clobetasone propionate): ข้อนี้ไม่ใช่คำตอบที่ถูกต้องสำหรับภาวะ Superficial fungal เนื่องจากกลไกการออกฤทธิ์, efficacy หรือข้อบ่งใช้ไม่ตรงกับโจทย์ที่กำหนด
• ข้อ จ. (0.05% clobetasone propionate &lt; 0.1% betamethasone valerate &lt; 0.1% triamcinolone acetonide):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18" t="inlineStr"/>
      <c r="L49" s="18" t="inlineStr">
        <is>
          <t>Superficial fungal</t>
        </is>
      </c>
      <c r="M49" s="18" t="inlineStr">
        <is>
          <t>Clinic</t>
        </is>
      </c>
      <c r="N49" s="18" t="inlineStr">
        <is>
          <t>ข้อ 47 ชุด 1 (เฉลยข้อ )</t>
        </is>
      </c>
      <c r="O49" s="18" t="inlineStr">
        <is>
          <t>Mock</t>
        </is>
      </c>
      <c r="P49" s="18" t="inlineStr">
        <is>
          <t>ชุด 1</t>
        </is>
      </c>
    </row>
    <row r="50">
      <c r="A50" s="15" t="inlineStr">
        <is>
          <t>48</t>
        </is>
      </c>
      <c r="B50" s="18" t="inlineStr">
        <is>
          <t>ข้อใดผิด</t>
        </is>
      </c>
      <c r="C50" s="18" t="inlineStr"/>
      <c r="D50" s="18" t="inlineStr">
        <is>
          <t>Ketoconazole shampoo ไม่ควรใช้ในเด็กอายุต่ำกว่า 12 ปี</t>
        </is>
      </c>
      <c r="E50" s="18" t="inlineStr">
        <is>
          <t>Dandruff สามารถรักษาได้ด้วย topical corticosteroid</t>
        </is>
      </c>
      <c r="F50" s="18" t="inlineStr">
        <is>
          <t>Sulfur ออกฤทธิ์เป็น keratolytic agent</t>
        </is>
      </c>
      <c r="G50" s="18" t="inlineStr">
        <is>
          <t>ผลข้างเคียงของ coal tar คือ photosensitivity</t>
        </is>
      </c>
      <c r="H50" s="18" t="inlineStr">
        <is>
          <t>Selenium sulfide ช่วยลด hyperproliferation ของ cell</t>
        </is>
      </c>
      <c r="I50" s="15" t="inlineStr">
        <is>
          <t>5</t>
        </is>
      </c>
      <c r="J50" s="18"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ข้อนี้ไม่ใช่คำตอบที่ถูกต้องสำหรับภาวะ Superficial fungal เนื่องจากกลไกการออกฤทธิ์, efficacy หรือข้อบ่งใช้ไม่ตรงกับโจทย์ที่กำหนด
• ข้อ ข. (Dandruff สามารถรักษาได้ด้วย topical corticosteroid): ข้อนี้ไม่ใช่คำตอบที่ถูกต้องสำหรับภาวะ Superficial fungal เนื่องจากกลไกการออกฤทธิ์, efficacy หรือข้อบ่งใช้ไม่ตรงกับโจทย์ที่กำหนด
• ข้อ ค. (Sulfur ออกฤทธิ์เป็น keratolytic agent): ข้อนี้ไม่ใช่คำตอบที่ถูกต้องสำหรับภาวะ Superficial fungal เนื่องจากกลไกการออกฤทธิ์, efficacy หรือข้อบ่งใช้ไม่ตรงกับโจทย์ที่กำหนด
• ข้อ ง. (ผลข้างเคียงของ coal tar คือ photosensitivity):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8" t="inlineStr"/>
      <c r="L50" s="18" t="inlineStr">
        <is>
          <t>Superficial fungal</t>
        </is>
      </c>
      <c r="M50" s="18" t="inlineStr">
        <is>
          <t>Clinic</t>
        </is>
      </c>
      <c r="N50" s="18" t="inlineStr">
        <is>
          <t>ข้อ 48 ชุด 1 (เฉลยข้อ จ)</t>
        </is>
      </c>
      <c r="O50" s="18" t="inlineStr">
        <is>
          <t>Mock</t>
        </is>
      </c>
      <c r="P50" s="18" t="inlineStr">
        <is>
          <t>ชุด 1</t>
        </is>
      </c>
    </row>
    <row r="51">
      <c r="A51" s="15" t="inlineStr">
        <is>
          <t>49</t>
        </is>
      </c>
      <c r="B51" s="18" t="inlineStr">
        <is>
          <t>ยาที่ใช้ในโรคผิวหนังของชายผู้นี้ รายการใดที่ผู้ป่วยไม่สามารถเรียกซื้อได้จากเภสัชกรหากไม่มีใบสั่งยาจากแพทย์</t>
        </is>
      </c>
      <c r="C51" s="18" t="inlineStr"/>
      <c r="D51" s="18" t="inlineStr">
        <is>
          <t>Coal tar shampoo</t>
        </is>
      </c>
      <c r="E51" s="18" t="inlineStr">
        <is>
          <t>Dexamethasone cream</t>
        </is>
      </c>
      <c r="F51" s="18" t="inlineStr">
        <is>
          <t>Betamethasone + salicylic ointment</t>
        </is>
      </c>
      <c r="G51" s="18" t="inlineStr">
        <is>
          <t>Hydroxyzine tablet 25 mg</t>
        </is>
      </c>
      <c r="H51" s="18" t="inlineStr">
        <is>
          <t>Methotrexate tab 2.5 mg</t>
        </is>
      </c>
      <c r="I51" s="15" t="inlineStr">
        <is>
          <t>5</t>
        </is>
      </c>
      <c r="J51" s="18"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ข้อนี้ไม่ใช่คำตอบที่ถูกต้องสำหรับภาวะ Superficial fungal เนื่องจากกลไกการออกฤทธิ์, efficacy หรือข้อบ่งใช้ไม่ตรงกับโจทย์ที่กำหนด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ข้อนี้ไม่ใช่คำตอบที่ถูกต้องสำหรับภาวะ Superficial fungal เนื่องจากกลไกการออกฤทธิ์, efficacy หรือข้อบ่งใช้ไม่ตรงกับโจทย์ที่กำหนด
• ข้อ ง. (Hydroxyzine tablet 25 mg):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18" t="inlineStr"/>
      <c r="L51" s="18" t="inlineStr">
        <is>
          <t>Superficial fungal</t>
        </is>
      </c>
      <c r="M51" s="18" t="inlineStr">
        <is>
          <t>Clinic</t>
        </is>
      </c>
      <c r="N51" s="18" t="inlineStr">
        <is>
          <t>ข้อ 49 ชุด 1 (เฉลยข้อ จ)</t>
        </is>
      </c>
      <c r="O51" s="18" t="inlineStr">
        <is>
          <t>Mock</t>
        </is>
      </c>
      <c r="P51" s="18" t="inlineStr">
        <is>
          <t>ชุด 1</t>
        </is>
      </c>
    </row>
    <row r="52">
      <c r="A52" s="15" t="inlineStr">
        <is>
          <t>50</t>
        </is>
      </c>
      <c r="B52" s="18"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18" t="inlineStr"/>
      <c r="D52" s="18" t="inlineStr">
        <is>
          <t>Tinea versicolor</t>
        </is>
      </c>
      <c r="E52" s="18" t="inlineStr">
        <is>
          <t>Contact dermatitis</t>
        </is>
      </c>
      <c r="F52" s="18" t="inlineStr">
        <is>
          <t>Seborrheic dermatitis</t>
        </is>
      </c>
      <c r="G52" s="18" t="inlineStr">
        <is>
          <t>Psoriasis</t>
        </is>
      </c>
      <c r="H52" s="18" t="inlineStr">
        <is>
          <t>Tinea corporis</t>
        </is>
      </c>
      <c r="I52" s="15" t="inlineStr">
        <is>
          <t>4</t>
        </is>
      </c>
      <c r="J52" s="18"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ข้อนี้ไม่ใช่คำตอบที่ถูกต้องสำหรับภาวะ Eczema &amp; Dermatitis เนื่องจากกลไกการออกฤทธิ์, efficacy หรือข้อบ่งใช้ไม่ตรงกับโจทย์ที่กำหนด
• ข้อ ข. (Contact dermatitis): ข้อนี้ไม่ใช่คำตอบที่ถูกต้องสำหรับภาวะ Eczema &amp; Dermatitis เนื่องจากกลไกการออกฤทธิ์, efficacy หรือข้อบ่งใช้ไม่ตรงกับโจทย์ที่กำหนด
• ข้อ ค. (Seborrheic dermatitis): ข้อนี้ไม่ใช่คำตอบที่ถูกต้องสำหรับภาวะ Eczema &amp; Dermatitis เนื่องจากกลไกการออกฤทธิ์, efficacy หรือข้อบ่งใช้ไม่ตรงกับโจทย์ที่กำหนด
• ข้อ จ. (Tinea corporis):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18" t="inlineStr"/>
      <c r="L52" s="18" t="inlineStr">
        <is>
          <t>Eczema &amp; Dermatitis</t>
        </is>
      </c>
      <c r="M52" s="18" t="inlineStr">
        <is>
          <t>Clinic</t>
        </is>
      </c>
      <c r="N52" s="18" t="inlineStr">
        <is>
          <t>ข้อ 50 ชุด 1 (เฉลยข้อ ง)</t>
        </is>
      </c>
      <c r="O52" s="18" t="inlineStr">
        <is>
          <t>Mock</t>
        </is>
      </c>
      <c r="P52" s="18" t="inlineStr">
        <is>
          <t>ชุด 1</t>
        </is>
      </c>
    </row>
    <row r="53">
      <c r="A53" s="15" t="inlineStr">
        <is>
          <t>51</t>
        </is>
      </c>
      <c r="B53" s="18"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18" t="inlineStr"/>
      <c r="D53" s="18" t="inlineStr">
        <is>
          <t>Infection</t>
        </is>
      </c>
      <c r="E53" s="18" t="inlineStr">
        <is>
          <t>Allergic reaction</t>
        </is>
      </c>
      <c r="F53" s="18" t="inlineStr">
        <is>
          <t>Autoimmune disease</t>
        </is>
      </c>
      <c r="G53" s="18" t="inlineStr">
        <is>
          <t>Seborrhea inflammation</t>
        </is>
      </c>
      <c r="H53" s="18" t="inlineStr">
        <is>
          <t>ไม่มีข้อใดถูก</t>
        </is>
      </c>
      <c r="I53" s="15" t="inlineStr">
        <is>
          <t>3</t>
        </is>
      </c>
      <c r="J53" s="18"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ข้อนี้ไม่ใช่คำตอบที่ถูกต้องสำหรับภาวะ Eczema &amp; Dermatitis เนื่องจากกลไกการออกฤทธิ์, efficacy หรือข้อบ่งใช้ไม่ตรงกับโจทย์ที่กำหนด
• ข้อ ข. (Allergic reaction): ข้อนี้ไม่ใช่คำตอบที่ถูกต้องสำหรับภาวะ Eczema &amp; Dermatitis เนื่องจากกลไกการออกฤทธิ์, efficacy หรือข้อบ่งใช้ไม่ตรงกับโจทย์ที่กำหนด
• ข้อ ง. (Seborrhea inflammation): ข้อนี้ไม่ใช่คำตอบที่ถูกต้องสำหรับภาวะ Eczema &amp; Dermatitis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18" t="inlineStr"/>
      <c r="L53" s="18" t="inlineStr">
        <is>
          <t>Eczema &amp; Dermatitis</t>
        </is>
      </c>
      <c r="M53" s="18" t="inlineStr">
        <is>
          <t>Clinic</t>
        </is>
      </c>
      <c r="N53" s="18" t="inlineStr">
        <is>
          <t>ข้อ 51 ชุด 1 (เฉลยข้อ ค)</t>
        </is>
      </c>
      <c r="O53" s="18" t="inlineStr">
        <is>
          <t>Mock</t>
        </is>
      </c>
      <c r="P53" s="18" t="inlineStr">
        <is>
          <t>ชุด 1</t>
        </is>
      </c>
    </row>
    <row r="54">
      <c r="A54" s="15" t="inlineStr">
        <is>
          <t>52</t>
        </is>
      </c>
      <c r="B54" s="18"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18" t="inlineStr"/>
      <c r="D54" s="18" t="inlineStr">
        <is>
          <t>Herpes simplex</t>
        </is>
      </c>
      <c r="E54" s="18" t="inlineStr">
        <is>
          <t>Herpes zoster</t>
        </is>
      </c>
      <c r="F54" s="18" t="inlineStr">
        <is>
          <t>Varicella</t>
        </is>
      </c>
      <c r="G54" s="18" t="inlineStr">
        <is>
          <t>Rubella</t>
        </is>
      </c>
      <c r="H54" s="18" t="inlineStr">
        <is>
          <t>Measles</t>
        </is>
      </c>
      <c r="I54" s="15" t="inlineStr">
        <is>
          <t>2</t>
        </is>
      </c>
      <c r="J54" s="18"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ข้อนี้ไม่ใช่คำตอบที่ถูกต้องสำหรับภาวะ Eczema &amp; Dermatitis เนื่องจากกลไกการออกฤทธิ์, efficacy หรือข้อบ่งใช้ไม่ตรงกับโจทย์ที่กำหนด
• ข้อ ค. (Varicella): ข้อนี้ไม่ใช่คำตอบที่ถูกต้องสำหรับภาวะ Eczema &amp; Dermatitis เนื่องจากกลไกการออกฤทธิ์, efficacy หรือข้อบ่งใช้ไม่ตรงกับโจทย์ที่กำหนด
• ข้อ ง. (Rubella): ข้อนี้ไม่ใช่คำตอบที่ถูกต้องสำหรับภาวะ Eczema &amp; Dermatitis เนื่องจากกลไกการออกฤทธิ์, efficacy หรือข้อบ่งใช้ไม่ตรงกับโจทย์ที่กำหนด
• ข้อ จ. (Measles):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18" t="inlineStr"/>
      <c r="L54" s="18" t="inlineStr">
        <is>
          <t>Eczema &amp; Dermatitis</t>
        </is>
      </c>
      <c r="M54" s="18" t="inlineStr">
        <is>
          <t>Clinic</t>
        </is>
      </c>
      <c r="N54" s="18" t="inlineStr">
        <is>
          <t>ข้อ 52 ชุด 1 (เฉลยข้อ ข)</t>
        </is>
      </c>
      <c r="O54" s="18" t="inlineStr">
        <is>
          <t>Mock</t>
        </is>
      </c>
      <c r="P54" s="18" t="inlineStr">
        <is>
          <t>ชุด 1</t>
        </is>
      </c>
    </row>
    <row r="55">
      <c r="A55" s="15" t="inlineStr">
        <is>
          <t>53</t>
        </is>
      </c>
      <c r="B55" s="18"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18" t="inlineStr"/>
      <c r="D55" s="18" t="inlineStr">
        <is>
          <t>บัวบก</t>
        </is>
      </c>
      <c r="E55" s="18" t="inlineStr">
        <is>
          <t>ไพล</t>
        </is>
      </c>
      <c r="F55" s="18" t="inlineStr">
        <is>
          <t>พญายอ</t>
        </is>
      </c>
      <c r="G55" s="18" t="inlineStr">
        <is>
          <t>มะระขี้นก</t>
        </is>
      </c>
      <c r="H55" s="18" t="inlineStr">
        <is>
          <t>ฟ้าทะลายโจร</t>
        </is>
      </c>
      <c r="I55" s="15" t="inlineStr">
        <is>
          <t>3</t>
        </is>
      </c>
      <c r="J55" s="18"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ข้อนี้ไม่ใช่คำตอบที่ถูกต้องสำหรับภาวะ Eczema &amp; Dermatitis เนื่องจากกลไกการออกฤทธิ์, efficacy หรือข้อบ่งใช้ไม่ตรงกับโจทย์ที่กำหนด
• ข้อ ข. (ไพล): ข้อนี้ไม่ใช่คำตอบที่ถูกต้องสำหรับภาวะ Eczema &amp; Dermatitis เนื่องจากกลไกการออกฤทธิ์, efficacy หรือข้อบ่งใช้ไม่ตรงกับโจทย์ที่กำหนด
• ข้อ ง. (มะระขี้นก): ข้อนี้ไม่ใช่คำตอบที่ถูกต้องสำหรับภาวะ Eczema &amp; Dermatitis เนื่องจากกลไกการออกฤทธิ์, efficacy หรือข้อบ่งใช้ไม่ตรงกับโจทย์ที่กำหนด
• ข้อ จ. (ฟ้าทะลายโจร):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18" t="inlineStr"/>
      <c r="L55" s="18" t="inlineStr">
        <is>
          <t>Eczema &amp; Dermatitis</t>
        </is>
      </c>
      <c r="M55" s="18" t="inlineStr">
        <is>
          <t>Clinic</t>
        </is>
      </c>
      <c r="N55" s="18" t="inlineStr">
        <is>
          <t>ข้อ 53 ชุด 1 (เฉลยข้อ ค)</t>
        </is>
      </c>
      <c r="O55" s="18" t="inlineStr">
        <is>
          <t>Mock</t>
        </is>
      </c>
      <c r="P55" s="18" t="inlineStr">
        <is>
          <t>ชุด 1</t>
        </is>
      </c>
    </row>
    <row r="56">
      <c r="A56" s="15" t="inlineStr">
        <is>
          <t>54</t>
        </is>
      </c>
      <c r="B56" s="18" t="inlineStr">
        <is>
          <t>หากผู้ป่วยหายจากโรคแล้ว แต่ยังมีอาการปวดอยู่ ควรให้ยาชนิดใดบรรเทาอาการ</t>
        </is>
      </c>
      <c r="C56" s="18" t="inlineStr"/>
      <c r="D56" s="18" t="inlineStr">
        <is>
          <t>Paracetamol</t>
        </is>
      </c>
      <c r="E56" s="18" t="inlineStr">
        <is>
          <t>Ibuprofen</t>
        </is>
      </c>
      <c r="F56" s="18" t="inlineStr">
        <is>
          <t>Amitriptyline</t>
        </is>
      </c>
      <c r="G56" s="18" t="inlineStr">
        <is>
          <t>Celecoxib</t>
        </is>
      </c>
      <c r="H56" s="18" t="inlineStr">
        <is>
          <t>ข้อ ข. และ ง.</t>
        </is>
      </c>
      <c r="I56" s="15" t="inlineStr">
        <is>
          <t>3</t>
        </is>
      </c>
      <c r="J56" s="18"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ข้อ จ. (ข้อ ข. และ 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8" t="inlineStr"/>
      <c r="L56" s="18" t="inlineStr">
        <is>
          <t>Superficial fungal</t>
        </is>
      </c>
      <c r="M56" s="18" t="inlineStr">
        <is>
          <t>Clinic</t>
        </is>
      </c>
      <c r="N56" s="18" t="inlineStr">
        <is>
          <t>ข้อ 54 ชุด 1 (เฉลยข้อ ค)</t>
        </is>
      </c>
      <c r="O56" s="18" t="inlineStr">
        <is>
          <t>Mock</t>
        </is>
      </c>
      <c r="P56" s="18" t="inlineStr">
        <is>
          <t>ชุด 1</t>
        </is>
      </c>
    </row>
    <row r="57">
      <c r="A57" s="15" t="inlineStr">
        <is>
          <t>55</t>
        </is>
      </c>
      <c r="B57" s="18"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18" t="inlineStr"/>
      <c r="D57" s="18" t="inlineStr">
        <is>
          <t>Tetracycline capsule, topical clindamycin</t>
        </is>
      </c>
      <c r="E57" s="18" t="inlineStr">
        <is>
          <t>Tetracycline capsule, benzoyl peroxide gel</t>
        </is>
      </c>
      <c r="F57" s="18" t="inlineStr">
        <is>
          <t>Tetracycline capsule, oral clindamycin</t>
        </is>
      </c>
      <c r="G57" s="18" t="inlineStr">
        <is>
          <t>Oral isotretinoin, tetracycline capsule</t>
        </is>
      </c>
      <c r="H57" s="18" t="inlineStr">
        <is>
          <t>Topical retinoid, benzoyl peroxide gel</t>
        </is>
      </c>
      <c r="I57" s="15" t="inlineStr">
        <is>
          <t>2</t>
        </is>
      </c>
      <c r="J57" s="18"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ข้อนี้ไม่ใช่คำตอบที่ถูกต้องสำหรับภาวะ Acne เนื่องจากกลไกการออกฤทธิ์, efficacy หรือข้อบ่งใช้ไม่ตรงกับโจทย์ที่กำหนด
• ข้อ ค. (Tetracycline capsule, oral clindamycin): ข้อนี้ไม่ใช่คำตอบที่ถูกต้องสำหรับภาวะ Acne เนื่องจากกลไกการออกฤทธิ์, efficacy หรือข้อบ่งใช้ไม่ตรงกับโจทย์ที่กำหนด
• ข้อ ง. (Oral isotretinoin, tetracycline capsule): ข้อนี้ไม่ใช่คำตอบที่ถูกต้องสำหรับภาวะ Acne เนื่องจากกลไกการออกฤทธิ์, efficacy หรือข้อบ่งใช้ไม่ตรงกับโจทย์ที่กำหนด
• ข้อ จ. (Topical retinoid, benzoyl peroxide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18" t="inlineStr"/>
      <c r="L57" s="18" t="inlineStr">
        <is>
          <t>Acne</t>
        </is>
      </c>
      <c r="M57" s="18" t="inlineStr">
        <is>
          <t>Clinic</t>
        </is>
      </c>
      <c r="N57" s="18" t="inlineStr">
        <is>
          <t>ข้อ 55 ชุด 1 (เฉลยข้อ ข)</t>
        </is>
      </c>
      <c r="O57" s="18" t="inlineStr">
        <is>
          <t>Mock</t>
        </is>
      </c>
      <c r="P57" s="18" t="inlineStr">
        <is>
          <t>ชุด 1</t>
        </is>
      </c>
    </row>
    <row r="58">
      <c r="A58" s="15" t="inlineStr">
        <is>
          <t>56</t>
        </is>
      </c>
      <c r="B58" s="18" t="inlineStr">
        <is>
          <t>Isotretinoin จัดอยู่ใน Pregnancy category อะไร</t>
        </is>
      </c>
      <c r="C58" s="18" t="inlineStr"/>
      <c r="D58" s="18" t="inlineStr">
        <is>
          <t>Clotrimazole 1% cream</t>
        </is>
      </c>
      <c r="E58" s="18" t="inlineStr">
        <is>
          <t>Hydrocortisone 1% cream</t>
        </is>
      </c>
      <c r="F58" s="18" t="inlineStr">
        <is>
          <t>Triamcinolone acetonide 0.1% cream</t>
        </is>
      </c>
      <c r="G58" s="18" t="inlineStr">
        <is>
          <t>Clobetasol propionate 0.05% cream</t>
        </is>
      </c>
      <c r="H58" s="18" t="inlineStr">
        <is>
          <t>Ketoconazole 2% shampoo</t>
        </is>
      </c>
      <c r="I58" s="15" t="inlineStr">
        <is>
          <t>5</t>
        </is>
      </c>
      <c r="J58" s="18"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ข้อนี้ไม่ใช่คำตอบที่ถูกต้องสำหรับภาวะ Acne เนื่องจากกลไกการออกฤทธิ์, efficacy หรือข้อบ่งใช้ไม่ตรงกับโจทย์ที่กำหนด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ง. (Clobetasol propionate 0.05%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18" t="inlineStr"/>
      <c r="L58" s="18" t="inlineStr">
        <is>
          <t>Acne</t>
        </is>
      </c>
      <c r="M58" s="18" t="inlineStr">
        <is>
          <t>Clinic</t>
        </is>
      </c>
      <c r="N58" s="18" t="inlineStr">
        <is>
          <t>ข้อ 56 ชุด 1 (เฉลยข้อ จ)</t>
        </is>
      </c>
      <c r="O58" s="18" t="inlineStr">
        <is>
          <t>Mock</t>
        </is>
      </c>
      <c r="P58" s="18" t="inlineStr">
        <is>
          <t>ชุด 1</t>
        </is>
      </c>
    </row>
    <row r="59">
      <c r="A59" s="15" t="inlineStr">
        <is>
          <t>57</t>
        </is>
      </c>
      <c r="B59" s="18"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18" t="inlineStr"/>
      <c r="D59" s="18" t="inlineStr">
        <is>
          <t>Close comedone</t>
        </is>
      </c>
      <c r="E59" s="18" t="inlineStr">
        <is>
          <t>Open comedone</t>
        </is>
      </c>
      <c r="F59" s="18" t="inlineStr">
        <is>
          <t>Pustule</t>
        </is>
      </c>
      <c r="G59" s="18" t="inlineStr">
        <is>
          <t>Nodule</t>
        </is>
      </c>
      <c r="H59" s="18" t="inlineStr">
        <is>
          <t>Cyst</t>
        </is>
      </c>
      <c r="I59" s="15" t="inlineStr">
        <is>
          <t>4</t>
        </is>
      </c>
      <c r="J59" s="18"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ข้อนี้ไม่ใช่คำตอบที่ถูกต้องสำหรับภาวะ Acne เนื่องจากกลไกการออกฤทธิ์, efficacy หรือข้อบ่งใช้ไม่ตรงกับโจทย์ที่กำหนด
• ข้อ ข. (Open comedone): ข้อนี้ไม่ใช่คำตอบที่ถูกต้องสำหรับภาวะ Acne เนื่องจากกลไกการออกฤทธิ์, efficacy หรือข้อบ่งใช้ไม่ตรงกับโจทย์ที่กำหนด
• ข้อ ค. (Pustule): ข้อนี้ไม่ใช่คำตอบที่ถูกต้องสำหรับภาวะ Acne เนื่องจากกลไกการออกฤทธิ์, efficacy หรือข้อบ่งใช้ไม่ตรงกับโจทย์ที่กำหนด
• ข้อ จ. (Cyst):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18" t="inlineStr"/>
      <c r="L59" s="18" t="inlineStr">
        <is>
          <t>Acne</t>
        </is>
      </c>
      <c r="M59" s="18" t="inlineStr">
        <is>
          <t>Clinic</t>
        </is>
      </c>
      <c r="N59" s="18" t="inlineStr">
        <is>
          <t>ข้อ 57 ชุด 1 (เฉลยข้อ ง)</t>
        </is>
      </c>
      <c r="O59" s="18" t="inlineStr">
        <is>
          <t>Mock</t>
        </is>
      </c>
      <c r="P59" s="18" t="inlineStr">
        <is>
          <t>ชุด 1</t>
        </is>
      </c>
    </row>
    <row r="60">
      <c r="A60" s="15" t="inlineStr">
        <is>
          <t>58</t>
        </is>
      </c>
      <c r="B60" s="18" t="inlineStr">
        <is>
          <t>Oral isotretinoin ใช้ในสิวประเภทใด</t>
        </is>
      </c>
      <c r="C60" s="18" t="inlineStr"/>
      <c r="D60" s="18" t="inlineStr">
        <is>
          <t>Close comedone</t>
        </is>
      </c>
      <c r="E60" s="18" t="inlineStr">
        <is>
          <t>Open comedone</t>
        </is>
      </c>
      <c r="F60" s="18" t="inlineStr">
        <is>
          <t>Pustule</t>
        </is>
      </c>
      <c r="G60" s="18" t="inlineStr">
        <is>
          <t>Papule</t>
        </is>
      </c>
      <c r="H60" s="18" t="inlineStr">
        <is>
          <t>Cyst</t>
        </is>
      </c>
      <c r="I60" s="15" t="inlineStr">
        <is>
          <t>5</t>
        </is>
      </c>
      <c r="J60" s="18"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ข้อนี้ไม่ใช่คำตอบที่ถูกต้องสำหรับภาวะ Acne เนื่องจากกลไกการออกฤทธิ์, efficacy หรือข้อบ่งใช้ไม่ตรงกับโจทย์ที่กำหนด
• ข้อ ข. (Open comedone): ข้อนี้ไม่ใช่คำตอบที่ถูกต้องสำหรับภาวะ Acne เนื่องจากกลไกการออกฤทธิ์, efficacy หรือข้อบ่งใช้ไม่ตรงกับโจทย์ที่กำหนด
• ข้อ ค. (Pustule): ข้อนี้ไม่ใช่คำตอบที่ถูกต้องสำหรับภาวะ Acne เนื่องจากกลไกการออกฤทธิ์, efficacy หรือข้อบ่งใช้ไม่ตรงกับโจทย์ที่กำหนด
• ข้อ ง. (Papule):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18" t="inlineStr"/>
      <c r="L60" s="18" t="inlineStr">
        <is>
          <t>Acne</t>
        </is>
      </c>
      <c r="M60" s="18" t="inlineStr">
        <is>
          <t>Clinic</t>
        </is>
      </c>
      <c r="N60" s="18" t="inlineStr">
        <is>
          <t>ข้อ 58 ชุด 1 (เฉลยข้อ จ)</t>
        </is>
      </c>
      <c r="O60" s="18" t="inlineStr">
        <is>
          <t>Mock</t>
        </is>
      </c>
      <c r="P60" s="18" t="inlineStr">
        <is>
          <t>ชุด 1</t>
        </is>
      </c>
    </row>
    <row r="61">
      <c r="A61" s="15" t="inlineStr">
        <is>
          <t>59</t>
        </is>
      </c>
      <c r="B61" s="18" t="inlineStr">
        <is>
          <t>Benzoyl peroxide ไม่มีคุณสมบัติใด</t>
        </is>
      </c>
      <c r="C61" s="18" t="inlineStr"/>
      <c r="D61" s="18" t="inlineStr">
        <is>
          <t>Antisebum</t>
        </is>
      </c>
      <c r="E61" s="18" t="inlineStr">
        <is>
          <t>Anti-inflammation</t>
        </is>
      </c>
      <c r="F61" s="18" t="inlineStr">
        <is>
          <t>Anti-infection</t>
        </is>
      </c>
      <c r="G61" s="18" t="inlineStr">
        <is>
          <t>Exfoliative</t>
        </is>
      </c>
      <c r="H61" s="18" t="inlineStr">
        <is>
          <t>Keratolytic</t>
        </is>
      </c>
      <c r="I61" s="15" t="inlineStr">
        <is>
          <t>4</t>
        </is>
      </c>
      <c r="J61" s="18"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ข้อนี้ไม่ใช่คำตอบที่ถูกต้องสำหรับภาวะ Acne เนื่องจากกลไกการออกฤทธิ์, efficacy หรือข้อบ่งใช้ไม่ตรงกับโจทย์ที่กำหนด
• ข้อ ข. (Anti-inflammation): ข้อนี้ไม่ใช่คำตอบที่ถูกต้องสำหรับภาวะ Acne เนื่องจากกลไกการออกฤทธิ์, efficacy หรือข้อบ่งใช้ไม่ตรงกับโจทย์ที่กำหนด
• ข้อ ค. (Anti-infection): ข้อนี้ไม่ใช่คำตอบที่ถูกต้องสำหรับภาวะ Acne เนื่องจากกลไกการออกฤทธิ์, efficacy หรือข้อบ่งใช้ไม่ตรงกับโจทย์ที่กำหนด
• ข้อ จ. (Keratolytic):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18" t="inlineStr"/>
      <c r="L61" s="18" t="inlineStr">
        <is>
          <t>Acne</t>
        </is>
      </c>
      <c r="M61" s="18" t="inlineStr">
        <is>
          <t>Clinic</t>
        </is>
      </c>
      <c r="N61" s="18" t="inlineStr">
        <is>
          <t>ข้อ 59 ชุด 1 (เฉลยข้อ ง)</t>
        </is>
      </c>
      <c r="O61" s="18" t="inlineStr">
        <is>
          <t>Mock</t>
        </is>
      </c>
      <c r="P61" s="18" t="inlineStr">
        <is>
          <t>ชุด 1</t>
        </is>
      </c>
    </row>
    <row r="62">
      <c r="A62" s="15" t="inlineStr">
        <is>
          <t>60</t>
        </is>
      </c>
      <c r="B62" s="18"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18" t="inlineStr"/>
      <c r="D62" s="18" t="inlineStr">
        <is>
          <t>Impetigo</t>
        </is>
      </c>
      <c r="E62" s="18" t="inlineStr">
        <is>
          <t>Eczema</t>
        </is>
      </c>
      <c r="F62" s="18" t="inlineStr">
        <is>
          <t>Folliculitis</t>
        </is>
      </c>
      <c r="G62" s="18" t="inlineStr">
        <is>
          <t>Rosacea</t>
        </is>
      </c>
      <c r="H62" s="18" t="inlineStr">
        <is>
          <t>Tenia corporis</t>
        </is>
      </c>
      <c r="I62" s="15" t="inlineStr">
        <is>
          <t>2</t>
        </is>
      </c>
      <c r="J62" s="18"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ข้อนี้ไม่ใช่คำตอบที่ถูกต้องสำหรับภาวะ Eczema &amp; Dermatitis เนื่องจากกลไกการออกฤทธิ์, efficacy หรือข้อบ่งใช้ไม่ตรงกับโจทย์ที่กำหนด
• ข้อ ค. (Folliculitis): ข้อนี้ไม่ใช่คำตอบที่ถูกต้องสำหรับภาวะ Eczema &amp; Dermatitis เนื่องจากกลไกการออกฤทธิ์, efficacy หรือข้อบ่งใช้ไม่ตรงกับโจทย์ที่กำหนด
• ข้อ ง. (Rosacea): ข้อนี้ไม่ใช่คำตอบที่ถูกต้องสำหรับภาวะ Eczema &amp; Dermatitis เนื่องจากกลไกการออกฤทธิ์, efficacy หรือข้อบ่งใช้ไม่ตรงกับโจทย์ที่กำหนด
• ข้อ จ. (Tenia corporis):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18" t="inlineStr"/>
      <c r="L62" s="18" t="inlineStr">
        <is>
          <t>Eczema &amp; Dermatitis</t>
        </is>
      </c>
      <c r="M62" s="18" t="inlineStr">
        <is>
          <t>Clinic</t>
        </is>
      </c>
      <c r="N62" s="18" t="inlineStr">
        <is>
          <t>ข้อ 60 ชุด 1 (เฉลยข้อ ข)</t>
        </is>
      </c>
      <c r="O62" s="18" t="inlineStr">
        <is>
          <t>Mock</t>
        </is>
      </c>
      <c r="P62" s="18" t="inlineStr">
        <is>
          <t>ชุด 1</t>
        </is>
      </c>
    </row>
    <row r="63">
      <c r="A63" s="15" t="inlineStr">
        <is>
          <t>61</t>
        </is>
      </c>
      <c r="B63" s="18"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18" t="inlineStr"/>
      <c r="D63" s="18" t="inlineStr">
        <is>
          <t>Burrow's solution</t>
        </is>
      </c>
      <c r="E63" s="18" t="inlineStr">
        <is>
          <t>Antihistamine cream</t>
        </is>
      </c>
      <c r="F63" s="18" t="inlineStr">
        <is>
          <t>Mupirocin ointment</t>
        </is>
      </c>
      <c r="G63" s="18" t="inlineStr">
        <is>
          <t>Ketoconazole cream</t>
        </is>
      </c>
      <c r="H63" s="18" t="inlineStr">
        <is>
          <t>Topical steroid cream</t>
        </is>
      </c>
      <c r="I63" s="15" t="inlineStr">
        <is>
          <t>5</t>
        </is>
      </c>
      <c r="J63" s="18"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ข้อนี้ไม่ใช่คำตอบที่ถูกต้องสำหรับภาวะ Eczema &amp; Dermatitis เนื่องจากกลไกการออกฤทธิ์, efficacy หรือข้อบ่งใช้ไม่ตรงกับโจทย์ที่กำหนด
• ข้อ ข. (Antihistamine cream): ข้อนี้ไม่ใช่คำตอบที่ถูกต้องสำหรับภาวะ Eczema &amp; Dermatitis เนื่องจากกลไกการออกฤทธิ์, efficacy หรือข้อบ่งใช้ไม่ตรงกับโจทย์ที่กำหนด
• ข้อ ค. (Mupirocin ointment): ข้อนี้ไม่ใช่คำตอบที่ถูกต้องสำหรับภาวะ Eczema &amp; Dermatitis เนื่องจากกลไกการออกฤทธิ์, efficacy หรือข้อบ่งใช้ไม่ตรงกับโจทย์ที่กำหนด
• ข้อ ง. (Ketoconazole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18" t="inlineStr"/>
      <c r="L63" s="18" t="inlineStr">
        <is>
          <t>Eczema &amp; Dermatitis</t>
        </is>
      </c>
      <c r="M63" s="18" t="inlineStr">
        <is>
          <t>Clinic</t>
        </is>
      </c>
      <c r="N63" s="18" t="inlineStr">
        <is>
          <t>ข้อ 61 ชุด 1 (เฉลยข้อ จ)</t>
        </is>
      </c>
      <c r="O63" s="18" t="inlineStr">
        <is>
          <t>Mock</t>
        </is>
      </c>
      <c r="P63" s="18" t="inlineStr">
        <is>
          <t>ชุด 1</t>
        </is>
      </c>
    </row>
    <row r="64">
      <c r="A64" s="15" t="inlineStr">
        <is>
          <t>62</t>
        </is>
      </c>
      <c r="B64" s="18" t="inlineStr">
        <is>
          <t>ข้อใดผิดเกี่ยวกับยา hydroxyzine</t>
        </is>
      </c>
      <c r="C64" s="18" t="inlineStr"/>
      <c r="D64" s="18" t="inlineStr">
        <is>
          <t>มีความจำเพาะต่อ H1 &gt; H2</t>
        </is>
      </c>
      <c r="E64" s="18" t="inlineStr">
        <is>
          <t>ห้ามรับประทานร่วมกับ alcohol</t>
        </is>
      </c>
      <c r="F64" s="18" t="inlineStr">
        <is>
          <t>ห้ามรับประทานร่วมกับ St.John wort</t>
        </is>
      </c>
      <c r="G64" s="18" t="inlineStr">
        <is>
          <t>ถ้าใช้ขนาดสูงจะมีฤทธิ์เป็น anticonvulsant</t>
        </is>
      </c>
      <c r="H64" s="18" t="inlineStr">
        <is>
          <t>ถ้าใช้ขนาดสูงจะทำให้เกิดอาการชัก และง่วง ได้</t>
        </is>
      </c>
      <c r="I64" s="15" t="inlineStr">
        <is>
          <t>3</t>
        </is>
      </c>
      <c r="J64" s="18"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ข้อนี้ไม่ใช่คำตอบที่ถูกต้องสำหรับภาวะ Superficial fungal เนื่องจากกลไกการออกฤทธิ์, efficacy หรือข้อบ่งใช้ไม่ตรงกับโจทย์ที่กำหนด
• ข้อ ข. (ห้ามรับประทานร่วมกับ alcohol): ข้อนี้ไม่ใช่คำตอบที่ถูกต้องสำหรับภาวะ Superficial fungal เนื่องจากกลไกการออกฤทธิ์, efficacy หรือข้อบ่งใช้ไม่ตรงกับโจทย์ที่กำหนด
• ข้อ ง. (ถ้าใช้ขนาดสูงจะมีฤทธิ์เป็น anticonvulsant): ข้อนี้ไม่ใช่คำตอบที่ถูกต้องสำหรับภาวะ Superficial fungal เนื่องจากกลไกการออกฤทธิ์, efficacy หรือข้อบ่งใช้ไม่ตรงกับโจทย์ที่กำหนด
• ข้อ จ. (ถ้าใช้ขนาดสูงจะทำให้เกิดอาการชัก และง่วง ได้):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8" t="inlineStr"/>
      <c r="L64" s="18" t="inlineStr">
        <is>
          <t>Superficial fungal</t>
        </is>
      </c>
      <c r="M64" s="18" t="inlineStr">
        <is>
          <t>Clinic</t>
        </is>
      </c>
      <c r="N64" s="18" t="inlineStr">
        <is>
          <t>ข้อ 62 ชุด 1 (เฉลยข้อ ค ง)</t>
        </is>
      </c>
      <c r="O64" s="18" t="inlineStr">
        <is>
          <t>Mock</t>
        </is>
      </c>
      <c r="P64" s="18" t="inlineStr">
        <is>
          <t>ชุด 1</t>
        </is>
      </c>
    </row>
    <row r="65">
      <c r="A65" s="15" t="inlineStr">
        <is>
          <t>63</t>
        </is>
      </c>
      <c r="B65" s="18" t="inlineStr">
        <is>
          <t>ยา antihistamine ตัวใดต่อไปนี้มีฤทธิ์ sedative effect มากที่สุด</t>
        </is>
      </c>
      <c r="C65" s="18" t="inlineStr"/>
      <c r="D65" s="18" t="inlineStr">
        <is>
          <t>Hydroxyzine</t>
        </is>
      </c>
      <c r="E65" s="18" t="inlineStr">
        <is>
          <t>CPM</t>
        </is>
      </c>
      <c r="F65" s="18" t="inlineStr">
        <is>
          <t>Brompheniramine</t>
        </is>
      </c>
      <c r="G65" s="18" t="inlineStr">
        <is>
          <t>Diphenhydramine</t>
        </is>
      </c>
      <c r="H65" s="18" t="inlineStr">
        <is>
          <t>Cyproheptadine</t>
        </is>
      </c>
      <c r="I65" s="15" t="inlineStr">
        <is>
          <t>4</t>
        </is>
      </c>
      <c r="J65" s="18"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ข้อนี้ไม่ใช่คำตอบที่ถูกต้องสำหรับภาวะ Urticaria &amp; Angioedema เนื่องจากกลไกการออกฤทธิ์, efficacy หรือข้อบ่งใช้ไม่ตรงกับโจทย์ที่กำหนด
• ข้อ ข. (CPM): ข้อนี้ไม่ใช่คำตอบที่ถูกต้องสำหรับภาวะ Urticaria &amp; Angioedema เนื่องจากกลไกการออกฤทธิ์, efficacy หรือข้อบ่งใช้ไม่ตรงกับโจทย์ที่กำหนด
• ข้อ ค. (Brompheniramine): ข้อนี้ไม่ใช่คำตอบที่ถูกต้องสำหรับภาวะ Urticaria &amp; Angioedema เนื่องจากกลไกการออกฤทธิ์, efficacy หรือข้อบ่งใช้ไม่ตรงกับโจทย์ที่กำหนด
• ข้อ จ. (Cyproheptadine): ข้อนี้ไม่ใช่คำตอบที่ถูกต้องสำหรับภาวะ Urticaria &amp; Angioedema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8" t="inlineStr"/>
      <c r="L65" s="18" t="inlineStr">
        <is>
          <t>Urticaria &amp; Angioedema</t>
        </is>
      </c>
      <c r="M65" s="18" t="inlineStr">
        <is>
          <t>Clinic</t>
        </is>
      </c>
      <c r="N65" s="18" t="inlineStr">
        <is>
          <t>ข้อ 63 ชุด 1 (เฉลยข้อ ง)</t>
        </is>
      </c>
      <c r="O65" s="18" t="inlineStr">
        <is>
          <t>Mock</t>
        </is>
      </c>
      <c r="P65" s="18" t="inlineStr">
        <is>
          <t>ชุด 1</t>
        </is>
      </c>
    </row>
    <row r="66">
      <c r="A66" s="15" t="inlineStr">
        <is>
          <t>65</t>
        </is>
      </c>
      <c r="B66" s="18" t="inlineStr">
        <is>
          <t>ข้อใดไม่จัดเป็นหัวข้อการทดสอบของยาในรูปแบบ nebulized solution</t>
        </is>
      </c>
      <c r="C66" s="18" t="inlineStr"/>
      <c r="D66" s="18" t="inlineStr">
        <is>
          <t>Assay</t>
        </is>
      </c>
      <c r="E66" s="18" t="inlineStr">
        <is>
          <t>Sterility</t>
        </is>
      </c>
      <c r="F66" s="18" t="inlineStr">
        <is>
          <t>Content uniformity</t>
        </is>
      </c>
      <c r="G66" s="18" t="inlineStr">
        <is>
          <t>Particle size</t>
        </is>
      </c>
      <c r="H66" s="18" t="inlineStr">
        <is>
          <t>Impurity</t>
        </is>
      </c>
      <c r="I66" s="15" t="inlineStr">
        <is>
          <t>1</t>
        </is>
      </c>
      <c r="J66" s="18"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(Assay): ข้อนี้ไม่ใช่คำตอบที่ถูกต้องสำหรับภาวะ Superficial fungal เนื่องจากกลไกการออกฤทธิ์, efficacy หรือข้อบ่งใช้ไม่ตรงกับโจทย์ที่กำหนด
• ข้อ ค. (Sterility): ข้อนี้ไม่ใช่คำตอบที่ถูกต้องสำหรับภาวะ Superficial fungal เนื่องจากกลไกการออกฤทธิ์, efficacy หรือข้อบ่งใช้ไม่ตรงกับโจทย์ที่กำหนด
• ข้อ ง. (Content uniformity): ข้อนี้ไม่ใช่คำตอบที่ถูกต้องสำหรับภาวะ Superficial fungal เนื่องจากกลไกการออกฤทธิ์, efficacy หรือข้อบ่งใช้ไม่ตรงกับโจทย์ที่กำหนด
• ข้อ จ. (Particle size):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8" t="inlineStr"/>
      <c r="L66" s="18" t="inlineStr">
        <is>
          <t>Superficial fungal</t>
        </is>
      </c>
      <c r="M66" s="18" t="inlineStr">
        <is>
          <t>Dermatology</t>
        </is>
      </c>
      <c r="N66" s="18" t="inlineStr">
        <is>
          <t>Mock PLE-CC 1 ข้อ 102</t>
        </is>
      </c>
      <c r="O66" s="18" t="inlineStr">
        <is>
          <t>Mock</t>
        </is>
      </c>
      <c r="P66" s="18" t="inlineStr">
        <is>
          <t>Mock RxCU83</t>
        </is>
      </c>
      <c r="Q66" s="18" t="inlineStr"/>
    </row>
    <row r="67">
      <c r="A67" s="15" t="inlineStr">
        <is>
          <t>66</t>
        </is>
      </c>
      <c r="B67" s="18" t="inlineStr">
        <is>
          <t>คำแนะนำที่สำคัญที่สุดในการป้องกันการแพร่กระจายของเชื้อ</t>
        </is>
      </c>
      <c r="C67" s="18" t="inlineStr"/>
      <c r="D67" s="18" t="inlineStr">
        <is>
          <t>จะไม่แพร่เชื้อถ้ามีตุ่มใสขึ้นแล้ว</t>
        </is>
      </c>
      <c r="E67" s="18" t="inlineStr">
        <is>
          <t>หลีกเลี่ยงการสัมผัสบริเวณที่เป็น และไม่ใช้สิ่งของร่วมกับผู้อื่น</t>
        </is>
      </c>
      <c r="F67" s="18" t="inlineStr">
        <is>
          <t>ปิดพลาสเตอร์ยาบริเวณแผลตลอดเวลา</t>
        </is>
      </c>
      <c r="G67" s="18" t="inlineStr">
        <is>
          <t>ล้างบริเวณนั้นด้วยน ้าและสบู่ทุกวัน</t>
        </is>
      </c>
      <c r="H67" s="18" t="inlineStr">
        <is>
          <t>รับประทานอาหารที่มีวิตามินซีสูง</t>
        </is>
      </c>
      <c r="I67" s="15" t="inlineStr">
        <is>
          <t>1</t>
        </is>
      </c>
      <c r="J67" s="18"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(Dermatology): ข้อนี้ไม่ใช่คำตอบที่ถูกต้องสำหรับภาวะ Superficial fungal เนื่องจากกลไกการออกฤทธิ์, efficacy หรือข้อบ่งใช้ไม่ตรงกับโจทย์ที่กำหนด
• ข้อ ค. (หลีกเลี่ยงการสัมผัสบริเวณที่เป็น และไม่ใช้สิ่งของร่วมกับผู้อื่น): ข้อนี้ไม่ใช่คำตอบที่ถูกต้องสำหรับภาวะ Superficial fungal เนื่องจากกลไกการออกฤทธิ์, efficacy หรือข้อบ่งใช้ไม่ตรงกับโจทย์ที่กำหนด
• ข้อ ง. (ปิดพลาสเตอร์ยาบริเวณแผลตลอดเวลา): ข้อนี้ไม่ใช่คำตอบที่ถูกต้องสำหรับภาวะ Superficial fungal เนื่องจากกลไกการออกฤทธิ์, efficacy หรือข้อบ่งใช้ไม่ตรงกับโจทย์ที่กำหนด
• ข้อ จ. (ล้างบริเวณนั้นด้วยน ้าและสบู่ทุกวัน):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8" t="inlineStr"/>
      <c r="L67" s="18" t="inlineStr">
        <is>
          <t>Superficial fungal</t>
        </is>
      </c>
      <c r="M67" s="18" t="inlineStr">
        <is>
          <t>Dermatology</t>
        </is>
      </c>
      <c r="N67" s="18" t="inlineStr">
        <is>
          <t>Mock PLE-CC 1 ข้อ 121</t>
        </is>
      </c>
      <c r="O67" s="18" t="inlineStr">
        <is>
          <t>Mock</t>
        </is>
      </c>
      <c r="P67" s="18" t="inlineStr">
        <is>
          <t>Mock RxCU83</t>
        </is>
      </c>
      <c r="Q67" s="18" t="inlineStr"/>
    </row>
    <row r="68">
      <c r="A68" s="15" t="inlineStr">
        <is>
          <t>67</t>
        </is>
      </c>
      <c r="B68" s="18" t="inlineStr">
        <is>
          <t>ข้อใดเป็นการแนะนำเพื่อป้องกันโรคตามพฤติกรรมสุขภาพของผู้บริโภคได้ถูกต้อง</t>
        </is>
      </c>
      <c r="C68" s="18" t="inlineStr"/>
      <c r="D68" s="18" t="inlineStr">
        <is>
          <t>แนะนำการปฏิบัติตัว การหลีกเลี่ยงปัจจัยกระตุ้น</t>
        </is>
      </c>
      <c r="E68" s="18" t="inlineStr">
        <is>
          <t>Benzoyl peroxide 2.5% gel</t>
        </is>
      </c>
      <c r="F68" s="18" t="inlineStr">
        <is>
          <t>Acyclovir 5% cream</t>
        </is>
      </c>
      <c r="G68" s="18" t="inlineStr">
        <is>
          <t>แนะน าให้ท าอาชีพอื่น</t>
        </is>
      </c>
      <c r="H68" s="18" t="inlineStr">
        <is>
          <t>แนะน าให้ท าอาชีพอื่น</t>
        </is>
      </c>
      <c r="I68" s="15" t="inlineStr">
        <is>
          <t>1</t>
        </is>
      </c>
      <c r="J68" s="18"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(Dermatology): ข้อนี้ไม่ใช่คำตอบที่ถูกต้องสำหรับภาวะ Superficial fungal เนื่องจากกลไกการออกฤทธิ์, efficacy หรือข้อบ่งใช้ไม่ตรงกับโจทย์ที่กำหนด
• ข้อ ค. (แนะนำการปฏิบัติตัว การหลีกเลี่ยงปัจจัยกระตุ้น):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18" t="inlineStr"/>
      <c r="L68" s="18" t="inlineStr">
        <is>
          <t>Superficial fungal</t>
        </is>
      </c>
      <c r="M68" s="18" t="inlineStr">
        <is>
          <t>Dermatology</t>
        </is>
      </c>
      <c r="N68" s="18" t="inlineStr">
        <is>
          <t>Mock PLE-CC 1 ข้อ 125</t>
        </is>
      </c>
      <c r="O68" s="18" t="inlineStr">
        <is>
          <t>Mock</t>
        </is>
      </c>
      <c r="P68" s="18" t="inlineStr">
        <is>
          <t>Mock RxCU83</t>
        </is>
      </c>
      <c r="Q68" s="18" t="inlineStr"/>
    </row>
    <row r="69">
      <c r="A69" s="15" t="inlineStr">
        <is>
          <t>68</t>
        </is>
      </c>
      <c r="B69" s="18" t="inlineStr">
        <is>
          <t>ยารักษาผื่นที่หน้าในผู้ป่วยรายนี้ได้แก่อะไร</t>
        </is>
      </c>
      <c r="C69" s="18" t="inlineStr"/>
      <c r="D69" s="18" t="inlineStr">
        <is>
          <t>aloe vera gel</t>
        </is>
      </c>
      <c r="E69" s="18" t="inlineStr">
        <is>
          <t>Triamcinolone 0.2% cream</t>
        </is>
      </c>
      <c r="F69" s="18" t="inlineStr">
        <is>
          <t>diclofenac cream</t>
        </is>
      </c>
      <c r="G69" s="18" t="inlineStr">
        <is>
          <t>capsaicin cream</t>
        </is>
      </c>
      <c r="H69" s="18" t="inlineStr">
        <is>
          <t>acyclovir cream</t>
        </is>
      </c>
      <c r="I69" s="15" t="inlineStr">
        <is>
          <t>1</t>
        </is>
      </c>
      <c r="J69" s="18"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(aloe vera gel): ข้อนี้ไม่ใช่คำตอบที่ถูกต้องสำหรับภาวะ Eczema &amp; Dermatitis เนื่องจากกลไกการออกฤทธิ์, efficacy หรือข้อบ่งใช้ไม่ตรงกับโจทย์ที่กำหนด
• ข้อ ค. (Triamcinolone 0.2% cream): ข้อนี้ไม่ใช่คำตอบที่ถูกต้องสำหรับภาวะ Eczema &amp; Dermatitis เนื่องจากกลไกการออกฤทธิ์, efficacy หรือข้อบ่งใช้ไม่ตรงกับโจทย์ที่กำหนด
• ข้อ ง. (diclofenac cream): ข้อนี้ไม่ใช่คำตอบที่ถูกต้องสำหรับภาวะ Eczema &amp; Dermatitis เนื่องจากกลไกการออกฤทธิ์, efficacy หรือข้อบ่งใช้ไม่ตรงกับโจทย์ที่กำหนด
• ข้อ จ. (capsaicin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18" t="inlineStr"/>
      <c r="L69" s="18" t="inlineStr">
        <is>
          <t>Eczema &amp; Dermatitis</t>
        </is>
      </c>
      <c r="M69" s="18" t="inlineStr">
        <is>
          <t>Dermatology</t>
        </is>
      </c>
      <c r="N69" s="18" t="inlineStr">
        <is>
          <t>PLE_CC1_2567_Key ข้อ 57</t>
        </is>
      </c>
      <c r="O69" s="18" t="inlineStr">
        <is>
          <t>ข้อสอบจริง</t>
        </is>
      </c>
      <c r="P69" s="18" t="inlineStr">
        <is>
          <t>ปี 2567</t>
        </is>
      </c>
      <c r="Q69" s="18" t="inlineStr"/>
    </row>
    <row r="70">
      <c r="A70" s="15" t="inlineStr">
        <is>
          <t>69</t>
        </is>
      </c>
      <c r="B70" s="18" t="inlineStr">
        <is>
          <t>จากข้อมูลทั้งหมด ลักษณะอาการแพ้ยาที่เกิดขึ้นในผู้ป่วยรายนี้ตรงกับข้อใดมากที่สุด</t>
        </is>
      </c>
      <c r="C70" s="18" t="inlineStr"/>
      <c r="D70" s="18" t="inlineStr">
        <is>
          <t>Urticaria</t>
        </is>
      </c>
      <c r="E70" s="18" t="inlineStr">
        <is>
          <t>Angioedema</t>
        </is>
      </c>
      <c r="F70" s="18" t="inlineStr">
        <is>
          <t>Stevens-Johnson Syndrome (SJS)</t>
        </is>
      </c>
      <c r="G70" s="18" t="inlineStr">
        <is>
          <t>Erythema multiforme</t>
        </is>
      </c>
      <c r="H70" s="18" t="inlineStr">
        <is>
          <t>Morbilliform rash (MP rash) + &lt; PLE-PC1 Preparation 2567 Azithromy = 3 Ceftriazone 4 /</t>
        </is>
      </c>
      <c r="I70" s="15" t="inlineStr">
        <is>
          <t>1</t>
        </is>
      </c>
      <c r="J70" s="18"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(Urticaria): ข้อนี้ไม่ใช่คำตอบที่ถูกต้องสำหรับภาวะ Superficial fungal เนื่องจากกลไกการออกฤทธิ์, efficacy หรือข้อบ่งใช้ไม่ตรงกับโจทย์ที่กำหนด
• ข้อ ค. (Angioedema): ข้อนี้ไม่ใช่คำตอบที่ถูกต้องสำหรับภาวะ Superficial fungal เนื่องจากกลไกการออกฤทธิ์, efficacy หรือข้อบ่งใช้ไม่ตรงกับโจทย์ที่กำหนด
• ข้อ ง. (Stevens-Johnson Syndrome (SJS)): ข้อนี้ไม่ใช่คำตอบที่ถูกต้องสำหรับภาวะ Superficial fungal เนื่องจากกลไกการออกฤทธิ์, efficacy หรือข้อบ่งใช้ไม่ตรงกับโจทย์ที่กำหนด
• ข้อ จ. (Erythema multiforme):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18" t="inlineStr"/>
      <c r="L70" s="18" t="inlineStr">
        <is>
          <t>Superficial fungal</t>
        </is>
      </c>
      <c r="M70" s="18" t="inlineStr">
        <is>
          <t>Dermatology</t>
        </is>
      </c>
      <c r="N70" s="18" t="inlineStr">
        <is>
          <t>PLE_CC1_2567_Key ข้อ 76</t>
        </is>
      </c>
      <c r="O70" s="18" t="inlineStr">
        <is>
          <t>ข้อสอบจริง</t>
        </is>
      </c>
      <c r="P70" s="18" t="inlineStr">
        <is>
          <t>ปี 2567</t>
        </is>
      </c>
      <c r="Q70" s="18" t="inlineStr"/>
    </row>
    <row r="71">
      <c r="A71" s="15" t="inlineStr">
        <is>
          <t>70</t>
        </is>
      </c>
      <c r="B71" s="18"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18" t="inlineStr"/>
      <c r="D71" s="18" t="inlineStr">
        <is>
          <t>Cefixime</t>
        </is>
      </c>
      <c r="E71" s="18" t="inlineStr">
        <is>
          <t>Levofloxacin</t>
        </is>
      </c>
      <c r="F71" s="18" t="inlineStr">
        <is>
          <t>Clindamycin</t>
        </is>
      </c>
      <c r="G71" s="18" t="inlineStr">
        <is>
          <t>Erythromycin</t>
        </is>
      </c>
      <c r="H71" s="18" t="inlineStr">
        <is>
          <t>Amoxicillin clavulanate</t>
        </is>
      </c>
      <c r="I71" s="15" t="inlineStr">
        <is>
          <t>1</t>
        </is>
      </c>
      <c r="J71" s="18"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(Cefixime): ข้อนี้ไม่ใช่คำตอบที่ถูกต้องสำหรับภาวะ Superficial fungal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Superficial fungal เนื่องจากกลไกการออกฤทธิ์, efficacy หรือข้อบ่งใช้ไม่ตรงกับโจทย์ที่กำหนด
• ข้อ จ. (Erythromycin):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18" t="inlineStr"/>
      <c r="L71" s="18" t="inlineStr">
        <is>
          <t>Superficial fungal</t>
        </is>
      </c>
      <c r="M71" s="18" t="inlineStr">
        <is>
          <t>Dermatology</t>
        </is>
      </c>
      <c r="N71" s="18" t="inlineStr">
        <is>
          <t>PLE_CC1_2567_Set1_Key ข้อ 36</t>
        </is>
      </c>
      <c r="O71" s="18" t="inlineStr">
        <is>
          <t>ข้อสอบจริง</t>
        </is>
      </c>
      <c r="P71" s="18" t="inlineStr">
        <is>
          <t>ปี 2567</t>
        </is>
      </c>
      <c r="Q71" s="18" t="inlineStr"/>
    </row>
    <row r="72">
      <c r="A72" s="15" t="inlineStr">
        <is>
          <t>71</t>
        </is>
      </c>
      <c r="B72" s="18" t="inlineStr">
        <is>
          <t>ข้อใดคือโครงสร้างยาในกลุ่ม azole ที่ใช้รักษาโรคกลาก ................................................................................................................................................................................... ................................................................................................................................................................................... ................................................................................................................................................................................... ................................................................................................................................................................................... ...................................................................................................................................................................................</t>
        </is>
      </c>
      <c r="C72" s="18" t="inlineStr"/>
      <c r="D72" s="18" t="inlineStr">
        <is>
          <t>Hydrocortisone 1% cream</t>
        </is>
      </c>
      <c r="E72" s="18" t="inlineStr">
        <is>
          <t>Triamcinolone acetonide 0.1% cream</t>
        </is>
      </c>
      <c r="F72" s="18" t="inlineStr">
        <is>
          <t>Clobetasol propionate 0.05% cream</t>
        </is>
      </c>
      <c r="G72" s="18" t="inlineStr">
        <is>
          <t>Ketoconazole 2% shampoo</t>
        </is>
      </c>
      <c r="H72" s="18" t="inlineStr"/>
      <c r="I72" s="15" t="inlineStr">
        <is>
          <t>1</t>
        </is>
      </c>
      <c r="J72" s="18"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8" t="inlineStr"/>
      <c r="L72" s="18" t="inlineStr">
        <is>
          <t>Superficial fungal</t>
        </is>
      </c>
      <c r="M72" s="18" t="inlineStr">
        <is>
          <t>Dermatology</t>
        </is>
      </c>
      <c r="N72" s="18" t="inlineStr">
        <is>
          <t>PLE_CC1_2567_Set1_Key ข้อ 41</t>
        </is>
      </c>
      <c r="O72" s="18" t="inlineStr">
        <is>
          <t>ข้อสอบจริง</t>
        </is>
      </c>
      <c r="P72" s="18" t="inlineStr">
        <is>
          <t>ปี 2567</t>
        </is>
      </c>
      <c r="Q72" s="18" t="inlineStr"/>
    </row>
    <row r="73">
      <c r="A73" s="15" t="inlineStr">
        <is>
          <t>72</t>
        </is>
      </c>
      <c r="B73" s="18" t="inlineStr">
        <is>
          <t>โครงสร้างหมายเลขใดของ triamcinolone acetonide มีบทบาทสำคัญในการเพิ่ม lipophilicity</t>
        </is>
      </c>
      <c r="C73" s="18" t="inlineStr"/>
      <c r="D73" s="18" t="inlineStr">
        <is>
          <t>Ketoconazole 2% shampoo</t>
        </is>
      </c>
      <c r="E73" s="18" t="inlineStr">
        <is>
          <t>จำ choice ไม6ได@</t>
        </is>
      </c>
      <c r="F73" s="18" t="inlineStr">
        <is>
          <t>จำ choice ไม6ได@</t>
        </is>
      </c>
      <c r="G73" s="18" t="inlineStr">
        <is>
          <t>จำ choice ไม6ได@</t>
        </is>
      </c>
      <c r="H73" s="18" t="inlineStr">
        <is>
          <t>*จำ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t>
        </is>
      </c>
      <c r="I73" s="15" t="inlineStr">
        <is>
          <t>1</t>
        </is>
      </c>
      <c r="J73" s="18"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(Ketoconazole 2% shampoo): ข้อนี้ไม่ใช่คำตอบที่ถูกต้องสำหรับภาวะ Eczema &amp; Dermatitis เนื่องจากกลไกการออกฤทธิ์, efficacy หรือข้อบ่งใช้ไม่ตรงกับโจทย์ที่กำหนด
• ข้อ ค. (จำ choice ไม6ได@): ข้อนี้ไม่ใช่คำตอบที่ถูกต้องสำหรับภาวะ Eczema &amp; Dermatitis เนื่องจากกลไกการออกฤทธิ์, efficacy หรือข้อบ่งใช้ไม่ตรงกับโจทย์ที่กำหนด
• ข้อ ง. (จำ choice ไม6ได@): ข้อนี้ไม่ใช่คำตอบที่ถูกต้องสำหรับภาวะ Eczema &amp; Dermatitis เนื่องจากกลไกการออกฤทธิ์, efficacy หรือข้อบ่งใช้ไม่ตรงกับโจทย์ที่กำหนด
• ข้อ จ. (จำ choice ไม6ได@):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18" t="inlineStr"/>
      <c r="L73" s="18" t="inlineStr">
        <is>
          <t>Eczema &amp; Dermatitis</t>
        </is>
      </c>
      <c r="M73" s="18" t="inlineStr">
        <is>
          <t>Dermatology</t>
        </is>
      </c>
      <c r="N73" s="18" t="inlineStr">
        <is>
          <t>PLE_CC1_2567_Set1_Key ข้อ 95</t>
        </is>
      </c>
      <c r="O73" s="18" t="inlineStr">
        <is>
          <t>ข้อสอบจริง</t>
        </is>
      </c>
      <c r="P73" s="18" t="inlineStr">
        <is>
          <t>ปี 2567</t>
        </is>
      </c>
      <c r="Q73" s="18" t="inlineStr"/>
    </row>
    <row r="74">
      <c r="A74" s="15" t="inlineStr">
        <is>
          <t>73</t>
        </is>
      </c>
      <c r="B74" s="18" t="inlineStr">
        <is>
          <t>…………………………………. ตัวเลือก</t>
        </is>
      </c>
      <c r="C74" s="18" t="inlineStr"/>
      <c r="D74" s="18" t="inlineStr">
        <is>
          <t>Silver sulfadiazine 1% cream</t>
        </is>
      </c>
      <c r="E74" s="18" t="inlineStr">
        <is>
          <t>Cetirizine 10 mg OD</t>
        </is>
      </c>
      <c r="F74" s="18" t="inlineStr">
        <is>
          <t>Isotretinoin 10 mg OD</t>
        </is>
      </c>
      <c r="G74" s="18" t="inlineStr">
        <is>
          <t>Terbinafine 1% cream</t>
        </is>
      </c>
      <c r="H74" s="18" t="inlineStr"/>
      <c r="I74" s="15" t="inlineStr">
        <is>
          <t>1</t>
        </is>
      </c>
      <c r="J74" s="18"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จ. (Terbinafine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18" t="inlineStr"/>
      <c r="L74" s="18" t="inlineStr">
        <is>
          <t>Superficial fungal</t>
        </is>
      </c>
      <c r="M74" s="18" t="inlineStr">
        <is>
          <t>Dermatology</t>
        </is>
      </c>
      <c r="N74" s="18" t="inlineStr">
        <is>
          <t>PLE-CC1 ปี 2566 Day 1 ข้อ 119</t>
        </is>
      </c>
      <c r="O74" s="18" t="inlineStr">
        <is>
          <t>ข้อสอบจริง</t>
        </is>
      </c>
      <c r="P74" s="18" t="inlineStr">
        <is>
          <t>ปี 2566</t>
        </is>
      </c>
      <c r="Q74" s="18" t="inlineStr"/>
    </row>
    <row r="75">
      <c r="A75" s="15" t="inlineStr">
        <is>
          <t>74</t>
        </is>
      </c>
      <c r="B75" s="18" t="inlineStr">
        <is>
          <t>ผูป%วยรายนี้จัดอยู;ใน class ใด ตาม Canadian cardiovascular society</t>
        </is>
      </c>
      <c r="C75" s="18" t="inlineStr"/>
      <c r="D75" s="18" t="inlineStr">
        <is>
          <t>Class I PLE-CC1 Preparation 2565 เฉลยโดย MUPY53</t>
        </is>
      </c>
      <c r="E75" s="18" t="inlineStr">
        <is>
          <t>Adapalene 0.1% gel</t>
        </is>
      </c>
      <c r="F75" s="18" t="inlineStr">
        <is>
          <t>Mupirocin 2% ointment</t>
        </is>
      </c>
      <c r="G75" s="18" t="inlineStr">
        <is>
          <t>Betamethasone dipropionate 0.05% cream</t>
        </is>
      </c>
      <c r="H75" s="18" t="inlineStr"/>
      <c r="I75" s="15" t="inlineStr">
        <is>
          <t>1</t>
        </is>
      </c>
      <c r="J75" s="18"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(Class I PLE-CC1 Preparation 2565 เฉลยโดย MUPY53):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18" t="inlineStr"/>
      <c r="L75" s="18" t="inlineStr">
        <is>
          <t>Superficial fungal</t>
        </is>
      </c>
      <c r="M75" s="18" t="inlineStr">
        <is>
          <t>Dermatology</t>
        </is>
      </c>
      <c r="N75" s="18" t="inlineStr">
        <is>
          <t>PLE_CC1_2565_Day1_Key ข้อ 6</t>
        </is>
      </c>
      <c r="O75" s="18" t="inlineStr">
        <is>
          <t>ข้อสอบจริง</t>
        </is>
      </c>
      <c r="P75" s="18" t="inlineStr">
        <is>
          <t>ปี 2565</t>
        </is>
      </c>
      <c r="Q75" s="18" t="inlineStr"/>
    </row>
    <row r="76">
      <c r="A76" s="15" t="inlineStr">
        <is>
          <t>75</t>
        </is>
      </c>
      <c r="B76" s="18" t="inlineStr">
        <is>
          <t>ถามคนไขเปMนอะไร/สาเหตุที่เกิดโรค</t>
        </is>
      </c>
      <c r="C76" s="18" t="inlineStr"/>
      <c r="D76" s="18" t="inlineStr">
        <is>
          <t>herpes simplex</t>
        </is>
      </c>
      <c r="E76" s="18" t="inlineStr">
        <is>
          <t>herpes zoster</t>
        </is>
      </c>
      <c r="F76" s="18" t="inlineStr">
        <is>
          <t>seborrheic dermatitis</t>
        </is>
      </c>
      <c r="G76" s="18" t="inlineStr">
        <is>
          <t>atopic dermatitis</t>
        </is>
      </c>
      <c r="H76" s="18" t="inlineStr">
        <is>
          <t>scalp psoriasis #kมlใสSนตามปลายประสาท และ# neuropathic pain KวมLวย</t>
        </is>
      </c>
      <c r="I76" s="15" t="inlineStr">
        <is>
          <t>1</t>
        </is>
      </c>
      <c r="J76" s="18"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ข้อนี้ไม่ใช่คำตอบที่ถูกต้องสำหรับภาวะ Superficial fungal เนื่องจากกลไกการออกฤทธิ์, efficacy หรือข้อบ่งใช้ไม่ตรงกับโจทย์ที่กำหนด
• ข้อ ค. (herpes zoster): ข้อนี้ไม่ใช่คำตอบที่ถูกต้องสำหรับภาวะ Superficial fungal เนื่องจากกลไกการออกฤทธิ์, efficacy หรือข้อบ่งใช้ไม่ตรงกับโจทย์ที่กำหนด
• ข้อ ง. (seborrheic dermatitis): ข้อนี้ไม่ใช่คำตอบที่ถูกต้องสำหรับภาวะ Superficial fungal เนื่องจากกลไกการออกฤทธิ์, efficacy หรือข้อบ่งใช้ไม่ตรงกับโจทย์ที่กำหนด
• ข้อ จ. (atopic dermatitis):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8" t="inlineStr"/>
      <c r="L76" s="18" t="inlineStr">
        <is>
          <t>Superficial fungal</t>
        </is>
      </c>
      <c r="M76" s="18" t="inlineStr">
        <is>
          <t>Dermatology</t>
        </is>
      </c>
      <c r="N76" s="18" t="inlineStr">
        <is>
          <t>PLE_CC1_2565_Day1_Key ข้อ 10</t>
        </is>
      </c>
      <c r="O76" s="18" t="inlineStr">
        <is>
          <t>ข้อสอบจริง</t>
        </is>
      </c>
      <c r="P76" s="18" t="inlineStr">
        <is>
          <t>ปี 2565</t>
        </is>
      </c>
      <c r="Q76" s="18" t="inlineStr"/>
    </row>
    <row r="77">
      <c r="A77" s="15" t="inlineStr">
        <is>
          <t>76</t>
        </is>
      </c>
      <c r="B77" s="18" t="inlineStr">
        <is>
          <t>6 เดือนต;อมา ใหผูป%วยเปลี่ยนมาใชselegiline transdermal patch ในแผ;นแปะ selegiline transdermal patch สิ่งใดทำใหเกิดผื่น</t>
        </is>
      </c>
      <c r="C77" s="18" t="inlineStr"/>
      <c r="D77" s="18" t="inlineStr">
        <is>
          <t>Membrane</t>
        </is>
      </c>
      <c r="E77" s="18" t="inlineStr">
        <is>
          <t>Liner</t>
        </is>
      </c>
      <c r="F77" s="18" t="inlineStr">
        <is>
          <t>Adhesive</t>
        </is>
      </c>
      <c r="G77" s="18" t="inlineStr">
        <is>
          <t>Back</t>
        </is>
      </c>
      <c r="H77" s="18" t="inlineStr">
        <is>
          <t>Peel strip</t>
        </is>
      </c>
      <c r="I77" s="15" t="inlineStr">
        <is>
          <t>4</t>
        </is>
      </c>
      <c r="J77" s="18"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(Membrane): ข้อนี้ไม่ใช่คำตอบที่ถูกต้องสำหรับภาวะ Eczema &amp; Dermatitis เนื่องจากกลไกการออกฤทธิ์, efficacy หรือข้อบ่งใช้ไม่ตรงกับโจทย์ที่กำหนด
• ข้อ ค. (Liner): ข้อนี้ไม่ใช่คำตอบที่ถูกต้องสำหรับภาวะ Eczema &amp; Dermatitis เนื่องจากกลไกการออกฤทธิ์, efficacy หรือข้อบ่งใช้ไม่ตรงกับโจทย์ที่กำหนด
• ข้อ ง. (Adhesive): ข้อนี้ไม่ใช่คำตอบที่ถูกต้องสำหรับภาวะ Eczema &amp; Dermatitis เนื่องจากกลไกการออกฤทธิ์, efficacy หรือข้อบ่งใช้ไม่ตรงกับโจทย์ที่กำหนด
• ข้อ จ. (Back):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18" t="inlineStr"/>
      <c r="L77" s="18" t="inlineStr">
        <is>
          <t>Eczema &amp; Dermatitis</t>
        </is>
      </c>
      <c r="M77" s="18" t="inlineStr">
        <is>
          <t>Dermatology</t>
        </is>
      </c>
      <c r="N77" s="18" t="inlineStr">
        <is>
          <t>PLE_CC1_2565_Day1_Key ข้อ 46</t>
        </is>
      </c>
      <c r="O77" s="18" t="inlineStr">
        <is>
          <t>ข้อสอบจริง</t>
        </is>
      </c>
      <c r="P77" s="18" t="inlineStr">
        <is>
          <t>ปี 2565</t>
        </is>
      </c>
      <c r="Q77" s="18" t="inlineStr"/>
    </row>
    <row r="78">
      <c r="A78" s="15" t="inlineStr">
        <is>
          <t>77</t>
        </is>
      </c>
      <c r="B78" s="18" t="inlineStr">
        <is>
          <t>เปMนผื่นแพลักษณะแบบใด</t>
        </is>
      </c>
      <c r="C78" s="18" t="inlineStr"/>
      <c r="D78" s="18" t="inlineStr">
        <is>
          <t>Urticaria</t>
        </is>
      </c>
      <c r="E78" s="18" t="inlineStr">
        <is>
          <t>Maculopapular rash</t>
        </is>
      </c>
      <c r="F78" s="18" t="inlineStr">
        <is>
          <t>Angioedema</t>
        </is>
      </c>
      <c r="G78" s="18" t="inlineStr">
        <is>
          <t>Fix drug eruption</t>
        </is>
      </c>
      <c r="H78" s="18" t="inlineStr">
        <is>
          <t>Exfoliative CPT I, midterm, CPT1 บรรยาย 2 กย 67 (13 2ง 16 น.) ADR for Pharmacy Practice, page 23</t>
        </is>
      </c>
      <c r="I78" s="15" t="inlineStr">
        <is>
          <t>1</t>
        </is>
      </c>
      <c r="J78" s="18"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(Urticaria): ข้อนี้ไม่ใช่คำตอบที่ถูกต้องสำหรับภาวะ Eczema &amp; Dermatitis เนื่องจากกลไกการออกฤทธิ์, efficacy หรือข้อบ่งใช้ไม่ตรงกับโจทย์ที่กำหนด
• ข้อ ค. (Maculopapular rash): ข้อนี้ไม่ใช่คำตอบที่ถูกต้องสำหรับภาวะ Eczema &amp; Dermatitis เนื่องจากกลไกการออกฤทธิ์, efficacy หรือข้อบ่งใช้ไม่ตรงกับโจทย์ที่กำหนด
• ข้อ ง. (Angioedema): ข้อนี้ไม่ใช่คำตอบที่ถูกต้องสำหรับภาวะ Eczema &amp; Dermatitis เนื่องจากกลไกการออกฤทธิ์, efficacy หรือข้อบ่งใช้ไม่ตรงกับโจทย์ที่กำหนด
• ข้อ จ. (Fix drug eruption):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18" t="inlineStr"/>
      <c r="L78" s="18" t="inlineStr">
        <is>
          <t>Eczema &amp; Dermatitis</t>
        </is>
      </c>
      <c r="M78" s="18" t="inlineStr">
        <is>
          <t>Dermatology</t>
        </is>
      </c>
      <c r="N78" s="18" t="inlineStr">
        <is>
          <t>PLE_CC1_2565_Day1_Key ข้อ 41</t>
        </is>
      </c>
      <c r="O78" s="18" t="inlineStr">
        <is>
          <t>ข้อสอบจริง</t>
        </is>
      </c>
      <c r="P78" s="18" t="inlineStr">
        <is>
          <t>ปี 2565</t>
        </is>
      </c>
      <c r="Q78" s="18" t="inlineStr"/>
    </row>
    <row r="79">
      <c r="A79" s="15" t="inlineStr">
        <is>
          <t>78</t>
        </is>
      </c>
      <c r="B79" s="18" t="inlineStr">
        <is>
          <t>ยาที่ใชรักษาคืออะไร ิ โลน</t>
        </is>
      </c>
      <c r="C79" s="18" t="inlineStr"/>
      <c r="D79" s="18" t="inlineStr">
        <is>
          <t>Oral ivermectin</t>
        </is>
      </c>
      <c r="E79" s="18" t="inlineStr">
        <is>
          <t>Permethrin cream</t>
        </is>
      </c>
      <c r="F79" s="18" t="inlineStr">
        <is>
          <t>Gamma benzene hexachloride</t>
        </is>
      </c>
      <c r="G79" s="18" t="inlineStr">
        <is>
          <t>Steroid ซักอย;าง</t>
        </is>
      </c>
      <c r="H79" s="18" t="inlineStr">
        <is>
          <t>2% ketoconazole cream Hา 1st line ไIไ-ผล ิ 1st line เJอKนLนไIไ-ผล ADR เยอะ (neurptoxic) ลดแFอาการGน?</t>
        </is>
      </c>
      <c r="I79" s="15" t="inlineStr">
        <is>
          <t>1</t>
        </is>
      </c>
      <c r="J79" s="18"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ivermectin): ข้อนี้ไม่ใช่คำตอบที่ถูกต้องสำหรับภาวะ Superficial fungal เนื่องจากกลไกการออกฤทธิ์, efficacy หรือข้อบ่งใช้ไม่ตรงกับโจทย์ที่กำหนด
• ข้อ ค. (Permethrin cream): ข้อนี้ไม่ใช่คำตอบที่ถูกต้องสำหรับภาวะ Superficial fungal เนื่องจากกลไกการออกฤทธิ์, efficacy หรือข้อบ่งใช้ไม่ตรงกับโจทย์ที่กำหนด
• ข้อ ง. (Gamma benzene hexachloride): ข้อนี้ไม่ใช่คำตอบที่ถูกต้องสำหรับภาวะ Superficial fungal เนื่องจากกลไกการออกฤทธิ์, efficacy หรือข้อบ่งใช้ไม่ตรงกับโจทย์ที่กำหนด
• ข้อ จ. (Steroid ซักอย;าง):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18" t="inlineStr"/>
      <c r="L79" s="18" t="inlineStr">
        <is>
          <t>Superficial fungal</t>
        </is>
      </c>
      <c r="M79" s="18" t="inlineStr">
        <is>
          <t>Dermatology</t>
        </is>
      </c>
      <c r="N79" s="18" t="inlineStr">
        <is>
          <t>PLE_CC1_2565_Day1_Key ข้อ 50</t>
        </is>
      </c>
      <c r="O79" s="18" t="inlineStr">
        <is>
          <t>ข้อสอบจริง</t>
        </is>
      </c>
      <c r="P79" s="18" t="inlineStr">
        <is>
          <t>ปี 2565</t>
        </is>
      </c>
      <c r="Q79" s="18" t="inlineStr"/>
    </row>
    <row r="80">
      <c r="A80" s="15" t="inlineStr">
        <is>
          <t>79</t>
        </is>
      </c>
      <c r="B80" s="18" t="inlineStr">
        <is>
          <t>เปQนโรคอะไร ………………………………………………………………………………………………………………………………………………………… ………………………………………………………………………………………………………………………………………………………….. Tinea Pedis</t>
        </is>
      </c>
      <c r="C80" s="18" t="inlineStr"/>
      <c r="D80" s="18" t="inlineStr">
        <is>
          <t>Adapalene 0.1% gel</t>
        </is>
      </c>
      <c r="E80" s="18" t="inlineStr">
        <is>
          <t>Mupirocin 2% ointment</t>
        </is>
      </c>
      <c r="F80" s="18" t="inlineStr">
        <is>
          <t>Betamethasone dipropionate 0.05% cream</t>
        </is>
      </c>
      <c r="G80" s="18" t="inlineStr">
        <is>
          <t>Clotrimazole 1% cream</t>
        </is>
      </c>
      <c r="H80" s="18" t="inlineStr"/>
      <c r="I80" s="15" t="inlineStr">
        <is>
          <t>1</t>
        </is>
      </c>
      <c r="J80" s="18"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8" t="inlineStr"/>
      <c r="L80" s="18" t="inlineStr">
        <is>
          <t>Superficial fungal</t>
        </is>
      </c>
      <c r="M80" s="18" t="inlineStr">
        <is>
          <t>Dermatology</t>
        </is>
      </c>
      <c r="N80" s="18" t="inlineStr">
        <is>
          <t>PLE_CC1_2565_Day2_Key ข้อ 32</t>
        </is>
      </c>
      <c r="O80" s="18" t="inlineStr">
        <is>
          <t>ข้อสอบจริง</t>
        </is>
      </c>
      <c r="P80" s="18" t="inlineStr">
        <is>
          <t>ปี 2565</t>
        </is>
      </c>
      <c r="Q80" s="18" t="inlineStr"/>
    </row>
    <row r="81">
      <c r="A81" s="15" t="inlineStr">
        <is>
          <t>80</t>
        </is>
      </c>
      <c r="B81" s="18" t="inlineStr">
        <is>
          <t>กลไกการออกฤทธิ์ของ ketoconazole คืออะไร Regimen ไ&gt;เหมาะสม Fluconazole 150 mg q1week</t>
        </is>
      </c>
      <c r="C81" s="18" t="inlineStr"/>
      <c r="D81" s="18" t="inlineStr">
        <is>
          <t>ยับยังการสังเคราะห6 DNA RNA ของเชื้อรา PLE-CC1 Preparation 2565</t>
        </is>
      </c>
      <c r="E81" s="18" t="inlineStr">
        <is>
          <t>Hydrocortisone 1% cream</t>
        </is>
      </c>
      <c r="F81" s="18" t="inlineStr">
        <is>
          <t>Triamcinolone acetonide 0.1% cream</t>
        </is>
      </c>
      <c r="G81" s="18" t="inlineStr">
        <is>
          <t>Clobetasol propionate 0.05% cream</t>
        </is>
      </c>
      <c r="H81" s="18" t="inlineStr">
        <is>
          <t>ว-านหางจระเข$</t>
        </is>
      </c>
      <c r="I81" s="15" t="inlineStr">
        <is>
          <t>1</t>
        </is>
      </c>
      <c r="J81" s="18"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(ยับยังการสังเคราะห6 DNA RNA ของเชื้อรา PLE-CC1 Preparation 2565):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8" t="inlineStr"/>
      <c r="L81" s="18" t="inlineStr">
        <is>
          <t>Superficial fungal</t>
        </is>
      </c>
      <c r="M81" s="18" t="inlineStr">
        <is>
          <t>Dermatology</t>
        </is>
      </c>
      <c r="N81" s="18" t="inlineStr">
        <is>
          <t>PLE_CC1_2565_Day2_Key ข้อ 34</t>
        </is>
      </c>
      <c r="O81" s="18" t="inlineStr">
        <is>
          <t>ข้อสอบจริง</t>
        </is>
      </c>
      <c r="P81" s="18" t="inlineStr">
        <is>
          <t>ปี 2565</t>
        </is>
      </c>
      <c r="Q81" s="18" t="inlineStr"/>
    </row>
    <row r="82">
      <c r="A82" s="15" t="inlineStr">
        <is>
          <t>81</t>
        </is>
      </c>
      <c r="B82" s="18" t="inlineStr">
        <is>
          <t>stiffening agent คืออะไร</t>
        </is>
      </c>
      <c r="C82" s="18" t="inlineStr"/>
      <c r="D82" s="18" t="inlineStr">
        <is>
          <t>glycerin</t>
        </is>
      </c>
      <c r="E82" s="18" t="inlineStr">
        <is>
          <t>Propylene glycol</t>
        </is>
      </c>
      <c r="F82" s="18" t="inlineStr">
        <is>
          <t>SLS</t>
        </is>
      </c>
      <c r="G82" s="18" t="inlineStr">
        <is>
          <t>Cetearyl palmitate</t>
        </is>
      </c>
      <c r="H82" s="18" t="inlineStr">
        <is>
          <t>Mineral oil</t>
        </is>
      </c>
      <c r="I82" s="15" t="inlineStr">
        <is>
          <t>1</t>
        </is>
      </c>
      <c r="J82" s="18"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(glycerin): ข้อนี้ไม่ใช่คำตอบที่ถูกต้องสำหรับภาวะ Superficial fungal เนื่องจากกลไกการออกฤทธิ์, efficacy หรือข้อบ่งใช้ไม่ตรงกับโจทย์ที่กำหนด
• ข้อ ค. (Propylene glycol): ข้อนี้ไม่ใช่คำตอบที่ถูกต้องสำหรับภาวะ Superficial fungal เนื่องจากกลไกการออกฤทธิ์, efficacy หรือข้อบ่งใช้ไม่ตรงกับโจทย์ที่กำหนด
• ข้อ ง. (SLS): ข้อนี้ไม่ใช่คำตอบที่ถูกต้องสำหรับภาวะ Superficial fungal เนื่องจากกลไกการออกฤทธิ์, efficacy หรือข้อบ่งใช้ไม่ตรงกับโจทย์ที่กำหนด
• ข้อ จ. (Cetearyl palmitate):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18" t="inlineStr"/>
      <c r="L82" s="18" t="inlineStr">
        <is>
          <t>Superficial fungal</t>
        </is>
      </c>
      <c r="M82" s="18" t="inlineStr">
        <is>
          <t>Dermatology</t>
        </is>
      </c>
      <c r="N82" s="18" t="inlineStr">
        <is>
          <t>PLE_CC1_2565_Day2_Key ข้อ 39</t>
        </is>
      </c>
      <c r="O82" s="18" t="inlineStr">
        <is>
          <t>ข้อสอบจริง</t>
        </is>
      </c>
      <c r="P82" s="18" t="inlineStr">
        <is>
          <t>ปี 2565</t>
        </is>
      </c>
      <c r="Q82" s="18" t="inlineStr"/>
    </row>
    <row r="83">
      <c r="A83" s="15" t="inlineStr">
        <is>
          <t>82</t>
        </is>
      </c>
      <c r="B83" s="18" t="inlineStr">
        <is>
          <t>ยาอะไรไม-เหมาะที่จะใช$ที่หน$า</t>
        </is>
      </c>
      <c r="C83" s="18" t="inlineStr"/>
      <c r="D83" s="18" t="inlineStr">
        <is>
          <t>clobetasol propionate</t>
        </is>
      </c>
      <c r="E83" s="18" t="inlineStr">
        <is>
          <t>hydrocortisone</t>
        </is>
      </c>
      <c r="F83" s="18" t="inlineStr">
        <is>
          <t>fluticasone</t>
        </is>
      </c>
      <c r="G83" s="18" t="inlineStr">
        <is>
          <t>ketoconazole shampoo</t>
        </is>
      </c>
      <c r="H83" s="18" t="inlineStr">
        <is>
          <t>* จำ choice ไม-ได$ *</t>
        </is>
      </c>
      <c r="I83" s="15" t="inlineStr">
        <is>
          <t>1</t>
        </is>
      </c>
      <c r="J83" s="18"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ข้อนี้ไม่ใช่คำตอบที่ถูกต้องสำหรับภาวะ Superficial fungal เนื่องจากกลไกการออกฤทธิ์, efficacy หรือข้อบ่งใช้ไม่ตรงกับโจทย์ที่กำหนด
• ข้อ ค. (hydrocortisone): เป็น short-acting glucocorticoid ที่มี mineralocorticoid activity สูง เป็น drug of choice สำหรับ acute adrenal insufficiency / adrenal crisis
• ข้อ ง. (fluticasone): เป็น potent ICS มี high topical potency และ systemic bioavailability ต่ำ ใช้เป็น maintenance anti-inflammatory controller ใน moderate-to-severe asthma และ COPD with high eosinophils
• ข้อ จ. (ketoconazole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18" t="inlineStr"/>
      <c r="L83" s="18" t="inlineStr">
        <is>
          <t>Superficial fungal</t>
        </is>
      </c>
      <c r="M83" s="18" t="inlineStr">
        <is>
          <t>Dermatology</t>
        </is>
      </c>
      <c r="N83" s="18" t="inlineStr">
        <is>
          <t>PLE_CC1_2565_Day2_Key ข้อ 36</t>
        </is>
      </c>
      <c r="O83" s="18" t="inlineStr">
        <is>
          <t>ข้อสอบจริง</t>
        </is>
      </c>
      <c r="P83" s="18" t="inlineStr">
        <is>
          <t>ปี 2565</t>
        </is>
      </c>
      <c r="Q83" s="18" t="inlineStr"/>
    </row>
    <row r="84">
      <c r="A84" s="15" t="inlineStr">
        <is>
          <t>83</t>
        </is>
      </c>
      <c r="B84" s="18" t="inlineStr">
        <is>
          <t>ผื่นลมพิษ ไมUออก UTIs, URIs เลยในป_ 2565 (ธ.ค.)</t>
        </is>
      </c>
      <c r="C84" s="18" t="inlineStr"/>
      <c r="D84" s="18" t="inlineStr">
        <is>
          <t>Isotretinoin 10 mg OD</t>
        </is>
      </c>
      <c r="E84" s="18" t="inlineStr">
        <is>
          <t>Terbinafine 1% cream</t>
        </is>
      </c>
      <c r="F84" s="18" t="inlineStr">
        <is>
          <t>Adapalene 0.1% gel</t>
        </is>
      </c>
      <c r="G84" s="18" t="inlineStr">
        <is>
          <t>Mupirocin 2% ointment</t>
        </is>
      </c>
      <c r="H84" s="18" t="inlineStr"/>
      <c r="I84" s="15" t="inlineStr">
        <is>
          <t>1</t>
        </is>
      </c>
      <c r="J84" s="18"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(Isotretinoin 10 mg OD): ข้อนี้ไม่ใช่คำตอบที่ถูกต้องสำหรับภาวะ Eczema &amp; Dermatitis เนื่องจากกลไกการออกฤทธิ์, efficacy หรือข้อบ่งใช้ไม่ตรงกับโจทย์ที่กำหนด
• ข้อ ค. (Terbinafine 1% cream): ข้อนี้ไม่ใช่คำตอบที่ถูกต้องสำหรับภาวะ Eczema &amp; Dermatitis เนื่องจากกลไกการออกฤทธิ์, efficacy หรือข้อบ่งใช้ไม่ตรงกับโจทย์ที่กำหนด
• ข้อ ง. (Adapalene 0.1% gel): ข้อนี้ไม่ใช่คำตอบที่ถูกต้องสำหรับภาวะ Eczema &amp; Dermatitis เนื่องจากกลไกการออกฤทธิ์, efficacy หรือข้อบ่งใช้ไม่ตรงกับโจทย์ที่กำหนด
• ข้อ จ. (Mupirocin 2% ointment):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18" t="inlineStr"/>
      <c r="L84" s="18" t="inlineStr">
        <is>
          <t>Eczema &amp; Dermatitis</t>
        </is>
      </c>
      <c r="M84" s="18" t="inlineStr">
        <is>
          <t>Dermatology</t>
        </is>
      </c>
      <c r="N84" s="18" t="inlineStr">
        <is>
          <t>PLE_CC1_2565_Day2_Key ข้อ 7</t>
        </is>
      </c>
      <c r="O84" s="18" t="inlineStr">
        <is>
          <t>ข้อสอบจริง</t>
        </is>
      </c>
      <c r="P84" s="18" t="inlineStr">
        <is>
          <t>ปี 2565</t>
        </is>
      </c>
      <c r="Q84" s="18" t="inlineStr"/>
    </row>
    <row r="85">
      <c r="A85" s="15" t="inlineStr">
        <is>
          <t>84</t>
        </is>
      </c>
      <c r="B85" s="18" t="inlineStr">
        <is>
          <t>กลากเกิดจากเชื้ออะไร (Tinea capitis)</t>
        </is>
      </c>
      <c r="C85" s="18" t="inlineStr"/>
      <c r="D85" s="18" t="inlineStr">
        <is>
          <t>M. furfur / b. Trichophyton rubrum / c. aspergillus Tinea capitis เกิดจากเชื้อ Trichophyton และ Microsporum spp. จากช้อยน่าจะตอบ b. Trichophyton rubrum https://emedicine.medscape.com/article/1091351-overviewa7</t>
        </is>
      </c>
      <c r="E85" s="18" t="inlineStr">
        <is>
          <t>Betamethasone dipropionate 0.05% cream</t>
        </is>
      </c>
      <c r="F85" s="18" t="inlineStr">
        <is>
          <t>Clotrimazole 1% cream</t>
        </is>
      </c>
      <c r="G85" s="18" t="inlineStr">
        <is>
          <t>Hydrocortisone 1% cream</t>
        </is>
      </c>
      <c r="H85" s="18" t="inlineStr"/>
      <c r="I85" s="15" t="inlineStr">
        <is>
          <t>1</t>
        </is>
      </c>
      <c r="J85" s="18"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 furfur / b. Trichophyton rubrum / c. aspergillus Tinea capitis เกิดจากเชื้อ Trichophyton และ Microsporum spp. จากช้อยน่าจะตอบ b. Trichophyton rubrum https://emedicine.medscape.com/article/1091351-overviewa7): ข้อนี้ไม่ใช่คำตอบที่ถูกต้องสำหรับภาวะ Superficial fungal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8" t="inlineStr"/>
      <c r="L85" s="18" t="inlineStr">
        <is>
          <t>Superficial fungal</t>
        </is>
      </c>
      <c r="M85" s="18" t="inlineStr">
        <is>
          <t>Dermatology</t>
        </is>
      </c>
      <c r="N85" s="18" t="inlineStr">
        <is>
          <t>PLE_CC1_2564_All_Key ข้อ 15</t>
        </is>
      </c>
      <c r="O85" s="18" t="inlineStr">
        <is>
          <t>ข้อสอบจริง</t>
        </is>
      </c>
      <c r="P85" s="18" t="inlineStr">
        <is>
          <t>ปี 2564</t>
        </is>
      </c>
      <c r="Q85" s="18" t="inlineStr"/>
    </row>
    <row r="86">
      <c r="A86" s="15" t="inlineStr">
        <is>
          <t>85</t>
        </is>
      </c>
      <c r="B86" s="18" t="inlineStr">
        <is>
          <t>Ketoconazole กับ itraconazole strong inhibit CYP 450 ตัวไหน</t>
        </is>
      </c>
      <c r="C86" s="18" t="inlineStr"/>
      <c r="D86" s="18" t="inlineStr">
        <is>
          <t>2C9</t>
        </is>
      </c>
      <c r="E86" s="18" t="inlineStr">
        <is>
          <t>2C19</t>
        </is>
      </c>
      <c r="F86" s="18" t="inlineStr">
        <is>
          <t>3A4" ข้อ c) 3A4 เพราะ Ketoconazole และ itraconazole เป็น potent CYP3A4 inhibitors จาก:สรุป MCQ CPT1 เรื่องโรคผิวหนัง</t>
        </is>
      </c>
      <c r="G86" s="18" t="inlineStr">
        <is>
          <t>Ketoconazole 2% shampoo</t>
        </is>
      </c>
      <c r="H86" s="18" t="inlineStr"/>
      <c r="I86" s="15" t="inlineStr">
        <is>
          <t>1</t>
        </is>
      </c>
      <c r="J86" s="18"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(2C9): ข้อนี้ไม่ใช่คำตอบที่ถูกต้องสำหรับภาวะ Superficial fungal เนื่องจากกลไกการออกฤทธิ์, efficacy หรือข้อบ่งใช้ไม่ตรงกับโจทย์ที่กำหนด
• ข้อ ค. (2C19): ข้อนี้ไม่ใช่คำตอบที่ถูกต้องสำหรับภาวะ Superficial fungal เนื่องจากกลไกการออกฤทธิ์, efficacy หรือข้อบ่งใช้ไม่ตรงกับโจทย์ที่กำหนด
• ข้อ ง. (3A4" ข้อ c) 3A4 เพราะ Ketoconazole และ itraconazole เป็น potent CYP3A4 inhibitors จาก:สรุป MCQ CPT1 เรื่องโรคผิวหนัง):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8" t="inlineStr"/>
      <c r="L86" s="18" t="inlineStr">
        <is>
          <t>Superficial fungal</t>
        </is>
      </c>
      <c r="M86" s="18" t="inlineStr">
        <is>
          <t>Dermatology</t>
        </is>
      </c>
      <c r="N86" s="18" t="inlineStr">
        <is>
          <t>PLE_CC1_2564_All_Key ข้อ 65</t>
        </is>
      </c>
      <c r="O86" s="18" t="inlineStr">
        <is>
          <t>ข้อสอบจริง</t>
        </is>
      </c>
      <c r="P86" s="18" t="inlineStr">
        <is>
          <t>ปี 2564</t>
        </is>
      </c>
      <c r="Q86" s="18" t="inlineStr"/>
    </row>
    <row r="87">
      <c r="A87" s="15" t="inlineStr">
        <is>
          <t>86</t>
        </is>
      </c>
      <c r="B87" s="18" t="inlineStr">
        <is>
          <t>สาวเป็นสิวหนองมากกว่า 5 จุดบนใบหน้า สิวหนองเป็นตุ่มแบบใด</t>
        </is>
      </c>
      <c r="C87" s="18" t="inlineStr"/>
      <c r="D87" s="18" t="inlineStr">
        <is>
          <t>Papule</t>
        </is>
      </c>
      <c r="E87" s="18" t="inlineStr">
        <is>
          <t>Pustule</t>
        </is>
      </c>
      <c r="F87" s="18" t="inlineStr">
        <is>
          <t>Nodule</t>
        </is>
      </c>
      <c r="G87" s="18" t="inlineStr">
        <is>
          <t>Cyst</t>
        </is>
      </c>
      <c r="H87" s="18" t="inlineStr"/>
      <c r="I87" s="15" t="inlineStr">
        <is>
          <t>1</t>
        </is>
      </c>
      <c r="J87" s="18"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(Papule): ข้อนี้ไม่ใช่คำตอบที่ถูกต้องสำหรับภาวะ Acne เนื่องจากกลไกการออกฤทธิ์, efficacy หรือข้อบ่งใช้ไม่ตรงกับโจทย์ที่กำหนด
• ข้อ ค. (Pustule): ข้อนี้ไม่ใช่คำตอบที่ถูกต้องสำหรับภาวะ Acne เนื่องจากกลไกการออกฤทธิ์, efficacy หรือข้อบ่งใช้ไม่ตรงกับโจทย์ที่กำหนด
• ข้อ ง. (Nodule): ข้อนี้ไม่ใช่คำตอบที่ถูกต้องสำหรับภาวะ Acne เนื่องจากกลไกการออกฤทธิ์, efficacy หรือข้อบ่งใช้ไม่ตรงกับโจทย์ที่กำหนด
• ข้อ จ. (Cyst):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8" t="inlineStr"/>
      <c r="L87" s="18" t="inlineStr">
        <is>
          <t>Acne</t>
        </is>
      </c>
      <c r="M87" s="18" t="inlineStr">
        <is>
          <t>Dermatology</t>
        </is>
      </c>
      <c r="N87" s="18" t="inlineStr">
        <is>
          <t>PLE_CC1_2564_All_Key ข้อ 81</t>
        </is>
      </c>
      <c r="O87" s="18" t="inlineStr">
        <is>
          <t>ข้อสอบจริง</t>
        </is>
      </c>
      <c r="P87" s="18" t="inlineStr">
        <is>
          <t>ปี 2564</t>
        </is>
      </c>
      <c r="Q87" s="18" t="inlineStr"/>
    </row>
    <row r="88">
      <c r="A88" s="15" t="inlineStr">
        <is>
          <t>87</t>
        </is>
      </c>
      <c r="B88" s="18" t="inlineStr">
        <is>
          <t>สถานการณ์วัยรุ่นยกพวกตีกัน จงตอบวิธีการห้ามเลือดที่ถูกต้อง</t>
        </is>
      </c>
      <c r="C88" s="18" t="inlineStr"/>
      <c r="D88" s="18" t="inlineStr">
        <is>
          <t>เอาน้ำล้าง</t>
        </is>
      </c>
      <c r="E88" s="18" t="inlineStr">
        <is>
          <t>ขันชะเนาะ</t>
        </is>
      </c>
      <c r="F88" s="18" t="inlineStr">
        <is>
          <t>เอาผ้าสะอาดกด</t>
        </is>
      </c>
      <c r="G88" s="18" t="inlineStr">
        <is>
          <t>เอาเชือกรัด</t>
        </is>
      </c>
      <c r="H88" s="18" t="inlineStr"/>
      <c r="I88" s="15" t="inlineStr">
        <is>
          <t>1</t>
        </is>
      </c>
      <c r="J88" s="18"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(เอาน้ำล้าง): ข้อนี้ไม่ใช่คำตอบที่ถูกต้องสำหรับภาวะ Superficial fungal เนื่องจากกลไกการออกฤทธิ์, efficacy หรือข้อบ่งใช้ไม่ตรงกับโจทย์ที่กำหนด
• ข้อ ค. (ขันชะเนาะ): ข้อนี้ไม่ใช่คำตอบที่ถูกต้องสำหรับภาวะ Superficial fungal เนื่องจากกลไกการออกฤทธิ์, efficacy หรือข้อบ่งใช้ไม่ตรงกับโจทย์ที่กำหนด
• ข้อ ง. (เอาผ้าสะอาดกด): ข้อนี้ไม่ใช่คำตอบที่ถูกต้องสำหรับภาวะ Superficial fungal เนื่องจากกลไกการออกฤทธิ์, efficacy หรือข้อบ่งใช้ไม่ตรงกับโจทย์ที่กำหนด
• ข้อ จ. (เอาเชือกรัด):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18" t="inlineStr"/>
      <c r="L88" s="18" t="inlineStr">
        <is>
          <t>Superficial fungal</t>
        </is>
      </c>
      <c r="M88" s="18" t="inlineStr">
        <is>
          <t>Dermatology</t>
        </is>
      </c>
      <c r="N88" s="18" t="inlineStr">
        <is>
          <t>PLE_CC1_2564_All_Key ข้อ 88</t>
        </is>
      </c>
      <c r="O88" s="18" t="inlineStr">
        <is>
          <t>ข้อสอบจริง</t>
        </is>
      </c>
      <c r="P88" s="18" t="inlineStr">
        <is>
          <t>ปี 2564</t>
        </is>
      </c>
      <c r="Q88" s="18" t="inlineStr"/>
    </row>
    <row r="89">
      <c r="A89" s="15" t="inlineStr">
        <is>
          <t>88</t>
        </is>
      </c>
      <c r="B89" s="18" t="inlineStr">
        <is>
          <t>เด็กน้อย 1 ขวบครึ่ง ผื่นแดงหน้า แขน น้องไม่มีโรคประจำตัว</t>
        </is>
      </c>
      <c r="C89" s="18" t="inlineStr"/>
      <c r="D89" s="18" t="inlineStr">
        <is>
          <t>atopic</t>
        </is>
      </c>
      <c r="E89" s="18" t="inlineStr">
        <is>
          <t>sebderm</t>
        </is>
      </c>
      <c r="F89" s="18" t="inlineStr">
        <is>
          <t>Mupirocin 2% ointment</t>
        </is>
      </c>
      <c r="G89" s="18" t="inlineStr">
        <is>
          <t>Betamethasone dipropionate 0.05% cream</t>
        </is>
      </c>
      <c r="H89" s="18" t="inlineStr"/>
      <c r="I89" s="15" t="inlineStr">
        <is>
          <t>1</t>
        </is>
      </c>
      <c r="J89" s="18"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(atopic): ข้อนี้ไม่ใช่คำตอบที่ถูกต้องสำหรับภาวะ Eczema &amp; Dermatitis เนื่องจากกลไกการออกฤทธิ์, efficacy หรือข้อบ่งใช้ไม่ตรงกับโจทย์ที่กำหนด
• ข้อ ค. (sebderm): ข้อนี้ไม่ใช่คำตอบที่ถูกต้องสำหรับภาวะ Eczema &amp; Dermatitis เนื่องจากกลไกการออกฤทธิ์, efficacy หรือข้อบ่งใช้ไม่ตรงกับโจทย์ที่กำหนด
• ข้อ ง. (Mupirocin 2% ointment): ข้อนี้ไม่ใช่คำตอบที่ถูกต้องสำหรับภาวะ Eczema &amp; Dermatitis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18" t="inlineStr"/>
      <c r="L89" s="18" t="inlineStr">
        <is>
          <t>Eczema &amp; Dermatitis</t>
        </is>
      </c>
      <c r="M89" s="18" t="inlineStr">
        <is>
          <t>Dermatology</t>
        </is>
      </c>
      <c r="N89" s="18" t="inlineStr">
        <is>
          <t>PLE_CC1_2564_All_Key ข้อ 121</t>
        </is>
      </c>
      <c r="O89" s="18" t="inlineStr">
        <is>
          <t>ข้อสอบจริง</t>
        </is>
      </c>
      <c r="P89" s="18" t="inlineStr">
        <is>
          <t>ปี 2564</t>
        </is>
      </c>
      <c r="Q89" s="18" t="inlineStr"/>
    </row>
    <row r="90">
      <c r="A90" s="15" t="inlineStr">
        <is>
          <t>89</t>
        </is>
      </c>
      <c r="B90" s="18" t="inlineStr">
        <is>
          <t>แพ้ยา ibuprofen 10 วันถึงจะมีอาการ ผิวหนังลอก มีผื่น เจ็บคอถามว่าเป็นการแพ้ยาแบบ type อะไร + บอกกลไกการแพ้ยา - เมื่อพิจารณาจากระยะเวลาการเกิดผื่น ร่วมกับลักษณะของผื่นที่เกิดขึ้น จะเป็นผื่นแพ้ยา Type IV : Cell-Mediated or delayed hypersensitivity Reaction: T-cell ปฏิกิริยาน้ีเกิดจากยาไปกระตุ้น T-cells lymphocyte ที่ recognized ยาตัวยาที่แพ้ทำให้มีการกระตุ้น Inflammatory mediators ต่าง ๆ ออกมา อาการแสดงทางคลินิกของ Type IV คือ Contact dermatitis, Photoallergy, Fixed drug eruption, Maculopapular, Morbiliform rash, Stevens Johnson syndrome, TEN ซึ่ง อาการข้างต้นจะแสดงนับจากเมื่อมี antibody พร้อมแล้ว มากกว่า 72 ชั่วโมง http://www.prachanath.su.ac.th/DIS/prachanath/answerq/ansform.php?Q_id=150 ............................................................................................................................................................................................................. 149.ยาที่ทำให้เกิด DRESS Syndrome</t>
        </is>
      </c>
      <c r="C90" s="18" t="inlineStr"/>
      <c r="D90" s="18" t="inlineStr">
        <is>
          <t>Diclofenec b) Prednisolone c) colchicine d) allopurinol e) febuxostat</t>
        </is>
      </c>
      <c r="E90" s="18" t="inlineStr">
        <is>
          <t>Clotrimazole 1% cream</t>
        </is>
      </c>
      <c r="F90" s="18" t="inlineStr">
        <is>
          <t>Hydrocortisone 1% cream</t>
        </is>
      </c>
      <c r="G90" s="18" t="inlineStr">
        <is>
          <t>allopurinol // ใน micromedex มีรายงาน dress ใน febuxostat ด้วย แต่ allopurinol มีรายงานเคสออกมาชัดเจนมาก</t>
        </is>
      </c>
      <c r="H90" s="18" t="inlineStr"/>
      <c r="I90" s="15" t="inlineStr">
        <is>
          <t>1</t>
        </is>
      </c>
      <c r="J90" s="18"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(Diclofenec b) Prednisolone c) colchicine d) allopurinol e) febuxostat):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(Clotrimazole 1% cream): ข้อนี้ไม่ใช่คำตอบที่ถูกต้องสำหรับภาวะ Eczema &amp; Dermatitis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(allopurinol // ใน micromedex มีรายงาน dress ใน febuxostat ด้วย แต่ allopurinol มีรายงานเคสออกมาชัดเจนมาก):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18" t="inlineStr"/>
      <c r="L90" s="18" t="inlineStr">
        <is>
          <t>Eczema &amp; Dermatitis</t>
        </is>
      </c>
      <c r="M90" s="18" t="inlineStr">
        <is>
          <t>Dermatology</t>
        </is>
      </c>
      <c r="N90" s="18" t="inlineStr">
        <is>
          <t>PLE_CC1_2564_All_Key ข้อ 148</t>
        </is>
      </c>
      <c r="O90" s="18" t="inlineStr">
        <is>
          <t>ข้อสอบจริง</t>
        </is>
      </c>
      <c r="P90" s="18" t="inlineStr">
        <is>
          <t>ปี 2564</t>
        </is>
      </c>
      <c r="Q90" s="18" t="inlineStr"/>
    </row>
    <row r="91">
      <c r="A91" s="15" t="inlineStr">
        <is>
          <t>90</t>
        </is>
      </c>
      <c r="B91" s="18" t="inlineStr">
        <is>
          <t>กลไกขอษ mupirocin</t>
        </is>
      </c>
      <c r="C91" s="18" t="inlineStr"/>
      <c r="D91" s="18" t="inlineStr">
        <is>
          <t>ยับยั้ษ transpeptidase ที่ผนัษเอลล์</t>
        </is>
      </c>
      <c r="E91" s="18" t="inlineStr">
        <is>
          <t>ยับยั้ษ transglycosylase ที่ผนัษเอลล์</t>
        </is>
      </c>
      <c r="F91" s="18" t="inlineStr">
        <is>
          <t>ยับยั้ษ DNA synthesis ษ. ยับยั้ษ RNA synthesis ส. ยับยั้ษ tRNA</t>
        </is>
      </c>
      <c r="G91" s="18" t="inlineStr">
        <is>
          <t>Benzoyl peroxide 2.5% gel</t>
        </is>
      </c>
      <c r="H91" s="18" t="inlineStr"/>
      <c r="I91" s="15" t="inlineStr">
        <is>
          <t>1</t>
        </is>
      </c>
      <c r="J91" s="18"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transpeptidase ที่ผนัษเอลล์): ข้อนี้ไม่ใช่คำตอบที่ถูกต้องสำหรับภาวะ Superficial fungal เนื่องจากกลไกการออกฤทธิ์, efficacy หรือข้อบ่งใช้ไม่ตรงกับโจทย์ที่กำหนด
• ข้อ ค. (ยับยั้ษ transglycosylase ที่ผนัษเอลล์): ข้อนี้ไม่ใช่คำตอบที่ถูกต้องสำหรับภาวะ Superficial fungal เนื่องจากกลไกการออกฤทธิ์, efficacy หรือข้อบ่งใช้ไม่ตรงกับโจทย์ที่กำหนด
• ข้อ ง. (ยับยั้ษ DNA synthesis ษ. ยับยั้ษ RNA synthesis ส. ยับยั้ษ tRNA):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18" t="inlineStr"/>
      <c r="L91" s="18" t="inlineStr">
        <is>
          <t>Superficial fungal</t>
        </is>
      </c>
      <c r="M91" s="18" t="inlineStr">
        <is>
          <t>Dermatology</t>
        </is>
      </c>
      <c r="N91" s="18" t="inlineStr">
        <is>
          <t>PLE_CC1_2563_Q ข้อ 52</t>
        </is>
      </c>
      <c r="O91" s="18" t="inlineStr">
        <is>
          <t>ข้อสอบจริง</t>
        </is>
      </c>
      <c r="P91" s="18" t="inlineStr">
        <is>
          <t>ปี 2563</t>
        </is>
      </c>
      <c r="Q91" s="18" t="inlineStr"/>
    </row>
    <row r="92">
      <c r="A92" s="15" t="inlineStr">
        <is>
          <t>91</t>
        </is>
      </c>
      <c r="B92" s="18" t="inlineStr">
        <is>
          <t>ข้อใดเป็นอาการข้าษเคียษสากยาขี้ผึ้ษ mupirocin</t>
        </is>
      </c>
      <c r="C92" s="18" t="inlineStr"/>
      <c r="D92" s="18" t="inlineStr">
        <is>
          <t>Photosensitivity</t>
        </is>
      </c>
      <c r="E92" s="18" t="inlineStr">
        <is>
          <t>Acneiform eruption</t>
        </is>
      </c>
      <c r="F92" s="18" t="inlineStr">
        <is>
          <t>Skin irritation ษ. Striae ส. Spider nevi</t>
        </is>
      </c>
      <c r="G92" s="18" t="inlineStr">
        <is>
          <t>Cetirizine 10 mg OD</t>
        </is>
      </c>
      <c r="H92" s="18" t="inlineStr"/>
      <c r="I92" s="15" t="inlineStr">
        <is>
          <t>1</t>
        </is>
      </c>
      <c r="J92" s="18"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(Photosensitivity): ข้อนี้ไม่ใช่คำตอบที่ถูกต้องสำหรับภาวะ Superficial fungal เนื่องจากกลไกการออกฤทธิ์, efficacy หรือข้อบ่งใช้ไม่ตรงกับโจทย์ที่กำหนด
• ข้อ ค. (Acneiform eruption): ข้อนี้ไม่ใช่คำตอบที่ถูกต้องสำหรับภาวะ Superficial fungal เนื่องจากกลไกการออกฤทธิ์, efficacy หรือข้อบ่งใช้ไม่ตรงกับโจทย์ที่กำหนด
• ข้อ ง. (Skin irritation ษ. Striae ส. Spider nevi):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8" t="inlineStr"/>
      <c r="L92" s="18" t="inlineStr">
        <is>
          <t>Superficial fungal</t>
        </is>
      </c>
      <c r="M92" s="18" t="inlineStr">
        <is>
          <t>Dermatology</t>
        </is>
      </c>
      <c r="N92" s="18" t="inlineStr">
        <is>
          <t>PLE_CC1_2563_Q ข้อ 53</t>
        </is>
      </c>
      <c r="O92" s="18" t="inlineStr">
        <is>
          <t>ข้อสอบจริง</t>
        </is>
      </c>
      <c r="P92" s="18" t="inlineStr">
        <is>
          <t>ปี 2563</t>
        </is>
      </c>
      <c r="Q92" s="18" t="inlineStr"/>
    </row>
    <row r="93">
      <c r="A93" s="15" t="inlineStr">
        <is>
          <t>92</t>
        </is>
      </c>
      <c r="B93" s="18" t="inlineStr">
        <is>
          <t>ยาใดสามารถให้แทนยาทา Mupirocin ได้ (ผู้ป่วยหกล้มและมีแผล)</t>
        </is>
      </c>
      <c r="C93" s="18" t="inlineStr"/>
      <c r="D93" s="18" t="inlineStr">
        <is>
          <t>Gentamicin</t>
        </is>
      </c>
      <c r="E93" s="18" t="inlineStr">
        <is>
          <t>Bacitracin</t>
        </is>
      </c>
      <c r="F93" s="18" t="inlineStr">
        <is>
          <t>Sulfanilamide ษ. Metronidazole</t>
        </is>
      </c>
      <c r="G93" s="18" t="inlineStr">
        <is>
          <t>Adapalene 0.1% gel</t>
        </is>
      </c>
      <c r="H93" s="18" t="inlineStr"/>
      <c r="I93" s="15" t="inlineStr">
        <is>
          <t>1</t>
        </is>
      </c>
      <c r="J93" s="18"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(Gentamicin): เป็น Aminoglycoside มี concentration-dependent bactericidal effect ต่อ gram-negative มี nephrotoxicity และ ototoxicity ต้อง monitoring renal function และ serum level
• ข้อ ค. (Bacitracin): ข้อนี้ไม่ใช่คำตอบที่ถูกต้องสำหรับภาวะ Wound เนื่องจากกลไกการออกฤทธิ์, efficacy หรือข้อบ่งใช้ไม่ตรงกับโจทย์ที่กำหนด
• ข้อ ง. (Sulfanilamide ษ. Metronidazole): เป็น antianaerobic และ antiprotozoal agent ยับยั้ง Trichomonas vaginalis, Giardia, Amebiasis, และ anaerobes ห้ามดื่มแอลกอฮอล์ระหว่างใช้ยา (disulfiram-like reaction)
• ข้อ จ. (Adapalene 0.1% gel):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18" t="inlineStr"/>
      <c r="L93" s="18" t="inlineStr">
        <is>
          <t>Wound</t>
        </is>
      </c>
      <c r="M93" s="18" t="inlineStr">
        <is>
          <t>Dermatology</t>
        </is>
      </c>
      <c r="N93" s="18" t="inlineStr">
        <is>
          <t>PLE_CC1_2563_Q ข้อ 54</t>
        </is>
      </c>
      <c r="O93" s="18" t="inlineStr">
        <is>
          <t>ข้อสอบจริง</t>
        </is>
      </c>
      <c r="P93" s="18" t="inlineStr">
        <is>
          <t>ปี 2563</t>
        </is>
      </c>
      <c r="Q93" s="18" t="inlineStr"/>
    </row>
    <row r="94">
      <c r="A94" s="15" t="inlineStr">
        <is>
          <t>93</t>
        </is>
      </c>
      <c r="B94" s="18" t="inlineStr">
        <is>
          <t>เฬื้อที่ทำให้เกิดสิวคือ</t>
        </is>
      </c>
      <c r="C94" s="18" t="inlineStr"/>
      <c r="D94" s="18" t="inlineStr">
        <is>
          <t>C. albicans</t>
        </is>
      </c>
      <c r="E94" s="18" t="inlineStr">
        <is>
          <t>H. pylori</t>
        </is>
      </c>
      <c r="F94" s="18" t="inlineStr">
        <is>
          <t>P. acne ษ. S. pyogenes ส. S. aureus</t>
        </is>
      </c>
      <c r="G94" s="18" t="inlineStr">
        <is>
          <t>Clotrimazole 1% cream</t>
        </is>
      </c>
      <c r="H94" s="18" t="inlineStr"/>
      <c r="I94" s="15" t="inlineStr">
        <is>
          <t>1</t>
        </is>
      </c>
      <c r="J94" s="18"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 albicans): ข้อนี้ไม่ใช่คำตอบที่ถูกต้องสำหรับภาวะ Acne เนื่องจากกลไกการออกฤทธิ์, efficacy หรือข้อบ่งใช้ไม่ตรงกับโจทย์ที่กำหนด
• ข้อ ค. (H. pylori): ข้อนี้ไม่ใช่คำตอบที่ถูกต้องสำหรับภาวะ Acne เนื่องจากกลไกการออกฤทธิ์, efficacy หรือข้อบ่งใช้ไม่ตรงกับโจทย์ที่กำหนด
• ข้อ ง. (P. acne ษ. S. pyogenes ส. S. aureus): ข้อนี้ไม่ใช่คำตอบที่ถูกต้องสำหรับภาวะ Acne เนื่องจากกลไกการออกฤทธิ์, efficacy หรือข้อบ่งใช้ไม่ตรงกับโจทย์ที่กำหนด
• ข้อ จ. (Clotrimazole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18" t="inlineStr"/>
      <c r="L94" s="18" t="inlineStr">
        <is>
          <t>Acne</t>
        </is>
      </c>
      <c r="M94" s="18" t="inlineStr">
        <is>
          <t>Dermatology</t>
        </is>
      </c>
      <c r="N94" s="18" t="inlineStr">
        <is>
          <t>PLE_CC1_2563_Q ข้อ 57</t>
        </is>
      </c>
      <c r="O94" s="18" t="inlineStr">
        <is>
          <t>ข้อสอบจริง</t>
        </is>
      </c>
      <c r="P94" s="18" t="inlineStr">
        <is>
          <t>ปี 2563</t>
        </is>
      </c>
      <c r="Q94" s="18" t="inlineStr"/>
    </row>
    <row r="95">
      <c r="A95" s="15" t="inlineStr">
        <is>
          <t>94</t>
        </is>
      </c>
      <c r="B95" s="18" t="inlineStr">
        <is>
          <t>Oral isotretinoin ควรให้คำแนะนำอะไรที่เกิดสากผลข้าษเคียษที่สำคัญขอษตัวยา</t>
        </is>
      </c>
      <c r="C95" s="18" t="inlineStr"/>
      <c r="D95" s="18" t="inlineStr">
        <is>
          <t>ควรกินก่อนอาหาร30นาที</t>
        </is>
      </c>
      <c r="E95" s="18" t="inlineStr">
        <is>
          <t>ควรษดผลิตภัณฑ์ที่เป็นฮอร์โมน</t>
        </is>
      </c>
      <c r="F95" s="18" t="inlineStr">
        <is>
          <t>ควรทาครีมกันแดด ษ. ไม่ควรใฬ้ผลิตภัณฑ์ทาผิวที่มี vitamin A ส. อาหารไม่มีผลต่อการกินยา</t>
        </is>
      </c>
      <c r="G95" s="18" t="inlineStr">
        <is>
          <t>Clobetasol propionate 0.05% cream</t>
        </is>
      </c>
      <c r="H95" s="18" t="inlineStr"/>
      <c r="I95" s="15" t="inlineStr">
        <is>
          <t>1</t>
        </is>
      </c>
      <c r="J95" s="18"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(ควรกินก่อนอาหาร30นาที): ข้อนี้ไม่ใช่คำตอบที่ถูกต้องสำหรับภาวะ Acne เนื่องจากกลไกการออกฤทธิ์, efficacy หรือข้อบ่งใช้ไม่ตรงกับโจทย์ที่กำหนด
• ข้อ ค. (ควรษดผลิตภัณฑ์ที่เป็นฮอร์โมน): ข้อนี้ไม่ใช่คำตอบที่ถูกต้องสำหรับภาวะ Acne เนื่องจากกลไกการออกฤทธิ์, efficacy หรือข้อบ่งใช้ไม่ตรงกับโจทย์ที่กำหนด
• ข้อ ง. (ควรทาครีมกันแดด ษ. ไม่ควรใฬ้ผลิตภัณฑ์ทาผิวที่มี vitamin A ส. อาหารไม่มีผลต่อการกินยา): ข้อนี้ไม่ใช่คำตอบที่ถูกต้องสำหรับภาวะ Acne เนื่องจากกลไกการออกฤทธิ์, efficacy หรือข้อบ่งใช้ไม่ตรงกับโจทย์ที่กำหนด
• ข้อ จ. (Clobetasol propionate 0.05%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18" t="inlineStr"/>
      <c r="L95" s="18" t="inlineStr">
        <is>
          <t>Acne</t>
        </is>
      </c>
      <c r="M95" s="18" t="inlineStr">
        <is>
          <t>Dermatology</t>
        </is>
      </c>
      <c r="N95" s="18" t="inlineStr">
        <is>
          <t>PLE_CC1_2563_Q ข้อ 58</t>
        </is>
      </c>
      <c r="O95" s="18" t="inlineStr">
        <is>
          <t>ข้อสอบจริง</t>
        </is>
      </c>
      <c r="P95" s="18" t="inlineStr">
        <is>
          <t>ปี 2563</t>
        </is>
      </c>
      <c r="Q95" s="18" t="inlineStr"/>
    </row>
    <row r="96">
      <c r="A96" s="15" t="inlineStr">
        <is>
          <t>94</t>
        </is>
      </c>
      <c r="B96" s="18" t="inlineStr">
        <is>
          <t>อาการข้างต้นน่าจะเกิดจากยาใดมากที่สุด และเป็นอาการอะไร wasinsider W ↓ X STS</t>
        </is>
      </c>
      <c r="C96" s="18" t="inlineStr"/>
      <c r="D96" s="18" t="inlineStr">
        <is>
          <t>Naproxen - angioedema</t>
        </is>
      </c>
      <c r="E96" s="18" t="inlineStr">
        <is>
          <t>Naproxen - anaphylaxis</t>
        </is>
      </c>
      <c r="F96" s="18" t="inlineStr">
        <is>
          <t>Simvastatin - urticaria</t>
        </is>
      </c>
      <c r="G96" s="18" t="inlineStr">
        <is>
          <t>MFM - angioedema</t>
        </is>
      </c>
      <c r="H96" s="18" t="inlineStr">
        <is>
          <t>MFM ı anaphylaxis</t>
        </is>
      </c>
      <c r="I96" s="15" t="inlineStr">
        <is>
          <t>1</t>
        </is>
      </c>
      <c r="J96" s="18"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เป็น non-selective NSAID ที่มี cardiovascular safety profile ดีที่สุด และมี efficacy สูงในการระงับ acute inflammation
• ข้อ ค. (Simvastatin - urticaria): เป็น moderate-intensity statin เมแทบอไลต์ผ่าน CYP3A4 เด่นชัด ห้ามใช้ dose 80 mg และมี drug interactions สูงกับ CYP3A4 inhibitors (clarithromycin, ketoconazole)
• ข้อ ง. (MFM - angioedema): ข้อนี้ไม่ใช่คำตอบที่ถูกต้องสำหรับภาวะ Superficial fungal เนื่องจากกลไกการออกฤทธิ์, efficacy หรือข้อบ่งใช้ไม่ตรงกับโจทย์ที่กำหนด
• ข้อ จ. (MFM ı anaphylaxis):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18" t="inlineStr"/>
      <c r="L96" s="18" t="inlineStr">
        <is>
          <t>Superficial fungal</t>
        </is>
      </c>
      <c r="M96" s="18" t="inlineStr">
        <is>
          <t>Clinic</t>
        </is>
      </c>
      <c r="N96" s="18" t="inlineStr">
        <is>
          <t>ข้อ 21 (PLE_CC1_2562_Key.md)</t>
        </is>
      </c>
      <c r="O96" s="18" t="inlineStr">
        <is>
          <t>ข้อสอบจริง</t>
        </is>
      </c>
      <c r="P96" s="18" t="inlineStr">
        <is>
          <t>ปี 2562</t>
        </is>
      </c>
    </row>
    <row r="97">
      <c r="A97" s="15" t="inlineStr">
        <is>
          <t>95</t>
        </is>
      </c>
      <c r="B97" s="18" t="inlineStr">
        <is>
          <t>โครงสร้างใดเกิดแพ้ยาข้ามกลุ่ม (cross hypersensitivity) ได้จากการแพ้ยาแบบผิวหนังลอก X</t>
        </is>
      </c>
      <c r="C97" s="18" t="inlineStr"/>
      <c r="D97" s="18" t="inlineStr">
        <is>
          <t>Benzoyl peroxide 2.5% gel</t>
        </is>
      </c>
      <c r="E97" s="18" t="inlineStr">
        <is>
          <t>Acyclovir 5% cream</t>
        </is>
      </c>
      <c r="F97" s="18" t="inlineStr">
        <is>
          <t>Silver sulfadiazine 1% cream</t>
        </is>
      </c>
      <c r="G97" s="18" t="inlineStr">
        <is>
          <t>Cetirizine 10 mg OD</t>
        </is>
      </c>
      <c r="H97" s="18" t="inlineStr">
        <is>
          <t>. sulfonamide &amp; "Jognican hand.energ 0 Whe S -- 1 = หË´มนาÆปทาซËาทืกกรณิ ÂวËนาต้จ²ÆดËรงบ¯นืญ´ต sulfone sulfonamide</t>
        </is>
      </c>
      <c r="I97" s="15" t="inlineStr">
        <is>
          <t>1</t>
        </is>
      </c>
      <c r="J97" s="18"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 sulfonamide &amp; "Jognican hand.energ 0 Whe S -- 1 = หË´มนาÆปทาซËาทืกกรณิ ÂวËนาต้จ²ÆดËรงบ¯นืญ´ต sulfone sulfonamide):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18" t="inlineStr"/>
      <c r="L97" s="18" t="inlineStr">
        <is>
          <t>Superficial fungal</t>
        </is>
      </c>
      <c r="M97" s="18" t="inlineStr">
        <is>
          <t>Clinic</t>
        </is>
      </c>
      <c r="N97" s="18" t="inlineStr">
        <is>
          <t>ข้อ 27 (PLE_CC1_2562_Key.md)</t>
        </is>
      </c>
      <c r="O97" s="18" t="inlineStr">
        <is>
          <t>ข้อสอบจริง</t>
        </is>
      </c>
      <c r="P97" s="18" t="inlineStr">
        <is>
          <t>ปี 2562</t>
        </is>
      </c>
    </row>
    <row r="98">
      <c r="A98" s="15" t="inlineStr">
        <is>
          <t>96</t>
        </is>
      </c>
      <c r="B98" s="18"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18" t="inlineStr"/>
      <c r="D98" s="18" t="inlineStr">
        <is>
          <t>RCT</t>
        </is>
      </c>
      <c r="E98" s="18" t="inlineStr">
        <is>
          <t>Prospective case-control</t>
        </is>
      </c>
      <c r="F98" s="18" t="inlineStr">
        <is>
          <t>Retrospective case-control</t>
        </is>
      </c>
      <c r="G98" s="18" t="inlineStr">
        <is>
          <t>Prospective cohort</t>
        </is>
      </c>
      <c r="H98" s="18" t="inlineStr">
        <is>
          <t>Retrospective cohort</t>
        </is>
      </c>
      <c r="I98" s="15" t="inlineStr">
        <is>
          <t>1</t>
        </is>
      </c>
      <c r="J98" s="18"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ข้อนี้ไม่ใช่คำตอบที่ถูกต้องสำหรับภาวะ Eczema &amp; Dermatitis เนื่องจากกลไกการออกฤทธิ์, efficacy หรือข้อบ่งใช้ไม่ตรงกับโจทย์ที่กำหนด
• ข้อ ค. (Retrospective case-control): ข้อนี้ไม่ใช่คำตอบที่ถูกต้องสำหรับภาวะ Eczema &amp; Dermatitis เนื่องจากกลไกการออกฤทธิ์, efficacy หรือข้อบ่งใช้ไม่ตรงกับโจทย์ที่กำหนด
• ข้อ ง. (Prospective cohort): ข้อนี้ไม่ใช่คำตอบที่ถูกต้องสำหรับภาวะ Eczema &amp; Dermatitis เนื่องจากกลไกการออกฤทธิ์, efficacy หรือข้อบ่งใช้ไม่ตรงกับโจทย์ที่กำหนด
• ข้อ จ. (Retrospective cohort):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18" t="inlineStr"/>
      <c r="L98" s="18" t="inlineStr">
        <is>
          <t>Eczema &amp; Dermatitis</t>
        </is>
      </c>
      <c r="M98" s="18" t="inlineStr">
        <is>
          <t>Clinic</t>
        </is>
      </c>
      <c r="N98" s="18" t="inlineStr">
        <is>
          <t>ข้อ 62 (PLE_CC1_2562_Key.md)</t>
        </is>
      </c>
      <c r="O98" s="18" t="inlineStr">
        <is>
          <t>ข้อสอบจริง</t>
        </is>
      </c>
      <c r="P98" s="18" t="inlineStr">
        <is>
          <t>ปี 2562</t>
        </is>
      </c>
    </row>
    <row r="99">
      <c r="A99" s="15" t="inlineStr">
        <is>
          <t>97</t>
        </is>
      </c>
      <c r="B99" s="18" t="inlineStr">
        <is>
          <t>ข้อใดคือ indirect cost CUTEagomoline WV225 cut as</t>
        </is>
      </c>
      <c r="C99" s="18" t="inlineStr"/>
      <c r="D99" s="18" t="inlineStr">
        <is>
          <t>Adapalene 0.1% gel</t>
        </is>
      </c>
      <c r="E99" s="18" t="inlineStr">
        <is>
          <t>Mupirocin 2% ointment</t>
        </is>
      </c>
      <c r="F99" s="18" t="inlineStr">
        <is>
          <t>Betamethasone dipropionate 0.05% cream</t>
        </is>
      </c>
      <c r="G99" s="18" t="inlineStr">
        <is>
          <t>Clotrimazole 1% cream</t>
        </is>
      </c>
      <c r="H99" s="18" t="inlineStr">
        <is>
          <t>Hydrocortisone 1% cream</t>
        </is>
      </c>
      <c r="I99" s="15" t="inlineStr">
        <is>
          <t>1</t>
        </is>
      </c>
      <c r="J99" s="18"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8" t="inlineStr"/>
      <c r="L99" s="18" t="inlineStr">
        <is>
          <t>Superficial fungal</t>
        </is>
      </c>
      <c r="M99" s="18" t="inlineStr">
        <is>
          <t>Clinic</t>
        </is>
      </c>
      <c r="N99" s="18" t="inlineStr">
        <is>
          <t>ข้อ 113 (PLE_CC1_2561_Key.md)</t>
        </is>
      </c>
      <c r="O99" s="18" t="inlineStr">
        <is>
          <t>ข้อสอบจริง</t>
        </is>
      </c>
      <c r="P99" s="18" t="inlineStr">
        <is>
          <t>ปี 2561</t>
        </is>
      </c>
    </row>
    <row r="100">
      <c r="A100" s="15" t="inlineStr">
        <is>
          <t>98</t>
        </is>
      </c>
      <c r="B100" s="18" t="inlineStr">
        <is>
          <t>ข้อใดต่อไปถูกต้องเกี่ยวกับเกลื อน</t>
        </is>
      </c>
      <c r="C100" s="18" t="inlineStr"/>
      <c r="D100" s="18" t="inlineStr">
        <is>
          <t>เกิดจากเชื อ Malassezia furfur</t>
        </is>
      </c>
      <c r="E100" s="18" t="inlineStr">
        <is>
          <t>ถ้าอาการรุนแรง จะมีขุย แดง คัน</t>
        </is>
      </c>
      <c r="F100" s="18" t="inlineStr">
        <is>
          <t>ถ้าทดสอบด้วย 10% KOH ไปส่องกล้อง จะเห็น Long pseudohyphae</t>
        </is>
      </c>
      <c r="G100" s="18" t="inlineStr">
        <is>
          <t>ใช้ยาทา Topical selenium sulfide ในการรักษา</t>
        </is>
      </c>
      <c r="H100" s="18" t="inlineStr">
        <is>
          <t>ถ้าเป็นบ่อยๆ ควรได้รับยาป้องกัน รวมโดย Phongsathorn Phlaisaithong Rx 9 UP 4 | P a g e</t>
        </is>
      </c>
      <c r="I100" s="15" t="inlineStr">
        <is>
          <t>1</t>
        </is>
      </c>
      <c r="J100" s="18"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ข้อนี้ไม่ใช่คำตอบที่ถูกต้องสำหรับภาวะ Superficial fungal เนื่องจากกลไกการออกฤทธิ์, efficacy หรือข้อบ่งใช้ไม่ตรงกับโจทย์ที่กำหนด
• ข้อ ค. (ถ้าทดสอบด้วย 10% KOH ไปส่องกล้อง จะเห็น Long pseudohyphae): ข้อนี้ไม่ใช่คำตอบที่ถูกต้องสำหรับภาวะ Superficial fungal เนื่องจากกลไกการออกฤทธิ์, efficacy หรือข้อบ่งใช้ไม่ตรงกับโจทย์ที่กำหนด
• ข้อ ง. (ใช้ยาทา Topical selenium sulfide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จ. (ถ้าเป็นบ่อยๆ ควรได้รับยาป้องกัน รวมโดย Phongsathorn Phlaisaithong Rx 9 UP 4 | P a g 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8" t="inlineStr"/>
      <c r="L100" s="18" t="inlineStr">
        <is>
          <t>Superficial fungal</t>
        </is>
      </c>
      <c r="M100" s="18" t="inlineStr">
        <is>
          <t>Clinic</t>
        </is>
      </c>
      <c r="N100" s="18" t="inlineStr">
        <is>
          <t>ข้อ 1 (PLE_CC1_2560 22 April Set 1.md)</t>
        </is>
      </c>
      <c r="O100" s="18" t="inlineStr">
        <is>
          <t>ข้อสอบจริง</t>
        </is>
      </c>
      <c r="P100" s="18" t="inlineStr">
        <is>
          <t>ปี 2560</t>
        </is>
      </c>
    </row>
    <row r="101">
      <c r="A101" s="15" t="inlineStr">
        <is>
          <t>99</t>
        </is>
      </c>
      <c r="B101" s="18" t="inlineStr">
        <is>
          <t>ถ้าจะใช้ยากิน ควรใช้ยารับประทานใด</t>
        </is>
      </c>
      <c r="C101" s="18" t="inlineStr"/>
      <c r="D101" s="18" t="inlineStr">
        <is>
          <t>Ketoconazole</t>
        </is>
      </c>
      <c r="E101" s="18" t="inlineStr">
        <is>
          <t>Posaconazole</t>
        </is>
      </c>
      <c r="F101" s="18" t="inlineStr">
        <is>
          <t>Miconazole</t>
        </is>
      </c>
      <c r="G101" s="18" t="inlineStr">
        <is>
          <t>Fluconazole</t>
        </is>
      </c>
      <c r="H101" s="18" t="inlineStr">
        <is>
          <t>Griseofulvin หลังจากนั นสักพักผู้ป่วยอาการไม่ดีขึ นไปพบแพทย์จ่ายยา Itraconazole ให้มารับประทาน</t>
        </is>
      </c>
      <c r="I101" s="15" t="inlineStr">
        <is>
          <t>1</t>
        </is>
      </c>
      <c r="J101" s="18"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ข้อนี้ไม่ใช่คำตอบที่ถูกต้องสำหรับภาวะ Superficial fungal เนื่องจากกลไกการออกฤทธิ์, efficacy หรือข้อบ่งใช้ไม่ตรงกับโจทย์ที่กำหนด
• ข้อ ค. (Miconazole): ข้อนี้ไม่ใช่คำตอบที่ถูกต้องสำหรับภาวะ Superficial fungal เนื่องจากกลไกการออกฤทธิ์, efficacy หรือข้อบ่งใช้ไม่ตรงกับโจทย์ที่กำหนด
• ข้อ ง. (Fluconazole): เป็น Triazole antifungal เป็น first-line สำหรับ Candida albicans และ Cryptococcal maintenance therapy ขับออกทางไตเด่นชัดจึงต้องปรับ dose ตาม CrCl
• ข้อ จ. (Griseofulvin หลังจากนั นสักพักผู้ป่วยอาการไม่ดีขึ นไปพบแพทย์จ่ายยา Itraconazole ให้มารับประทาน):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8" t="inlineStr"/>
      <c r="L101" s="18" t="inlineStr">
        <is>
          <t>Superficial fungal</t>
        </is>
      </c>
      <c r="M101" s="18" t="inlineStr">
        <is>
          <t>Clinic</t>
        </is>
      </c>
      <c r="N101" s="18" t="inlineStr">
        <is>
          <t>ข้อ 2 (PLE_CC1_2560 22 April Set 1.md)</t>
        </is>
      </c>
      <c r="O101" s="18" t="inlineStr">
        <is>
          <t>ข้อสอบจริง</t>
        </is>
      </c>
      <c r="P101" s="18" t="inlineStr">
        <is>
          <t>ปี 2560</t>
        </is>
      </c>
    </row>
    <row r="102">
      <c r="A102" s="15" t="inlineStr">
        <is>
          <t>100</t>
        </is>
      </c>
      <c r="B102" s="18" t="inlineStr">
        <is>
          <t>กลไกการออกฤทธิ์ของยา Clotrimazole</t>
        </is>
      </c>
      <c r="C102" s="18" t="inlineStr"/>
      <c r="D102" s="18" t="inlineStr">
        <is>
          <t>ยับยั งการสังเคราะห์ Ergosterol</t>
        </is>
      </c>
      <c r="E102" s="18" t="inlineStr">
        <is>
          <t>ยับยั ง Squalene epoxidase</t>
        </is>
      </c>
      <c r="F102" s="18" t="inlineStr">
        <is>
          <t>Mitotic spindle toxicity</t>
        </is>
      </c>
      <c r="G102" s="18" t="inlineStr">
        <is>
          <t>Thymidylate synthase inhibitors</t>
        </is>
      </c>
      <c r="H102" s="18" t="inlineStr">
        <is>
          <t>ยับยั งการสร้าง Glucans</t>
        </is>
      </c>
      <c r="I102" s="15" t="inlineStr">
        <is>
          <t>1</t>
        </is>
      </c>
      <c r="J102" s="18"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ข้อนี้ไม่ใช่คำตอบที่ถูกต้องสำหรับภาวะ Superficial fungal เนื่องจากกลไกการออกฤทธิ์, efficacy หรือข้อบ่งใช้ไม่ตรงกับโจทย์ที่กำหนด
• ข้อ ค. (Mitotic spindle toxicity): ข้อนี้ไม่ใช่คำตอบที่ถูกต้องสำหรับภาวะ Superficial fungal เนื่องจากกลไกการออกฤทธิ์, efficacy หรือข้อบ่งใช้ไม่ตรงกับโจทย์ที่กำหนด
• ข้อ ง. (Thymidylate synthase inhibitors): ข้อนี้ไม่ใช่คำตอบที่ถูกต้องสำหรับภาวะ Superficial fungal เนื่องจากกลไกการออกฤทธิ์, efficacy หรือข้อบ่งใช้ไม่ตรงกับโจทย์ที่กำหนด
• ข้อ จ. (ยับยั งการสร้าง Glucans):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8" t="inlineStr"/>
      <c r="L102" s="18" t="inlineStr">
        <is>
          <t>Superficial fungal</t>
        </is>
      </c>
      <c r="M102" s="18" t="inlineStr">
        <is>
          <t>Clinic</t>
        </is>
      </c>
      <c r="N102" s="18" t="inlineStr">
        <is>
          <t>ข้อ 7 (PLE_CC1_2560 22 April Set 1.md)</t>
        </is>
      </c>
      <c r="O102" s="18" t="inlineStr">
        <is>
          <t>ข้อสอบจริง</t>
        </is>
      </c>
      <c r="P102" s="18" t="inlineStr">
        <is>
          <t>ปี 2560</t>
        </is>
      </c>
    </row>
    <row r="103">
      <c r="A103" s="15" t="inlineStr">
        <is>
          <t>101</t>
        </is>
      </c>
      <c r="B103" s="18" t="inlineStr">
        <is>
          <t>ผื่นที่หน้าของผู้ป่วย เรียกว่าอะไร</t>
        </is>
      </c>
      <c r="C103" s="18" t="inlineStr"/>
      <c r="D103" s="18" t="inlineStr">
        <is>
          <t>Discoid rash</t>
        </is>
      </c>
      <c r="E103" s="18" t="inlineStr">
        <is>
          <t>Maculopapular rash</t>
        </is>
      </c>
      <c r="F103" s="18" t="inlineStr">
        <is>
          <t>Urticaria</t>
        </is>
      </c>
      <c r="G103" s="18" t="inlineStr">
        <is>
          <t>Malar rash</t>
        </is>
      </c>
      <c r="H103" s="18" t="inlineStr">
        <is>
          <t>Angioedema</t>
        </is>
      </c>
      <c r="I103" s="15" t="inlineStr">
        <is>
          <t>1</t>
        </is>
      </c>
      <c r="J103" s="18"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ข้อนี้ไม่ใช่คำตอบที่ถูกต้องสำหรับภาวะ Eczema &amp; Dermatitis เนื่องจากกลไกการออกฤทธิ์, efficacy หรือข้อบ่งใช้ไม่ตรงกับโจทย์ที่กำหนด
• ข้อ ค. (Urticaria): ข้อนี้ไม่ใช่คำตอบที่ถูกต้องสำหรับภาวะ Eczema &amp; Dermatitis เนื่องจากกลไกการออกฤทธิ์, efficacy หรือข้อบ่งใช้ไม่ตรงกับโจทย์ที่กำหนด
• ข้อ ง. (Malar rash): ข้อนี้ไม่ใช่คำตอบที่ถูกต้องสำหรับภาวะ Eczema &amp; Dermatitis เนื่องจากกลไกการออกฤทธิ์, efficacy หรือข้อบ่งใช้ไม่ตรงกับโจทย์ที่กำหนด
• ข้อ จ. (Angioedema):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18" t="inlineStr"/>
      <c r="L103" s="18" t="inlineStr">
        <is>
          <t>Eczema &amp; Dermatitis</t>
        </is>
      </c>
      <c r="M103" s="18" t="inlineStr">
        <is>
          <t>Clinic</t>
        </is>
      </c>
      <c r="N103" s="18" t="inlineStr">
        <is>
          <t>ข้อ 1 (PLE_CC1_2560 22 April Set 1.md)</t>
        </is>
      </c>
      <c r="O103" s="18" t="inlineStr">
        <is>
          <t>ข้อสอบจริง</t>
        </is>
      </c>
      <c r="P103" s="18" t="inlineStr">
        <is>
          <t>ปี 2560</t>
        </is>
      </c>
    </row>
    <row r="104">
      <c r="A104" s="15" t="inlineStr">
        <is>
          <t>102</t>
        </is>
      </c>
      <c r="B104" s="18"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18" t="inlineStr"/>
      <c r="D104" s="18" t="inlineStr">
        <is>
          <t>Betamethasone dipropionate 0.05%</t>
        </is>
      </c>
      <c r="E104" s="18" t="inlineStr">
        <is>
          <t>Clobetasol propionate 0.05%</t>
        </is>
      </c>
      <c r="F104" s="18" t="inlineStr">
        <is>
          <t>Dexosimethasone 0.05%</t>
        </is>
      </c>
      <c r="G104" s="18" t="inlineStr">
        <is>
          <t>Triamcinolone acetonide 0.1%</t>
        </is>
      </c>
      <c r="H104" s="18" t="inlineStr">
        <is>
          <t>Hydrocortisone acetate 0.5% รวมโดย Phongsathorn Phlaisaithong Rx 9 UP 21 | P a g e</t>
        </is>
      </c>
      <c r="I104" s="15" t="inlineStr">
        <is>
          <t>1</t>
        </is>
      </c>
      <c r="J104" s="18"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ข้อนี้ไม่ใช่คำตอบที่ถูกต้องสำหรับภาวะ Eczema &amp; Dermatitis เนื่องจากกลไกการออกฤทธิ์, efficacy หรือข้อบ่งใช้ไม่ตรงกับโจทย์ที่กำหนด
• ข้อ ค. (Dexosimethasone 0.05%): ข้อนี้ไม่ใช่คำตอบที่ถูกต้องสำหรับภาวะ Eczema &amp; Dermatitis เนื่องจากกลไกการออกฤทธิ์, efficacy หรือข้อบ่งใช้ไม่ตรงกับโจทย์ที่กำหนด
• ข้อ ง. (Triamcinolone acetonide 0.1%): ข้อนี้ไม่ใช่คำตอบที่ถูกต้องสำหรับภาวะ Eczema &amp; Dermatitis เนื่องจากกลไกการออกฤทธิ์, efficacy หรือข้อบ่งใช้ไม่ตรงกับโจทย์ที่กำหนด
• ข้อ จ. (Hydrocortisone acetate 0.5% รวมโดย Phongsathorn Phlaisaithong Rx 9 UP 21 | P a g e): เป็น short-acting glucocorticoid ที่มี mineralocorticoid activity สูง เป็น drug of choice สำหรับ acute adrenal insufficiency / adrenal crisis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18" t="inlineStr"/>
      <c r="L104" s="18" t="inlineStr">
        <is>
          <t>Eczema &amp; Dermatitis</t>
        </is>
      </c>
      <c r="M104" s="18" t="inlineStr">
        <is>
          <t>Clinic</t>
        </is>
      </c>
      <c r="N104" s="18" t="inlineStr">
        <is>
          <t>ข้อ 3 (PLE_CC1_2560 22 April Set 1.md)</t>
        </is>
      </c>
      <c r="O104" s="18" t="inlineStr">
        <is>
          <t>ข้อสอบจริง</t>
        </is>
      </c>
      <c r="P104" s="18" t="inlineStr">
        <is>
          <t>ปี 2560</t>
        </is>
      </c>
    </row>
    <row r="105">
      <c r="A105" s="15" t="inlineStr">
        <is>
          <t>103</t>
        </is>
      </c>
      <c r="B105" s="18" t="inlineStr">
        <is>
          <t>ข้อใดต่อไปถูกต้องเกี่ยวกับเกลื้อน</t>
        </is>
      </c>
      <c r="C105" s="18" t="inlineStr"/>
      <c r="D105" s="18" t="inlineStr">
        <is>
          <t>เกิดจากเชื้อ Malassezia furfur</t>
        </is>
      </c>
      <c r="E105" s="18" t="inlineStr">
        <is>
          <t>ถ้าอาการรุนแรง จะมีขุย แดง คัน</t>
        </is>
      </c>
      <c r="F105" s="18" t="inlineStr">
        <is>
          <t>ถ้าทดสอบด้วย 10% KOH ไปส่องกล้อง จะเห็น Long pseudohyphae</t>
        </is>
      </c>
      <c r="G105" s="18" t="inlineStr">
        <is>
          <t>ใช้ยาทา Topical selenium sulfide ในการรักษา</t>
        </is>
      </c>
      <c r="H105" s="18" t="inlineStr">
        <is>
          <t>ถ้าเป็นบ่อยๆ ควรได้รับยาป้องกัน</t>
        </is>
      </c>
      <c r="I105" s="15" t="inlineStr">
        <is>
          <t>1</t>
        </is>
      </c>
      <c r="J105" s="18"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ข้อนี้ไม่ใช่คำตอบที่ถูกต้องสำหรับภาวะ Superficial fungal เนื่องจากกลไกการออกฤทธิ์, efficacy หรือข้อบ่งใช้ไม่ตรงกับโจทย์ที่กำหนด
• ข้อ ค. (ถ้าทดสอบด้วย 10% KOH ไปส่องกล้อง จะเห็น Long pseudohyphae): ข้อนี้ไม่ใช่คำตอบที่ถูกต้องสำหรับภาวะ Superficial fungal เนื่องจากกลไกการออกฤทธิ์, efficacy หรือข้อบ่งใช้ไม่ตรงกับโจทย์ที่กำหนด
• ข้อ ง. (ใช้ยาทา Topical selenium sulfide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จ. (ถ้าเป็นบ่อยๆ ควรได้รับยาป้องกัน):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8" t="inlineStr"/>
      <c r="L105" s="18" t="inlineStr">
        <is>
          <t>Superficial fungal</t>
        </is>
      </c>
      <c r="M105" s="18" t="inlineStr">
        <is>
          <t>Clinic</t>
        </is>
      </c>
      <c r="N105" s="18" t="inlineStr">
        <is>
          <t>ข้อ 1 (PLE_CC1_2560 22 April Set 2.md)</t>
        </is>
      </c>
      <c r="O105" s="18" t="inlineStr">
        <is>
          <t>ข้อสอบจริง</t>
        </is>
      </c>
      <c r="P105" s="18" t="inlineStr">
        <is>
          <t>ปี 2560</t>
        </is>
      </c>
    </row>
    <row r="106">
      <c r="A106" s="15" t="inlineStr">
        <is>
          <t>104</t>
        </is>
      </c>
      <c r="B106" s="18" t="inlineStr">
        <is>
          <t>ค่าแลปใด Specificity สูงสุด สำหรับ SLE</t>
        </is>
      </c>
      <c r="C106" s="18" t="inlineStr"/>
      <c r="D106" s="18" t="inlineStr">
        <is>
          <t>ANA</t>
        </is>
      </c>
      <c r="E106" s="18" t="inlineStr">
        <is>
          <t>Anti-dsDNA</t>
        </is>
      </c>
      <c r="F106" s="18" t="inlineStr">
        <is>
          <t>Lupus anticoagulant</t>
        </is>
      </c>
      <c r="G106" s="18" t="inlineStr">
        <is>
          <t>ESR</t>
        </is>
      </c>
      <c r="H106" s="18" t="inlineStr">
        <is>
          <t>Cetirizine 10 mg OD</t>
        </is>
      </c>
      <c r="I106" s="15" t="inlineStr">
        <is>
          <t>1</t>
        </is>
      </c>
      <c r="J106" s="18"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ข้อนี้ไม่ใช่คำตอบที่ถูกต้องสำหรับภาวะ Superficial fungal เนื่องจากกลไกการออกฤทธิ์, efficacy หรือข้อบ่งใช้ไม่ตรงกับโจทย์ที่กำหนด
• ข้อ ค. (Lupus anticoagulant): ข้อนี้ไม่ใช่คำตอบที่ถูกต้องสำหรับภาวะ Superficial fungal เนื่องจากกลไกการออกฤทธิ์, efficacy หรือข้อบ่งใช้ไม่ตรงกับโจทย์ที่กำหนด
• ข้อ ง. (ESR):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18" t="inlineStr"/>
      <c r="L106" s="18" t="inlineStr">
        <is>
          <t>Superficial fungal</t>
        </is>
      </c>
      <c r="M106" s="18" t="inlineStr">
        <is>
          <t>Clinic</t>
        </is>
      </c>
      <c r="N106" s="18" t="inlineStr">
        <is>
          <t>ข้อ 2 (PLE_CC1_2560 22 April Set 2.md)</t>
        </is>
      </c>
      <c r="O106" s="18" t="inlineStr">
        <is>
          <t>ข้อสอบจริง</t>
        </is>
      </c>
      <c r="P106" s="18" t="inlineStr">
        <is>
          <t>ปี 2560</t>
        </is>
      </c>
    </row>
    <row r="107">
      <c r="A107" s="15" t="inlineStr">
        <is>
          <t>105</t>
        </is>
      </c>
      <c r="B107" s="18" t="inlineStr">
        <is>
          <t>ถ้าไม่มียา Fluocinolone acetonide 0.01% เภสัชกรจะจ่ายยาใดแทน</t>
        </is>
      </c>
      <c r="C107" s="18" t="inlineStr"/>
      <c r="D107" s="18" t="inlineStr">
        <is>
          <t>Betamethasone dipropionate 0.05%</t>
        </is>
      </c>
      <c r="E107" s="18" t="inlineStr">
        <is>
          <t>Clobetasol propionate 0.05%</t>
        </is>
      </c>
      <c r="F107" s="18" t="inlineStr">
        <is>
          <t>Dexosimethasone 0.05%</t>
        </is>
      </c>
      <c r="G107" s="18" t="inlineStr">
        <is>
          <t>Triamcinolone acetonide 0.1%</t>
        </is>
      </c>
      <c r="H107" s="18" t="inlineStr">
        <is>
          <t>Hydrocortisone acetate 0.5%</t>
        </is>
      </c>
      <c r="I107" s="15" t="inlineStr">
        <is>
          <t>1</t>
        </is>
      </c>
      <c r="J107" s="18"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ข้อนี้ไม่ใช่คำตอบที่ถูกต้องสำหรับภาวะ Superficial fungal เนื่องจากกลไกการออกฤทธิ์, efficacy หรือข้อบ่งใช้ไม่ตรงกับโจทย์ที่กำหนด
• ข้อ ค. (Dexosimethasone 0.05%): ข้อนี้ไม่ใช่คำตอบที่ถูกต้องสำหรับภาวะ Superficial fungal เนื่องจากกลไกการออกฤทธิ์, efficacy หรือข้อบ่งใช้ไม่ตรงกับโจทย์ที่กำหนด
• ข้อ ง. (Triamcinolone acetonide 0.1%): ข้อนี้ไม่ใช่คำตอบที่ถูกต้องสำหรับภาวะ Superficial fungal เนื่องจากกลไกการออกฤทธิ์, efficacy หรือข้อบ่งใช้ไม่ตรงกับโจทย์ที่กำหนด
• ข้อ จ. (Hydrocortisone acetate 0.5%): เป็น short-acting glucocorticoid ที่มี mineralocorticoid activity สูง เป็น drug of choice สำหรับ acute adrenal insufficiency / adrenal crisis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8" t="inlineStr"/>
      <c r="L107" s="18" t="inlineStr">
        <is>
          <t>Superficial fungal</t>
        </is>
      </c>
      <c r="M107" s="18" t="inlineStr">
        <is>
          <t>Clinic</t>
        </is>
      </c>
      <c r="N107" s="18" t="inlineStr">
        <is>
          <t>ข้อ 3 (PLE_CC1_2560 22 April Set 2.md)</t>
        </is>
      </c>
      <c r="O107" s="18" t="inlineStr">
        <is>
          <t>ข้อสอบจริง</t>
        </is>
      </c>
      <c r="P107" s="18" t="inlineStr">
        <is>
          <t>ปี 2560</t>
        </is>
      </c>
    </row>
    <row r="108">
      <c r="A108" s="15" t="inlineStr">
        <is>
          <t>106</t>
        </is>
      </c>
      <c r="B108" s="18" t="inlineStr">
        <is>
          <t>หากให้ยา paclitaxel แล้วผู้ป่วยเกิดผื่นคัน จะมีแนวทางป้องกันอย่างไร</t>
        </is>
      </c>
      <c r="C108" s="18" t="inlineStr"/>
      <c r="D108" s="18" t="inlineStr">
        <is>
          <t>ให้สารน ้าจ้าพวกน ้าเกลือก่อนให้ยา 1-2 ชั่วโมง</t>
        </is>
      </c>
      <c r="E108" s="18" t="inlineStr">
        <is>
          <t>ให้ยาคาลาไมด์ โลชันทาเมื่อมีอาการแพ้</t>
        </is>
      </c>
      <c r="F108" s="18" t="inlineStr">
        <is>
          <t>ให้ยา dexamethasone ก่อนให้ยา 30 นาที</t>
        </is>
      </c>
      <c r="G108" s="18" t="inlineStr">
        <is>
          <t>ให้ยา famotidine ก่อนให้ยา 1 ชั่วโมง</t>
        </is>
      </c>
      <c r="H108" s="18" t="inlineStr">
        <is>
          <t>ให้เปลี่ยนตัวท้าละลายเป็น D5W เนื่องจากเกิดผลน้อยที่สุด</t>
        </is>
      </c>
      <c r="I108" s="15" t="inlineStr">
        <is>
          <t>1</t>
        </is>
      </c>
      <c r="J108" s="18"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ข้อนี้ไม่ใช่คำตอบที่ถูกต้องสำหรับภาวะ Eczema &amp; Dermatitis เนื่องจากกลไกการออกฤทธิ์, efficacy หรือข้อบ่งใช้ไม่ตรงกับโจทย์ที่กำหนด
• ข้อ ค. (ให้ยา dexamethasone ก่อนให้ยา 30 นาที): เป็น long-acting potent glucocorticoid ไม่มี mineralocorticoid effect จึงไม่ทำให้น้ำคั่ง เหมาะสำหรับ brain edema, antiemetic, และ COVID-19 with hypoxemia
• ข้อ ง. (ให้ยา famotidine ก่อนให้ยา 1 ชั่วโมง): ข้อนี้ไม่ใช่คำตอบที่ถูกต้องสำหรับภาวะ Eczema &amp; Dermatitis เนื่องจากกลไกการออกฤทธิ์, efficacy หรือข้อบ่งใช้ไม่ตรงกับโจทย์ที่กำหนด
• ข้อ จ. (ให้เปลี่ยนตัวท้าละลายเป็น D5W เนื่องจากเกิดผลน้อยที่สุด):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18" t="inlineStr"/>
      <c r="L108" s="18" t="inlineStr">
        <is>
          <t>Eczema &amp; Dermatitis</t>
        </is>
      </c>
      <c r="M108" s="18" t="inlineStr">
        <is>
          <t>Clinic</t>
        </is>
      </c>
      <c r="N108" s="18" t="inlineStr">
        <is>
          <t>ข้อ 52 (PLE_CC1_2559.md)</t>
        </is>
      </c>
      <c r="O108" s="18" t="inlineStr">
        <is>
          <t>ข้อสอบจริง</t>
        </is>
      </c>
      <c r="P108" s="18" t="inlineStr">
        <is>
          <t>ปี 2559</t>
        </is>
      </c>
    </row>
    <row r="109">
      <c r="A109" s="15" t="inlineStr">
        <is>
          <t>107</t>
        </is>
      </c>
      <c r="B109" s="18"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18" t="inlineStr"/>
      <c r="D109" s="18" t="inlineStr">
        <is>
          <t>0.45 กรัม</t>
        </is>
      </c>
      <c r="E109" s="18" t="inlineStr">
        <is>
          <t>0.55 กรัม</t>
        </is>
      </c>
      <c r="F109" s="18" t="inlineStr">
        <is>
          <t>1.45 กรัม</t>
        </is>
      </c>
      <c r="G109" s="18" t="inlineStr">
        <is>
          <t>1.55 กรัม</t>
        </is>
      </c>
      <c r="H109" s="18" t="inlineStr">
        <is>
          <t>2.00 กรัม</t>
        </is>
      </c>
      <c r="I109" s="15" t="inlineStr">
        <is>
          <t>1</t>
        </is>
      </c>
      <c r="J109" s="18"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ข้อนี้ไม่ใช่คำตอบที่ถูกต้องสำหรับภาวะ Superficial fungal เนื่องจากกลไกการออกฤทธิ์, efficacy หรือข้อบ่งใช้ไม่ตรงกับโจทย์ที่กำหนด
• ข้อ ค. (1.45 กรัม): ข้อนี้ไม่ใช่คำตอบที่ถูกต้องสำหรับภาวะ Superficial fungal เนื่องจากกลไกการออกฤทธิ์, efficacy หรือข้อบ่งใช้ไม่ตรงกับโจทย์ที่กำหนด
• ข้อ ง. (1.55 กรัม): ข้อนี้ไม่ใช่คำตอบที่ถูกต้องสำหรับภาวะ Superficial fungal เนื่องจากกลไกการออกฤทธิ์, efficacy หรือข้อบ่งใช้ไม่ตรงกับโจทย์ที่กำหนด
• ข้อ จ. (2.00 กรัม):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18" t="inlineStr"/>
      <c r="L109" s="18" t="inlineStr">
        <is>
          <t>Superficial fungal</t>
        </is>
      </c>
      <c r="M109" s="18" t="inlineStr">
        <is>
          <t>Clinic</t>
        </is>
      </c>
      <c r="N109" s="18" t="inlineStr">
        <is>
          <t>ข้อ 66 (PLE_CC1_2559.md)</t>
        </is>
      </c>
      <c r="O109" s="18" t="inlineStr">
        <is>
          <t>ข้อสอบจริง</t>
        </is>
      </c>
      <c r="P109" s="18" t="inlineStr">
        <is>
          <t>ปี 2559</t>
        </is>
      </c>
    </row>
    <row r="110">
      <c r="A110" s="15" t="inlineStr">
        <is>
          <t>108</t>
        </is>
      </c>
      <c r="B110" s="18" t="inlineStr">
        <is>
          <t>ให้ยาใดเป็น maintenance phase</t>
        </is>
      </c>
      <c r="C110" s="18" t="inlineStr"/>
      <c r="D110" s="18" t="inlineStr">
        <is>
          <t>Amphotericin B</t>
        </is>
      </c>
      <c r="E110" s="18" t="inlineStr">
        <is>
          <t>Fluconazole</t>
        </is>
      </c>
      <c r="F110" s="18" t="inlineStr">
        <is>
          <t>Itraconazole</t>
        </is>
      </c>
      <c r="G110" s="18" t="inlineStr">
        <is>
          <t>Bactrim</t>
        </is>
      </c>
      <c r="H110" s="18" t="inlineStr">
        <is>
          <t>Griseofulvin</t>
        </is>
      </c>
      <c r="I110" s="15" t="inlineStr">
        <is>
          <t>1</t>
        </is>
      </c>
      <c r="J110" s="18"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เป็น Triazole antifungal เป็น first-line สำหรับ Candida albicans และ Cryptococcal maintenance therapy ขับออกทางไตเด่นชัดจึงต้องปรับ dose ตาม CrCl
• ข้อ ค.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ง. (Bactrim): ข้อนี้ไม่ใช่คำตอบที่ถูกต้องสำหรับภาวะ Superficial fungal เนื่องจากกลไกการออกฤทธิ์, efficacy หรือข้อบ่งใช้ไม่ตรงกับโจทย์ที่กำหนด
• ข้อ จ. (Griseofulvin):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8" t="inlineStr"/>
      <c r="L110" s="18" t="inlineStr">
        <is>
          <t>Superficial fungal</t>
        </is>
      </c>
      <c r="M110" s="18" t="inlineStr">
        <is>
          <t>Clinic</t>
        </is>
      </c>
      <c r="N110" s="18" t="inlineStr">
        <is>
          <t>ข้อ 19 (PLE_CC1_2558_Key.md)</t>
        </is>
      </c>
      <c r="O110" s="18" t="inlineStr">
        <is>
          <t>ข้อสอบจริง</t>
        </is>
      </c>
      <c r="P110" s="18" t="inlineStr">
        <is>
          <t>ปี 2558</t>
        </is>
      </c>
    </row>
    <row r="111">
      <c r="A111" s="15" t="inlineStr">
        <is>
          <t>109</t>
        </is>
      </c>
      <c r="B111" s="18" t="inlineStr">
        <is>
          <t>ลักษณะอาการที่ผู้ป่วยเป็น เกิดจากเชื้ออะไร</t>
        </is>
      </c>
      <c r="C111" s="18" t="inlineStr"/>
      <c r="D111" s="18" t="inlineStr">
        <is>
          <t>Propionebacterium acnes</t>
        </is>
      </c>
      <c r="E111" s="18" t="inlineStr">
        <is>
          <t>Malassezia furfur</t>
        </is>
      </c>
      <c r="F111" s="18" t="inlineStr">
        <is>
          <t>Herpes simplex</t>
        </is>
      </c>
      <c r="G111" s="18" t="inlineStr">
        <is>
          <t>Thichophyton rubum</t>
        </is>
      </c>
      <c r="H111" s="18" t="inlineStr">
        <is>
          <t>Microsporum</t>
        </is>
      </c>
      <c r="I111" s="15" t="inlineStr">
        <is>
          <t>1</t>
        </is>
      </c>
      <c r="J111" s="18"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ข้อนี้ไม่ใช่คำตอบที่ถูกต้องสำหรับภาวะ Superficial fungal เนื่องจากกลไกการออกฤทธิ์, efficacy หรือข้อบ่งใช้ไม่ตรงกับโจทย์ที่กำหนด
• ข้อ ค. (Herpes simplex): ข้อนี้ไม่ใช่คำตอบที่ถูกต้องสำหรับภาวะ Superficial fungal เนื่องจากกลไกการออกฤทธิ์, efficacy หรือข้อบ่งใช้ไม่ตรงกับโจทย์ที่กำหนด
• ข้อ ง. (Thichophyton rubum): ข้อนี้ไม่ใช่คำตอบที่ถูกต้องสำหรับภาวะ Superficial fungal เนื่องจากกลไกการออกฤทธิ์, efficacy หรือข้อบ่งใช้ไม่ตรงกับโจทย์ที่กำหนด
• ข้อ จ. (Microsporum):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18" t="inlineStr"/>
      <c r="L111" s="18" t="inlineStr">
        <is>
          <t>Superficial fungal</t>
        </is>
      </c>
      <c r="M111" s="18" t="inlineStr">
        <is>
          <t>Clinic</t>
        </is>
      </c>
      <c r="N111" s="18" t="inlineStr">
        <is>
          <t>ข้อ 93 (PLE_CC1_2558_Key.md)</t>
        </is>
      </c>
      <c r="O111" s="18" t="inlineStr">
        <is>
          <t>ข้อสอบจริง</t>
        </is>
      </c>
      <c r="P111" s="18" t="inlineStr">
        <is>
          <t>ปี 2558</t>
        </is>
      </c>
    </row>
    <row r="112">
      <c r="A112" s="15" t="inlineStr">
        <is>
          <t>110</t>
        </is>
      </c>
      <c r="B112" s="18" t="inlineStr">
        <is>
          <t>ยาใดที่เหมาะสมสำหรับผู้ป่วย</t>
        </is>
      </c>
      <c r="C112" s="18" t="inlineStr"/>
      <c r="D112" s="18" t="inlineStr">
        <is>
          <t>Griseofulvin oral</t>
        </is>
      </c>
      <c r="E112" s="18" t="inlineStr">
        <is>
          <t>Terbinafine</t>
        </is>
      </c>
      <c r="F112" s="18" t="inlineStr">
        <is>
          <t>Ketoconazole oral</t>
        </is>
      </c>
      <c r="G112" s="18" t="inlineStr">
        <is>
          <t>Prednisolone</t>
        </is>
      </c>
      <c r="H112" s="18" t="inlineStr">
        <is>
          <t>Itraconazole capsule</t>
        </is>
      </c>
      <c r="I112" s="15" t="inlineStr">
        <is>
          <t>1</t>
        </is>
      </c>
      <c r="J112" s="18"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ข้อนี้ไม่ใช่คำตอบที่ถูกต้องสำหรับภาวะ Superficial fungal เนื่องจากกลไกการออกฤทธิ์, efficacy หรือข้อบ่งใช้ไม่ตรงกับโจทย์ที่กำหนด
• ข้อ ค. (Ketoconazole oral): ข้อนี้ไม่ใช่คำตอบที่ถูกต้องสำหรับภาวะ Superficial fungal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(Itraconazole capsule):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8" t="inlineStr"/>
      <c r="L112" s="18" t="inlineStr">
        <is>
          <t>Superficial fungal</t>
        </is>
      </c>
      <c r="M112" s="18" t="inlineStr">
        <is>
          <t>Clinic</t>
        </is>
      </c>
      <c r="N112" s="18" t="inlineStr">
        <is>
          <t>ข้อ 94 (PLE_CC1_2558_Key.md)</t>
        </is>
      </c>
      <c r="O112" s="18" t="inlineStr">
        <is>
          <t>ข้อสอบจริง</t>
        </is>
      </c>
      <c r="P112" s="18" t="inlineStr">
        <is>
          <t>ปี 2558</t>
        </is>
      </c>
    </row>
    <row r="113">
      <c r="A113" s="15" t="inlineStr">
        <is>
          <t>111</t>
        </is>
      </c>
      <c r="B113" s="18" t="inlineStr">
        <is>
          <t>ยาใดเป็นพิษต่อตับมากที่สุด</t>
        </is>
      </c>
      <c r="C113" s="18" t="inlineStr"/>
      <c r="D113" s="18" t="inlineStr">
        <is>
          <t>Griseofulvin oral</t>
        </is>
      </c>
      <c r="E113" s="18" t="inlineStr">
        <is>
          <t>Terbinafine</t>
        </is>
      </c>
      <c r="F113" s="18" t="inlineStr">
        <is>
          <t>Ketoconazole oral</t>
        </is>
      </c>
      <c r="G113" s="18" t="inlineStr">
        <is>
          <t>Prednisolone</t>
        </is>
      </c>
      <c r="H113" s="18" t="inlineStr">
        <is>
          <t>Itraconazole capsule</t>
        </is>
      </c>
      <c r="I113" s="15" t="inlineStr">
        <is>
          <t>1</t>
        </is>
      </c>
      <c r="J113" s="18"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ข้อนี้ไม่ใช่คำตอบที่ถูกต้องสำหรับภาวะ Superficial fungal เนื่องจากกลไกการออกฤทธิ์, efficacy หรือข้อบ่งใช้ไม่ตรงกับโจทย์ที่กำหนด
• ข้อ ค. (Ketoconazole oral): ข้อนี้ไม่ใช่คำตอบที่ถูกต้องสำหรับภาวะ Superficial fungal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(Itraconazole capsule):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8" t="inlineStr"/>
      <c r="L113" s="18" t="inlineStr">
        <is>
          <t>Superficial fungal</t>
        </is>
      </c>
      <c r="M113" s="18" t="inlineStr">
        <is>
          <t>Clinic</t>
        </is>
      </c>
      <c r="N113" s="18" t="inlineStr">
        <is>
          <t>ข้อ 95 (PLE_CC1_2558_Key.md)</t>
        </is>
      </c>
      <c r="O113" s="18" t="inlineStr">
        <is>
          <t>ข้อสอบจริง</t>
        </is>
      </c>
      <c r="P113" s="18" t="inlineStr">
        <is>
          <t>ปี 2558</t>
        </is>
      </c>
    </row>
    <row r="114">
      <c r="A114" s="15" t="inlineStr">
        <is>
          <t>112</t>
        </is>
      </c>
      <c r="B114" s="18" t="inlineStr">
        <is>
          <t>ข้อใดไม่เกี่ยวข้องกับการวินิจฉัย TEN</t>
        </is>
      </c>
      <c r="C114" s="18" t="inlineStr"/>
      <c r="D114" s="18" t="inlineStr">
        <is>
          <t>มีผื่นผิวหนังลอกมากกว่า 30%</t>
        </is>
      </c>
      <c r="E114" s="18" t="inlineStr">
        <is>
          <t>มีไข้ เจ็บคอ เริ่มมีผื่นแดงขึ้น</t>
        </is>
      </c>
      <c r="F114" s="18" t="inlineStr">
        <is>
          <t>ได้รับยาที่มี incidence สูงในการเกิด TEN</t>
        </is>
      </c>
      <c r="G114" s="18" t="inlineStr">
        <is>
          <t>มีแผลที่อวัยวะต่าง ๆ</t>
        </is>
      </c>
      <c r="H114" s="18" t="inlineStr">
        <is>
          <t>โรคประจำตัวมาก</t>
        </is>
      </c>
      <c r="I114" s="15" t="inlineStr">
        <is>
          <t>1</t>
        </is>
      </c>
      <c r="J114" s="18"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ข้อนี้ไม่ใช่คำตอบที่ถูกต้องสำหรับภาวะ Superficial fungal เนื่องจากกลไกการออกฤทธิ์, efficacy หรือข้อบ่งใช้ไม่ตรงกับโจทย์ที่กำหนด
• ข้อ ค. (ได้รับยาที่มี incidence สูงในการเกิด TEN): ข้อนี้ไม่ใช่คำตอบที่ถูกต้องสำหรับภาวะ Superficial fungal เนื่องจากกลไกการออกฤทธิ์, efficacy หรือข้อบ่งใช้ไม่ตรงกับโจทย์ที่กำหนด
• ข้อ ง. (มีแผลที่อวัยวะต่าง ๆ): ข้อนี้ไม่ใช่คำตอบที่ถูกต้องสำหรับภาวะ Superficial fungal เนื่องจากกลไกการออกฤทธิ์, efficacy หรือข้อบ่งใช้ไม่ตรงกับโจทย์ที่กำหนด
• ข้อ จ. (โรคประจำตัวมาก):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8" t="inlineStr"/>
      <c r="L114" s="18" t="inlineStr">
        <is>
          <t>Superficial fungal</t>
        </is>
      </c>
      <c r="M114" s="18" t="inlineStr">
        <is>
          <t>Clinic</t>
        </is>
      </c>
      <c r="N114" s="18" t="inlineStr">
        <is>
          <t>ข้อ 27 (PLE_CC1_2558_Key.md)</t>
        </is>
      </c>
      <c r="O114" s="18" t="inlineStr">
        <is>
          <t>ข้อสอบจริง</t>
        </is>
      </c>
      <c r="P114" s="18" t="inlineStr">
        <is>
          <t>ปี 2558</t>
        </is>
      </c>
    </row>
    <row r="115">
      <c r="A115" s="15" t="inlineStr">
        <is>
          <t>113</t>
        </is>
      </c>
      <c r="B115" s="18" t="inlineStr">
        <is>
          <t>ข้อใดคือปัจจัยเสี่ยงที่ทำให้เกิดโรคในผู้ป่วยรายนี้</t>
        </is>
      </c>
      <c r="C115" s="18" t="inlineStr"/>
      <c r="D115" s="18" t="inlineStr">
        <is>
          <t>การสูบบุหรี่และดื่มแอลกอฮอล์</t>
        </is>
      </c>
      <c r="E115" s="18" t="inlineStr">
        <is>
          <t>ผู้ป่วยมีประวัติเป็น Venous aneurysm</t>
        </is>
      </c>
      <c r="F115" s="18" t="inlineStr">
        <is>
          <t>ภาวะ Obesity Metabolic syndrome</t>
        </is>
      </c>
      <c r="G115" s="18" t="inlineStr">
        <is>
          <t>พันธุกรรม คนในครอบครัวมีประวัติดังกล่าว</t>
        </is>
      </c>
      <c r="H115" s="18" t="inlineStr">
        <is>
          <t>ทุกข้อเป็นปัจจัยเสี่ยงที่ทำให้เกิดโรคนี้</t>
        </is>
      </c>
      <c r="I115" s="15" t="inlineStr">
        <is>
          <t>1</t>
        </is>
      </c>
      <c r="J115" s="18"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ข้อนี้ไม่ใช่คำตอบที่ถูกต้องสำหรับภาวะ Superficial fungal เนื่องจากกลไกการออกฤทธิ์, efficacy หรือข้อบ่งใช้ไม่ตรงกับโจทย์ที่กำหนด
• ข้อ ค. (ภาวะ Obesity Metabolic syndrome): ข้อนี้ไม่ใช่คำตอบที่ถูกต้องสำหรับภาวะ Superficial fungal เนื่องจากกลไกการออกฤทธิ์, efficacy หรือข้อบ่งใช้ไม่ตรงกับโจทย์ที่กำหนด
• ข้อ ง. (พันธุกรรม คนในครอบครัวมีประวัติดังกล่าว): ข้อนี้ไม่ใช่คำตอบที่ถูกต้องสำหรับภาวะ Superficial fungal เนื่องจากกลไกการออกฤทธิ์, efficacy หรือข้อบ่งใช้ไม่ตรงกับโจทย์ที่กำหนด
• ข้อ จ. (ทุกข้อเป็นปัจจัยเสี่ยงที่ทำให้เกิดโรคนี้):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18" t="inlineStr"/>
      <c r="L115" s="18" t="inlineStr">
        <is>
          <t>Superficial fungal</t>
        </is>
      </c>
      <c r="M115" s="18" t="inlineStr">
        <is>
          <t>Clinic</t>
        </is>
      </c>
      <c r="N115" s="18" t="inlineStr">
        <is>
          <t>ข้อ 12 (Pharmtutor_2024_Set1.md)</t>
        </is>
      </c>
      <c r="O115" s="18" t="inlineStr">
        <is>
          <t>Mock</t>
        </is>
      </c>
      <c r="P115" s="18" t="inlineStr">
        <is>
          <t>Mock Pharmtutor 2024</t>
        </is>
      </c>
    </row>
    <row r="116">
      <c r="A116" s="15" t="inlineStr">
        <is>
          <t>114</t>
        </is>
      </c>
      <c r="B116" s="18"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18" t="inlineStr"/>
      <c r="D116" s="18" t="inlineStr">
        <is>
          <t>Herpes simplex</t>
        </is>
      </c>
      <c r="E116" s="18" t="inlineStr">
        <is>
          <t>Candida albicans</t>
        </is>
      </c>
      <c r="F116" s="18" t="inlineStr">
        <is>
          <t>Herpes zoster</t>
        </is>
      </c>
      <c r="G116" s="18" t="inlineStr">
        <is>
          <t>Varicella zoster</t>
        </is>
      </c>
      <c r="H116" s="18" t="inlineStr">
        <is>
          <t>Streptococcus aureus</t>
        </is>
      </c>
      <c r="I116" s="15" t="inlineStr">
        <is>
          <t>1</t>
        </is>
      </c>
      <c r="J116" s="18"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ข้อนี้ไม่ใช่คำตอบที่ถูกต้องสำหรับภาวะ Superficial fungal เนื่องจากกลไกการออกฤทธิ์, efficacy หรือข้อบ่งใช้ไม่ตรงกับโจทย์ที่กำหนด
• ข้อ ค. (Herpes zoster): ข้อนี้ไม่ใช่คำตอบที่ถูกต้องสำหรับภาวะ Superficial fungal เนื่องจากกลไกการออกฤทธิ์, efficacy หรือข้อบ่งใช้ไม่ตรงกับโจทย์ที่กำหนด
• ข้อ ง. (Varicella zoster): ข้อนี้ไม่ใช่คำตอบที่ถูกต้องสำหรับภาวะ Superficial fungal เนื่องจากกลไกการออกฤทธิ์, efficacy หรือข้อบ่งใช้ไม่ตรงกับโจทย์ที่กำหนด
• ข้อ จ. (Streptococcus aureus):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18" t="inlineStr"/>
      <c r="L116" s="18" t="inlineStr">
        <is>
          <t>Superficial fungal</t>
        </is>
      </c>
      <c r="M116" s="18" t="inlineStr">
        <is>
          <t>Clinic</t>
        </is>
      </c>
      <c r="N116" s="18" t="inlineStr">
        <is>
          <t>ข้อ 14 (Pharmtutor_2024_Set1.md)</t>
        </is>
      </c>
      <c r="O116" s="18" t="inlineStr">
        <is>
          <t>Mock</t>
        </is>
      </c>
      <c r="P116" s="18" t="inlineStr">
        <is>
          <t>Mock Pharmtutor 2024</t>
        </is>
      </c>
    </row>
    <row r="117">
      <c r="A117" s="15" t="inlineStr">
        <is>
          <t>115</t>
        </is>
      </c>
      <c r="B117" s="18"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18" t="inlineStr"/>
      <c r="D117" s="18" t="inlineStr">
        <is>
          <t>Topical retinoic acid</t>
        </is>
      </c>
      <c r="E117" s="18" t="inlineStr">
        <is>
          <t>1% Selenium sulfide shampoo</t>
        </is>
      </c>
      <c r="F117" s="18" t="inlineStr">
        <is>
          <t>2% Ketoconazole cream</t>
        </is>
      </c>
      <c r="G117" s="18" t="inlineStr">
        <is>
          <t>Topical mupirocin</t>
        </is>
      </c>
      <c r="H117" s="18" t="inlineStr">
        <is>
          <t>Oral Ketoconazole</t>
        </is>
      </c>
      <c r="I117" s="15" t="inlineStr">
        <is>
          <t>1</t>
        </is>
      </c>
      <c r="J117" s="18"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ข้อนี้ไม่ใช่คำตอบที่ถูกต้องสำหรับภาวะ Eczema &amp; Dermatitis เนื่องจากกลไกการออกฤทธิ์, efficacy หรือข้อบ่งใช้ไม่ตรงกับโจทย์ที่กำหนด
• ข้อ ค. (2% Ketoconazole cream): ข้อนี้ไม่ใช่คำตอบที่ถูกต้องสำหรับภาวะ Eczema &amp; Dermatitis เนื่องจากกลไกการออกฤทธิ์, efficacy หรือข้อบ่งใช้ไม่ตรงกับโจทย์ที่กำหนด
• ข้อ ง. (Topical mupirocin): ข้อนี้ไม่ใช่คำตอบที่ถูกต้องสำหรับภาวะ Eczema &amp; Dermatitis เนื่องจากกลไกการออกฤทธิ์, efficacy หรือข้อบ่งใช้ไม่ตรงกับโจทย์ที่กำหนด
• ข้อ จ. (Oral Ketoconazole):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18" t="inlineStr"/>
      <c r="L117" s="18" t="inlineStr">
        <is>
          <t>Eczema &amp; Dermatitis</t>
        </is>
      </c>
      <c r="M117" s="18" t="inlineStr">
        <is>
          <t>Clinic</t>
        </is>
      </c>
      <c r="N117" s="18" t="inlineStr">
        <is>
          <t>ข้อ 16 (Pharmtutor_2024_Set1.md)</t>
        </is>
      </c>
      <c r="O117" s="18" t="inlineStr">
        <is>
          <t>Mock</t>
        </is>
      </c>
      <c r="P117" s="18" t="inlineStr">
        <is>
          <t>Mock Pharmtutor 2024</t>
        </is>
      </c>
    </row>
    <row r="118">
      <c r="A118" s="15" t="inlineStr">
        <is>
          <t>116</t>
        </is>
      </c>
      <c r="B118" s="18"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18" t="inlineStr"/>
      <c r="D118" s="18" t="inlineStr">
        <is>
          <t>Mupirocin 2% ointment</t>
        </is>
      </c>
      <c r="E118" s="18" t="inlineStr">
        <is>
          <t>Betamethasone dipropionate 0.05% cream</t>
        </is>
      </c>
      <c r="F118" s="18" t="inlineStr">
        <is>
          <t>Clotrimazole 1% cream</t>
        </is>
      </c>
      <c r="G118" s="18" t="inlineStr">
        <is>
          <t>Hydrocortisone 1% cream</t>
        </is>
      </c>
      <c r="H118" s="18" t="inlineStr">
        <is>
          <t>Triamcinolone acetonide 0.1% cream</t>
        </is>
      </c>
      <c r="I118" s="15" t="inlineStr">
        <is>
          <t>1</t>
        </is>
      </c>
      <c r="J118" s="18"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Eczema &amp; Dermatitis เนื่องจากกลไกการออกฤทธิ์, efficacy หรือข้อบ่งใช้ไม่ตรงกับโจทย์ที่กำหนด
• ข้อ ค. (Clotrimazole 1% cream): ข้อนี้ไม่ใช่คำตอบที่ถูกต้องสำหรับภาวะ Eczema &amp; Dermatitis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18" t="inlineStr"/>
      <c r="L118" s="18" t="inlineStr">
        <is>
          <t>Eczema &amp; Dermatitis</t>
        </is>
      </c>
      <c r="M118" s="18" t="inlineStr">
        <is>
          <t>Clinic</t>
        </is>
      </c>
      <c r="N118" s="18" t="inlineStr">
        <is>
          <t>ข้อ 68 (Pharmtutor_2024_Set1.md)</t>
        </is>
      </c>
      <c r="O118" s="18" t="inlineStr">
        <is>
          <t>Mock</t>
        </is>
      </c>
      <c r="P118" s="18" t="inlineStr">
        <is>
          <t>Mock Pharmtutor 2024</t>
        </is>
      </c>
    </row>
    <row r="119">
      <c r="A119" s="15" t="inlineStr">
        <is>
          <t>117</t>
        </is>
      </c>
      <c r="B119" s="18" t="inlineStr">
        <is>
          <t>จาก Certificate of analysis ข้างต้น หัวใดไม่ใช่ universal test</t>
        </is>
      </c>
      <c r="C119" s="18" t="inlineStr"/>
      <c r="D119" s="18" t="inlineStr">
        <is>
          <t>Description</t>
        </is>
      </c>
      <c r="E119" s="18" t="inlineStr">
        <is>
          <t>Identification</t>
        </is>
      </c>
      <c r="F119" s="18" t="inlineStr">
        <is>
          <t>Assay</t>
        </is>
      </c>
      <c r="G119" s="18" t="inlineStr">
        <is>
          <t>Container content</t>
        </is>
      </c>
      <c r="H119" s="18" t="inlineStr">
        <is>
          <t>Antimicrobial preservatives</t>
        </is>
      </c>
      <c r="I119" s="15" t="inlineStr">
        <is>
          <t>1</t>
        </is>
      </c>
      <c r="J119" s="18"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ข้อนี้ไม่ใช่คำตอบที่ถูกต้องสำหรับภาวะ Superficial fungal เนื่องจากกลไกการออกฤทธิ์, efficacy หรือข้อบ่งใช้ไม่ตรงกับโจทย์ที่กำหนด
• ข้อ ค. (Assay): ข้อนี้ไม่ใช่คำตอบที่ถูกต้องสำหรับภาวะ Superficial fungal เนื่องจากกลไกการออกฤทธิ์, efficacy หรือข้อบ่งใช้ไม่ตรงกับโจทย์ที่กำหนด
• ข้อ ง. (Container content): ข้อนี้ไม่ใช่คำตอบที่ถูกต้องสำหรับภาวะ Superficial fungal เนื่องจากกลไกการออกฤทธิ์, efficacy หรือข้อบ่งใช้ไม่ตรงกับโจทย์ที่กำหนด
• ข้อ จ. (Antimicrobial preservatives):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18" t="inlineStr"/>
      <c r="L119" s="18" t="inlineStr">
        <is>
          <t>Superficial fungal</t>
        </is>
      </c>
      <c r="M119" s="18" t="inlineStr">
        <is>
          <t>Clinic</t>
        </is>
      </c>
      <c r="N119" s="18" t="inlineStr">
        <is>
          <t>ข้อ 97 (Pharmtutor_2024_Set1.md)</t>
        </is>
      </c>
      <c r="O119" s="18" t="inlineStr">
        <is>
          <t>Mock</t>
        </is>
      </c>
      <c r="P119" s="18" t="inlineStr">
        <is>
          <t>Mock Pharmtutor 2024</t>
        </is>
      </c>
    </row>
    <row r="120">
      <c r="A120" s="15" t="inlineStr">
        <is>
          <t>118</t>
        </is>
      </c>
      <c r="B120" s="18"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18" t="inlineStr"/>
      <c r="D120" s="18" t="inlineStr">
        <is>
          <t>Epidermophyton floccosum</t>
        </is>
      </c>
      <c r="E120" s="18" t="inlineStr">
        <is>
          <t>Candida albican</t>
        </is>
      </c>
      <c r="F120" s="18" t="inlineStr">
        <is>
          <t>Microsporum canis</t>
        </is>
      </c>
      <c r="G120" s="18" t="inlineStr">
        <is>
          <t>Tinea capitis</t>
        </is>
      </c>
      <c r="H120" s="18" t="inlineStr">
        <is>
          <t>Malassezia furfur</t>
        </is>
      </c>
      <c r="I120" s="15" t="inlineStr">
        <is>
          <t>1</t>
        </is>
      </c>
      <c r="J120" s="18"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ข้อนี้ไม่ใช่คำตอบที่ถูกต้องสำหรับภาวะ Superficial fungal เนื่องจากกลไกการออกฤทธิ์, efficacy หรือข้อบ่งใช้ไม่ตรงกับโจทย์ที่กำหนด
• ข้อ ค. (Microsporum canis): ข้อนี้ไม่ใช่คำตอบที่ถูกต้องสำหรับภาวะ Superficial fungal เนื่องจากกลไกการออกฤทธิ์, efficacy หรือข้อบ่งใช้ไม่ตรงกับโจทย์ที่กำหนด
• ข้อ ง. (Tinea capitis): ข้อนี้ไม่ใช่คำตอบที่ถูกต้องสำหรับภาวะ Superficial fungal เนื่องจากกลไกการออกฤทธิ์, efficacy หรือข้อบ่งใช้ไม่ตรงกับโจทย์ที่กำหนด
• ข้อ จ. (Malassezia furfur):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18" t="inlineStr"/>
      <c r="L120" s="18" t="inlineStr">
        <is>
          <t>Superficial fungal</t>
        </is>
      </c>
      <c r="M120" s="18" t="inlineStr">
        <is>
          <t>Clinic</t>
        </is>
      </c>
      <c r="N120" s="18" t="inlineStr">
        <is>
          <t>ข้อ 14 (Pharmtutor_2024_Set2.md)</t>
        </is>
      </c>
      <c r="O120" s="18" t="inlineStr">
        <is>
          <t>Mock</t>
        </is>
      </c>
      <c r="P120" s="18" t="inlineStr">
        <is>
          <t>Mock Pharmtutor 2024</t>
        </is>
      </c>
    </row>
    <row r="121">
      <c r="A121" s="15" t="inlineStr">
        <is>
          <t>119</t>
        </is>
      </c>
      <c r="B121" s="18" t="inlineStr">
        <is>
          <t>ลักษณะอาการใดที่เป็น Seborrheic dermatitis</t>
        </is>
      </c>
      <c r="C121" s="18" t="inlineStr"/>
      <c r="D121" s="18" t="inlineStr">
        <is>
          <t>ผิวหนังมีลักษณะบวมแดง มีตุ่มแดงกระจาย</t>
        </is>
      </c>
      <c r="E121" s="18" t="inlineStr">
        <is>
          <t>ผิวหนังเป็นผื่นจุดราบขนาดเล็ก กระจายหรือรวมเป็นแผ่น อาจสีจางหรือเข้มกว่าผิว</t>
        </is>
      </c>
      <c r="F121" s="18" t="inlineStr">
        <is>
          <t>ผิวหนังเป็นผื่น ลักษณะเป็นวงขอบชัด อาจมีขุย มีอาการคัน</t>
        </is>
      </c>
      <c r="G121" s="18" t="inlineStr">
        <is>
          <t>ผิวหนังมีลักษณะผื่นแดง คัน มีขุยหรือสะเก็ดสีเหลือง บริเวณ T-zone</t>
        </is>
      </c>
      <c r="H121" s="18" t="inlineStr">
        <is>
          <t>ผิวหนังอักเสบก่อตัวเป็นแผ่นนูนหนา ผิวแห้ง แตก คัน ปกคลุมด้วยขุยขาว หรือขุยเงิน</t>
        </is>
      </c>
      <c r="I121" s="15" t="inlineStr">
        <is>
          <t>1</t>
        </is>
      </c>
      <c r="J121" s="18"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ข้อนี้ไม่ใช่คำตอบที่ถูกต้องสำหรับภาวะ Eczema &amp; Dermatitis เนื่องจากกลไกการออกฤทธิ์, efficacy หรือข้อบ่งใช้ไม่ตรงกับโจทย์ที่กำหนด
• ข้อ ค. (ผิวหนังเป็นผื่น ลักษณะเป็นวงขอบชัด อาจมีขุย มีอาการคัน): ข้อนี้ไม่ใช่คำตอบที่ถูกต้องสำหรับภาวะ Eczema &amp; Dermatitis เนื่องจากกลไกการออกฤทธิ์, efficacy หรือข้อบ่งใช้ไม่ตรงกับโจทย์ที่กำหนด
• ข้อ ง. (ผิวหนังมีลักษณะผื่นแดง คัน มีขุยหรือสะเก็ดสีเหลือง บริเวณ T-zone): ข้อนี้ไม่ใช่คำตอบที่ถูกต้องสำหรับภาวะ Eczema &amp; Dermatitis เนื่องจากกลไกการออกฤทธิ์, efficacy หรือข้อบ่งใช้ไม่ตรงกับโจทย์ที่กำหนด
• ข้อ จ. (ผิวหนังอักเสบก่อตัวเป็นแผ่นนูนหนา ผิวแห้ง แตก คัน ปกคลุมด้วยขุยขาว หรือขุยเงิน):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18" t="inlineStr"/>
      <c r="L121" s="18" t="inlineStr">
        <is>
          <t>Eczema &amp; Dermatitis</t>
        </is>
      </c>
      <c r="M121" s="18" t="inlineStr">
        <is>
          <t>Clinic</t>
        </is>
      </c>
      <c r="N121" s="18" t="inlineStr">
        <is>
          <t>ข้อ 17 (Pharmtutor_2024_Set2.md)</t>
        </is>
      </c>
      <c r="O121" s="18" t="inlineStr">
        <is>
          <t>Mock</t>
        </is>
      </c>
      <c r="P121" s="18" t="inlineStr">
        <is>
          <t>Mock Pharmtutor 2024</t>
        </is>
      </c>
    </row>
    <row r="122">
      <c r="A122" s="15" t="inlineStr">
        <is>
          <t>120</t>
        </is>
      </c>
      <c r="B122" s="18" t="inlineStr">
        <is>
          <t>ผู้ป่วย เพศหญิง ส่วนสูง 160 เซนติเมตร น้ำหนัก 70 กิโลกรัม รอบเอว 31 นิ้วข้อใดคือเกณฑ์วินิจฉัยโรคอ้วน (MCQ ธ.ค.</t>
        </is>
      </c>
      <c r="C122" s="18" t="inlineStr"/>
      <c r="D122" s="18" t="inlineStr">
        <is>
          <t>Terbinafine 1% cream</t>
        </is>
      </c>
      <c r="E122" s="18" t="inlineStr">
        <is>
          <t>Adapalene 0.1% gel</t>
        </is>
      </c>
      <c r="F122" s="18" t="inlineStr">
        <is>
          <t>Mupirocin 2% ointment</t>
        </is>
      </c>
      <c r="G122" s="18" t="inlineStr">
        <is>
          <t>Betamethasone dipropionate 0.05% cream</t>
        </is>
      </c>
      <c r="H122" s="18" t="inlineStr">
        <is>
          <t>Clotrimazole 1% cream</t>
        </is>
      </c>
      <c r="I122" s="15" t="inlineStr">
        <is>
          <t>1</t>
        </is>
      </c>
      <c r="J122" s="18"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8" t="inlineStr"/>
      <c r="L122" s="18" t="inlineStr">
        <is>
          <t>Superficial fungal</t>
        </is>
      </c>
      <c r="M122" s="18" t="inlineStr">
        <is>
          <t>Clinic</t>
        </is>
      </c>
      <c r="N122" s="18" t="inlineStr">
        <is>
          <t>ข้อ 73 (Pharmtutor_2024_Set2.md)</t>
        </is>
      </c>
      <c r="O122" s="18" t="inlineStr">
        <is>
          <t>Mock</t>
        </is>
      </c>
      <c r="P122" s="18" t="inlineStr">
        <is>
          <t>Mock Pharmtutor 2024</t>
        </is>
      </c>
    </row>
    <row r="123">
      <c r="A123" s="15" t="inlineStr">
        <is>
          <t>121</t>
        </is>
      </c>
      <c r="B123" s="18" t="inlineStr">
        <is>
          <t>เครื่องใดเหมาะสำหรับการทำให้แห้งในยาที่ไม่ทนความร้อน</t>
        </is>
      </c>
      <c r="C123" s="18" t="inlineStr"/>
      <c r="D123" s="18" t="inlineStr">
        <is>
          <t>Fluidized bed drier</t>
        </is>
      </c>
      <c r="E123" s="18" t="inlineStr">
        <is>
          <t>Tray drier</t>
        </is>
      </c>
      <c r="F123" s="18" t="inlineStr">
        <is>
          <t>Drum dried</t>
        </is>
      </c>
      <c r="G123" s="18" t="inlineStr">
        <is>
          <t>Cool spray dried</t>
        </is>
      </c>
      <c r="H123" s="18" t="inlineStr">
        <is>
          <t>Freeze drying</t>
        </is>
      </c>
      <c r="I123" s="15" t="inlineStr">
        <is>
          <t>1</t>
        </is>
      </c>
      <c r="J123" s="18"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ข้อนี้ไม่ใช่คำตอบที่ถูกต้องสำหรับภาวะ Superficial fungal เนื่องจากกลไกการออกฤทธิ์, efficacy หรือข้อบ่งใช้ไม่ตรงกับโจทย์ที่กำหนด
• ข้อ ค. (Drum dried): ข้อนี้ไม่ใช่คำตอบที่ถูกต้องสำหรับภาวะ Superficial fungal เนื่องจากกลไกการออกฤทธิ์, efficacy หรือข้อบ่งใช้ไม่ตรงกับโจทย์ที่กำหนด
• ข้อ ง. (Cool spray dried): ข้อนี้ไม่ใช่คำตอบที่ถูกต้องสำหรับภาวะ Superficial fungal เนื่องจากกลไกการออกฤทธิ์, efficacy หรือข้อบ่งใช้ไม่ตรงกับโจทย์ที่กำหนด
• ข้อ จ. (Freeze drying):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18" t="inlineStr"/>
      <c r="L123" s="18" t="inlineStr">
        <is>
          <t>Superficial fungal</t>
        </is>
      </c>
      <c r="M123" s="18" t="inlineStr">
        <is>
          <t>Clinic</t>
        </is>
      </c>
      <c r="N123" s="18" t="inlineStr">
        <is>
          <t>ข้อ 117 (Pharmtutor_2024_Set2.md)</t>
        </is>
      </c>
      <c r="O123" s="18" t="inlineStr">
        <is>
          <t>Mock</t>
        </is>
      </c>
      <c r="P123" s="18" t="inlineStr">
        <is>
          <t>Mock Pharmtutor 2024</t>
        </is>
      </c>
    </row>
    <row r="124">
      <c r="A124" s="15" t="inlineStr">
        <is>
          <t>122</t>
        </is>
      </c>
      <c r="B124" s="18" t="inlineStr">
        <is>
          <t>การปฐมพยาบาลเบื%องต้นที_x001e_เหมาะสมที_x001e_สุดสำหรับผู้ป่วย รายนี%คือข้อใด (1) ใช้ยาสีฟันทา (2) ราดด้วยนํ_x001b_ามันมะกอก (3) ล้างด้วยนํ_x001b_าเย็น (4) ล้างด้วยนํ_x001b_าเย็นสลับกับนํ_x001b_าอุ่น (5) ล้างด้วยนํ_x001b_าอุ่น Note : ข้อนี_x001b_คล้ายกับ MCQ1/2554</t>
        </is>
      </c>
      <c r="C124" s="18" t="inlineStr"/>
      <c r="D124" s="18" t="inlineStr">
        <is>
          <t>Triamcinolone acetonide 0.1% cream</t>
        </is>
      </c>
      <c r="E124" s="18" t="inlineStr">
        <is>
          <t>Clobetasol propionate 0.05% cream</t>
        </is>
      </c>
      <c r="F124" s="18" t="inlineStr">
        <is>
          <t>Ketoconazole 2% shampoo</t>
        </is>
      </c>
      <c r="G124" s="18" t="inlineStr">
        <is>
          <t>Benzoyl peroxide 2.5% gel</t>
        </is>
      </c>
      <c r="H124" s="18" t="inlineStr">
        <is>
          <t>Acyclovir 5% cream</t>
        </is>
      </c>
      <c r="I124" s="15" t="inlineStr">
        <is>
          <t>1</t>
        </is>
      </c>
      <c r="J124" s="1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18" t="inlineStr"/>
      <c r="L124" s="18" t="inlineStr">
        <is>
          <t>Superficial fungal</t>
        </is>
      </c>
      <c r="M124" s="18" t="inlineStr">
        <is>
          <t>Clinic</t>
        </is>
      </c>
      <c r="N124" s="18" t="inlineStr">
        <is>
          <t>ข้อ 1 (PLE_CC1_2557.md)</t>
        </is>
      </c>
      <c r="O124" s="18" t="inlineStr">
        <is>
          <t>ข้อสอบจริง</t>
        </is>
      </c>
      <c r="P124" s="18" t="inlineStr">
        <is>
          <t>ปี 2557</t>
        </is>
      </c>
    </row>
    <row r="125">
      <c r="A125" s="15" t="inlineStr">
        <is>
          <t>123</t>
        </is>
      </c>
      <c r="B125" s="18" t="inlineStr">
        <is>
          <t>ภาวะดังกล่าวนี%เรียกว่าอะไร (1) Anaphylaxis (2) Angioedema (3) Urticaria (4) Septic shock (5) Red man syndrome</t>
        </is>
      </c>
      <c r="C125" s="18" t="inlineStr"/>
      <c r="D125" s="18" t="inlineStr">
        <is>
          <t>Benzoyl peroxide 2.5% gel</t>
        </is>
      </c>
      <c r="E125" s="18" t="inlineStr">
        <is>
          <t>Acyclovir 5% cream</t>
        </is>
      </c>
      <c r="F125" s="18" t="inlineStr">
        <is>
          <t>Silver sulfadiazine 1% cream</t>
        </is>
      </c>
      <c r="G125" s="18" t="inlineStr">
        <is>
          <t>Cetirizine 10 mg OD</t>
        </is>
      </c>
      <c r="H125" s="18" t="inlineStr">
        <is>
          <t>Isotretinoin 10 mg OD</t>
        </is>
      </c>
      <c r="I125" s="15" t="inlineStr">
        <is>
          <t>1</t>
        </is>
      </c>
      <c r="J125" s="18" t="inlineStr">
        <is>
          <t>✅ คำตอบที่ถูกต้อง: ข้อ ก. Benzoyl peroxide 2.5% gel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Urticaria &amp; Angioedema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Urticaria &amp; Angioedema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18" t="inlineStr"/>
      <c r="L125" s="18" t="inlineStr">
        <is>
          <t>Urticaria &amp; Angioedema</t>
        </is>
      </c>
      <c r="M125" s="18" t="inlineStr">
        <is>
          <t>Clinic</t>
        </is>
      </c>
      <c r="N125" s="18" t="inlineStr">
        <is>
          <t>ข้อ 78 (PLE_CC1_2557.md)</t>
        </is>
      </c>
      <c r="O125" s="18" t="inlineStr">
        <is>
          <t>ข้อสอบจริง</t>
        </is>
      </c>
      <c r="P125" s="18" t="inlineStr">
        <is>
          <t>ปี 2557</t>
        </is>
      </c>
    </row>
    <row r="126">
      <c r="A126" s="15" t="inlineStr">
        <is>
          <t>124</t>
        </is>
      </c>
      <c r="B126" s="18" t="inlineStr">
        <is>
          <t>ข้อใดผิดเกี่ยวกับลักษณะของโรค DU</t>
        </is>
      </c>
      <c r="C126" s="18" t="inlineStr"/>
      <c r="D126" s="18" t="inlineStr">
        <is>
          <t>มักปวดเวลากลางคืน</t>
        </is>
      </c>
      <c r="E126" s="18" t="inlineStr">
        <is>
          <t>ยาลดกรดสามารถลดอาการได้</t>
        </is>
      </c>
      <c r="F126" s="18" t="inlineStr">
        <is>
          <t>ถ่ายเป็นเลือดสด</t>
        </is>
      </c>
      <c r="G126" s="18" t="inlineStr">
        <is>
          <t>อาการปวดบรรเทาลงเมื่อทานอาหาร</t>
        </is>
      </c>
      <c r="H126" s="18" t="inlineStr">
        <is>
          <t>ผู้ป่วยมักมีน ้าหนักเพิ่มขึ้น คณะเภสัชศาสตร์ มหาวิทยาลัยเชียงใหม่ Rx 44 CMU</t>
        </is>
      </c>
      <c r="I126" s="15" t="inlineStr">
        <is>
          <t>1</t>
        </is>
      </c>
      <c r="J126" s="18"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ข้อนี้ไม่ใช่คำตอบที่ถูกต้องสำหรับภาวะ Superficial fungal เนื่องจากกลไกการออกฤทธิ์, efficacy หรือข้อบ่งใช้ไม่ตรงกับโจทย์ที่กำหนด
• ข้อ ค. (ถ่ายเป็นเลือดสด): ข้อนี้ไม่ใช่คำตอบที่ถูกต้องสำหรับภาวะ Superficial fungal เนื่องจากกลไกการออกฤทธิ์, efficacy หรือข้อบ่งใช้ไม่ตรงกับโจทย์ที่กำหนด
• ข้อ ง. (อาการปวดบรรเทาลงเมื่อทานอาหาร): ข้อนี้ไม่ใช่คำตอบที่ถูกต้องสำหรับภาวะ Superficial fungal เนื่องจากกลไกการออกฤทธิ์, efficacy หรือข้อบ่งใช้ไม่ตรงกับโจทย์ที่กำหนด
• ข้อ จ. (ผู้ป่วยมักมีน ้าหนักเพิ่มขึ้น คณะเภสัชศาสตร์ มหาวิทยาลัยเชียงใหม่ Rx 44 CMU):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18" t="inlineStr"/>
      <c r="L126" s="18" t="inlineStr">
        <is>
          <t>Superficial fungal</t>
        </is>
      </c>
      <c r="M126" s="18" t="inlineStr">
        <is>
          <t>Clinic</t>
        </is>
      </c>
      <c r="N126" s="18" t="inlineStr">
        <is>
          <t>ข้อ 53 (PLE_CC1_2555 Day 1.md)</t>
        </is>
      </c>
      <c r="O126" s="18" t="inlineStr">
        <is>
          <t>ข้อสอบจริง</t>
        </is>
      </c>
      <c r="P126" s="18" t="inlineStr">
        <is>
          <t>ปี 2555</t>
        </is>
      </c>
    </row>
    <row r="127">
      <c r="A127" s="15" t="inlineStr">
        <is>
          <t>125</t>
        </is>
      </c>
      <c r="B127" s="18" t="inlineStr">
        <is>
          <t>อาการที่ผู้ป่วยเป็นสัมพันธ์กับข้อใด</t>
        </is>
      </c>
      <c r="C127" s="18" t="inlineStr"/>
      <c r="D127" s="18" t="inlineStr">
        <is>
          <t>Contact dermatitis</t>
        </is>
      </c>
      <c r="E127" s="18" t="inlineStr">
        <is>
          <t>Eczema</t>
        </is>
      </c>
      <c r="F127" s="18" t="inlineStr">
        <is>
          <t>Allergy</t>
        </is>
      </c>
      <c r="G127" s="18" t="inlineStr">
        <is>
          <t>Tenia vesicolor</t>
        </is>
      </c>
      <c r="H127" s="18" t="inlineStr">
        <is>
          <t>Rosase ……</t>
        </is>
      </c>
      <c r="I127" s="15" t="inlineStr">
        <is>
          <t>1</t>
        </is>
      </c>
      <c r="J127" s="18"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ข้อนี้ไม่ใช่คำตอบที่ถูกต้องสำหรับภาวะ Superficial fungal เนื่องจากกลไกการออกฤทธิ์, efficacy หรือข้อบ่งใช้ไม่ตรงกับโจทย์ที่กำหนด
• ข้อ ค. (Allergy): ข้อนี้ไม่ใช่คำตอบที่ถูกต้องสำหรับภาวะ Superficial fungal เนื่องจากกลไกการออกฤทธิ์, efficacy หรือข้อบ่งใช้ไม่ตรงกับโจทย์ที่กำหนด
• ข้อ ง. (Tenia vesicolor): ข้อนี้ไม่ใช่คำตอบที่ถูกต้องสำหรับภาวะ Superficial fungal เนื่องจากกลไกการออกฤทธิ์, efficacy หรือข้อบ่งใช้ไม่ตรงกับโจทย์ที่กำหนด
• ข้อ จ. (Rosase ……):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18" t="inlineStr"/>
      <c r="L127" s="18" t="inlineStr">
        <is>
          <t>Superficial fungal</t>
        </is>
      </c>
      <c r="M127" s="18" t="inlineStr">
        <is>
          <t>Clinic</t>
        </is>
      </c>
      <c r="N127" s="18" t="inlineStr">
        <is>
          <t>ข้อ 61 (PLE_CC1_2555 Day 1.md)</t>
        </is>
      </c>
      <c r="O127" s="18" t="inlineStr">
        <is>
          <t>ข้อสอบจริง</t>
        </is>
      </c>
      <c r="P127" s="18" t="inlineStr">
        <is>
          <t>ปี 2555</t>
        </is>
      </c>
    </row>
    <row r="128">
      <c r="A128" s="15" t="inlineStr">
        <is>
          <t>126</t>
        </is>
      </c>
      <c r="B128" s="18" t="inlineStr">
        <is>
          <t>ยาที่ผู้ป่วยควรได้รับจากอาการดังกล่าวคือข้อใด</t>
        </is>
      </c>
      <c r="C128" s="18" t="inlineStr"/>
      <c r="D128" s="18" t="inlineStr">
        <is>
          <t>Clotrimazole</t>
        </is>
      </c>
      <c r="E128" s="18" t="inlineStr">
        <is>
          <t>Acyclovir</t>
        </is>
      </c>
      <c r="F128" s="18" t="inlineStr">
        <is>
          <t>Topical steroids</t>
        </is>
      </c>
      <c r="G128" s="18" t="inlineStr">
        <is>
          <t>Ketoconazole</t>
        </is>
      </c>
      <c r="H128" s="18" t="inlineStr">
        <is>
          <t>…………….</t>
        </is>
      </c>
      <c r="I128" s="15" t="inlineStr">
        <is>
          <t>1</t>
        </is>
      </c>
      <c r="J128" s="18"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เป็น Guanosine analog ยับยั้ง HSV และ VZV polymerase ต้องดื่มน้ำมากๆ ระหว่างได้ยา IV เพื่อป้องกัน crystal nephropathy และ obstructive AKI
• ข้อ ค. (Topical steroids): ข้อนี้ไม่ใช่คำตอบที่ถูกต้องสำหรับภาวะ Superficial fungal เนื่องจากกลไกการออกฤทธิ์, efficacy หรือข้อบ่งใช้ไม่ตรงกับโจทย์ที่กำหนด
• ข้อ ง. (Ketoconazole): ข้อนี้ไม่ใช่คำตอบที่ถูกต้องสำหรับภาวะ Superficial fungal เนื่องจากกลไกการออกฤทธิ์, efficacy หรือข้อบ่งใช้ไม่ตรงกับโจทย์ที่กำหนด
• ข้อ จ. (…………….):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18" t="inlineStr"/>
      <c r="L128" s="18" t="inlineStr">
        <is>
          <t>Superficial fungal</t>
        </is>
      </c>
      <c r="M128" s="18" t="inlineStr">
        <is>
          <t>Clinic</t>
        </is>
      </c>
      <c r="N128" s="18" t="inlineStr">
        <is>
          <t>ข้อ 62 (PLE_CC1_2555 Day 1.md)</t>
        </is>
      </c>
      <c r="O128" s="18" t="inlineStr">
        <is>
          <t>ข้อสอบจริง</t>
        </is>
      </c>
      <c r="P128" s="18" t="inlineStr">
        <is>
          <t>ปี 2555</t>
        </is>
      </c>
    </row>
    <row r="129">
      <c r="A129" s="15" t="inlineStr">
        <is>
          <t>127</t>
        </is>
      </c>
      <c r="B129" s="18" t="inlineStr">
        <is>
          <t>อาจทำให้ผิวหนัง-เล็บเปลี่ยนสี</t>
        </is>
      </c>
      <c r="C129" s="18" t="inlineStr"/>
      <c r="D129" s="18" t="inlineStr">
        <is>
          <t>Clobetasol propionate 0.05% cream</t>
        </is>
      </c>
      <c r="E129" s="18" t="inlineStr">
        <is>
          <t>Ketoconazole 2% shampoo</t>
        </is>
      </c>
      <c r="F129" s="18" t="inlineStr">
        <is>
          <t>Benzoyl peroxide 2.5% gel</t>
        </is>
      </c>
      <c r="G129" s="18" t="inlineStr">
        <is>
          <t>Acyclovir 5% cream</t>
        </is>
      </c>
      <c r="H129" s="18" t="inlineStr">
        <is>
          <t>Silver sulfadiazine 1% cream</t>
        </is>
      </c>
      <c r="I129" s="15" t="inlineStr">
        <is>
          <t>1</t>
        </is>
      </c>
      <c r="J129" s="18"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ค.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9" s="18" t="inlineStr"/>
      <c r="L129" s="18" t="inlineStr">
        <is>
          <t>Superficial fungal</t>
        </is>
      </c>
      <c r="M129" s="18" t="inlineStr">
        <is>
          <t>Clinic</t>
        </is>
      </c>
      <c r="N129" s="18" t="inlineStr">
        <is>
          <t>ข้อ 4 (PLE_CC1_2555 Day 2.md)</t>
        </is>
      </c>
      <c r="O129" s="18" t="inlineStr">
        <is>
          <t>ข้อสอบจริง</t>
        </is>
      </c>
      <c r="P129" s="18" t="inlineStr">
        <is>
          <t>ปี 2555</t>
        </is>
      </c>
    </row>
    <row r="130">
      <c r="A130" s="15" t="inlineStr">
        <is>
          <t>128</t>
        </is>
      </c>
      <c r="B130" s="18" t="inlineStr">
        <is>
          <t>ถ้ามีอาการไข้ เจ็บคอ และมีผื่นขึ้นควรไปพบแพทย์ MCQ 1/2555 by CURx69 page 8</t>
        </is>
      </c>
      <c r="C130" s="18" t="inlineStr"/>
      <c r="D130" s="18" t="inlineStr">
        <is>
          <t>Acyclovir 5% cream</t>
        </is>
      </c>
      <c r="E130" s="18" t="inlineStr">
        <is>
          <t>Silver sulfadiazine 1% cream</t>
        </is>
      </c>
      <c r="F130" s="18" t="inlineStr">
        <is>
          <t>Cetirizine 10 mg OD</t>
        </is>
      </c>
      <c r="G130" s="18" t="inlineStr">
        <is>
          <t>Isotretinoin 10 mg OD</t>
        </is>
      </c>
      <c r="H130" s="18" t="inlineStr">
        <is>
          <t>Terbinafine 1% cream</t>
        </is>
      </c>
      <c r="I130" s="15" t="inlineStr">
        <is>
          <t>1</t>
        </is>
      </c>
      <c r="J130" s="18"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Eczema &amp; Dermatitis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Eczema &amp; Dermatitis เนื่องจากกลไกการออกฤทธิ์, efficacy หรือข้อบ่งใช้ไม่ตรงกับโจทย์ที่กำหนด
• ข้อ จ. (Terbinafine 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0" s="18" t="inlineStr"/>
      <c r="L130" s="18" t="inlineStr">
        <is>
          <t>Eczema &amp; Dermatitis</t>
        </is>
      </c>
      <c r="M130" s="18" t="inlineStr">
        <is>
          <t>Clinic</t>
        </is>
      </c>
      <c r="N130" s="18" t="inlineStr">
        <is>
          <t>ข้อ 5 (PLE_CC1_2555 Day 2.md)</t>
        </is>
      </c>
      <c r="O130" s="18" t="inlineStr">
        <is>
          <t>ข้อสอบจริง</t>
        </is>
      </c>
      <c r="P130" s="18" t="inlineStr">
        <is>
          <t>ปี 2555</t>
        </is>
      </c>
    </row>
    <row r="131">
      <c r="A131" s="15" t="inlineStr">
        <is>
          <t>129</t>
        </is>
      </c>
      <c r="B131" s="18" t="inlineStr">
        <is>
          <t>ขั้นแรกควรให้การรักษาโดยวิธีใดที่เหมาะสมที่สุด</t>
        </is>
      </c>
      <c r="C131" s="18" t="inlineStr"/>
      <c r="D131" s="18" t="inlineStr">
        <is>
          <t>Isotretinoin 10 mg OD</t>
        </is>
      </c>
      <c r="E131" s="18" t="inlineStr">
        <is>
          <t>Terbinafine 1% cream</t>
        </is>
      </c>
      <c r="F131" s="18" t="inlineStr">
        <is>
          <t>Adapalene 0.1% gel</t>
        </is>
      </c>
      <c r="G131" s="18" t="inlineStr">
        <is>
          <t>Mupirocin 2% ointment</t>
        </is>
      </c>
      <c r="H131" s="18" t="inlineStr">
        <is>
          <t>Betamethasone dipropionate 0.05% cream</t>
        </is>
      </c>
      <c r="I131" s="15" t="inlineStr">
        <is>
          <t>1</t>
        </is>
      </c>
      <c r="J131" s="18"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8" t="inlineStr"/>
      <c r="L131" s="18" t="inlineStr">
        <is>
          <t>Superficial fungal</t>
        </is>
      </c>
      <c r="M131" s="18" t="inlineStr">
        <is>
          <t>Clinic</t>
        </is>
      </c>
      <c r="N131" s="18" t="inlineStr">
        <is>
          <t>ข้อ 1 (PLE_CC1_2554 SET2.md)</t>
        </is>
      </c>
      <c r="O131" s="18" t="inlineStr">
        <is>
          <t>ข้อสอบจริง</t>
        </is>
      </c>
      <c r="P131" s="18" t="inlineStr">
        <is>
          <t>ปี 2554</t>
        </is>
      </c>
    </row>
    <row r="132">
      <c r="A132" s="15" t="inlineStr">
        <is>
          <t>130</t>
        </is>
      </c>
      <c r="B132" s="18" t="inlineStr">
        <is>
          <t>ประคบเย็น</t>
        </is>
      </c>
      <c r="C132" s="18" t="inlineStr"/>
      <c r="D132" s="18" t="inlineStr">
        <is>
          <t>ทายาสีฟัน</t>
        </is>
      </c>
      <c r="E132" s="18" t="inlineStr">
        <is>
          <t>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t>
        </is>
      </c>
      <c r="F132" s="18" t="inlineStr">
        <is>
          <t>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t>
        </is>
      </c>
      <c r="G132" s="18" t="inlineStr">
        <is>
          <t>Hydrocortisone 1% cream</t>
        </is>
      </c>
      <c r="H132" s="18" t="inlineStr">
        <is>
          <t>Triamcinolone acetonide 0.1% cream</t>
        </is>
      </c>
      <c r="I132" s="15" t="inlineStr">
        <is>
          <t>3</t>
        </is>
      </c>
      <c r="J132" s="18"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ข้อนี้ไม่ใช่คำตอบที่ถูกต้องสำหรับภาวะ Superficial fungal เนื่องจากกลไกการออกฤทธิ์, efficacy หรือข้อบ่งใช้ไม่ตรงกับโจทย์ที่กำหนด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ข้อนี้ไม่ใช่คำตอบที่ถูกต้องสำหรับภาวะ Superficial fungal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18" t="inlineStr"/>
      <c r="L132" s="18" t="inlineStr">
        <is>
          <t>Superficial fungal</t>
        </is>
      </c>
      <c r="M132" s="18" t="inlineStr">
        <is>
          <t>Clinic</t>
        </is>
      </c>
      <c r="N132" s="18" t="inlineStr">
        <is>
          <t>ข้อ 1 (PLE_CC1_2554 SET2.md)</t>
        </is>
      </c>
      <c r="O132" s="18" t="inlineStr">
        <is>
          <t>ข้อสอบจริง</t>
        </is>
      </c>
      <c r="P132" s="18" t="inlineStr">
        <is>
          <t>ปี 2554</t>
        </is>
      </c>
    </row>
    <row r="133">
      <c r="A133" s="15" t="inlineStr">
        <is>
          <t>131</t>
        </is>
      </c>
      <c r="B133" s="18" t="inlineStr">
        <is>
          <t>ควรล้างแผลด้วยอะไร ไม่ทำให้รู้สึกปวดแสบปวดร้อน เพื่อชะล้างสิ่งสกปรกออกจากแผล ช่วยให้เนื้อเยื่อที่ตายแล้วเกิดความชุ่มชื้น หลุดออกได้ง่าย Ref: Healthtoday.net/thailand/pharmacy/pharmacy_105.html โดย ภญ.เพ็ญนภา ม่วงศรี Ref: Nursing Care in Burn Wound</t>
        </is>
      </c>
      <c r="C133" s="18" t="inlineStr"/>
      <c r="D133" s="18" t="inlineStr">
        <is>
          <t>เกิดจากการติดเชื้ออะไร</t>
        </is>
      </c>
      <c r="E133" s="18" t="inlineStr">
        <is>
          <t>S.aureus</t>
        </is>
      </c>
      <c r="F133" s="18" t="inlineStr">
        <is>
          <t>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t>
        </is>
      </c>
      <c r="G133" s="18" t="inlineStr">
        <is>
          <t>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t>
        </is>
      </c>
      <c r="H133" s="18" t="inlineStr">
        <is>
          <t>Benzoyl peroxide 2.5% gel</t>
        </is>
      </c>
      <c r="I133" s="15" t="inlineStr">
        <is>
          <t>1</t>
        </is>
      </c>
      <c r="J133" s="18"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ข้อนี้ไม่ใช่คำตอบที่ถูกต้องสำหรับภาวะ Wound เนื่องจากกลไกการออกฤทธิ์, efficacy หรือข้อบ่งใช้ไม่ตรงกับโจทย์ที่กำหนด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ข้อนี้ไม่ใช่คำตอบที่ถูกต้องสำหรับภาวะ Wound เนื่องจากกลไกการออกฤทธิ์, efficacy หรือข้อบ่งใช้ไม่ตรงกับโจทย์ที่กำหนด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เป็น penicillinase-resistant penicillin เป็น drug of choice สำหรับ Methicillin-Susceptible Staphylococcus aureus (MSSA) infections ต้องรับประทานตอนท้องว่าง
• ข้อ จ. (Benzoyl peroxide 2.5% gel):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18" t="inlineStr"/>
      <c r="L133" s="18" t="inlineStr">
        <is>
          <t>Wound</t>
        </is>
      </c>
      <c r="M133" s="18" t="inlineStr">
        <is>
          <t>Clinic</t>
        </is>
      </c>
      <c r="N133" s="18" t="inlineStr">
        <is>
          <t>ข้อ 3 (PLE_CC1_2554 SET2.md)</t>
        </is>
      </c>
      <c r="O133" s="18" t="inlineStr">
        <is>
          <t>ข้อสอบจริง</t>
        </is>
      </c>
      <c r="P133" s="18" t="inlineStr">
        <is>
          <t>ปี 2554</t>
        </is>
      </c>
    </row>
    <row r="134">
      <c r="A134" s="15" t="inlineStr">
        <is>
          <t>132</t>
        </is>
      </c>
      <c r="B134" s="18" t="inlineStr">
        <is>
          <t>ผู้ป่วยเป็นโรคอะไร</t>
        </is>
      </c>
      <c r="C134" s="18" t="inlineStr"/>
      <c r="D134" s="18" t="inlineStr">
        <is>
          <t>Herpes zoster</t>
        </is>
      </c>
      <c r="E134" s="18" t="inlineStr">
        <is>
          <t>Herpes simplex</t>
        </is>
      </c>
      <c r="F134" s="18" t="inlineStr">
        <is>
          <t>Herpes labialis</t>
        </is>
      </c>
      <c r="G134" s="18" t="inlineStr">
        <is>
          <t>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t>
        </is>
      </c>
      <c r="H134" s="18" t="inlineStr">
        <is>
          <t>Cetirizine 10 mg OD</t>
        </is>
      </c>
      <c r="I134" s="15" t="inlineStr">
        <is>
          <t>1</t>
        </is>
      </c>
      <c r="J134" s="18"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ข้อนี้ไม่ใช่คำตอบที่ถูกต้องสำหรับภาวะ Superficial fungal เนื่องจากกลไกการออกฤทธิ์, efficacy หรือข้อบ่งใช้ไม่ตรงกับโจทย์ที่กำหนด
• ข้อ ค. (Herpes labialis): ข้อนี้ไม่ใช่คำตอบที่ถูกต้องสำหรับภาวะ Superficial fungal เนื่องจากกลไกการออกฤทธิ์, efficacy หรือข้อบ่งใช้ไม่ตรงกับโจทย์ที่กำหนด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18" t="inlineStr"/>
      <c r="L134" s="18" t="inlineStr">
        <is>
          <t>Superficial fungal</t>
        </is>
      </c>
      <c r="M134" s="18" t="inlineStr">
        <is>
          <t>Clinic</t>
        </is>
      </c>
      <c r="N134" s="18" t="inlineStr">
        <is>
          <t>ข้อ 1 (PLE_CC1_2554 SET2.md)</t>
        </is>
      </c>
      <c r="O134" s="18" t="inlineStr">
        <is>
          <t>ข้อสอบจริง</t>
        </is>
      </c>
      <c r="P134" s="18" t="inlineStr">
        <is>
          <t>ปี 2554</t>
        </is>
      </c>
    </row>
    <row r="135">
      <c r="A135" s="15" t="inlineStr">
        <is>
          <t>133</t>
        </is>
      </c>
      <c r="B135" s="18" t="inlineStr">
        <is>
          <t>โรคดังกล่าวเกิดจากเชื้ออะไร</t>
        </is>
      </c>
      <c r="C135" s="18" t="inlineStr"/>
      <c r="D135" s="18" t="inlineStr">
        <is>
          <t>Human Papilloma Virus</t>
        </is>
      </c>
      <c r="E135" s="18" t="inlineStr">
        <is>
          <t>Malassezia furfur</t>
        </is>
      </c>
      <c r="F135" s="18" t="inlineStr">
        <is>
          <t>Varicella zoster virus</t>
        </is>
      </c>
      <c r="G135" s="18" t="inlineStr">
        <is>
          <t>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t>
        </is>
      </c>
      <c r="H135" s="18" t="inlineStr">
        <is>
          <t>Adapalene 0.1% gel</t>
        </is>
      </c>
      <c r="I135" s="15" t="inlineStr">
        <is>
          <t>3</t>
        </is>
      </c>
      <c r="J135" s="18"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ข้อนี้ไม่ใช่คำตอบที่ถูกต้องสำหรับภาวะ Superficial fungal เนื่องจากกลไกการออกฤทธิ์, efficacy หรือข้อบ่งใช้ไม่ตรงกับโจทย์ที่กำหนด
• ข้อ ข. (Malassezia furfur): ข้อนี้ไม่ใช่คำตอบที่ถูกต้องสำหรับภาวะ Superficial fungal เนื่องจากกลไกการออกฤทธิ์, efficacy หรือข้อบ่งใช้ไม่ตรงกับโจทย์ที่กำหนด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ข้อนี้ไม่ใช่คำตอบที่ถูกต้องสำหรับภาวะ Superficial fungal เนื่องจากกลไกการออกฤทธิ์, efficacy หรือข้อบ่งใช้ไม่ตรงกับโจทย์ที่กำหนด
• ข้อ จ. (Adapalene 0.1%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18" t="inlineStr"/>
      <c r="L135" s="18" t="inlineStr">
        <is>
          <t>Superficial fungal</t>
        </is>
      </c>
      <c r="M135" s="18" t="inlineStr">
        <is>
          <t>Clinic</t>
        </is>
      </c>
      <c r="N135" s="18" t="inlineStr">
        <is>
          <t>ข้อ 2 (PLE_CC1_2554 SET2.md)</t>
        </is>
      </c>
      <c r="O135" s="18" t="inlineStr">
        <is>
          <t>ข้อสอบจริง</t>
        </is>
      </c>
      <c r="P135" s="18" t="inlineStr">
        <is>
          <t>ปี 2554</t>
        </is>
      </c>
    </row>
    <row r="136">
      <c r="A136" s="15" t="inlineStr">
        <is>
          <t>134</t>
        </is>
      </c>
      <c r="B136" s="18" t="inlineStr">
        <is>
          <t>การรักษาที่ถูกต้อง</t>
        </is>
      </c>
      <c r="C136" s="18" t="inlineStr"/>
      <c r="D136" s="18" t="inlineStr">
        <is>
          <t>ถ้าเป็นไม่มาก ทาครีมรักษาได้</t>
        </is>
      </c>
      <c r="E136" s="18" t="inlineStr">
        <is>
          <t>ต้องกินยาต้านเชื้อไวรัสภายใน 7 วันหลังจากมีอาการ</t>
        </is>
      </c>
      <c r="F136" s="18" t="inlineStr">
        <is>
          <t>นำกระเทียมสด 2-3 กลีบ ตำละเอียด แล้วนำมาพอกแผล</t>
        </is>
      </c>
      <c r="G136" s="18" t="inlineStr">
        <is>
          <t>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t>
        </is>
      </c>
      <c r="H136" s="18" t="inlineStr">
        <is>
          <t>Clotrimazole 1% cream</t>
        </is>
      </c>
      <c r="I136" s="15" t="inlineStr">
        <is>
          <t>2</t>
        </is>
      </c>
      <c r="J136" s="18"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ข้อนี้ไม่ใช่คำตอบที่ถูกต้องสำหรับภาวะ Superficial fungal เนื่องจากกลไกการออกฤทธิ์, efficacy หรือข้อบ่งใช้ไม่ตรงกับโจทย์ที่กำหนด
• ข้อ ค. (นำกระเทียมสด 2-3 กลีบ ตำละเอียด แล้วนำมาพอกแผล): ข้อนี้ไม่ใช่คำตอบที่ถูกต้องสำหรับภาวะ Superficial fungal เนื่องจากกลไกการออกฤทธิ์, efficacy หรือข้อบ่งใช้ไม่ตรงกับโจทย์ที่กำหนด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เป็น Guanosine analog ยับยั้ง HSV และ VZV polymerase ต้องดื่มน้ำมากๆ ระหว่างได้ยา IV เพื่อป้องกัน crystal nephropathy และ obstructive AKI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18" t="inlineStr"/>
      <c r="L136" s="18" t="inlineStr">
        <is>
          <t>Superficial fungal</t>
        </is>
      </c>
      <c r="M136" s="18" t="inlineStr">
        <is>
          <t>Clinic</t>
        </is>
      </c>
      <c r="N136" s="18" t="inlineStr">
        <is>
          <t>ข้อ 4 (PLE_CC1_2554 SET2.md)</t>
        </is>
      </c>
      <c r="O136" s="18" t="inlineStr">
        <is>
          <t>ข้อสอบจริง</t>
        </is>
      </c>
      <c r="P136" s="18" t="inlineStr">
        <is>
          <t>ปี 2554</t>
        </is>
      </c>
    </row>
    <row r="137">
      <c r="A137" s="15" t="inlineStr">
        <is>
          <t>135</t>
        </is>
      </c>
      <c r="B137" s="18" t="inlineStr">
        <is>
          <t>ข้อใดไม่ถูกต้อง</t>
        </is>
      </c>
      <c r="C137" s="18" t="inlineStr"/>
      <c r="D137" s="18" t="inlineStr">
        <is>
          <t>โรคนี้เป็นแล้วไม่กลับเป็นซํ้า</t>
        </is>
      </c>
      <c r="E137" s="18" t="inlineStr">
        <is>
          <t>การติดเชื้อ VZV ครั้งแรกจะทำให้เกิดโรคสุกใส</t>
        </is>
      </c>
      <c r="F137" s="18" t="inlineStr">
        <is>
          <t>เชื้อ VZV สามารถติดต่อทางการสัมผัสเยื่อเมือกของทางเดินหายใจ</t>
        </is>
      </c>
      <c r="G137" s="18" t="inlineStr">
        <is>
          <t>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t>
        </is>
      </c>
      <c r="H137" s="18" t="inlineStr">
        <is>
          <t>Clobetasol propionate 0.05% cream</t>
        </is>
      </c>
      <c r="I137" s="15" t="inlineStr">
        <is>
          <t>1</t>
        </is>
      </c>
      <c r="J137" s="18"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ข้อนี้ไม่ใช่คำตอบที่ถูกต้องสำหรับภาวะ Superficial fungal เนื่องจากกลไกการออกฤทธิ์, efficacy หรือข้อบ่งใช้ไม่ตรงกับโจทย์ที่กำหนด
• ข้อ ค. (เชื้อ VZV สามารถติดต่อทางการสัมผัสเยื่อเมือกของทางเดินหายใจ): ข้อนี้ไม่ใช่คำตอบที่ถูกต้องสำหรับภาวะ Superficial fungal เนื่องจากกลไกการออกฤทธิ์, efficacy หรือข้อบ่งใช้ไม่ตรงกับโจทย์ที่กำหนด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18" t="inlineStr"/>
      <c r="L137" s="18" t="inlineStr">
        <is>
          <t>Superficial fungal</t>
        </is>
      </c>
      <c r="M137" s="18" t="inlineStr">
        <is>
          <t>Clinic</t>
        </is>
      </c>
      <c r="N137" s="18" t="inlineStr">
        <is>
          <t>ข้อ 5 (PLE_CC1_2554 SET2.md)</t>
        </is>
      </c>
      <c r="O137" s="18" t="inlineStr">
        <is>
          <t>ข้อสอบจริง</t>
        </is>
      </c>
      <c r="P137" s="18" t="inlineStr">
        <is>
          <t>ปี 2554</t>
        </is>
      </c>
    </row>
    <row r="138">
      <c r="A138" s="15" t="inlineStr">
        <is>
          <t>136</t>
        </is>
      </c>
      <c r="B138" s="18" t="inlineStr">
        <is>
          <t>ข้อใดจัดเป็นยาผิดมาตรฐาน</t>
        </is>
      </c>
      <c r="C138" s="18" t="inlineStr"/>
      <c r="D138" s="18" t="inlineStr">
        <is>
          <t>ระบุยาหมดอายุ 2019 แต่ผลิต 2009</t>
        </is>
      </c>
      <c r="E138" s="18" t="inlineStr">
        <is>
          <t>ตรวจเปอร์เซ็นต์ยาได้87%</t>
        </is>
      </c>
      <c r="F138" s="18" t="inlineStr">
        <is>
          <t>ใส่ยาอื่นมาผสม acyclovir เพื่อลดต้นทุนและการดื้อยา</t>
        </is>
      </c>
      <c r="G138" s="18" t="inlineStr">
        <is>
          <t>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t>
        </is>
      </c>
      <c r="H138" s="18" t="inlineStr">
        <is>
          <t>Acyclovir 5% cream</t>
        </is>
      </c>
      <c r="I138" s="15" t="inlineStr">
        <is>
          <t>2</t>
        </is>
      </c>
      <c r="J138" s="18"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ข้อนี้ไม่ใช่คำตอบที่ถูกต้องสำหรับภาวะ Superficial fungal เนื่องจากกลไกการออกฤทธิ์, efficacy หรือข้อบ่งใช้ไม่ตรงกับโจทย์ที่กำหนด
• ข้อ ค. (ใส่ยาอื่นมาผสม acyclovir เพื่อลดต้นทุนและการดื้อยา): เป็น Guanosine analog ยับยั้ง HSV และ VZV polymerase ต้องดื่มน้ำมากๆ ระหว่างได้ยา IV เพื่อป้องกัน crystal nephropathy และ obstructive AKI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เป็น Guanosine analog ยับยั้ง HSV และ VZV polymerase ต้องดื่มน้ำมากๆ ระหว่างได้ยา IV เพื่อป้องกัน crystal nephropathy และ obstructive AKI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18" t="inlineStr"/>
      <c r="L138" s="18" t="inlineStr">
        <is>
          <t>Superficial fungal</t>
        </is>
      </c>
      <c r="M138" s="18" t="inlineStr">
        <is>
          <t>Clinic</t>
        </is>
      </c>
      <c r="N138" s="18" t="inlineStr">
        <is>
          <t>ข้อ 7 (PLE_CC1_2554 SET2.md)</t>
        </is>
      </c>
      <c r="O138" s="18" t="inlineStr">
        <is>
          <t>ข้อสอบจริง</t>
        </is>
      </c>
      <c r="P138" s="18" t="inlineStr">
        <is>
          <t>ปี 2554</t>
        </is>
      </c>
    </row>
    <row r="139">
      <c r="A139" s="15" t="inlineStr">
        <is>
          <t>137</t>
        </is>
      </c>
      <c r="B139" s="18" t="inlineStr">
        <is>
          <t>ต่อมาอีก 3 วัน พบว่ามีอาการแผลเปิดออก ควรใช้อะไรในการล้างแผล</t>
        </is>
      </c>
      <c r="C139" s="18" t="inlineStr"/>
      <c r="D139" s="18" t="inlineStr">
        <is>
          <t>povidone-iodine</t>
        </is>
      </c>
      <c r="E139" s="18" t="inlineStr">
        <is>
          <t>alcohol 70%</t>
        </is>
      </c>
      <c r="F139" s="18" t="inlineStr">
        <is>
          <t>alcohol 90%</t>
        </is>
      </c>
      <c r="G139" s="18" t="inlineStr">
        <is>
          <t>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t>
        </is>
      </c>
      <c r="H139" s="18" t="inlineStr">
        <is>
          <t>Isotretinoin 10 mg OD</t>
        </is>
      </c>
      <c r="I139" s="15" t="inlineStr">
        <is>
          <t>1</t>
        </is>
      </c>
      <c r="J139" s="18"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ข้อนี้ไม่ใช่คำตอบที่ถูกต้องสำหรับภาวะ Wound เนื่องจากกลไกการออกฤทธิ์, efficacy หรือข้อบ่งใช้ไม่ตรงกับโจทย์ที่กำหนด
• ข้อ ค. (alcohol 90%): ข้อนี้ไม่ใช่คำตอบที่ถูกต้องสำหรับภาวะ Wound เนื่องจากกลไกการออกฤทธิ์, efficacy หรือข้อบ่งใช้ไม่ตรงกับโจทย์ที่กำหนด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เป็น Polyvinylpyrrolidone (PVP) ใช้เป็น Binder สำหรับ wet granulation ละลายได้ทั้งในน้ำและแอลกอฮอล์
• ข้อ จ. (Isotretinoin 10 mg OD):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18" t="inlineStr"/>
      <c r="L139" s="18" t="inlineStr">
        <is>
          <t>Wound</t>
        </is>
      </c>
      <c r="M139" s="18" t="inlineStr">
        <is>
          <t>Clinic</t>
        </is>
      </c>
      <c r="N139" s="18" t="inlineStr">
        <is>
          <t>ข้อ 22 (PLE_CC1_2554 SET2.md)</t>
        </is>
      </c>
      <c r="O139" s="18" t="inlineStr">
        <is>
          <t>ข้อสอบจริง</t>
        </is>
      </c>
      <c r="P139" s="18" t="inlineStr">
        <is>
          <t>ปี 2554</t>
        </is>
      </c>
    </row>
    <row r="140">
      <c r="A140" s="15" t="inlineStr">
        <is>
          <t>138</t>
        </is>
      </c>
      <c r="B140" s="18" t="inlineStr">
        <is>
          <t>เอกสารประกอบการเรียน เรื่อง Thyriod disorder ของอาจารย์วรนุช แสงเจริญ</t>
        </is>
      </c>
      <c r="C140" s="18" t="inlineStr"/>
      <c r="D140" s="18" t="inlineStr">
        <is>
          <t>Cetirizine 10 mg OD</t>
        </is>
      </c>
      <c r="E140" s="18" t="inlineStr">
        <is>
          <t>Isotretinoin 10 mg OD</t>
        </is>
      </c>
      <c r="F140" s="18" t="inlineStr">
        <is>
          <t>Terbinafine 1% cream</t>
        </is>
      </c>
      <c r="G140" s="18" t="inlineStr">
        <is>
          <t>Adapalene 0.1% gel</t>
        </is>
      </c>
      <c r="H140" s="18" t="inlineStr">
        <is>
          <t>Mupirocin 2% ointment</t>
        </is>
      </c>
      <c r="I140" s="15" t="inlineStr">
        <is>
          <t>1</t>
        </is>
      </c>
      <c r="J140" s="18"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ค.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ง. (Adapalene 0.1% gel): ข้อนี้ไม่ใช่คำตอบที่ถูกต้องสำหรับภาวะ Superficial fungal เนื่องจากกลไกการออกฤทธิ์, efficacy หรือข้อบ่งใช้ไม่ตรงกับโจทย์ที่กำหนด
• ข้อ จ. (Mupirocin 2% ointment):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18" t="inlineStr"/>
      <c r="L140" s="18" t="inlineStr">
        <is>
          <t>Superficial fungal</t>
        </is>
      </c>
      <c r="M140" s="18" t="inlineStr">
        <is>
          <t>Clinic</t>
        </is>
      </c>
      <c r="N140" s="18" t="inlineStr">
        <is>
          <t>ข้อ 1 (PLE_CC1_2554 SET2.md)</t>
        </is>
      </c>
      <c r="O140" s="18" t="inlineStr">
        <is>
          <t>ข้อสอบจริง</t>
        </is>
      </c>
      <c r="P140" s="18" t="inlineStr">
        <is>
          <t>ปี 2554</t>
        </is>
      </c>
    </row>
    <row r="141">
      <c r="A141" s="15" t="inlineStr">
        <is>
          <t>139</t>
        </is>
      </c>
      <c r="B141" s="18" t="inlineStr">
        <is>
          <t>ข้อใดคืออาการเด่นและเฉพาะที่บ่งชี้ว่าเป็นงูสวัด</t>
        </is>
      </c>
      <c r="C141" s="18" t="inlineStr"/>
      <c r="D141" s="18" t="inlineStr">
        <is>
          <t>ตุ่มนํ้าใสบนฐานแดง มักพบบริเวณปาก</t>
        </is>
      </c>
      <c r="E141" s="18" t="inlineStr">
        <is>
          <t>ตุ่มนํ้าใสบนฐานแดง มักพบบริเวณอวัยวะเพศ</t>
        </is>
      </c>
      <c r="F141" s="18" t="inlineStr">
        <is>
          <t>มีอาการคันบริเวณเส้นประสาท</t>
        </is>
      </c>
      <c r="G141" s="18" t="inlineStr">
        <is>
          <t>อาการปวดตามเส้นประสาท</t>
        </is>
      </c>
      <c r="H141" s="18" t="inlineStr">
        <is>
          <t>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t>
        </is>
      </c>
      <c r="I141" s="15" t="inlineStr">
        <is>
          <t>5</t>
        </is>
      </c>
      <c r="J141" s="18"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ข้อนี้ไม่ใช่คำตอบที่ถูกต้องสำหรับภาวะ Herpes &amp; Zoster เนื่องจากกลไกการออกฤทธิ์, efficacy หรือข้อบ่งใช้ไม่ตรงกับโจทย์ที่กำหนด
• ข้อ ข. (ตุ่มนํ้าใสบนฐานแดง มักพบบริเวณอวัยวะเพศ): ข้อนี้ไม่ใช่คำตอบที่ถูกต้องสำหรับภาวะ Herpes &amp; Zoster เนื่องจากกลไกการออกฤทธิ์, efficacy หรือข้อบ่งใช้ไม่ตรงกับโจทย์ที่กำหนด
• ข้อ ค. (มีอาการคันบริเวณเส้นประสาท): ข้อนี้ไม่ใช่คำตอบที่ถูกต้องสำหรับภาวะ Herpes &amp; Zoster เนื่องจากกลไกการออกฤทธิ์, efficacy หรือข้อบ่งใช้ไม่ตรงกับโจทย์ที่กำหนด
• ข้อ ง. (อาการปวดตามเส้นประสาท): ข้อนี้ไม่ใช่คำตอบที่ถูกต้องสำหรับภาวะ Herpes &amp; Zoster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18" t="inlineStr"/>
      <c r="L141" s="18" t="inlineStr">
        <is>
          <t>Herpes &amp; Zoster</t>
        </is>
      </c>
      <c r="M141" s="18" t="inlineStr">
        <is>
          <t>Clinic</t>
        </is>
      </c>
      <c r="N141" s="18" t="inlineStr">
        <is>
          <t>ข้อ 3 (PLE_CC1_2554 SET2.md)</t>
        </is>
      </c>
      <c r="O141" s="18" t="inlineStr">
        <is>
          <t>ข้อสอบจริง</t>
        </is>
      </c>
      <c r="P141" s="18" t="inlineStr">
        <is>
          <t>ปี 2554</t>
        </is>
      </c>
    </row>
    <row r="142">
      <c r="A142" s="15" t="inlineStr">
        <is>
          <t>140</t>
        </is>
      </c>
      <c r="B142" s="18" t="inlineStr">
        <is>
          <t>ทาก่อนออกแดด เพื่อป้องกันสิวที่ขึ้นตอนออกแดด</t>
        </is>
      </c>
      <c r="C142" s="18" t="inlineStr"/>
      <c r="D142" s="18" t="inlineStr">
        <is>
          <t>Clotrimazole 1% cream</t>
        </is>
      </c>
      <c r="E142" s="18" t="inlineStr">
        <is>
          <t>Hydrocortisone 1% cream</t>
        </is>
      </c>
      <c r="F142" s="18" t="inlineStr">
        <is>
          <t>Triamcinolone acetonide 0.1% cream</t>
        </is>
      </c>
      <c r="G142" s="18" t="inlineStr">
        <is>
          <t>Clobetasol propionate 0.05% cream</t>
        </is>
      </c>
      <c r="H142" s="18" t="inlineStr">
        <is>
          <t>Ketoconazole 2% shampoo</t>
        </is>
      </c>
      <c r="I142" s="15" t="inlineStr">
        <is>
          <t>1</t>
        </is>
      </c>
      <c r="J142" s="18"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ง. (Clobetasol propionate 0.05% cream): ข้อนี้ไม่ใช่คำตอบที่ถูกต้องสำหรับภาวะ Acne เนื่องจากกลไกการออกฤทธิ์, efficacy หรือข้อบ่งใช้ไม่ตรงกับโจทย์ที่กำหนด
• ข้อ จ. (Ketoconazole 2% shampoo):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18" t="inlineStr"/>
      <c r="L142" s="18" t="inlineStr">
        <is>
          <t>Acne</t>
        </is>
      </c>
      <c r="M142" s="18" t="inlineStr">
        <is>
          <t>Clinic</t>
        </is>
      </c>
      <c r="N142" s="18" t="inlineStr">
        <is>
          <t>ข้อ 1 (PLE_CC1_2533.md)</t>
        </is>
      </c>
      <c r="O142" s="18" t="inlineStr">
        <is>
          <t>ข้อสอบจริง</t>
        </is>
      </c>
      <c r="P142" s="18" t="inlineStr">
        <is>
          <t>ปี 2533</t>
        </is>
      </c>
    </row>
    <row r="143">
      <c r="A143" s="15" t="inlineStr">
        <is>
          <t>141</t>
        </is>
      </c>
      <c r="B143" s="18" t="inlineStr">
        <is>
          <t>จำไม่ได้อ่า</t>
        </is>
      </c>
      <c r="C143" s="18" t="inlineStr"/>
      <c r="D143" s="18" t="inlineStr">
        <is>
          <t>Clobetasol propionate 0.05% cream</t>
        </is>
      </c>
      <c r="E143" s="18" t="inlineStr">
        <is>
          <t>Ketoconazole 2% shampoo</t>
        </is>
      </c>
      <c r="F143" s="18" t="inlineStr">
        <is>
          <t>Benzoyl peroxide 2.5% gel</t>
        </is>
      </c>
      <c r="G143" s="18" t="inlineStr">
        <is>
          <t>Acyclovir 5% cream</t>
        </is>
      </c>
      <c r="H143" s="18" t="inlineStr">
        <is>
          <t>Silver sulfadiazine 1% cream</t>
        </is>
      </c>
      <c r="I143" s="15" t="inlineStr">
        <is>
          <t>1</t>
        </is>
      </c>
      <c r="J143" s="18"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ค.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18" t="inlineStr"/>
      <c r="L143" s="18" t="inlineStr">
        <is>
          <t>Superficial fungal</t>
        </is>
      </c>
      <c r="M143" s="18" t="inlineStr">
        <is>
          <t>Clinic</t>
        </is>
      </c>
      <c r="N143" s="18" t="inlineStr">
        <is>
          <t>ข้อ 2 (PLE_CC1_2533.md)</t>
        </is>
      </c>
      <c r="O143" s="18" t="inlineStr">
        <is>
          <t>ข้อสอบจริง</t>
        </is>
      </c>
      <c r="P143" s="18" t="inlineStr">
        <is>
          <t>ปี 2533</t>
        </is>
      </c>
    </row>
    <row r="144">
      <c r="A144" s="15" t="inlineStr">
        <is>
          <t>142</t>
        </is>
      </c>
      <c r="B144" s="18" t="inlineStr">
        <is>
          <t>เปลี่ยนยา เนื่องจากผู้ป่วยมีสิวหัวหนองเต็มแล้ว</t>
        </is>
      </c>
      <c r="C144" s="18" t="inlineStr"/>
      <c r="D144" s="18" t="inlineStr">
        <is>
          <t>Acyclovir 5% cream</t>
        </is>
      </c>
      <c r="E144" s="18" t="inlineStr">
        <is>
          <t>Silver sulfadiazine 1% cream</t>
        </is>
      </c>
      <c r="F144" s="18" t="inlineStr">
        <is>
          <t>Cetirizine 10 mg OD</t>
        </is>
      </c>
      <c r="G144" s="18" t="inlineStr">
        <is>
          <t>Isotretinoin 10 mg OD</t>
        </is>
      </c>
      <c r="H144" s="18" t="inlineStr">
        <is>
          <t>Terbinafine 1% cream</t>
        </is>
      </c>
      <c r="I144" s="15" t="inlineStr">
        <is>
          <t>1</t>
        </is>
      </c>
      <c r="J144" s="18" t="inlineStr">
        <is>
          <t>✅ คำตอบที่ถูกต้อง: ข้อ ก. Acyclovir 5%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Acne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Acne เนื่องจากกลไกการออกฤทธิ์, efficacy หรือข้อบ่งใช้ไม่ตรงกับโจทย์ที่กำหนด
• ข้อ จ. (Terbinafine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4" s="18" t="inlineStr"/>
      <c r="L144" s="18" t="inlineStr">
        <is>
          <t>Acne</t>
        </is>
      </c>
      <c r="M144" s="18" t="inlineStr">
        <is>
          <t>Clinic</t>
        </is>
      </c>
      <c r="N144" s="18" t="inlineStr">
        <is>
          <t>ข้อ 2 (PLE_CC1_2533.md)</t>
        </is>
      </c>
      <c r="O144" s="18" t="inlineStr">
        <is>
          <t>ข้อสอบจริง</t>
        </is>
      </c>
      <c r="P144" s="18" t="inlineStr">
        <is>
          <t>ปี 2533</t>
        </is>
      </c>
    </row>
    <row r="145">
      <c r="A145" s="15" t="inlineStr">
        <is>
          <t>143</t>
        </is>
      </c>
      <c r="B145" s="18"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18" t="inlineStr"/>
      <c r="D145" s="18" t="inlineStr">
        <is>
          <t>Isotretinoin 10 mg OD</t>
        </is>
      </c>
      <c r="E145" s="18" t="inlineStr">
        <is>
          <t>Terbinafine 1% cream</t>
        </is>
      </c>
      <c r="F145" s="18" t="inlineStr">
        <is>
          <t>Adapalene 0.1% gel</t>
        </is>
      </c>
      <c r="G145" s="18" t="inlineStr">
        <is>
          <t>Mupirocin 2% ointment</t>
        </is>
      </c>
      <c r="H145" s="18" t="inlineStr">
        <is>
          <t>Betamethasone dipropionate 0.05% cream</t>
        </is>
      </c>
      <c r="I145" s="15" t="inlineStr">
        <is>
          <t>1</t>
        </is>
      </c>
      <c r="J145" s="18"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Acne เนื่องจากกลไกการออกฤทธิ์, efficacy หรือข้อบ่งใช้ไม่ตรงกับโจทย์ที่กำหนด
• ข้อ ค. (Adapalene 0.1% gel): ข้อนี้ไม่ใช่คำตอบที่ถูกต้องสำหรับภาวะ Acne เนื่องจากกลไกการออกฤทธิ์, efficacy หรือข้อบ่งใช้ไม่ตรงกับโจทย์ที่กำหนด
• ข้อ ง. (Mupirocin 2% ointment): ข้อนี้ไม่ใช่คำตอบที่ถูกต้องสำหรับภาวะ Acne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18" t="inlineStr"/>
      <c r="L145" s="18" t="inlineStr">
        <is>
          <t>Acne</t>
        </is>
      </c>
      <c r="M145" s="18" t="inlineStr">
        <is>
          <t>Clinic</t>
        </is>
      </c>
      <c r="N145" s="18" t="inlineStr">
        <is>
          <t>ข้อ 5 (PLE_CC1_2533.md)</t>
        </is>
      </c>
      <c r="O145" s="18" t="inlineStr">
        <is>
          <t>ข้อสอบจริง</t>
        </is>
      </c>
      <c r="P145" s="18" t="inlineStr">
        <is>
          <t>ปี 2533</t>
        </is>
      </c>
    </row>
    <row r="146">
      <c r="A146" s="15" t="inlineStr">
        <is>
          <t>144</t>
        </is>
      </c>
      <c r="B146" s="18" t="inlineStr">
        <is>
          <t>ระงับการเจริญของเชื้อแบคทีเรียต้นเหตุสิว</t>
        </is>
      </c>
      <c r="C146" s="18" t="inlineStr"/>
      <c r="D146" s="18" t="inlineStr">
        <is>
          <t>Mupirocin 2% ointment</t>
        </is>
      </c>
      <c r="E146" s="18" t="inlineStr">
        <is>
          <t>Betamethasone dipropionate 0.05% cream</t>
        </is>
      </c>
      <c r="F146" s="18" t="inlineStr">
        <is>
          <t>Clotrimazole 1% cream</t>
        </is>
      </c>
      <c r="G146" s="18" t="inlineStr">
        <is>
          <t>Hydrocortisone 1% cream</t>
        </is>
      </c>
      <c r="H146" s="18" t="inlineStr">
        <is>
          <t>Triamcinolone acetonide 0.1% cream</t>
        </is>
      </c>
      <c r="I146" s="15" t="inlineStr">
        <is>
          <t>1</t>
        </is>
      </c>
      <c r="J146" s="18"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Acne เนื่องจากกลไกการออกฤทธิ์, efficacy หรือข้อบ่งใช้ไม่ตรงกับโจทย์ที่กำหนด
• ข้อ ค. (Clotrimazole 1% cream): ข้อนี้ไม่ใช่คำตอบที่ถูกต้องสำหรับภาวะ Acne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18" t="inlineStr"/>
      <c r="L146" s="18" t="inlineStr">
        <is>
          <t>Acne</t>
        </is>
      </c>
      <c r="M146" s="18" t="inlineStr">
        <is>
          <t>Clinic</t>
        </is>
      </c>
      <c r="N146" s="18" t="inlineStr">
        <is>
          <t>ข้อ 1 (PLE_CC1_2533.md)</t>
        </is>
      </c>
      <c r="O146" s="18" t="inlineStr">
        <is>
          <t>ข้อสอบจริง</t>
        </is>
      </c>
      <c r="P146" s="18" t="inlineStr">
        <is>
          <t>ปี 2533</t>
        </is>
      </c>
    </row>
    <row r="147">
      <c r="A147" s="15" t="inlineStr">
        <is>
          <t>145</t>
        </is>
      </c>
      <c r="B147" s="18" t="inlineStr">
        <is>
          <t>โรคผิวหนัง 128 140</t>
        </is>
      </c>
      <c r="C147" s="18" t="inlineStr"/>
      <c r="D147" s="18" t="inlineStr">
        <is>
          <t>Hydrocortisone 1% cream</t>
        </is>
      </c>
      <c r="E147" s="18" t="inlineStr">
        <is>
          <t>Triamcinolone acetonide 0.1% cream</t>
        </is>
      </c>
      <c r="F147" s="18" t="inlineStr">
        <is>
          <t>Clobetasol propionate 0.05% cream</t>
        </is>
      </c>
      <c r="G147" s="18" t="inlineStr">
        <is>
          <t>Ketoconazole 2% shampoo</t>
        </is>
      </c>
      <c r="H147" s="18" t="inlineStr">
        <is>
          <t>Benzoyl peroxide 2.5% gel</t>
        </is>
      </c>
      <c r="I147" s="15" t="inlineStr">
        <is>
          <t>3</t>
        </is>
      </c>
      <c r="J147" s="18"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เป็น short-acting glucocorticoid ที่มี mineralocorticoid activity สูง เป็น drug of choice สำหรับ acute adrenal insufficiency / adrenal crisis
• ข้อ ข.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18" t="inlineStr"/>
      <c r="L147" s="18" t="inlineStr">
        <is>
          <t>Superficial fungal</t>
        </is>
      </c>
      <c r="M147" s="18" t="inlineStr">
        <is>
          <t>Clinic</t>
        </is>
      </c>
      <c r="N147" s="18" t="inlineStr">
        <is>
          <t>ข้อ 7 (PLE_CC1_Practice_Exam.md)</t>
        </is>
      </c>
      <c r="O147" s="18" t="inlineStr">
        <is>
          <t>Mock</t>
        </is>
      </c>
      <c r="P147" s="18" t="inlineStr">
        <is>
          <t>Mock สภาเภสัชฯ Practice</t>
        </is>
      </c>
    </row>
    <row r="148">
      <c r="A148" s="15" t="inlineStr">
        <is>
          <t>146</t>
        </is>
      </c>
      <c r="B148" s="18" t="inlineStr">
        <is>
          <t>ข้อใดคือคำแนะนำในการใช้ยาพ่น corticosteroid DPI</t>
        </is>
      </c>
      <c r="C148" s="18" t="inlineStr"/>
      <c r="D148" s="18" t="inlineStr">
        <is>
          <t>เขย่าขวดก่อนใช้</t>
        </is>
      </c>
      <c r="E148" s="18" t="inlineStr">
        <is>
          <t>เงยหน้าขึ้นสูงขณะพ่นยา</t>
        </is>
      </c>
      <c r="F148" s="18" t="inlineStr">
        <is>
          <t>หลังพ่นยา ให้กลั้วปาก และคอด้วยน้ำแล้วบ้วนทิ้ง</t>
        </is>
      </c>
      <c r="G148" s="18" t="inlineStr">
        <is>
          <t>หลังพ่นยา ให้ดื่มน้ำตามมากๆ</t>
        </is>
      </c>
      <c r="H148" s="18" t="inlineStr">
        <is>
          <t>หลังพ่นยา ให้ล้างน้ำทำความสะอาดเครื่องพ่นยาทุกครั้ง</t>
        </is>
      </c>
      <c r="I148" s="15" t="inlineStr">
        <is>
          <t>1</t>
        </is>
      </c>
      <c r="J148" s="18"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ข้อนี้ไม่ใช่คำตอบที่ถูกต้องสำหรับภาวะ Superficial fungal เนื่องจากกลไกการออกฤทธิ์, efficacy หรือข้อบ่งใช้ไม่ตรงกับโจทย์ที่กำหนด
• ข้อ ค. (หลังพ่นยา ให้กลั้วปาก และคอด้วยน้ำแล้วบ้วนทิ้ง): ข้อนี้ไม่ใช่คำตอบที่ถูกต้องสำหรับภาวะ Superficial fungal เนื่องจากกลไกการออกฤทธิ์, efficacy หรือข้อบ่งใช้ไม่ตรงกับโจทย์ที่กำหนด
• ข้อ ง. (หลังพ่นยา ให้ดื่มน้ำตามมากๆ): ข้อนี้ไม่ใช่คำตอบที่ถูกต้องสำหรับภาวะ Superficial fungal เนื่องจากกลไกการออกฤทธิ์, efficacy หรือข้อบ่งใช้ไม่ตรงกับโจทย์ที่กำหนด
• ข้อ จ. (หลังพ่นยา ให้ล้างน้ำทำความสะอาดเครื่องพ่นยาทุกครั้ง):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18" t="inlineStr"/>
      <c r="L148" s="18" t="inlineStr">
        <is>
          <t>Superficial fungal</t>
        </is>
      </c>
      <c r="M148" s="18" t="inlineStr">
        <is>
          <t>Clinic</t>
        </is>
      </c>
      <c r="N148" s="18" t="inlineStr">
        <is>
          <t>ข้อ 21 (PLE_CC1_Practice_Exam.md)</t>
        </is>
      </c>
      <c r="O148" s="18" t="inlineStr">
        <is>
          <t>Mock</t>
        </is>
      </c>
      <c r="P148" s="18" t="inlineStr">
        <is>
          <t>Mock สภาเภสัชฯ Practice</t>
        </is>
      </c>
    </row>
    <row r="149">
      <c r="A149" s="15" t="inlineStr">
        <is>
          <t>147</t>
        </is>
      </c>
      <c r="B149" s="18" t="inlineStr">
        <is>
          <t>หมู่ฟังก์ชันใดบนโครงสร้างของ corticosteroid ที่ไม่จำเป็นต่อการจับกับ glucocorticoid receptor</t>
        </is>
      </c>
      <c r="C149" s="18" t="inlineStr"/>
      <c r="D149" s="18" t="inlineStr">
        <is>
          <t>3-carbonyl</t>
        </is>
      </c>
      <c r="E149" s="18" t="inlineStr">
        <is>
          <t>Double bond ตำแหน่งที่ 4-5</t>
        </is>
      </c>
      <c r="F149" s="18" t="inlineStr">
        <is>
          <t>9-methyl</t>
        </is>
      </c>
      <c r="G149" s="18" t="inlineStr">
        <is>
          <t>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49" s="18" t="inlineStr">
        <is>
          <t>17-beta ketone-side chain</t>
        </is>
      </c>
      <c r="I149" s="15" t="inlineStr">
        <is>
          <t>1</t>
        </is>
      </c>
      <c r="J149" s="18"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ข้อนี้ไม่ใช่คำตอบที่ถูกต้องสำหรับภาวะ Superficial fungal เนื่องจากกลไกการออกฤทธิ์, efficacy หรือข้อบ่งใช้ไม่ตรงกับโจทย์ที่กำหนด
• ข้อ ค. (9-methyl): ข้อนี้ไม่ใช่คำตอบที่ถูกต้องสำหรับภาวะ Superficial fungal เนื่องจากกลไกการออกฤทธิ์, efficacy หรือข้อบ่งใช้ไม่ตรงกับโจทย์ที่กำหนด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ข้อ จ. (17-beta ketone-side chain):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18" t="inlineStr"/>
      <c r="L149" s="18" t="inlineStr">
        <is>
          <t>Superficial fungal</t>
        </is>
      </c>
      <c r="M149" s="18" t="inlineStr">
        <is>
          <t>Clinic</t>
        </is>
      </c>
      <c r="N149" s="18" t="inlineStr">
        <is>
          <t>ข้อ 22 (PLE_CC1_Practice_Exam.md)</t>
        </is>
      </c>
      <c r="O149" s="18" t="inlineStr">
        <is>
          <t>Mock</t>
        </is>
      </c>
      <c r="P149" s="18" t="inlineStr">
        <is>
          <t>Mock สภาเภสัชฯ Practice</t>
        </is>
      </c>
    </row>
    <row r="150">
      <c r="A150" s="15" t="inlineStr">
        <is>
          <t>148</t>
        </is>
      </c>
      <c r="B150" s="18" t="inlineStr">
        <is>
          <t>ยาในข้อใดไม่จำเป็นต้องใช้ในผู้ป่วยรายนี้</t>
        </is>
      </c>
      <c r="C150" s="18" t="inlineStr"/>
      <c r="D150" s="18" t="inlineStr">
        <is>
          <t>Hydrocortisone</t>
        </is>
      </c>
      <c r="E150" s="18" t="inlineStr">
        <is>
          <t>Zinc oxide</t>
        </is>
      </c>
      <c r="F150" s="18" t="inlineStr">
        <is>
          <t>Benzocaine</t>
        </is>
      </c>
      <c r="G150" s="18" t="inlineStr">
        <is>
          <t>Aesculin</t>
        </is>
      </c>
      <c r="H150" s="18" t="inlineStr">
        <is>
          <t>ทุกข้อจำเป็นในการรักษาผู้ป่วย</t>
        </is>
      </c>
      <c r="I150" s="15" t="inlineStr">
        <is>
          <t>1</t>
        </is>
      </c>
      <c r="J150" s="18"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ข้อนี้ไม่ใช่คำตอบที่ถูกต้องสำหรับภาวะ Superficial fungal เนื่องจากกลไกการออกฤทธิ์, efficacy หรือข้อบ่งใช้ไม่ตรงกับโจทย์ที่กำหนด
• ข้อ ค. (Benzocaine): ข้อนี้ไม่ใช่คำตอบที่ถูกต้องสำหรับภาวะ Superficial fungal เนื่องจากกลไกการออกฤทธิ์, efficacy หรือข้อบ่งใช้ไม่ตรงกับโจทย์ที่กำหนด
• ข้อ ง. (Aesculin): ข้อนี้ไม่ใช่คำตอบที่ถูกต้องสำหรับภาวะ Superficial fungal เนื่องจากกลไกการออกฤทธิ์, efficacy หรือข้อบ่งใช้ไม่ตรงกับโจทย์ที่กำหนด
• ข้อ จ. (ทุกข้อจำเป็นในการรักษาผู้ป่วย):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18" t="inlineStr"/>
      <c r="L150" s="18" t="inlineStr">
        <is>
          <t>Superficial fungal</t>
        </is>
      </c>
      <c r="M150" s="18" t="inlineStr">
        <is>
          <t>Clinic</t>
        </is>
      </c>
      <c r="N150" s="18" t="inlineStr">
        <is>
          <t>ข้อ 2 (PLE_CC1_Practice_Exam.md)</t>
        </is>
      </c>
      <c r="O150" s="18" t="inlineStr">
        <is>
          <t>Mock</t>
        </is>
      </c>
      <c r="P150" s="18" t="inlineStr">
        <is>
          <t>Mock สภาเภสัชฯ Practice</t>
        </is>
      </c>
    </row>
    <row r="151">
      <c r="A151" s="15" t="inlineStr">
        <is>
          <t>149</t>
        </is>
      </c>
      <c r="B151" s="18" t="inlineStr">
        <is>
          <t>โรคผิวหนัง โดย ฝ่ายวิชาการ สโมสรนักศึกษาคณะเภสัชศาสตร์ มหาวิทยาลัยอุบลราชธานี ป๊2560</t>
        </is>
      </c>
      <c r="C151" s="18" t="inlineStr"/>
      <c r="D151" s="18" t="inlineStr">
        <is>
          <t>Betamethasone dipropionate 0.05% cream</t>
        </is>
      </c>
      <c r="E151" s="18" t="inlineStr">
        <is>
          <t>Clotrimazole 1% cream</t>
        </is>
      </c>
      <c r="F151" s="18" t="inlineStr">
        <is>
          <t>Hydrocortisone 1% cream</t>
        </is>
      </c>
      <c r="G151" s="18" t="inlineStr">
        <is>
          <t>Triamcinolone acetonide 0.1% cream</t>
        </is>
      </c>
      <c r="H151" s="18" t="inlineStr">
        <is>
          <t>Clobetasol propionate 0.05% cream</t>
        </is>
      </c>
      <c r="I151" s="15" t="inlineStr">
        <is>
          <t>1</t>
        </is>
      </c>
      <c r="J151" s="18"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18" t="inlineStr"/>
      <c r="L151" s="18" t="inlineStr">
        <is>
          <t>Superficial fungal</t>
        </is>
      </c>
      <c r="M151" s="18" t="inlineStr">
        <is>
          <t>Clinic</t>
        </is>
      </c>
      <c r="N151" s="18" t="inlineStr">
        <is>
          <t>ข้อ 7 (PLE_CC1_Practice_Exam.md)</t>
        </is>
      </c>
      <c r="O151" s="18" t="inlineStr">
        <is>
          <t>Mock</t>
        </is>
      </c>
      <c r="P151" s="18" t="inlineStr">
        <is>
          <t>Mock สภาเภสัชฯ Practice</t>
        </is>
      </c>
    </row>
    <row r="152">
      <c r="A152" s="15" t="inlineStr">
        <is>
          <t>150</t>
        </is>
      </c>
      <c r="B152" s="18"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18" t="inlineStr"/>
      <c r="D152" s="18" t="inlineStr">
        <is>
          <t>Contact dermatitis</t>
        </is>
      </c>
      <c r="E152" s="18" t="inlineStr">
        <is>
          <t>Atopic dermatitis</t>
        </is>
      </c>
      <c r="F152" s="18" t="inlineStr">
        <is>
          <t>Seborrheic dermatitis</t>
        </is>
      </c>
      <c r="G152" s="18" t="inlineStr">
        <is>
          <t>Dandruff</t>
        </is>
      </c>
      <c r="H152" s="18" t="inlineStr">
        <is>
          <t>Scalp psoriasis</t>
        </is>
      </c>
      <c r="I152" s="15" t="inlineStr">
        <is>
          <t>1</t>
        </is>
      </c>
      <c r="J152" s="18"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ข้อนี้ไม่ใช่คำตอบที่ถูกต้องสำหรับภาวะ Eczema &amp; Dermatitis เนื่องจากกลไกการออกฤทธิ์, efficacy หรือข้อบ่งใช้ไม่ตรงกับโจทย์ที่กำหนด
• ข้อ ค. (Seborrheic dermatitis): ข้อนี้ไม่ใช่คำตอบที่ถูกต้องสำหรับภาวะ Eczema &amp; Dermatitis เนื่องจากกลไกการออกฤทธิ์, efficacy หรือข้อบ่งใช้ไม่ตรงกับโจทย์ที่กำหนด
• ข้อ ง. (Dandruff): ข้อนี้ไม่ใช่คำตอบที่ถูกต้องสำหรับภาวะ Eczema &amp; Dermatitis เนื่องจากกลไกการออกฤทธิ์, efficacy หรือข้อบ่งใช้ไม่ตรงกับโจทย์ที่กำหนด
• ข้อ จ. (Scalp psoriasis):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18" t="inlineStr"/>
      <c r="L152" s="18" t="inlineStr">
        <is>
          <t>Eczema &amp; Dermatitis</t>
        </is>
      </c>
      <c r="M152" s="18" t="inlineStr">
        <is>
          <t>Clinic</t>
        </is>
      </c>
      <c r="N152" s="18" t="inlineStr">
        <is>
          <t>ข้อ 1 (PLE_CC1_Practice_Exam.md)</t>
        </is>
      </c>
      <c r="O152" s="18" t="inlineStr">
        <is>
          <t>Mock</t>
        </is>
      </c>
      <c r="P152" s="18" t="inlineStr">
        <is>
          <t>Mock สภาเภสัชฯ Practice</t>
        </is>
      </c>
    </row>
    <row r="153">
      <c r="A153" s="15" t="inlineStr">
        <is>
          <t>151</t>
        </is>
      </c>
      <c r="B153" s="18" t="inlineStr">
        <is>
          <t>ยาที่เหมาะสมสำหรับการรักษาของผู้ป่วยรายนี้คือยาใด</t>
        </is>
      </c>
      <c r="C153" s="18" t="inlineStr"/>
      <c r="D153" s="18" t="inlineStr">
        <is>
          <t>Ketoconazole 2% foam ฟอกบริเวณที่เป็น 2 ครั้งต่อสัปดาห์ หลังจากนั้นให้ฟอกสัปดาห์ละครั้ง เพื่อป้องกันการกลับเป็นซ้ำ</t>
        </is>
      </c>
      <c r="E153" s="18" t="inlineStr">
        <is>
          <t>Tacrolimus 0.1% ointment ทาบริเวณที่เป็น 2 ครั้งต่อสัปดาห์</t>
        </is>
      </c>
      <c r="F153" s="18" t="inlineStr">
        <is>
          <t>Betamethasone dipropionate 0.05% ointment ทาบริเวณที่เป็นวันละ 2-4 ครั้ง เป็นเวลา 2 สัปดาห์</t>
        </is>
      </c>
      <c r="G153" s="18" t="inlineStr">
        <is>
          <t>รับประทานยา Itraconazole ขนาด 200 มิลลิกรัมต่อวัน เป็นเวลา 1 เดือน</t>
        </is>
      </c>
      <c r="H153" s="18" t="inlineStr">
        <is>
          <t>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53" s="15" t="inlineStr">
        <is>
          <t>1</t>
        </is>
      </c>
      <c r="J153" s="18"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ข้อนี้ไม่ใช่คำตอบที่ถูกต้องสำหรับภาวะ Superficial fungal เนื่องจากกลไกการออกฤทธิ์, efficacy หรือข้อบ่งใช้ไม่ตรงกับโจทย์ที่กำหนด
• ข้อ ค. (Betamethasone dipropionate 0.05% ointment ทาบริเวณที่เป็นวันละ 2-4 ครั้ง เป็นเวลา 2 สัปดาห์): ข้อนี้ไม่ใช่คำตอบที่ถูกต้องสำหรับภาวะ Superficial fungal เนื่องจากกลไกการออกฤทธิ์, efficacy หรือข้อบ่งใช้ไม่ตรงกับโจทย์ที่กำหนด
• ข้อ ง. (รับประทานยา Itraconazole ขนาด 200 มิลลิกรัมต่อวัน เป็นเวลา 1 เดือน):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anchor csDMARD สำหรับ Rheumatoid arthritis ยับยั้ง dihydrofolate reductase ต้องให้ Folic acid เสริม และห้ามใช้ในหญิงตั้งครรภ์ (contraindication / teratogenic)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18" t="inlineStr"/>
      <c r="L153" s="18" t="inlineStr">
        <is>
          <t>Superficial fungal</t>
        </is>
      </c>
      <c r="M153" s="18" t="inlineStr">
        <is>
          <t>Clinic</t>
        </is>
      </c>
      <c r="N153" s="18" t="inlineStr">
        <is>
          <t>ข้อ 3 (PLE_CC1_Practice_Exam.md)</t>
        </is>
      </c>
      <c r="O153" s="18" t="inlineStr">
        <is>
          <t>Mock</t>
        </is>
      </c>
      <c r="P153" s="18" t="inlineStr">
        <is>
          <t>Mock สภาเภสัชฯ Practice</t>
        </is>
      </c>
    </row>
    <row r="154">
      <c r="A154" s="15" t="inlineStr">
        <is>
          <t>152</t>
        </is>
      </c>
      <c r="B154" s="18"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18" t="inlineStr"/>
      <c r="D154" s="18" t="inlineStr">
        <is>
          <t>Acyclovir 200 มิลลิกรัม รับประทานวันละ 5 ครั้ง เป็นเวลา 10 วัน</t>
        </is>
      </c>
      <c r="E154" s="18" t="inlineStr">
        <is>
          <t>Acyclovir 400 มิลลิกรัม รับประทานวันละ 3 ครั้ง เป็นเวลา 10 วัน</t>
        </is>
      </c>
      <c r="F154" s="18" t="inlineStr">
        <is>
          <t>Famicyclovir 500 มิลลิกรัม รับประทานวันละ 3 ครั้ง เป็นเวลา 10 วัน</t>
        </is>
      </c>
      <c r="G154" s="18" t="inlineStr">
        <is>
          <t>Valacyclovir 1000 มิลลิกรัม รับประทานวันละ 2 ครั้ง เป็นเวลา 10 วัน</t>
        </is>
      </c>
      <c r="H154" s="18" t="inlineStr">
        <is>
          <t>ยาทา Acyclovir โดยทาทุกๆ 2 ชั่วโมง เป็นเวลา 4 วัน</t>
        </is>
      </c>
      <c r="I154" s="15" t="inlineStr">
        <is>
          <t>1</t>
        </is>
      </c>
      <c r="J154" s="18"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เป็น Guanosine analog ยับยั้ง HSV และ VZV polymerase ต้องดื่มน้ำมากๆ ระหว่างได้ยา IV เพื่อป้องกัน crystal nephropathy และ obstructive AKI
• ข้อ ค. (Famicyclovir 500 มิลลิกรัม รับประทานวันละ 3 ครั้ง เป็นเวลา 10 วัน): ข้อนี้ไม่ใช่คำตอบที่ถูกต้องสำหรับภาวะ Superficial fungal เนื่องจากกลไกการออกฤทธิ์, efficacy หรือข้อบ่งใช้ไม่ตรงกับโจทย์ที่กำหนด
• ข้อ ง. (Valacyclovir 1000 มิลลิกรัม รับประทานวันละ 2 ครั้ง เป็นเวลา 10 วัน): เป็น Guanosine analog ยับยั้ง HSV และ VZV polymerase ต้องดื่มน้ำมากๆ ระหว่างได้ยา IV เพื่อป้องกัน crystal nephropathy และ obstructive AKI
• ข้อ จ. (ยาทา Acyclovir โดยทาทุกๆ 2 ชั่วโมง เป็นเวลา 4 วัน):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18" t="inlineStr"/>
      <c r="L154" s="18" t="inlineStr">
        <is>
          <t>Superficial fungal</t>
        </is>
      </c>
      <c r="M154" s="18" t="inlineStr">
        <is>
          <t>Clinic</t>
        </is>
      </c>
      <c r="N154" s="18" t="inlineStr">
        <is>
          <t>ข้อ 4 (PLE_CC1_Practice_Exam.md)</t>
        </is>
      </c>
      <c r="O154" s="18" t="inlineStr">
        <is>
          <t>Mock</t>
        </is>
      </c>
      <c r="P154" s="18" t="inlineStr">
        <is>
          <t>Mock สภาเภสัชฯ Practice</t>
        </is>
      </c>
    </row>
    <row r="155">
      <c r="A155" s="15" t="inlineStr">
        <is>
          <t>153</t>
        </is>
      </c>
      <c r="B155" s="18"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18" t="inlineStr"/>
      <c r="D155" s="18" t="inlineStr">
        <is>
          <t>Oral Isotretinoin</t>
        </is>
      </c>
      <c r="E155" s="18" t="inlineStr">
        <is>
          <t>Oral Doxycycline ร่วมกับทา topical retinoid</t>
        </is>
      </c>
      <c r="F155" s="18" t="inlineStr">
        <is>
          <t>Oral Doxycycline ร่วมกับทา Benzoyl peroxide 5% และ clindamycin gel</t>
        </is>
      </c>
      <c r="G155" s="18" t="inlineStr">
        <is>
          <t>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5" s="18" t="inlineStr">
        <is>
          <t>Oral Doxycycline ร่วมกับทา topical retinoid และ Benzoyl peroxide 5% และ clindamycin gel</t>
        </is>
      </c>
      <c r="I155" s="15" t="inlineStr">
        <is>
          <t>1</t>
        </is>
      </c>
      <c r="J155" s="18"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18" t="inlineStr"/>
      <c r="L155" s="18" t="inlineStr">
        <is>
          <t>Acne</t>
        </is>
      </c>
      <c r="M155" s="18" t="inlineStr">
        <is>
          <t>Clinic</t>
        </is>
      </c>
      <c r="N155" s="18" t="inlineStr">
        <is>
          <t>ข้อ 6 (PLE_CC1_Practice_Exam.md)</t>
        </is>
      </c>
      <c r="O155" s="18" t="inlineStr">
        <is>
          <t>Mock</t>
        </is>
      </c>
      <c r="P155" s="18" t="inlineStr">
        <is>
          <t>Mock สภาเภสัชฯ Practice</t>
        </is>
      </c>
    </row>
    <row r="156">
      <c r="A156" s="15" t="inlineStr">
        <is>
          <t>154</t>
        </is>
      </c>
      <c r="B156" s="18"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18" t="inlineStr"/>
      <c r="D156" s="18" t="inlineStr">
        <is>
          <t>Methotrexate</t>
        </is>
      </c>
      <c r="E156" s="18" t="inlineStr">
        <is>
          <t>Phototherapy</t>
        </is>
      </c>
      <c r="F156" s="18" t="inlineStr">
        <is>
          <t>Emollient</t>
        </is>
      </c>
      <c r="G156" s="18" t="inlineStr">
        <is>
          <t>Cyclosporine</t>
        </is>
      </c>
      <c r="H156" s="18" t="inlineStr">
        <is>
          <t>Coal tar</t>
        </is>
      </c>
      <c r="I156" s="15" t="inlineStr">
        <is>
          <t>1</t>
        </is>
      </c>
      <c r="J156" s="18"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ข้อนี้ไม่ใช่คำตอบที่ถูกต้องสำหรับภาวะ Eczema &amp; Dermatitis เนื่องจากกลไกการออกฤทธิ์, efficacy หรือข้อบ่งใช้ไม่ตรงกับโจทย์ที่กำหนด
• ข้อ ค. (Emollient): ข้อนี้ไม่ใช่คำตอบที่ถูกต้องสำหรับภาวะ Eczema &amp; Dermatitis เนื่องจากกลไกการออกฤทธิ์, efficacy หรือข้อบ่งใช้ไม่ตรงกับโจทย์ที่กำหนด
• ข้อ ง. (Cyclosporine): ข้อนี้ไม่ใช่คำตอบที่ถูกต้องสำหรับภาวะ Eczema &amp; Dermatitis เนื่องจากกลไกการออกฤทธิ์, efficacy หรือข้อบ่งใช้ไม่ตรงกับโจทย์ที่กำหนด
• ข้อ จ. (Coal tar):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18" t="inlineStr"/>
      <c r="L156" s="18" t="inlineStr">
        <is>
          <t>Eczema &amp; Dermatitis</t>
        </is>
      </c>
      <c r="M156" s="18" t="inlineStr">
        <is>
          <t>Clinic</t>
        </is>
      </c>
      <c r="N156" s="18" t="inlineStr">
        <is>
          <t>ข้อ 7 (PLE_CC1_Practice_Exam.md)</t>
        </is>
      </c>
      <c r="O156" s="18" t="inlineStr">
        <is>
          <t>Mock</t>
        </is>
      </c>
      <c r="P156" s="18" t="inlineStr">
        <is>
          <t>Mock สภาเภสัชฯ Practice</t>
        </is>
      </c>
    </row>
    <row r="157">
      <c r="A157" s="15" t="inlineStr">
        <is>
          <t>155</t>
        </is>
      </c>
      <c r="B157" s="18"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18" t="inlineStr"/>
      <c r="D157" s="18" t="inlineStr">
        <is>
          <t>Dermatophytosis</t>
        </is>
      </c>
      <c r="E157" s="18" t="inlineStr">
        <is>
          <t>Warts</t>
        </is>
      </c>
      <c r="F157" s="18" t="inlineStr">
        <is>
          <t>Corn and callus</t>
        </is>
      </c>
      <c r="G157" s="18" t="inlineStr">
        <is>
          <t>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7" s="18" t="inlineStr">
        <is>
          <t>SLE</t>
        </is>
      </c>
      <c r="I157" s="15" t="inlineStr">
        <is>
          <t>1</t>
        </is>
      </c>
      <c r="J157" s="18"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ข้อนี้ไม่ใช่คำตอบที่ถูกต้องสำหรับภาวะ Eczema &amp; Dermatitis เนื่องจากกลไกการออกฤทธิ์, efficacy หรือข้อบ่งใช้ไม่ตรงกับโจทย์ที่กำหนด
• ข้อ ค. (Corn and callus): ข้อนี้ไม่ใช่คำตอบที่ถูกต้องสำหรับภาวะ Eczema &amp; Dermatitis เนื่องจากกลไกการออกฤทธิ์, efficacy หรือข้อบ่งใช้ไม่ตรงกับโจทย์ที่กำหนด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Eczema &amp; Dermatitis เนื่องจากกลไกการออกฤทธิ์, efficacy หรือข้อบ่งใช้ไม่ตรงกับโจทย์ที่กำหนด
• ข้อ จ. (SLE):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18" t="inlineStr"/>
      <c r="L157" s="18" t="inlineStr">
        <is>
          <t>Eczema &amp; Dermatitis</t>
        </is>
      </c>
      <c r="M157" s="18" t="inlineStr">
        <is>
          <t>Clinic</t>
        </is>
      </c>
      <c r="N157" s="18" t="inlineStr">
        <is>
          <t>ข้อ 10 (PLE_CC1_Practice_Exam.md)</t>
        </is>
      </c>
      <c r="O157" s="18" t="inlineStr">
        <is>
          <t>Mock</t>
        </is>
      </c>
      <c r="P157" s="18" t="inlineStr">
        <is>
          <t>Mock สภาเภสัชฯ Practice</t>
        </is>
      </c>
    </row>
    <row r="158">
      <c r="A158" s="15" t="inlineStr">
        <is>
          <t>156</t>
        </is>
      </c>
      <c r="B158" s="18" t="inlineStr">
        <is>
          <t>จากการวินิจฉัยในข้อก่อนหน้า จงเลือกใช้ยาให้เหมาะสมกับโรคของผู้ป่วย</t>
        </is>
      </c>
      <c r="C158" s="18" t="inlineStr"/>
      <c r="D158" s="18" t="inlineStr">
        <is>
          <t>Oral Griseofulvin 500 มิลลิกรัมต่อวัน ติดต่อกัน 6-8 สัปดาห์</t>
        </is>
      </c>
      <c r="E158" s="18" t="inlineStr">
        <is>
          <t>Oral Terbinafine 250 มิลลิกรัมต่อวัน ติดต่อกัน 14 วัน</t>
        </is>
      </c>
      <c r="F158" s="18" t="inlineStr">
        <is>
          <t>2.5% Selenium sulfide shampoo ฟอกเท้าทิ้งไว้ 15 นาที วันละครั้ง ติดต่อกัน 2-4 สัปดาห์</t>
        </is>
      </c>
      <c r="G158" s="18" t="inlineStr">
        <is>
          <t>Oral Ketoconazole 200 มิลลิกรัมต่อวัน เป็นเวลา 10-14 วัน</t>
        </is>
      </c>
      <c r="H158" s="18" t="inlineStr">
        <is>
          <t>2.5 % Selenium sulfide shampoo ฟอกเท้าทิ้งไว้ 15 นาที วันละครั้ง ติดต่อกัน 2-4 สัปดาห์ และ Oral Ketoconazole 200 มิลลิกรัมต่อวัน เป็นเวลา 10-14 วัน</t>
        </is>
      </c>
      <c r="I158" s="15" t="inlineStr">
        <is>
          <t>1</t>
        </is>
      </c>
      <c r="J158" s="18"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ข้อนี้ไม่ใช่คำตอบที่ถูกต้องสำหรับภาวะ Superficial fungal เนื่องจากกลไกการออกฤทธิ์, efficacy หรือข้อบ่งใช้ไม่ตรงกับโจทย์ที่กำหนด
• ข้อ ค. (2.5% Selenium sulfide shampoo ฟอกเท้าทิ้งไว้ 15 นาที วันละครั้ง ติดต่อกัน 2-4 สัปดาห์): ข้อนี้ไม่ใช่คำตอบที่ถูกต้องสำหรับภาวะ Superficial fungal เนื่องจากกลไกการออกฤทธิ์, efficacy หรือข้อบ่งใช้ไม่ตรงกับโจทย์ที่กำหนด
• ข้อ ง. (Oral Ketoconazole 200 มิลลิกรัมต่อวัน เป็นเวลา 10-14 วัน): ข้อนี้ไม่ใช่คำตอบที่ถูกต้องสำหรับภาวะ Superficial fungal เนื่องจากกลไกการออกฤทธิ์, efficacy หรือข้อบ่งใช้ไม่ตรงกับโจทย์ที่กำหนด
• ข้อ จ. (2.5 % Selenium sulfide shampoo ฟอกเท้าทิ้งไว้ 15 นาที วันละครั้ง ติดต่อกัน 2-4 สัปดาห์ และ Oral Ketoconazole 200 มิลลิกรัมต่อวัน เป็นเวลา 10-14 วัน):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8" t="inlineStr"/>
      <c r="L158" s="18" t="inlineStr">
        <is>
          <t>Superficial fungal</t>
        </is>
      </c>
      <c r="M158" s="18" t="inlineStr">
        <is>
          <t>Clinic</t>
        </is>
      </c>
      <c r="N158" s="18" t="inlineStr">
        <is>
          <t>ข้อ 11 (PLE_CC1_Practice_Exam.md)</t>
        </is>
      </c>
      <c r="O158" s="18" t="inlineStr">
        <is>
          <t>Mock</t>
        </is>
      </c>
      <c r="P158" s="18" t="inlineStr">
        <is>
          <t>Mock สภาเภสัชฯ Practice</t>
        </is>
      </c>
    </row>
    <row r="159">
      <c r="A159" s="15" t="inlineStr">
        <is>
          <t>157</t>
        </is>
      </c>
      <c r="B159" s="18"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18" t="inlineStr"/>
      <c r="D159" s="18" t="inlineStr">
        <is>
          <t>Corticosteroids</t>
        </is>
      </c>
      <c r="E159" s="18" t="inlineStr">
        <is>
          <t>Hydroquinone</t>
        </is>
      </c>
      <c r="F159" s="18" t="inlineStr">
        <is>
          <t>Azelaic acid</t>
        </is>
      </c>
      <c r="G159" s="18" t="inlineStr">
        <is>
          <t>Tretinoin</t>
        </is>
      </c>
      <c r="H159" s="18" t="inlineStr">
        <is>
          <t>Isopropylcatechol</t>
        </is>
      </c>
      <c r="I159" s="15" t="inlineStr">
        <is>
          <t>1</t>
        </is>
      </c>
      <c r="J159" s="18"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ข้อนี้ไม่ใช่คำตอบที่ถูกต้องสำหรับภาวะ Eczema &amp; Dermatitis เนื่องจากกลไกการออกฤทธิ์, efficacy หรือข้อบ่งใช้ไม่ตรงกับโจทย์ที่กำหนด
• ข้อ ค. (Azelaic acid): ข้อนี้ไม่ใช่คำตอบที่ถูกต้องสำหรับภาวะ Eczema &amp; Dermatitis เนื่องจากกลไกการออกฤทธิ์, efficacy หรือข้อบ่งใช้ไม่ตรงกับโจทย์ที่กำหนด
• ข้อ ง. (Tretinoin): ข้อนี้ไม่ใช่คำตอบที่ถูกต้องสำหรับภาวะ Eczema &amp; Dermatitis เนื่องจากกลไกการออกฤทธิ์, efficacy หรือข้อบ่งใช้ไม่ตรงกับโจทย์ที่กำหนด
• ข้อ จ. (Isopropylcatechol):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18" t="inlineStr"/>
      <c r="L159" s="18" t="inlineStr">
        <is>
          <t>Eczema &amp; Dermatitis</t>
        </is>
      </c>
      <c r="M159" s="18" t="inlineStr">
        <is>
          <t>Clinic</t>
        </is>
      </c>
      <c r="N159" s="18" t="inlineStr">
        <is>
          <t>ข้อ 24 (PLE_CC1_Practice_Exam.md)</t>
        </is>
      </c>
      <c r="O159" s="18" t="inlineStr">
        <is>
          <t>Mock</t>
        </is>
      </c>
      <c r="P159" s="18" t="inlineStr">
        <is>
          <t>Mock สภาเภสัชฯ Practice</t>
        </is>
      </c>
    </row>
    <row r="160">
      <c r="A160" s="15" t="inlineStr">
        <is>
          <t>158</t>
        </is>
      </c>
      <c r="B160" s="18"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18" t="inlineStr"/>
      <c r="D160" s="18" t="inlineStr">
        <is>
          <t>Scabies</t>
        </is>
      </c>
      <c r="E160" s="18" t="inlineStr">
        <is>
          <t>Lice</t>
        </is>
      </c>
      <c r="F160" s="18" t="inlineStr">
        <is>
          <t>Pediculosis pubis</t>
        </is>
      </c>
      <c r="G160" s="18" t="inlineStr">
        <is>
          <t>Eczema</t>
        </is>
      </c>
      <c r="H160" s="18" t="inlineStr">
        <is>
          <t>Chicken pox</t>
        </is>
      </c>
      <c r="I160" s="15" t="inlineStr">
        <is>
          <t>1</t>
        </is>
      </c>
      <c r="J160" s="18"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ข้อนี้ไม่ใช่คำตอบที่ถูกต้องสำหรับภาวะ Superficial fungal เนื่องจากกลไกการออกฤทธิ์, efficacy หรือข้อบ่งใช้ไม่ตรงกับโจทย์ที่กำหนด
• ข้อ ค. (Pediculosis pubis): ข้อนี้ไม่ใช่คำตอบที่ถูกต้องสำหรับภาวะ Superficial fungal เนื่องจากกลไกการออกฤทธิ์, efficacy หรือข้อบ่งใช้ไม่ตรงกับโจทย์ที่กำหนด
• ข้อ ง. (Eczema): ข้อนี้ไม่ใช่คำตอบที่ถูกต้องสำหรับภาวะ Superficial fungal เนื่องจากกลไกการออกฤทธิ์, efficacy หรือข้อบ่งใช้ไม่ตรงกับโจทย์ที่กำหนด
• ข้อ จ. (Chicken pox):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18" t="inlineStr"/>
      <c r="L160" s="18" t="inlineStr">
        <is>
          <t>Superficial fungal</t>
        </is>
      </c>
      <c r="M160" s="18" t="inlineStr">
        <is>
          <t>Clinic</t>
        </is>
      </c>
      <c r="N160" s="18" t="inlineStr">
        <is>
          <t>ข้อ 28 (PLE_CC1_Practice_Exam.md)</t>
        </is>
      </c>
      <c r="O160" s="18" t="inlineStr">
        <is>
          <t>Mock</t>
        </is>
      </c>
      <c r="P160" s="18" t="inlineStr">
        <is>
          <t>Mock สภาเภสัชฯ Practice</t>
        </is>
      </c>
    </row>
    <row r="161">
      <c r="A161" s="15" t="inlineStr">
        <is>
          <t>159</t>
        </is>
      </c>
      <c r="B161" s="18" t="inlineStr">
        <is>
          <t>จากข้อ 28. ผู้ป่วยรายนี้ควรได้รับการรักษาอย่างไร</t>
        </is>
      </c>
      <c r="C161" s="18" t="inlineStr"/>
      <c r="D161" s="18" t="inlineStr">
        <is>
          <t>Acyclovir</t>
        </is>
      </c>
      <c r="E161" s="18" t="inlineStr">
        <is>
          <t>Triamcinolone</t>
        </is>
      </c>
      <c r="F161" s="18" t="inlineStr">
        <is>
          <t>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G161" s="18" t="inlineStr">
        <is>
          <t>Malathion shampoo</t>
        </is>
      </c>
      <c r="H161" s="18" t="inlineStr">
        <is>
          <t>Pyretrin shampoo</t>
        </is>
      </c>
      <c r="I161" s="15" t="inlineStr">
        <is>
          <t>1</t>
        </is>
      </c>
      <c r="J161" s="18"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ข้อนี้ไม่ใช่คำตอบที่ถูกต้องสำหรับภาวะ Superficial fungal เนื่องจากกลไกการออกฤทธิ์, efficacy หรือข้อบ่งใช้ไม่ตรงกับโจทย์ที่กำหนด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ข้อ ง. (Malathion shampoo): ข้อนี้ไม่ใช่คำตอบที่ถูกต้องสำหรับภาวะ Superficial fungal เนื่องจากกลไกการออกฤทธิ์, efficacy หรือข้อบ่งใช้ไม่ตรงกับโจทย์ที่กำหนด
• ข้อ จ. (Pyretrin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18" t="inlineStr"/>
      <c r="L161" s="18" t="inlineStr">
        <is>
          <t>Superficial fungal</t>
        </is>
      </c>
      <c r="M161" s="18" t="inlineStr">
        <is>
          <t>Clinic</t>
        </is>
      </c>
      <c r="N161" s="18" t="inlineStr">
        <is>
          <t>ข้อ 29 (PLE_CC1_Practice_Exam.md)</t>
        </is>
      </c>
      <c r="O161" s="18" t="inlineStr">
        <is>
          <t>Mock</t>
        </is>
      </c>
      <c r="P161" s="18" t="inlineStr">
        <is>
          <t>Mock สภาเภสัชฯ Practice</t>
        </is>
      </c>
    </row>
    <row r="162">
      <c r="A162" s="15" t="inlineStr">
        <is>
          <t>160</t>
        </is>
      </c>
      <c r="B162" s="18" t="inlineStr">
        <is>
          <t>ข้อใดถูกต้องเกี่ยวกับการเลือกใช้ยาทาเพื่อรักษาโรคผิวหนัง</t>
        </is>
      </c>
      <c r="C162" s="18" t="inlineStr"/>
      <c r="D162" s="18" t="inlineStr">
        <is>
          <t>ยาพื้นที่มีสารลอกขุยจะเพิ่มการดูดซึมของตัวยา</t>
        </is>
      </c>
      <c r="E162" s="18" t="inlineStr">
        <is>
          <t>ควรใช้ topical corticosteroid อย่างต่อเนื่องนาน 4-8 สัปดาห์</t>
        </is>
      </c>
      <c r="F162" s="18" t="inlineStr">
        <is>
          <t>ควรใช้ topical corticosteroid ที่มีความแรงสูงก่อนจึงค่อยใช้ความแรงต่ำ</t>
        </is>
      </c>
      <c r="G162" s="18" t="inlineStr">
        <is>
          <t>ยาพื้นที่เป็นขี้ผึ้ง ควรใช้กับผิวหนังอักเสบที่มีน้ำเหลืองซึมเพื่อดูดซับน้ำเหลือง</t>
        </is>
      </c>
      <c r="H162" s="18" t="inlineStr">
        <is>
          <t>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2" s="15" t="inlineStr">
        <is>
          <t>1</t>
        </is>
      </c>
      <c r="J162" s="18"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ข้อนี้ไม่ใช่คำตอบที่ถูกต้องสำหรับภาวะ Superficial fungal เนื่องจากกลไกการออกฤทธิ์, efficacy หรือข้อบ่งใช้ไม่ตรงกับโจทย์ที่กำหนด
• ข้อ ค. (ควรใช้ topical corticosteroid ที่มีความแรงสูงก่อนจึงค่อยใช้ความแรงต่ำ): ข้อนี้ไม่ใช่คำตอบที่ถูกต้องสำหรับภาวะ Superficial fungal เนื่องจากกลไกการออกฤทธิ์, efficacy หรือข้อบ่งใช้ไม่ตรงกับโจทย์ที่กำหนด
• ข้อ ง. (ยาพื้นที่เป็นขี้ผึ้ง ควรใช้กับผิวหนังอักเสบที่มีน้ำเหลืองซึมเพื่อดูดซับน้ำเหลือง): ข้อนี้ไม่ใช่คำตอบที่ถูกต้องสำหรับภาวะ Superficial fungal เนื่องจากกลไกการออกฤทธิ์, efficacy หรือข้อบ่งใช้ไม่ตรงกับโจทย์ที่กำหนด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18" t="inlineStr"/>
      <c r="L162" s="18" t="inlineStr">
        <is>
          <t>Superficial fungal</t>
        </is>
      </c>
      <c r="M162" s="18" t="inlineStr">
        <is>
          <t>Clinic</t>
        </is>
      </c>
      <c r="N162" s="18" t="inlineStr">
        <is>
          <t>ข้อ 32 (PLE_CC1_Practice_Exam.md)</t>
        </is>
      </c>
      <c r="O162" s="18" t="inlineStr">
        <is>
          <t>Mock</t>
        </is>
      </c>
      <c r="P162" s="18" t="inlineStr">
        <is>
          <t>Mock สภาเภสัชฯ Practice</t>
        </is>
      </c>
    </row>
    <row r="163">
      <c r="A163" s="15" t="inlineStr">
        <is>
          <t>161</t>
        </is>
      </c>
      <c r="B163" s="18"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18" t="inlineStr"/>
      <c r="D163" s="18" t="inlineStr">
        <is>
          <t>Exfoliative dermatitis</t>
        </is>
      </c>
      <c r="E163" s="18" t="inlineStr">
        <is>
          <t>AGEP</t>
        </is>
      </c>
      <c r="F163" s="18" t="inlineStr">
        <is>
          <t>DRESS</t>
        </is>
      </c>
      <c r="G163" s="18" t="inlineStr">
        <is>
          <t>SJS</t>
        </is>
      </c>
      <c r="H163" s="18" t="inlineStr">
        <is>
          <t>TEN</t>
        </is>
      </c>
      <c r="I163" s="15" t="inlineStr">
        <is>
          <t>1</t>
        </is>
      </c>
      <c r="J163" s="18"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ข้อนี้ไม่ใช่คำตอบที่ถูกต้องสำหรับภาวะ Eczema &amp; Dermatitis เนื่องจากกลไกการออกฤทธิ์, efficacy หรือข้อบ่งใช้ไม่ตรงกับโจทย์ที่กำหนด
• ข้อ ค. (DRESS): ข้อนี้ไม่ใช่คำตอบที่ถูกต้องสำหรับภาวะ Eczema &amp; Dermatitis เนื่องจากกลไกการออกฤทธิ์, efficacy หรือข้อบ่งใช้ไม่ตรงกับโจทย์ที่กำหนด
• ข้อ ง. (SJS): ข้อนี้ไม่ใช่คำตอบที่ถูกต้องสำหรับภาวะ Eczema &amp; Dermatitis เนื่องจากกลไกการออกฤทธิ์, efficacy หรือข้อบ่งใช้ไม่ตรงกับโจทย์ที่กำหนด
• ข้อ จ. (TEN):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18" t="inlineStr"/>
      <c r="L163" s="18" t="inlineStr">
        <is>
          <t>Eczema &amp; Dermatitis</t>
        </is>
      </c>
      <c r="M163" s="18" t="inlineStr">
        <is>
          <t>Clinic</t>
        </is>
      </c>
      <c r="N163" s="18" t="inlineStr">
        <is>
          <t>ข้อ 34 (PLE_CC1_Practice_Exam.md)</t>
        </is>
      </c>
      <c r="O163" s="18" t="inlineStr">
        <is>
          <t>Mock</t>
        </is>
      </c>
      <c r="P163" s="18" t="inlineStr">
        <is>
          <t>Mock สภาเภสัชฯ Practice</t>
        </is>
      </c>
    </row>
    <row r="164">
      <c r="A164" s="15" t="inlineStr">
        <is>
          <t>162</t>
        </is>
      </c>
      <c r="B164" s="18" t="inlineStr">
        <is>
          <t>เชื้อไวรัสในข้อใดก่อให้เกิดอาการดังกล่าว</t>
        </is>
      </c>
      <c r="C164" s="18" t="inlineStr"/>
      <c r="D164" s="18" t="inlineStr">
        <is>
          <t>Human corona virus</t>
        </is>
      </c>
      <c r="E164" s="18" t="inlineStr">
        <is>
          <t>Human papilloma virus</t>
        </is>
      </c>
      <c r="F164" s="18" t="inlineStr">
        <is>
          <t>Human herpes virus 4</t>
        </is>
      </c>
      <c r="G164" s="18" t="inlineStr">
        <is>
          <t>Adenovirus</t>
        </is>
      </c>
      <c r="H164" s="18" t="inlineStr">
        <is>
          <t>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4" s="15" t="inlineStr">
        <is>
          <t>1</t>
        </is>
      </c>
      <c r="J164" s="18"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ข้อนี้ไม่ใช่คำตอบที่ถูกต้องสำหรับภาวะ Superficial fungal เนื่องจากกลไกการออกฤทธิ์, efficacy หรือข้อบ่งใช้ไม่ตรงกับโจทย์ที่กำหนด
• ข้อ ค. (Human herpes virus 4): ข้อนี้ไม่ใช่คำตอบที่ถูกต้องสำหรับภาวะ Superficial fungal เนื่องจากกลไกการออกฤทธิ์, efficacy หรือข้อบ่งใช้ไม่ตรงกับโจทย์ที่กำหนด
• ข้อ ง. (Adenovirus): ข้อนี้ไม่ใช่คำตอบที่ถูกต้องสำหรับภาวะ Superficial fungal เนื่องจากกลไกการออกฤทธิ์, efficacy หรือข้อบ่งใช้ไม่ตรงกับโจทย์ที่กำหนด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18" t="inlineStr"/>
      <c r="L164" s="18" t="inlineStr">
        <is>
          <t>Superficial fungal</t>
        </is>
      </c>
      <c r="M164" s="18" t="inlineStr">
        <is>
          <t>Clinic</t>
        </is>
      </c>
      <c r="N164" s="18" t="inlineStr">
        <is>
          <t>ข้อ 39 (PLE_CC1_Practice_Exam.md)</t>
        </is>
      </c>
      <c r="O164" s="18" t="inlineStr">
        <is>
          <t>Mock</t>
        </is>
      </c>
      <c r="P164" s="18" t="inlineStr">
        <is>
          <t>Mock สภาเภสัชฯ Practice</t>
        </is>
      </c>
    </row>
    <row r="165">
      <c r="A165" s="15" t="inlineStr">
        <is>
          <t>163</t>
        </is>
      </c>
      <c r="B165" s="18" t="inlineStr">
        <is>
          <t>ข้อใดกล่าวไม่ถูกต้องเกี่ยวกับการใช้ยารักษาสิว</t>
        </is>
      </c>
      <c r="C165" s="18" t="inlineStr"/>
      <c r="D165" s="18" t="inlineStr">
        <is>
          <t>หากเป็นสิวระดับ mild สามารถใช้ topical retinoid ในการรักษาเพียงตัวเดียวได้</t>
        </is>
      </c>
      <c r="E165" s="18" t="inlineStr">
        <is>
          <t>หากเป็นสิวระดับ mild สามารถใช้ benzoyl peroxide ในการรักษาเพียงตัวเดียวได้</t>
        </is>
      </c>
      <c r="F165" s="18" t="inlineStr">
        <is>
          <t>Oral isotretinoid ใช้สำหรับ Severe acne เท่านั้น และห้ามใช้ในหญิงตั้งครรภ์</t>
        </is>
      </c>
      <c r="G165" s="18" t="inlineStr">
        <is>
          <t>Oral antibiotic ไม่สามารถใช้ในการรักษาสิวเพียงตัวเดียวได้</t>
        </is>
      </c>
      <c r="H165" s="18" t="inlineStr">
        <is>
          <t>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t>
        </is>
      </c>
      <c r="I165" s="15" t="inlineStr">
        <is>
          <t>3</t>
        </is>
      </c>
      <c r="J165" s="18"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ข้อนี้ไม่ใช่คำตอบที่ถูกต้องสำหรับภาวะ Acne เนื่องจากกลไกการออกฤทธิ์, efficacy หรือข้อบ่งใช้ไม่ตรงกับโจทย์ที่กำหนด
• ข้อ ข. (หากเป็นสิวระดับ mild สามารถใช้ benzoyl peroxide ในการรักษาเพียงตัวเดียวได้): ข้อนี้ไม่ใช่คำตอบที่ถูกต้องสำหรับภาวะ Acne เนื่องจากกลไกการออกฤทธิ์, efficacy หรือข้อบ่งใช้ไม่ตรงกับโจทย์ที่กำหนด
• ข้อ ง. (Oral antibiotic ไม่สามารถใช้ในการรักษาสิวเพียงตัวเดียวได้): ข้อนี้ไม่ใช่คำตอบที่ถูกต้องสำหรับภาวะ Acne เนื่องจากกลไกการออกฤทธิ์, efficacy หรือข้อบ่งใช้ไม่ตรงกับโจทย์ที่กำหนด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เป็น anchor csDMARD สำหรับ Rheumatoid arthritis ยับยั้ง dihydrofolate reductase ต้องให้ Folic acid เสริม และห้ามใช้ในหญิงตั้งครรภ์ (contraindication / teratogenic)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18" t="inlineStr"/>
      <c r="L165" s="18" t="inlineStr">
        <is>
          <t>Acne</t>
        </is>
      </c>
      <c r="M165" s="18" t="inlineStr">
        <is>
          <t>Clinic</t>
        </is>
      </c>
      <c r="N165" s="18" t="inlineStr">
        <is>
          <t>ข้อ 40 (PLE_CC1_Practice_Exam.md)</t>
        </is>
      </c>
      <c r="O165" s="18" t="inlineStr">
        <is>
          <t>Mock</t>
        </is>
      </c>
      <c r="P165" s="18" t="inlineStr">
        <is>
          <t>Mock สภาเภสัชฯ Practice</t>
        </is>
      </c>
    </row>
    <row r="166">
      <c r="A166" s="15" t="inlineStr">
        <is>
          <t>164</t>
        </is>
      </c>
      <c r="B166" s="18" t="inlineStr">
        <is>
          <t>โรคระบบภูมิคุ้มกัน โดย นักศึกษาเภสัชศาสตร์ชั้นป๊ที่ 4 รุ่นที่ 22 มหาวิทยาลัยนเรศวร</t>
        </is>
      </c>
      <c r="C166" s="18" t="inlineStr"/>
      <c r="D166" s="18" t="inlineStr">
        <is>
          <t>ข้อใดต่อไปนี้ไม่ถูกต้องเกี่ยวกับการใช้ยากลุ่ม Glucocorticoid</t>
        </is>
      </c>
      <c r="E166" s="18" t="inlineStr">
        <is>
          <t>ระวังการในผู้ป่วยโรคเบาหวาน เพราะมีฤทธิ์เพิ่มระดับน้ำตาลในเลือด</t>
        </is>
      </c>
      <c r="F166" s="18" t="inlineStr">
        <is>
          <t>ทำให้เกิด Cushing ’syndrome เช่น moon face, hirsutism, buffalo hump, weight loss, Easy bruising เป็นต้น</t>
        </is>
      </c>
      <c r="G166" s="18" t="inlineStr">
        <is>
          <t>ระหว่างได้ยาแนะนำให้รับประทานอาหารที่มีแคลเซียมสูง</t>
        </is>
      </c>
      <c r="H166" s="18" t="inlineStr">
        <is>
          <t>ห้ามใช้ในผู้ป่วยที่ติดเชื้อ Herpes simplex</t>
        </is>
      </c>
      <c r="I166" s="15" t="inlineStr">
        <is>
          <t>1</t>
        </is>
      </c>
      <c r="J166" s="18"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ข้อนี้ไม่ใช่คำตอบที่ถูกต้องสำหรับภาวะ Superficial fungal เนื่องจากกลไกการออกฤทธิ์, efficacy หรือข้อบ่งใช้ไม่ตรงกับโจทย์ที่กำหนด
• ข้อ ค. (ทำให้เกิด Cushing ’syndrome เช่น moon face, hirsutism, buffalo hump, weight loss, Easy bruising เป็นต้น): ข้อนี้ไม่ใช่คำตอบที่ถูกต้องสำหรับภาวะ Superficial fungal เนื่องจากกลไกการออกฤทธิ์, efficacy หรือข้อบ่งใช้ไม่ตรงกับโจทย์ที่กำหนด
• ข้อ ง. (ระหว่างได้ยาแนะนำให้รับประทานอาหารที่มีแคลเซียมสูง): ข้อนี้ไม่ใช่คำตอบที่ถูกต้องสำหรับภาวะ Superficial fungal เนื่องจากกลไกการออกฤทธิ์, efficacy หรือข้อบ่งใช้ไม่ตรงกับโจทย์ที่กำหนด
• ข้อ จ. (ห้ามใช้ในผู้ป่วยที่ติดเชื้อ Herpes simplex):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18" t="inlineStr"/>
      <c r="L166" s="18" t="inlineStr">
        <is>
          <t>Superficial fungal</t>
        </is>
      </c>
      <c r="M166" s="18" t="inlineStr">
        <is>
          <t>Clinic</t>
        </is>
      </c>
      <c r="N166" s="18" t="inlineStr">
        <is>
          <t>ข้อ 11 (PLE_CC1_Practice_Exam.md)</t>
        </is>
      </c>
      <c r="O166" s="18" t="inlineStr">
        <is>
          <t>Mock</t>
        </is>
      </c>
      <c r="P166" s="18" t="inlineStr">
        <is>
          <t>Mock สภาเภสัชฯ Practice</t>
        </is>
      </c>
    </row>
    <row r="167">
      <c r="A167" s="15" t="inlineStr">
        <is>
          <t>165</t>
        </is>
      </c>
      <c r="B167" s="1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18" t="inlineStr"/>
      <c r="D167" s="18" t="inlineStr">
        <is>
          <t>Benzoyl peroxide 2.5% gel</t>
        </is>
      </c>
      <c r="E167" s="18" t="inlineStr">
        <is>
          <t>Acyclovir 5% cream</t>
        </is>
      </c>
      <c r="F167" s="18" t="inlineStr">
        <is>
          <t>Silver sulfadiazine 1% cream</t>
        </is>
      </c>
      <c r="G167" s="18" t="inlineStr">
        <is>
          <t>Cetirizine 10 mg OD</t>
        </is>
      </c>
      <c r="H167" s="18" t="inlineStr">
        <is>
          <t>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t>
        </is>
      </c>
      <c r="I167" s="15" t="inlineStr">
        <is>
          <t>1</t>
        </is>
      </c>
      <c r="J167" s="18"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 s="18" t="inlineStr"/>
      <c r="L167" s="18" t="inlineStr">
        <is>
          <t>Superficial fungal</t>
        </is>
      </c>
      <c r="M167" s="18" t="inlineStr">
        <is>
          <t>Clinic</t>
        </is>
      </c>
      <c r="N167" s="18" t="inlineStr">
        <is>
          <t>ข้อ 24 (PLE_CC1_Practice_Exam.md)</t>
        </is>
      </c>
      <c r="O167" s="18" t="inlineStr">
        <is>
          <t>Mock</t>
        </is>
      </c>
      <c r="P167" s="18" t="inlineStr">
        <is>
          <t>Mock สภาเภสัชฯ Practice</t>
        </is>
      </c>
    </row>
    <row r="168">
      <c r="A168" s="15" t="inlineStr">
        <is>
          <t>166</t>
        </is>
      </c>
      <c r="B168" s="18"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18" t="inlineStr"/>
      <c r="D168" s="18" t="inlineStr">
        <is>
          <t>IgA</t>
        </is>
      </c>
      <c r="E168" s="18" t="inlineStr">
        <is>
          <t>IgD</t>
        </is>
      </c>
      <c r="F168" s="18" t="inlineStr">
        <is>
          <t>IgE</t>
        </is>
      </c>
      <c r="G168" s="18" t="inlineStr">
        <is>
          <t>IgG</t>
        </is>
      </c>
      <c r="H168" s="18" t="inlineStr">
        <is>
          <t>IgM</t>
        </is>
      </c>
      <c r="I168" s="15" t="inlineStr">
        <is>
          <t>1</t>
        </is>
      </c>
      <c r="J168" s="18"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ข้อนี้ไม่ใช่คำตอบที่ถูกต้องสำหรับภาวะ Eczema &amp; Dermatitis เนื่องจากกลไกการออกฤทธิ์, efficacy หรือข้อบ่งใช้ไม่ตรงกับโจทย์ที่กำหนด
• ข้อ ค. (IgE): ข้อนี้ไม่ใช่คำตอบที่ถูกต้องสำหรับภาวะ Eczema &amp; Dermatitis เนื่องจากกลไกการออกฤทธิ์, efficacy หรือข้อบ่งใช้ไม่ตรงกับโจทย์ที่กำหนด
• ข้อ ง. (IgG): ข้อนี้ไม่ใช่คำตอบที่ถูกต้องสำหรับภาวะ Eczema &amp; Dermatitis เนื่องจากกลไกการออกฤทธิ์, efficacy หรือข้อบ่งใช้ไม่ตรงกับโจทย์ที่กำหนด
• ข้อ จ. (IgM):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18" t="inlineStr"/>
      <c r="L168" s="18" t="inlineStr">
        <is>
          <t>Eczema &amp; Dermatitis</t>
        </is>
      </c>
      <c r="M168" s="18" t="inlineStr">
        <is>
          <t>Clinic</t>
        </is>
      </c>
      <c r="N168" s="18" t="inlineStr">
        <is>
          <t>ข้อ 31 (PLE_CC1_Practice_Exam.md)</t>
        </is>
      </c>
      <c r="O168" s="18" t="inlineStr">
        <is>
          <t>Mock</t>
        </is>
      </c>
      <c r="P168" s="18" t="inlineStr">
        <is>
          <t>Mock สภาเภสัชฯ Practice</t>
        </is>
      </c>
    </row>
    <row r="169">
      <c r="A169" s="15" t="inlineStr">
        <is>
          <t>167</t>
        </is>
      </c>
      <c r="B169" s="18"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18" t="inlineStr"/>
      <c r="D169" s="18" t="inlineStr">
        <is>
          <t>หยุดยากลุ่มเสี่ยงทันที</t>
        </is>
      </c>
      <c r="E169" s="18" t="inlineStr">
        <is>
          <t>ให้ยาสเตียรอยด์ในระยะแรกที่ยังมีการดำเนินไปของผื่น</t>
        </is>
      </c>
      <c r="F169" s="18" t="inlineStr">
        <is>
          <t>ออกบัตรแพ้ยากลุ่มเสี่ยง</t>
        </is>
      </c>
      <c r="G169" s="18" t="inlineStr">
        <is>
          <t>ทำ rechallenge ในผู้ป่วยรายนี้</t>
        </is>
      </c>
      <c r="H169" s="18" t="inlineStr">
        <is>
          <t>ตรวจนับเม็ดเลือด ตรวจการทำงานของไต</t>
        </is>
      </c>
      <c r="I169" s="15" t="inlineStr">
        <is>
          <t>1</t>
        </is>
      </c>
      <c r="J169" s="18"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ข้อนี้ไม่ใช่คำตอบที่ถูกต้องสำหรับภาวะ Eczema &amp; Dermatitis เนื่องจากกลไกการออกฤทธิ์, efficacy หรือข้อบ่งใช้ไม่ตรงกับโจทย์ที่กำหนด
• ข้อ ค. (ออกบัตรแพ้ยากลุ่มเสี่ยง): ข้อนี้ไม่ใช่คำตอบที่ถูกต้องสำหรับภาวะ Eczema &amp; Dermatitis เนื่องจากกลไกการออกฤทธิ์, efficacy หรือข้อบ่งใช้ไม่ตรงกับโจทย์ที่กำหนด
• ข้อ ง. (ทำ rechallenge ในผู้ป่วยรายนี้): ข้อนี้ไม่ใช่คำตอบที่ถูกต้องสำหรับภาวะ Eczema &amp; Dermatitis เนื่องจากกลไกการออกฤทธิ์, efficacy หรือข้อบ่งใช้ไม่ตรงกับโจทย์ที่กำหนด
• ข้อ จ. (ตรวจนับเม็ดเลือด ตรวจการทำงานของไต):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18" t="inlineStr"/>
      <c r="L169" s="18" t="inlineStr">
        <is>
          <t>Eczema &amp; Dermatitis</t>
        </is>
      </c>
      <c r="M169" s="18" t="inlineStr">
        <is>
          <t>Clinic</t>
        </is>
      </c>
      <c r="N169" s="18" t="inlineStr">
        <is>
          <t>ข้อ 33 (PLE_CC1_Practice_Exam.md)</t>
        </is>
      </c>
      <c r="O169" s="18" t="inlineStr">
        <is>
          <t>Mock</t>
        </is>
      </c>
      <c r="P169" s="18" t="inlineStr">
        <is>
          <t>Mock สภาเภสัชฯ Practice</t>
        </is>
      </c>
    </row>
    <row r="170">
      <c r="A170" s="15" t="inlineStr">
        <is>
          <t>168</t>
        </is>
      </c>
      <c r="B170" s="18" t="inlineStr">
        <is>
          <t>ไม่เหมาะสำหรับทาผิวหนังบริเวณที่มีขน</t>
        </is>
      </c>
      <c r="C170" s="18" t="inlineStr"/>
      <c r="D170" s="18" t="inlineStr">
        <is>
          <t>Clotrimazole 1% cream</t>
        </is>
      </c>
      <c r="E170" s="18" t="inlineStr">
        <is>
          <t>Hydrocortisone 1% cream</t>
        </is>
      </c>
      <c r="F170" s="18" t="inlineStr">
        <is>
          <t>Triamcinolone acetonide 0.1% cream</t>
        </is>
      </c>
      <c r="G170" s="18" t="inlineStr">
        <is>
          <t>Clobetasol propionate 0.05% cream</t>
        </is>
      </c>
      <c r="H170" s="18" t="inlineStr">
        <is>
          <t>Ketoconazole 2% shampoo</t>
        </is>
      </c>
      <c r="I170" s="15" t="inlineStr">
        <is>
          <t>1</t>
        </is>
      </c>
      <c r="J170" s="18"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18" t="inlineStr"/>
      <c r="L170" s="18" t="inlineStr">
        <is>
          <t>Superficial fungal</t>
        </is>
      </c>
      <c r="M170" s="18" t="inlineStr">
        <is>
          <t>Clinic</t>
        </is>
      </c>
      <c r="N170" s="18" t="inlineStr">
        <is>
          <t>ข้อ 3 (PLE_CC1_Practice_Exam.md)</t>
        </is>
      </c>
      <c r="O170" s="18" t="inlineStr">
        <is>
          <t>Mock</t>
        </is>
      </c>
      <c r="P170" s="18" t="inlineStr">
        <is>
          <t>Mock สภาเภสัชฯ Practice</t>
        </is>
      </c>
    </row>
    <row r="171">
      <c r="A171" s="15" t="inlineStr">
        <is>
          <t>169</t>
        </is>
      </c>
      <c r="B171" s="18"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18" t="inlineStr"/>
      <c r="D171" s="18" t="inlineStr">
        <is>
          <t>ได้ เพราะเป็นยาอันตราย</t>
        </is>
      </c>
      <c r="E171" s="18" t="inlineStr">
        <is>
          <t>ได้ เพราะเป็นยาควบคุมพิเศษที่เคยได้รับการสั่งใช้ยาจากแพทย์มาแล้ว</t>
        </is>
      </c>
      <c r="F171" s="18" t="inlineStr">
        <is>
          <t>ไม่ได้ เพราะเป็นยาควบคุมพิเศษ ต้องมีใบสั่งใช้ยาโดยแพทย์ประกอบการจ่ายทุกครั้ง</t>
        </is>
      </c>
      <c r="G171" s="18" t="inlineStr">
        <is>
          <t>ไม่ได้ เพราะเป็นยาควบคุมพิเศษ ที่ขายได้เฉพาะในคลินิกแพทย์เท่านั้น</t>
        </is>
      </c>
      <c r="H171" s="18" t="inlineStr">
        <is>
          <t>ไม่ได้ เพราะเป็นยาควบคุมพิเศษ ที่ขายได้ในโรงพยาบาลเท่านั้น</t>
        </is>
      </c>
      <c r="I171" s="15" t="inlineStr">
        <is>
          <t>1</t>
        </is>
      </c>
      <c r="J171" s="18"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18" t="inlineStr"/>
      <c r="L171" s="18" t="inlineStr">
        <is>
          <t>Acne</t>
        </is>
      </c>
      <c r="M171" s="18" t="inlineStr">
        <is>
          <t>Clinic</t>
        </is>
      </c>
      <c r="N171" s="18" t="inlineStr">
        <is>
          <t>ข้อ 35 (PLE_CC1_Practice_Exam.md)</t>
        </is>
      </c>
      <c r="O171" s="18" t="inlineStr">
        <is>
          <t>Mock</t>
        </is>
      </c>
      <c r="P171" s="18" t="inlineStr">
        <is>
          <t>Mock สภาเภสัชฯ Practice</t>
        </is>
      </c>
    </row>
    <row r="172">
      <c r="A172" s="15" t="inlineStr">
        <is>
          <t>170</t>
        </is>
      </c>
      <c r="B172" s="18" t="inlineStr">
        <is>
          <t>ควรทาถูนวดเจลพริกบริเวณที่ปวด เพื่อให้ดูดซึมผ่านผิวหนังดีขึ้น</t>
        </is>
      </c>
      <c r="C172" s="18" t="inlineStr"/>
      <c r="D172" s="18" t="inlineStr">
        <is>
          <t>Acyclovir 5% cream</t>
        </is>
      </c>
      <c r="E172" s="18" t="inlineStr">
        <is>
          <t>Silver sulfadiazine 1% cream</t>
        </is>
      </c>
      <c r="F172" s="18" t="inlineStr">
        <is>
          <t>Cetirizine 10 mg OD</t>
        </is>
      </c>
      <c r="G172" s="18" t="inlineStr">
        <is>
          <t>Isotretinoin 10 mg OD</t>
        </is>
      </c>
      <c r="H172" s="18" t="inlineStr">
        <is>
          <t>Terbinafine 1% cream</t>
        </is>
      </c>
      <c r="I172" s="15" t="inlineStr">
        <is>
          <t>1</t>
        </is>
      </c>
      <c r="J172" s="18"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จ. (Terbinafine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18" t="inlineStr"/>
      <c r="L172" s="18" t="inlineStr">
        <is>
          <t>Superficial fungal</t>
        </is>
      </c>
      <c r="M172" s="18" t="inlineStr">
        <is>
          <t>Clinic</t>
        </is>
      </c>
      <c r="N172" s="18" t="inlineStr">
        <is>
          <t>ข้อ 4 (PLE_CC1_Key_Rx20_UBU.md)</t>
        </is>
      </c>
      <c r="O172" s="18" t="inlineStr">
        <is>
          <t>Mock</t>
        </is>
      </c>
      <c r="P172" s="18" t="inlineStr">
        <is>
          <t>Mock Rx20 UBU</t>
        </is>
      </c>
    </row>
    <row r="173">
      <c r="A173" s="15" t="inlineStr">
        <is>
          <t>171</t>
        </is>
      </c>
      <c r="B173" s="18" t="inlineStr">
        <is>
          <t>ไม่มี Emulsifier ในตำรับ</t>
        </is>
      </c>
      <c r="C173" s="18" t="inlineStr"/>
      <c r="D173" s="18" t="inlineStr">
        <is>
          <t>Isotretinoin 10 mg OD</t>
        </is>
      </c>
      <c r="E173" s="18" t="inlineStr">
        <is>
          <t>Terbinafine 1% cream</t>
        </is>
      </c>
      <c r="F173" s="18" t="inlineStr">
        <is>
          <t>Adapalene 0.1% gel</t>
        </is>
      </c>
      <c r="G173" s="18" t="inlineStr">
        <is>
          <t>Mupirocin 2% ointment</t>
        </is>
      </c>
      <c r="H173" s="18" t="inlineStr">
        <is>
          <t>Betamethasone dipropionate 0.05% cream</t>
        </is>
      </c>
      <c r="I173" s="15" t="inlineStr">
        <is>
          <t>1</t>
        </is>
      </c>
      <c r="J173" s="18"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18" t="inlineStr"/>
      <c r="L173" s="18" t="inlineStr">
        <is>
          <t>Superficial fungal</t>
        </is>
      </c>
      <c r="M173" s="18" t="inlineStr">
        <is>
          <t>Clinic</t>
        </is>
      </c>
      <c r="N173" s="18" t="inlineStr">
        <is>
          <t>ข้อ 4 (PLE_CC1_Key_Rx20_UBU.md)</t>
        </is>
      </c>
      <c r="O173" s="18" t="inlineStr">
        <is>
          <t>Mock</t>
        </is>
      </c>
      <c r="P173" s="18" t="inlineStr">
        <is>
          <t>Mock Rx20 UBU</t>
        </is>
      </c>
    </row>
    <row r="174">
      <c r="A174" s="15" t="inlineStr">
        <is>
          <t>172</t>
        </is>
      </c>
      <c r="B174" s="18" t="inlineStr">
        <is>
          <t>ควรเลือกยาใดให้ผู้ป่วยรายนี้เป็นทางเลือกแรก</t>
        </is>
      </c>
      <c r="C174" s="18" t="inlineStr"/>
      <c r="D174" s="18" t="inlineStr">
        <is>
          <t>Mupirocin 2% ointment</t>
        </is>
      </c>
      <c r="E174" s="18" t="inlineStr">
        <is>
          <t>Betamethasone dipropionate 0.05% cream</t>
        </is>
      </c>
      <c r="F174" s="18" t="inlineStr">
        <is>
          <t>Clotrimazole 1% cream</t>
        </is>
      </c>
      <c r="G174" s="18" t="inlineStr">
        <is>
          <t>Hydrocortisone 1% cream</t>
        </is>
      </c>
      <c r="H174" s="18" t="inlineStr">
        <is>
          <t>Triamcinolone acetonide 0.1% cream</t>
        </is>
      </c>
      <c r="I174" s="15" t="inlineStr">
        <is>
          <t>1</t>
        </is>
      </c>
      <c r="J174" s="18"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18" t="inlineStr"/>
      <c r="L174" s="18" t="inlineStr">
        <is>
          <t>Superficial fungal</t>
        </is>
      </c>
      <c r="M174" s="18" t="inlineStr">
        <is>
          <t>Clinic</t>
        </is>
      </c>
      <c r="N174" s="18" t="inlineStr">
        <is>
          <t>ข้อ 62 (PLE_CC1_Key_Rx20_UBU.md)</t>
        </is>
      </c>
      <c r="O174" s="18" t="inlineStr">
        <is>
          <t>Mock</t>
        </is>
      </c>
      <c r="P174" s="18" t="inlineStr">
        <is>
          <t>Mock Rx20 UBU</t>
        </is>
      </c>
    </row>
    <row r="175">
      <c r="A175" s="15" t="inlineStr">
        <is>
          <t>173</t>
        </is>
      </c>
      <c r="B175" s="18" t="inlineStr">
        <is>
          <t>non-inflamatory acne</t>
        </is>
      </c>
      <c r="C175" s="18" t="inlineStr"/>
      <c r="D175" s="18" t="inlineStr">
        <is>
          <t>Hydrocortisone 1% cream</t>
        </is>
      </c>
      <c r="E175" s="18" t="inlineStr">
        <is>
          <t>Triamcinolone acetonide 0.1% cream</t>
        </is>
      </c>
      <c r="F175" s="18" t="inlineStr">
        <is>
          <t>Clobetasol propionate 0.05% cream</t>
        </is>
      </c>
      <c r="G175" s="18" t="inlineStr">
        <is>
          <t>Ketoconazole 2% shampoo</t>
        </is>
      </c>
      <c r="H175" s="18" t="inlineStr">
        <is>
          <t>Benzoyl peroxide 2.5% gel</t>
        </is>
      </c>
      <c r="I175" s="15" t="inlineStr">
        <is>
          <t>1</t>
        </is>
      </c>
      <c r="J175" s="18"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ค. (Clobetasol propionate 0.05% cream): ข้อนี้ไม่ใช่คำตอบที่ถูกต้องสำหรับภาวะ Acne เนื่องจากกลไกการออกฤทธิ์, efficacy หรือข้อบ่งใช้ไม่ตรงกับโจทย์ที่กำหนด
• ข้อ ง. (Ketoconazole 2% shampoo): ข้อนี้ไม่ใช่คำตอบที่ถูกต้องสำหรับภาวะ Acne เนื่องจากกลไกการออกฤทธิ์, efficacy หรือข้อบ่งใช้ไม่ตรงกับโจทย์ที่กำหนด
• ข้อ จ. (Benzoyl peroxide 2.5%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18" t="inlineStr"/>
      <c r="L175" s="18" t="inlineStr">
        <is>
          <t>Acne</t>
        </is>
      </c>
      <c r="M175" s="18" t="inlineStr">
        <is>
          <t>Clinic</t>
        </is>
      </c>
      <c r="N175" s="18" t="inlineStr">
        <is>
          <t>ข้อ 2 (PLE_CC1_Key_Rx20_UBU.md)</t>
        </is>
      </c>
      <c r="O175" s="18" t="inlineStr">
        <is>
          <t>Mock</t>
        </is>
      </c>
      <c r="P175" s="18" t="inlineStr">
        <is>
          <t>Mock Rx20 UBU</t>
        </is>
      </c>
    </row>
    <row r="176">
      <c r="A176" s="15" t="inlineStr">
        <is>
          <t>174</t>
        </is>
      </c>
      <c r="B176" s="18" t="inlineStr">
        <is>
          <t>nodulocystic acne</t>
        </is>
      </c>
      <c r="C176" s="18" t="inlineStr"/>
      <c r="D176" s="18" t="inlineStr">
        <is>
          <t>Ketoconazole 2% shampoo</t>
        </is>
      </c>
      <c r="E176" s="18" t="inlineStr">
        <is>
          <t>Benzoyl peroxide 2.5% gel</t>
        </is>
      </c>
      <c r="F176" s="18" t="inlineStr">
        <is>
          <t>Acyclovir 5% cream</t>
        </is>
      </c>
      <c r="G176" s="18" t="inlineStr">
        <is>
          <t>Silver sulfadiazine 1% cream</t>
        </is>
      </c>
      <c r="H176" s="18" t="inlineStr">
        <is>
          <t>Cetirizine 10 mg OD</t>
        </is>
      </c>
      <c r="I176" s="15" t="inlineStr">
        <is>
          <t>1</t>
        </is>
      </c>
      <c r="J176" s="18"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Acne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Acne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6" s="18" t="inlineStr"/>
      <c r="L176" s="18" t="inlineStr">
        <is>
          <t>Acne</t>
        </is>
      </c>
      <c r="M176" s="18" t="inlineStr">
        <is>
          <t>Clinic</t>
        </is>
      </c>
      <c r="N176" s="18" t="inlineStr">
        <is>
          <t>ข้อ 4 (PLE_CC1_Key_Rx20_UBU.md)</t>
        </is>
      </c>
      <c r="O176" s="18" t="inlineStr">
        <is>
          <t>Mock</t>
        </is>
      </c>
      <c r="P176" s="18" t="inlineStr">
        <is>
          <t>Mock Rx20 UBU</t>
        </is>
      </c>
    </row>
    <row r="177">
      <c r="A177" s="15" t="inlineStr">
        <is>
          <t>175</t>
        </is>
      </c>
      <c r="B177" s="18" t="inlineStr">
        <is>
          <t>Carbomer ละลายได้ดีใน Alcohol 68.ข้อใดถูกต้องเกี่ยวกับ Benzoyl peroxide</t>
        </is>
      </c>
      <c r="C177" s="18" t="inlineStr"/>
      <c r="D177" s="18" t="inlineStr">
        <is>
          <t>Silver sulfadiazine 1% cream</t>
        </is>
      </c>
      <c r="E177" s="18" t="inlineStr">
        <is>
          <t>Cetirizine 10 mg OD</t>
        </is>
      </c>
      <c r="F177" s="18" t="inlineStr">
        <is>
          <t>Isotretinoin 10 mg OD</t>
        </is>
      </c>
      <c r="G177" s="18" t="inlineStr">
        <is>
          <t>Terbinafine 1% cream</t>
        </is>
      </c>
      <c r="H177" s="18" t="inlineStr">
        <is>
          <t>Adapalene 0.1% gel</t>
        </is>
      </c>
      <c r="I177" s="15" t="inlineStr">
        <is>
          <t>1</t>
        </is>
      </c>
      <c r="J177" s="18"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Acne เนื่องจากกลไกการออกฤทธิ์, efficacy หรือข้อบ่งใช้ไม่ตรงกับโจทย์ที่กำหนด
• ข้อ ง. (Terbinafine 1% cream): ข้อนี้ไม่ใช่คำตอบที่ถูกต้องสำหรับภาวะ Acne เนื่องจากกลไกการออกฤทธิ์, efficacy หรือข้อบ่งใช้ไม่ตรงกับโจทย์ที่กำหนด
• ข้อ จ. (Adapalene 0.1%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18" t="inlineStr"/>
      <c r="L177" s="18" t="inlineStr">
        <is>
          <t>Acne</t>
        </is>
      </c>
      <c r="M177" s="18" t="inlineStr">
        <is>
          <t>Clinic</t>
        </is>
      </c>
      <c r="N177" s="18" t="inlineStr">
        <is>
          <t>ข้อ 5 (PLE_CC1_Key_Rx20_UBU.md)</t>
        </is>
      </c>
      <c r="O177" s="18" t="inlineStr">
        <is>
          <t>Mock</t>
        </is>
      </c>
      <c r="P177" s="18" t="inlineStr">
        <is>
          <t>Mock Rx20 UBU</t>
        </is>
      </c>
    </row>
    <row r="178">
      <c r="A178" s="15" t="inlineStr">
        <is>
          <t>176</t>
        </is>
      </c>
      <c r="B178" s="18" t="inlineStr">
        <is>
          <t>P. acne ดื้อเป็นปัญหาสำคัญ</t>
        </is>
      </c>
      <c r="C178" s="18" t="inlineStr"/>
      <c r="D178" s="18" t="inlineStr">
        <is>
          <t>Terbinafine 1% cream</t>
        </is>
      </c>
      <c r="E178" s="18" t="inlineStr">
        <is>
          <t>Adapalene 0.1% gel</t>
        </is>
      </c>
      <c r="F178" s="18" t="inlineStr">
        <is>
          <t>Mupirocin 2% ointment</t>
        </is>
      </c>
      <c r="G178" s="18" t="inlineStr">
        <is>
          <t>Betamethasone dipropionate 0.05% cream</t>
        </is>
      </c>
      <c r="H178" s="18" t="inlineStr">
        <is>
          <t>Clotrimazole 1% cream</t>
        </is>
      </c>
      <c r="I178" s="15" t="inlineStr">
        <is>
          <t>1</t>
        </is>
      </c>
      <c r="J178" s="18"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Acne เนื่องจากกลไกการออกฤทธิ์, efficacy หรือข้อบ่งใช้ไม่ตรงกับโจทย์ที่กำหนด
• ข้อ ค. (Mupirocin 2% ointment): ข้อนี้ไม่ใช่คำตอบที่ถูกต้องสำหรับภาวะ Acne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Acne เนื่องจากกลไกการออกฤทธิ์, efficacy หรือข้อบ่งใช้ไม่ตรงกับโจทย์ที่กำหนด
• ข้อ จ. (Clotrimazole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18" t="inlineStr"/>
      <c r="L178" s="18" t="inlineStr">
        <is>
          <t>Acne</t>
        </is>
      </c>
      <c r="M178" s="18" t="inlineStr">
        <is>
          <t>Clinic</t>
        </is>
      </c>
      <c r="N178" s="18" t="inlineStr">
        <is>
          <t>ข้อ 4 (PLE_CC1_Key_Rx20_UBU.md)</t>
        </is>
      </c>
      <c r="O178" s="18" t="inlineStr">
        <is>
          <t>Mock</t>
        </is>
      </c>
      <c r="P178" s="18" t="inlineStr">
        <is>
          <t>Mock Rx20 UBU</t>
        </is>
      </c>
    </row>
    <row r="179">
      <c r="A179" s="15" t="inlineStr">
        <is>
          <t>177</t>
        </is>
      </c>
      <c r="B179" s="18" t="inlineStr">
        <is>
          <t>ควรเลือกใช้ยาใดในการรักษา จึงจะเหมาะสมที่สุด</t>
        </is>
      </c>
      <c r="C179" s="18" t="inlineStr"/>
      <c r="D179" s="18" t="inlineStr">
        <is>
          <t>Betamethasone dipropionate 0.05% cream</t>
        </is>
      </c>
      <c r="E179" s="18" t="inlineStr">
        <is>
          <t>Clotrimazole 1% cream</t>
        </is>
      </c>
      <c r="F179" s="18" t="inlineStr">
        <is>
          <t>Hydrocortisone 1% cream</t>
        </is>
      </c>
      <c r="G179" s="18" t="inlineStr">
        <is>
          <t>Triamcinolone acetonide 0.1% cream</t>
        </is>
      </c>
      <c r="H179" s="18" t="inlineStr">
        <is>
          <t>Clobetasol propionate 0.05% cream</t>
        </is>
      </c>
      <c r="I179" s="15" t="inlineStr">
        <is>
          <t>1</t>
        </is>
      </c>
      <c r="J179" s="18"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18" t="inlineStr"/>
      <c r="L179" s="18" t="inlineStr">
        <is>
          <t>Superficial fungal</t>
        </is>
      </c>
      <c r="M179" s="18" t="inlineStr">
        <is>
          <t>Clinic</t>
        </is>
      </c>
      <c r="N179" s="18" t="inlineStr">
        <is>
          <t>ข้อ 90 (PLE_CC1_Key_Rx20_UBU.md)</t>
        </is>
      </c>
      <c r="O179" s="18" t="inlineStr">
        <is>
          <t>Mock</t>
        </is>
      </c>
      <c r="P179" s="18" t="inlineStr">
        <is>
          <t>Mock Rx20 UBU</t>
        </is>
      </c>
    </row>
    <row r="180">
      <c r="A180" s="15" t="inlineStr">
        <is>
          <t>178</t>
        </is>
      </c>
      <c r="B180" s="18" t="inlineStr">
        <is>
          <t>หากผู้ป่วยได้รับยา Ketoconazole คำแนะนำใดถูกต้อง</t>
        </is>
      </c>
      <c r="C180" s="18" t="inlineStr"/>
      <c r="D180" s="18" t="inlineStr">
        <is>
          <t>Triamcinolone acetonide 0.1% cream</t>
        </is>
      </c>
      <c r="E180" s="18" t="inlineStr">
        <is>
          <t>Clobetasol propionate 0.05% cream</t>
        </is>
      </c>
      <c r="F180" s="18" t="inlineStr">
        <is>
          <t>Ketoconazole 2% shampoo</t>
        </is>
      </c>
      <c r="G180" s="18" t="inlineStr">
        <is>
          <t>Benzoyl peroxide 2.5% gel</t>
        </is>
      </c>
      <c r="H180" s="18" t="inlineStr">
        <is>
          <t>Acyclovir 5% cream</t>
        </is>
      </c>
      <c r="I180" s="15" t="inlineStr">
        <is>
          <t>1</t>
        </is>
      </c>
      <c r="J180" s="1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18" t="inlineStr"/>
      <c r="L180" s="18" t="inlineStr">
        <is>
          <t>Superficial fungal</t>
        </is>
      </c>
      <c r="M180" s="18" t="inlineStr">
        <is>
          <t>Clinic</t>
        </is>
      </c>
      <c r="N180" s="18" t="inlineStr">
        <is>
          <t>ข้อ 91 (PLE_CC1_Key_Rx20_UBU.md)</t>
        </is>
      </c>
      <c r="O180" s="18" t="inlineStr">
        <is>
          <t>Mock</t>
        </is>
      </c>
      <c r="P180" s="18" t="inlineStr">
        <is>
          <t>Mock Rx20 UBU</t>
        </is>
      </c>
    </row>
    <row r="181">
      <c r="A181" s="15" t="inlineStr">
        <is>
          <t>179</t>
        </is>
      </c>
      <c r="B181" s="18" t="inlineStr">
        <is>
          <t>ถ้าผู้ป่วยได้รับ Ketoconazole ร่วมด้วย จะเกิดอะไรขึ้น</t>
        </is>
      </c>
      <c r="C181" s="18" t="inlineStr"/>
      <c r="D181" s="18" t="inlineStr">
        <is>
          <t>Benzoyl peroxide 2.5% gel</t>
        </is>
      </c>
      <c r="E181" s="18" t="inlineStr">
        <is>
          <t>Acyclovir 5% cream</t>
        </is>
      </c>
      <c r="F181" s="18" t="inlineStr">
        <is>
          <t>Silver sulfadiazine 1% cream</t>
        </is>
      </c>
      <c r="G181" s="18" t="inlineStr">
        <is>
          <t>Cetirizine 10 mg OD</t>
        </is>
      </c>
      <c r="H181" s="18" t="inlineStr">
        <is>
          <t>Isotretinoin 10 mg OD</t>
        </is>
      </c>
      <c r="I181" s="15" t="inlineStr">
        <is>
          <t>1</t>
        </is>
      </c>
      <c r="J181" s="18"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18" t="inlineStr"/>
      <c r="L181" s="18" t="inlineStr">
        <is>
          <t>Superficial fungal</t>
        </is>
      </c>
      <c r="M181" s="18" t="inlineStr">
        <is>
          <t>Clinic</t>
        </is>
      </c>
      <c r="N181" s="18" t="inlineStr">
        <is>
          <t>ข้อ 4 (PLE_CC1_Key_Rx20_UBU.md)</t>
        </is>
      </c>
      <c r="O181" s="18" t="inlineStr">
        <is>
          <t>Mock</t>
        </is>
      </c>
      <c r="P181" s="18" t="inlineStr">
        <is>
          <t>Mock Rx20 UBU</t>
        </is>
      </c>
    </row>
    <row r="182">
      <c r="A182" s="15" t="inlineStr">
        <is>
          <t>180</t>
        </is>
      </c>
      <c r="B182" s="18" t="inlineStr">
        <is>
          <t>คำแนะนำใดเหมาะสมในผู้ป่วยรายนี้</t>
        </is>
      </c>
      <c r="C182" s="18" t="inlineStr"/>
      <c r="D182" s="18" t="inlineStr">
        <is>
          <t>ควรรับประทานยาคุมเพื่อป้องกันการตั้งครรภ์ทารกวิรูป</t>
        </is>
      </c>
      <c r="E182" s="18" t="inlineStr">
        <is>
          <t>ระหว่างที่กินยานี้ หลีกเลี่ยงรังสี UV</t>
        </is>
      </c>
      <c r="F182" s="18" t="inlineStr">
        <is>
          <t>ควรกินยาก่อนอาหารเช้า-ก่อนนอน</t>
        </is>
      </c>
      <c r="G182" s="18" t="inlineStr">
        <is>
          <t>อาจทำให้ผิวหนัง-เล็บเปลี่ยนสี</t>
        </is>
      </c>
      <c r="H182" s="18" t="inlineStr">
        <is>
          <t>ถ้ามีอาการไข้ เจ็บคอ และมีผื่นขึ้นควรไปพบแพทย์ คำอธิบาย carbamazepine -- HLAB 1502 -- SJS</t>
        </is>
      </c>
      <c r="I182" s="15" t="inlineStr">
        <is>
          <t>5</t>
        </is>
      </c>
      <c r="J182" s="18"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ข้อนี้ไม่ใช่คำตอบที่ถูกต้องสำหรับภาวะ Superficial fungal เนื่องจากกลไกการออกฤทธิ์, efficacy หรือข้อบ่งใช้ไม่ตรงกับโจทย์ที่กำหนด
• ข้อ ข. (ระหว่างที่กินยานี้ หลีกเลี่ยงรังสี UV): ข้อนี้ไม่ใช่คำตอบที่ถูกต้องสำหรับภาวะ Superficial fungal เนื่องจากกลไกการออกฤทธิ์, efficacy หรือข้อบ่งใช้ไม่ตรงกับโจทย์ที่กำหนด
• ข้อ ค. (ควรกินยาก่อนอาหารเช้า-ก่อนนอน): ข้อนี้ไม่ใช่คำตอบที่ถูกต้องสำหรับภาวะ Superficial fungal เนื่องจากกลไกการออกฤทธิ์, efficacy หรือข้อบ่งใช้ไม่ตรงกับโจทย์ที่กำหนด
• ข้อ ง. (อาจทำให้ผิวหนัง-เล็บเปลี่ยนสี):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18" t="inlineStr"/>
      <c r="L182" s="18" t="inlineStr">
        <is>
          <t>Superficial fungal</t>
        </is>
      </c>
      <c r="M182" s="18" t="inlineStr">
        <is>
          <t>Clinic</t>
        </is>
      </c>
      <c r="N182" s="18" t="inlineStr">
        <is>
          <t>ข้อ 1 (PLE_CC1_Key_Rx20_UBU.md)</t>
        </is>
      </c>
      <c r="O182" s="18" t="inlineStr">
        <is>
          <t>Mock</t>
        </is>
      </c>
      <c r="P182" s="18" t="inlineStr">
        <is>
          <t>Mock Rx20 UBU</t>
        </is>
      </c>
    </row>
    <row r="183">
      <c r="A183" s="15" t="inlineStr">
        <is>
          <t>181</t>
        </is>
      </c>
      <c r="B183" s="18" t="inlineStr">
        <is>
          <t>ผู้ป่วยเป็นโรคอะไร</t>
        </is>
      </c>
      <c r="C183" s="18" t="inlineStr"/>
      <c r="D183" s="18" t="inlineStr">
        <is>
          <t>Impetigo</t>
        </is>
      </c>
      <c r="E183" s="18" t="inlineStr">
        <is>
          <t>Eczema</t>
        </is>
      </c>
      <c r="F183" s="18" t="inlineStr">
        <is>
          <t>Folliculitis</t>
        </is>
      </c>
      <c r="G183" s="18" t="inlineStr">
        <is>
          <t>Rosacea</t>
        </is>
      </c>
      <c r="H183" s="18" t="inlineStr">
        <is>
          <t>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t>
        </is>
      </c>
      <c r="I183" s="15" t="inlineStr">
        <is>
          <t>2</t>
        </is>
      </c>
      <c r="J183" s="18"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ข้อนี้ไม่ใช่คำตอบที่ถูกต้องสำหรับภาวะ Superficial fungal เนื่องจากกลไกการออกฤทธิ์, efficacy หรือข้อบ่งใช้ไม่ตรงกับโจทย์ที่กำหนด
• ข้อ ค. (Folliculitis): ข้อนี้ไม่ใช่คำตอบที่ถูกต้องสำหรับภาวะ Superficial fungal เนื่องจากกลไกการออกฤทธิ์, efficacy หรือข้อบ่งใช้ไม่ตรงกับโจทย์ที่กำหนด
• ข้อ ง. (Rosacea): ข้อนี้ไม่ใช่คำตอบที่ถูกต้องสำหรับภาวะ Superficial fungal เนื่องจากกลไกการออกฤทธิ์, efficacy หรือข้อบ่งใช้ไม่ตรงกับโจทย์ที่กำหนด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18" t="inlineStr"/>
      <c r="L183" s="18" t="inlineStr">
        <is>
          <t>Superficial fungal</t>
        </is>
      </c>
      <c r="M183" s="18" t="inlineStr">
        <is>
          <t>Clinic</t>
        </is>
      </c>
      <c r="N183" s="18" t="inlineStr">
        <is>
          <t>ข้อ 1 (PLE_CC1_Key_Rx20_UBU.md)</t>
        </is>
      </c>
      <c r="O183" s="18" t="inlineStr">
        <is>
          <t>Mock</t>
        </is>
      </c>
      <c r="P183" s="18" t="inlineStr">
        <is>
          <t>Mock Rx20 UBU</t>
        </is>
      </c>
    </row>
    <row r="184">
      <c r="A184" s="15" t="inlineStr">
        <is>
          <t>182</t>
        </is>
      </c>
      <c r="B184" s="18" t="inlineStr">
        <is>
          <t>ยับยั้งการสร้าง RNA</t>
        </is>
      </c>
      <c r="C184" s="18" t="inlineStr"/>
      <c r="D184" s="18" t="inlineStr">
        <is>
          <t>Clotrimazole 1% cream</t>
        </is>
      </c>
      <c r="E184" s="18" t="inlineStr">
        <is>
          <t>Hydrocortisone 1% cream</t>
        </is>
      </c>
      <c r="F184" s="18" t="inlineStr">
        <is>
          <t>Triamcinolone acetonide 0.1% cream</t>
        </is>
      </c>
      <c r="G184" s="18" t="inlineStr">
        <is>
          <t>Clobetasol propionate 0.05% cream</t>
        </is>
      </c>
      <c r="H184" s="18" t="inlineStr">
        <is>
          <t>Ketoconazole 2% shampoo</t>
        </is>
      </c>
      <c r="I184" s="15" t="inlineStr">
        <is>
          <t>1</t>
        </is>
      </c>
      <c r="J184" s="18"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18" t="inlineStr"/>
      <c r="L184" s="18" t="inlineStr">
        <is>
          <t>Superficial fungal</t>
        </is>
      </c>
      <c r="M184" s="18" t="inlineStr">
        <is>
          <t>Clinic</t>
        </is>
      </c>
      <c r="N184" s="18" t="inlineStr">
        <is>
          <t>ข้อ 5 (PLE_CC1_Key_Rx20_UBU.md)</t>
        </is>
      </c>
      <c r="O184" s="18" t="inlineStr">
        <is>
          <t>Mock</t>
        </is>
      </c>
      <c r="P184" s="18" t="inlineStr">
        <is>
          <t>Mock Rx20 UBU</t>
        </is>
      </c>
    </row>
    <row r="185">
      <c r="A185" s="15" t="inlineStr">
        <is>
          <t>183</t>
        </is>
      </c>
      <c r="B185" s="18" t="inlineStr">
        <is>
          <t>ถ้าให้การรักษาด้วยยาข้างต้นมา 5 วันแล้วอาการของผู้ป่วยยังไม่ดีขึ้น จะเปลี่ยนไปใช้ยาอะไรต่อ</t>
        </is>
      </c>
      <c r="C185" s="18" t="inlineStr"/>
      <c r="D185" s="18" t="inlineStr">
        <is>
          <t>Clobetasol propionate 0.05% cream</t>
        </is>
      </c>
      <c r="E185" s="18" t="inlineStr">
        <is>
          <t>Ketoconazole 2% shampoo</t>
        </is>
      </c>
      <c r="F185" s="18" t="inlineStr">
        <is>
          <t>Benzoyl peroxide 2.5% gel</t>
        </is>
      </c>
      <c r="G185" s="18" t="inlineStr">
        <is>
          <t>Acyclovir 5% cream</t>
        </is>
      </c>
      <c r="H185" s="18" t="inlineStr">
        <is>
          <t>Silver sulfadiazine 1% cream</t>
        </is>
      </c>
      <c r="I185" s="15" t="inlineStr">
        <is>
          <t>1</t>
        </is>
      </c>
      <c r="J185" s="18"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ค.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18" t="inlineStr"/>
      <c r="L185" s="18" t="inlineStr">
        <is>
          <t>Superficial fungal</t>
        </is>
      </c>
      <c r="M185" s="18" t="inlineStr">
        <is>
          <t>Clinic</t>
        </is>
      </c>
      <c r="N185" s="18" t="inlineStr">
        <is>
          <t>ข้อ 6 (PLE_CC1_Key_Rx20_UBU.md)</t>
        </is>
      </c>
      <c r="O185" s="18" t="inlineStr">
        <is>
          <t>Mock</t>
        </is>
      </c>
      <c r="P185" s="18" t="inlineStr">
        <is>
          <t>Mock Rx20 UBU</t>
        </is>
      </c>
    </row>
    <row r="186">
      <c r="A186" s="15" t="inlineStr">
        <is>
          <t>184</t>
        </is>
      </c>
      <c r="B186" s="18" t="inlineStr">
        <is>
          <t>กรณีศึกษาที่ 10 Psoriasis ผื่นเป็นขุยสีขาว ขุดแล้วเจอจุดเลือดออก (Auspitz sign)</t>
        </is>
      </c>
      <c r="C186" s="18" t="inlineStr"/>
      <c r="D186" s="18" t="inlineStr">
        <is>
          <t>Acyclovir 5% cream</t>
        </is>
      </c>
      <c r="E186" s="18" t="inlineStr">
        <is>
          <t>Silver sulfadiazine 1% cream</t>
        </is>
      </c>
      <c r="F186" s="18" t="inlineStr">
        <is>
          <t>Cetirizine 10 mg OD</t>
        </is>
      </c>
      <c r="G186" s="18" t="inlineStr">
        <is>
          <t>Isotretinoin 10 mg OD</t>
        </is>
      </c>
      <c r="H186" s="18" t="inlineStr">
        <is>
          <t>Terbinafine 1% cream</t>
        </is>
      </c>
      <c r="I186" s="15" t="inlineStr">
        <is>
          <t>1</t>
        </is>
      </c>
      <c r="J186" s="18"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Eczema &amp; Dermatitis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Eczema &amp; Dermatitis เนื่องจากกลไกการออกฤทธิ์, efficacy หรือข้อบ่งใช้ไม่ตรงกับโจทย์ที่กำหนด
• ข้อ จ. (Terbinafine 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6" s="18" t="inlineStr"/>
      <c r="L186" s="18" t="inlineStr">
        <is>
          <t>Eczema &amp; Dermatitis</t>
        </is>
      </c>
      <c r="M186" s="18" t="inlineStr">
        <is>
          <t>Clinic</t>
        </is>
      </c>
      <c r="N186" s="18" t="inlineStr">
        <is>
          <t>ข้อ 92 (PLE_CC1_Key_Rx20_UBU.md)</t>
        </is>
      </c>
      <c r="O186" s="18" t="inlineStr">
        <is>
          <t>Mock</t>
        </is>
      </c>
      <c r="P186" s="18" t="inlineStr">
        <is>
          <t>Mock Rx20 UBU</t>
        </is>
      </c>
    </row>
    <row r="187">
      <c r="A187" s="15" t="inlineStr">
        <is>
          <t>185</t>
        </is>
      </c>
      <c r="B187" s="18" t="inlineStr">
        <is>
          <t>Ketoconazole shampoo</t>
        </is>
      </c>
      <c r="C187" s="18" t="inlineStr"/>
      <c r="D187" s="18" t="inlineStr">
        <is>
          <t>Isotretinoin 10 mg OD</t>
        </is>
      </c>
      <c r="E187" s="18" t="inlineStr">
        <is>
          <t>Terbinafine 1% cream</t>
        </is>
      </c>
      <c r="F187" s="18" t="inlineStr">
        <is>
          <t>Adapalene 0.1% gel</t>
        </is>
      </c>
      <c r="G187" s="18" t="inlineStr">
        <is>
          <t>Mupirocin 2% ointment</t>
        </is>
      </c>
      <c r="H187" s="18" t="inlineStr">
        <is>
          <t>Betamethasone dipropionate 0.05% cream</t>
        </is>
      </c>
      <c r="I187" s="15" t="inlineStr">
        <is>
          <t>1</t>
        </is>
      </c>
      <c r="J187" s="18"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18" t="inlineStr"/>
      <c r="L187" s="18" t="inlineStr">
        <is>
          <t>Superficial fungal</t>
        </is>
      </c>
      <c r="M187" s="18" t="inlineStr">
        <is>
          <t>Clinic</t>
        </is>
      </c>
      <c r="N187" s="18" t="inlineStr">
        <is>
          <t>ข้อ 4 (PLE_CC1_Key_Rx20_UBU.md)</t>
        </is>
      </c>
      <c r="O187" s="18" t="inlineStr">
        <is>
          <t>Mock</t>
        </is>
      </c>
      <c r="P187" s="18" t="inlineStr">
        <is>
          <t>Mock Rx20 UBU</t>
        </is>
      </c>
    </row>
    <row r="188">
      <c r="A188" s="15" t="inlineStr">
        <is>
          <t>186</t>
        </is>
      </c>
      <c r="B188" s="18" t="inlineStr">
        <is>
          <t>กลไกยา topical steroid</t>
        </is>
      </c>
      <c r="C188" s="18" t="inlineStr"/>
      <c r="D188" s="18" t="inlineStr">
        <is>
          <t>Mupirocin 2% ointment</t>
        </is>
      </c>
      <c r="E188" s="18" t="inlineStr">
        <is>
          <t>Betamethasone dipropionate 0.05% cream</t>
        </is>
      </c>
      <c r="F188" s="18" t="inlineStr">
        <is>
          <t>Clotrimazole 1% cream</t>
        </is>
      </c>
      <c r="G188" s="18" t="inlineStr">
        <is>
          <t>Hydrocortisone 1% cream</t>
        </is>
      </c>
      <c r="H188" s="18" t="inlineStr">
        <is>
          <t>Triamcinolone acetonide 0.1% cream</t>
        </is>
      </c>
      <c r="I188" s="15" t="inlineStr">
        <is>
          <t>1</t>
        </is>
      </c>
      <c r="J188" s="18"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Eczema &amp; Dermatitis เนื่องจากกลไกการออกฤทธิ์, efficacy หรือข้อบ่งใช้ไม่ตรงกับโจทย์ที่กำหนด
• ข้อ ค. (Clotrimazole 1% cream): ข้อนี้ไม่ใช่คำตอบที่ถูกต้องสำหรับภาวะ Eczema &amp; Dermatitis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18" t="inlineStr"/>
      <c r="L188" s="18" t="inlineStr">
        <is>
          <t>Eczema &amp; Dermatitis</t>
        </is>
      </c>
      <c r="M188" s="18" t="inlineStr">
        <is>
          <t>Clinic</t>
        </is>
      </c>
      <c r="N188" s="18" t="inlineStr">
        <is>
          <t>ข้อ 97 (PLE_CC1_Key_Rx20_UBU.md)</t>
        </is>
      </c>
      <c r="O188" s="18" t="inlineStr">
        <is>
          <t>Mock</t>
        </is>
      </c>
      <c r="P188" s="18" t="inlineStr">
        <is>
          <t>Mock Rx20 UBU</t>
        </is>
      </c>
    </row>
    <row r="189">
      <c r="A189" s="15" t="inlineStr">
        <is>
          <t>187</t>
        </is>
      </c>
      <c r="B189" s="18" t="inlineStr">
        <is>
          <t>สำนักงานคณะกรรมการสุขภาพแห่งชาติ (สช.) กรณีศึกษาที่ 6 ACNE -..0</t>
        </is>
      </c>
      <c r="C189" s="18" t="inlineStr"/>
      <c r="D189" s="18" t="inlineStr">
        <is>
          <t>Hydrocortisone 1% cream</t>
        </is>
      </c>
      <c r="E189" s="18" t="inlineStr">
        <is>
          <t>Triamcinolone acetonide 0.1% cream</t>
        </is>
      </c>
      <c r="F189" s="18" t="inlineStr">
        <is>
          <t>Clobetasol propionate 0.05% cream</t>
        </is>
      </c>
      <c r="G189" s="18" t="inlineStr">
        <is>
          <t>Ketoconazole 2% shampoo</t>
        </is>
      </c>
      <c r="H189" s="18" t="inlineStr">
        <is>
          <t>Benzoyl peroxide 2.5% gel</t>
        </is>
      </c>
      <c r="I189" s="15" t="inlineStr">
        <is>
          <t>1</t>
        </is>
      </c>
      <c r="J189" s="18"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ค. (Clobetasol propionate 0.05% cream): ข้อนี้ไม่ใช่คำตอบที่ถูกต้องสำหรับภาวะ Acne เนื่องจากกลไกการออกฤทธิ์, efficacy หรือข้อบ่งใช้ไม่ตรงกับโจทย์ที่กำหนด
• ข้อ ง. (Ketoconazole 2% shampoo): ข้อนี้ไม่ใช่คำตอบที่ถูกต้องสำหรับภาวะ Acne เนื่องจากกลไกการออกฤทธิ์, efficacy หรือข้อบ่งใช้ไม่ตรงกับโจทย์ที่กำหนด
• ข้อ จ. (Benzoyl peroxide 2.5%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18" t="inlineStr"/>
      <c r="L189" s="18" t="inlineStr">
        <is>
          <t>Acne</t>
        </is>
      </c>
      <c r="M189" s="18" t="inlineStr">
        <is>
          <t>Clinic</t>
        </is>
      </c>
      <c r="N189" s="18" t="inlineStr">
        <is>
          <t>ข้อ 5 (PLE_CC1_Key_Rx20_UBU.md)</t>
        </is>
      </c>
      <c r="O189" s="18" t="inlineStr">
        <is>
          <t>Mock</t>
        </is>
      </c>
      <c r="P189" s="18" t="inlineStr">
        <is>
          <t>Mock Rx20 UBU</t>
        </is>
      </c>
    </row>
    <row r="190">
      <c r="A190" s="15" t="inlineStr">
        <is>
          <t>188</t>
        </is>
      </c>
      <c r="B190" s="18"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18" t="inlineStr"/>
      <c r="D190" s="18" t="inlineStr">
        <is>
          <t>Ketoconazole 2% shampoo</t>
        </is>
      </c>
      <c r="E190" s="18" t="inlineStr">
        <is>
          <t>Benzoyl peroxide 2.5% gel</t>
        </is>
      </c>
      <c r="F190" s="18" t="inlineStr">
        <is>
          <t>Acyclovir 5% cream</t>
        </is>
      </c>
      <c r="G190" s="18" t="inlineStr">
        <is>
          <t>Silver sulfadiazine 1% cream</t>
        </is>
      </c>
      <c r="H190" s="18" t="inlineStr">
        <is>
          <t>Cetirizine 10 mg OD</t>
        </is>
      </c>
      <c r="I190" s="15" t="inlineStr">
        <is>
          <t>1</t>
        </is>
      </c>
      <c r="J190" s="18"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Acne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Acne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18" t="inlineStr"/>
      <c r="L190" s="18" t="inlineStr">
        <is>
          <t>Acne</t>
        </is>
      </c>
      <c r="M190" s="18" t="inlineStr">
        <is>
          <t>Clinic</t>
        </is>
      </c>
      <c r="N190" s="18" t="inlineStr">
        <is>
          <t>ข้อ 5 (PLE_CC1_Key_Rx20_UBU.md)</t>
        </is>
      </c>
      <c r="O190" s="18" t="inlineStr">
        <is>
          <t>Mock</t>
        </is>
      </c>
      <c r="P190" s="18" t="inlineStr">
        <is>
          <t>Mock Rx20 UBU</t>
        </is>
      </c>
    </row>
    <row r="191">
      <c r="A191" s="15" t="inlineStr">
        <is>
          <t>189</t>
        </is>
      </c>
      <c r="B191" s="18" t="inlineStr">
        <is>
          <t>เชื้อราในช่องปาก -</t>
        </is>
      </c>
      <c r="C191" s="18" t="inlineStr"/>
      <c r="D191" s="18" t="inlineStr">
        <is>
          <t>Silver sulfadiazine 1% cream</t>
        </is>
      </c>
      <c r="E191" s="18" t="inlineStr">
        <is>
          <t>Cetirizine 10 mg OD</t>
        </is>
      </c>
      <c r="F191" s="18" t="inlineStr">
        <is>
          <t>Isotretinoin 10 mg OD</t>
        </is>
      </c>
      <c r="G191" s="18" t="inlineStr">
        <is>
          <t>Terbinafine 1% cream</t>
        </is>
      </c>
      <c r="H191" s="18" t="inlineStr">
        <is>
          <t>Adapalene 0.1% gel</t>
        </is>
      </c>
      <c r="I191" s="15" t="inlineStr">
        <is>
          <t>1</t>
        </is>
      </c>
      <c r="J191" s="18"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ง.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จ. (Adapalene 0.1%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18" t="inlineStr"/>
      <c r="L191" s="18" t="inlineStr">
        <is>
          <t>Superficial fungal</t>
        </is>
      </c>
      <c r="M191" s="18" t="inlineStr">
        <is>
          <t>Clinic</t>
        </is>
      </c>
      <c r="N191" s="18" t="inlineStr">
        <is>
          <t>ข้อ 2 (PLE_CC1_Key_Rx20_UBU.md)</t>
        </is>
      </c>
      <c r="O191" s="18" t="inlineStr">
        <is>
          <t>Mock</t>
        </is>
      </c>
      <c r="P191" s="18" t="inlineStr">
        <is>
          <t>Mock Rx20 UBU</t>
        </is>
      </c>
    </row>
    <row r="192">
      <c r="A192" s="15" t="inlineStr">
        <is>
          <t>190</t>
        </is>
      </c>
      <c r="B192" s="18" t="inlineStr">
        <is>
          <t>ยาในข้อใดไม่สามารถนำมาใช้รักษาโรคกลากได้</t>
        </is>
      </c>
      <c r="C192" s="18" t="inlineStr"/>
      <c r="D192" s="18" t="inlineStr">
        <is>
          <t>Terbinafine 1% cream</t>
        </is>
      </c>
      <c r="E192" s="18" t="inlineStr">
        <is>
          <t>Adapalene 0.1% gel</t>
        </is>
      </c>
      <c r="F192" s="18" t="inlineStr">
        <is>
          <t>Mupirocin 2% ointment</t>
        </is>
      </c>
      <c r="G192" s="18" t="inlineStr">
        <is>
          <t>Betamethasone dipropionate 0.05% cream</t>
        </is>
      </c>
      <c r="H192" s="18" t="inlineStr">
        <is>
          <t>Clotrimazole 1% cream</t>
        </is>
      </c>
      <c r="I192" s="15" t="inlineStr">
        <is>
          <t>1</t>
        </is>
      </c>
      <c r="J192" s="18"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18" t="inlineStr"/>
      <c r="L192" s="18" t="inlineStr">
        <is>
          <t>Superficial fungal</t>
        </is>
      </c>
      <c r="M192" s="18" t="inlineStr">
        <is>
          <t>Clinic</t>
        </is>
      </c>
      <c r="N192" s="18" t="inlineStr">
        <is>
          <t>ข้อ 54 (PLE_CC1_Key_Rx20_UBU.md)</t>
        </is>
      </c>
      <c r="O192" s="18" t="inlineStr">
        <is>
          <t>Mock</t>
        </is>
      </c>
      <c r="P192" s="18" t="inlineStr">
        <is>
          <t>Mock Rx20 UBU</t>
        </is>
      </c>
    </row>
    <row r="193">
      <c r="A193" s="15" t="inlineStr">
        <is>
          <t>191</t>
        </is>
      </c>
      <c r="B193" s="18" t="inlineStr">
        <is>
          <t>ถ้าหากเพื่อนเป็นเกลื้อนยาในข้อใดใช้ไม่ได้ผล</t>
        </is>
      </c>
      <c r="C193" s="18" t="inlineStr"/>
      <c r="D193" s="18" t="inlineStr">
        <is>
          <t>Betamethasone dipropionate 0.05% cream</t>
        </is>
      </c>
      <c r="E193" s="18" t="inlineStr">
        <is>
          <t>Clotrimazole 1% cream</t>
        </is>
      </c>
      <c r="F193" s="18" t="inlineStr">
        <is>
          <t>Hydrocortisone 1% cream</t>
        </is>
      </c>
      <c r="G193" s="18" t="inlineStr">
        <is>
          <t>Triamcinolone acetonide 0.1% cream</t>
        </is>
      </c>
      <c r="H193" s="18" t="inlineStr">
        <is>
          <t>Clobetasol propionate 0.05% cream</t>
        </is>
      </c>
      <c r="I193" s="15" t="inlineStr">
        <is>
          <t>1</t>
        </is>
      </c>
      <c r="J193" s="18"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18" t="inlineStr"/>
      <c r="L193" s="18" t="inlineStr">
        <is>
          <t>Superficial fungal</t>
        </is>
      </c>
      <c r="M193" s="18" t="inlineStr">
        <is>
          <t>Clinic</t>
        </is>
      </c>
      <c r="N193" s="18" t="inlineStr">
        <is>
          <t>ข้อ 55 (PLE_CC1_Key_Rx20_UBU.md)</t>
        </is>
      </c>
      <c r="O193" s="18" t="inlineStr">
        <is>
          <t>Mock</t>
        </is>
      </c>
      <c r="P193" s="18" t="inlineStr">
        <is>
          <t>Mock Rx20 UBU</t>
        </is>
      </c>
    </row>
    <row r="194">
      <c r="A194" s="15" t="inlineStr">
        <is>
          <t>192</t>
        </is>
      </c>
      <c r="B194" s="18" t="inlineStr">
        <is>
          <t>ชั้นผิวหนังชั้นใดที่เป็น Main barrier ในการให้ตัวยาซึมผ่าน</t>
        </is>
      </c>
      <c r="C194" s="18" t="inlineStr"/>
      <c r="D194" s="18" t="inlineStr">
        <is>
          <t>Triamcinolone acetonide 0.1% cream</t>
        </is>
      </c>
      <c r="E194" s="18" t="inlineStr">
        <is>
          <t>Clobetasol propionate 0.05% cream</t>
        </is>
      </c>
      <c r="F194" s="18" t="inlineStr">
        <is>
          <t>Ketoconazole 2% shampoo</t>
        </is>
      </c>
      <c r="G194" s="18" t="inlineStr">
        <is>
          <t>Benzoyl peroxide 2.5% gel</t>
        </is>
      </c>
      <c r="H194" s="18" t="inlineStr">
        <is>
          <t>Acyclovir 5% cream</t>
        </is>
      </c>
      <c r="I194" s="15" t="inlineStr">
        <is>
          <t>1</t>
        </is>
      </c>
      <c r="J194" s="1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18" t="inlineStr"/>
      <c r="L194" s="18" t="inlineStr">
        <is>
          <t>Superficial fungal</t>
        </is>
      </c>
      <c r="M194" s="18" t="inlineStr">
        <is>
          <t>Clinic</t>
        </is>
      </c>
      <c r="N194" s="18" t="inlineStr">
        <is>
          <t>ข้อ 67 (PLE_CC1_Key_Rx20_UBU.md)</t>
        </is>
      </c>
      <c r="O194" s="18" t="inlineStr">
        <is>
          <t>Mock</t>
        </is>
      </c>
      <c r="P194" s="18" t="inlineStr">
        <is>
          <t>Mock Rx20 UBU</t>
        </is>
      </c>
    </row>
    <row r="195">
      <c r="A195" s="15" t="inlineStr">
        <is>
          <t>193</t>
        </is>
      </c>
      <c r="B195" s="18" t="inlineStr">
        <is>
          <t>ชั้นผิวหนังชั้นใดที่มีผลต่อการขัดขวางการดูดซึมยามากที่สุด (major barrier)</t>
        </is>
      </c>
      <c r="C195" s="18" t="inlineStr"/>
      <c r="D195" s="18" t="inlineStr">
        <is>
          <t>Benzoyl peroxide 2.5% gel</t>
        </is>
      </c>
      <c r="E195" s="18" t="inlineStr">
        <is>
          <t>Acyclovir 5% cream</t>
        </is>
      </c>
      <c r="F195" s="18" t="inlineStr">
        <is>
          <t>Silver sulfadiazine 1% cream</t>
        </is>
      </c>
      <c r="G195" s="18" t="inlineStr">
        <is>
          <t>Cetirizine 10 mg OD</t>
        </is>
      </c>
      <c r="H195" s="18" t="inlineStr">
        <is>
          <t>Isotretinoin 10 mg OD</t>
        </is>
      </c>
      <c r="I195" s="15" t="inlineStr">
        <is>
          <t>1</t>
        </is>
      </c>
      <c r="J195" s="18"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18" t="inlineStr"/>
      <c r="L195" s="18" t="inlineStr">
        <is>
          <t>Superficial fungal</t>
        </is>
      </c>
      <c r="M195" s="18" t="inlineStr">
        <is>
          <t>Clinic</t>
        </is>
      </c>
      <c r="N195" s="18" t="inlineStr">
        <is>
          <t>ข้อ 84 (PLE_CC1_Key_Rx20_UBU.md)</t>
        </is>
      </c>
      <c r="O195" s="18" t="inlineStr">
        <is>
          <t>Mock</t>
        </is>
      </c>
      <c r="P195" s="18" t="inlineStr">
        <is>
          <t>Mock Rx20 UBU</t>
        </is>
      </c>
    </row>
    <row r="196">
      <c r="A196" s="15" t="inlineStr">
        <is>
          <t>194</t>
        </is>
      </c>
      <c r="B196" s="18" t="inlineStr">
        <is>
          <t>การปฐมพยาบาลเบื้องต$นที่เหมาะสมที่สุดสำหรับผู$ป&amp;วยรายนี้คือข$อใด</t>
        </is>
      </c>
      <c r="C196" s="18" t="inlineStr"/>
      <c r="D196" s="18" t="inlineStr">
        <is>
          <t>ใช$ยาสีฟ[นทา</t>
        </is>
      </c>
      <c r="E196" s="18" t="inlineStr">
        <is>
          <t>ราดด$วยน้ำมันมะกอก</t>
        </is>
      </c>
      <c r="F196" s="18" t="inlineStr">
        <is>
          <t>ล$างด$วยน้ำเย็น</t>
        </is>
      </c>
      <c r="G196" s="18" t="inlineStr">
        <is>
          <t>ล$างด$วยนำเย็นสลับกับน้ำอุGน</t>
        </is>
      </c>
      <c r="H196" s="18" t="inlineStr">
        <is>
          <t>ล$างด$วยน้ำอุGน</t>
        </is>
      </c>
      <c r="I196" s="15" t="inlineStr">
        <is>
          <t>5</t>
        </is>
      </c>
      <c r="J196" s="18"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ข้อนี้ไม่ใช่คำตอบที่ถูกต้องสำหรับภาวะ Superficial fungal เนื่องจากกลไกการออกฤทธิ์, efficacy หรือข้อบ่งใช้ไม่ตรงกับโจทย์ที่กำหนด
• ข้อ ข. (ราดด$วยน้ำมันมะกอก): ข้อนี้ไม่ใช่คำตอบที่ถูกต้องสำหรับภาวะ Superficial fungal เนื่องจากกลไกการออกฤทธิ์, efficacy หรือข้อบ่งใช้ไม่ตรงกับโจทย์ที่กำหนด
• ข้อ ค. (ล$างด$วยน้ำเย็น): ข้อนี้ไม่ใช่คำตอบที่ถูกต้องสำหรับภาวะ Superficial fungal เนื่องจากกลไกการออกฤทธิ์, efficacy หรือข้อบ่งใช้ไม่ตรงกับโจทย์ที่กำหนด
• ข้อ ง. (ล$างด$วยนำเย็นสลับกับน้ำอุGน):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18" t="inlineStr"/>
      <c r="L196" s="18" t="inlineStr">
        <is>
          <t>Superficial fungal</t>
        </is>
      </c>
      <c r="M196" s="18" t="inlineStr">
        <is>
          <t>Clinic</t>
        </is>
      </c>
      <c r="N196" s="18" t="inlineStr">
        <is>
          <t>ข้อ 1 (PLE_CC1_Key_Rx20_UBU.md)</t>
        </is>
      </c>
      <c r="O196" s="18" t="inlineStr">
        <is>
          <t>Mock</t>
        </is>
      </c>
      <c r="P196" s="18" t="inlineStr">
        <is>
          <t>Mock Rx20 UBU</t>
        </is>
      </c>
    </row>
    <row r="197">
      <c r="A197" s="15" t="inlineStr">
        <is>
          <t>195</t>
        </is>
      </c>
      <c r="B197" s="18" t="inlineStr">
        <is>
          <t>ตGอมาตุGมน้ำแตก ผู$ป&amp;วยควรทำความสะอาดแผลด$วยสารตGอไปนี้ ยกเว$นข$อใด</t>
        </is>
      </c>
      <c r="C197" s="18" t="inlineStr"/>
      <c r="D197" s="18" t="inlineStr">
        <is>
          <t>Rubbing alcohol</t>
        </is>
      </c>
      <c r="E197" s="18" t="inlineStr">
        <is>
          <t>Chlorhexidine</t>
        </is>
      </c>
      <c r="F197" s="18" t="inlineStr">
        <is>
          <t>Irrigated normal saline solution</t>
        </is>
      </c>
      <c r="G197" s="18" t="inlineStr">
        <is>
          <t>Acetic acid</t>
        </is>
      </c>
      <c r="H197" s="18" t="inlineStr">
        <is>
          <t>Povidone iodine</t>
        </is>
      </c>
      <c r="I197" s="15" t="inlineStr">
        <is>
          <t>1</t>
        </is>
      </c>
      <c r="J197" s="18"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ข้อนี้ไม่ใช่คำตอบที่ถูกต้องสำหรับภาวะ Wound เนื่องจากกลไกการออกฤทธิ์, efficacy หรือข้อบ่งใช้ไม่ตรงกับโจทย์ที่กำหนด
• ข้อ ค. (Irrigated normal saline solution): ข้อนี้ไม่ใช่คำตอบที่ถูกต้องสำหรับภาวะ Wound เนื่องจากกลไกการออกฤทธิ์, efficacy หรือข้อบ่งใช้ไม่ตรงกับโจทย์ที่กำหนด
• ข้อ ง. (Acetic acid): ข้อนี้ไม่ใช่คำตอบที่ถูกต้องสำหรับภาวะ Wound เนื่องจากกลไกการออกฤทธิ์, efficacy หรือข้อบ่งใช้ไม่ตรงกับโจทย์ที่กำหนด
• ข้อ จ. (Povidone iodine): เป็น Polyvinylpyrrolidone (PVP) ใช้เป็น Binder สำหรับ wet granulation ละลายได้ทั้งในน้ำและแอลกอฮอล์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18" t="inlineStr"/>
      <c r="L197" s="18" t="inlineStr">
        <is>
          <t>Wound</t>
        </is>
      </c>
      <c r="M197" s="18" t="inlineStr">
        <is>
          <t>Clinic</t>
        </is>
      </c>
      <c r="N197" s="18" t="inlineStr">
        <is>
          <t>ข้อ 3 (PLE_CC1_Key_Rx20_UBU.md)</t>
        </is>
      </c>
      <c r="O197" s="18" t="inlineStr">
        <is>
          <t>Mock</t>
        </is>
      </c>
      <c r="P197" s="18" t="inlineStr">
        <is>
          <t>Mock Rx20 UBU</t>
        </is>
      </c>
    </row>
    <row r="198">
      <c r="A198" s="15" t="inlineStr">
        <is>
          <t>196</t>
        </is>
      </c>
      <c r="B198" s="18" t="inlineStr">
        <is>
          <t>ตGอมาพบวGา ผู$ป&amp;วยมีตุGมหนองเกิดขึ้นบริเวณแผล เชื้อสาเหตุที่พบได$บGอยที่สุดคือข$อใด</t>
        </is>
      </c>
      <c r="C198" s="18" t="inlineStr"/>
      <c r="D198" s="18" t="inlineStr">
        <is>
          <t>Streptococcus pyogenes</t>
        </is>
      </c>
      <c r="E198" s="18" t="inlineStr">
        <is>
          <t>Streptococcus pneumoniae</t>
        </is>
      </c>
      <c r="F198" s="18" t="inlineStr">
        <is>
          <t>Staphylococcus aureus</t>
        </is>
      </c>
      <c r="G198" s="18" t="inlineStr">
        <is>
          <t>Staphylococcus epidemidis</t>
        </is>
      </c>
      <c r="H198" s="18" t="inlineStr">
        <is>
          <t>Escherichia coli</t>
        </is>
      </c>
      <c r="I198" s="15" t="inlineStr">
        <is>
          <t>3</t>
        </is>
      </c>
      <c r="J198" s="18"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ข้อนี้ไม่ใช่คำตอบที่ถูกต้องสำหรับภาวะ Wound เนื่องจากกลไกการออกฤทธิ์, efficacy หรือข้อบ่งใช้ไม่ตรงกับโจทย์ที่กำหนด
• ข้อ ข. (Streptococcus pneumoniae): ข้อนี้ไม่ใช่คำตอบที่ถูกต้องสำหรับภาวะ Wound เนื่องจากกลไกการออกฤทธิ์, efficacy หรือข้อบ่งใช้ไม่ตรงกับโจทย์ที่กำหนด
• ข้อ ง. (Staphylococcus epidemidis): ข้อนี้ไม่ใช่คำตอบที่ถูกต้องสำหรับภาวะ Wound เนื่องจากกลไกการออกฤทธิ์, efficacy หรือข้อบ่งใช้ไม่ตรงกับโจทย์ที่กำหนด
• ข้อ จ. (Escherichia coli):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18" t="inlineStr"/>
      <c r="L198" s="18" t="inlineStr">
        <is>
          <t>Wound</t>
        </is>
      </c>
      <c r="M198" s="18" t="inlineStr">
        <is>
          <t>Clinic</t>
        </is>
      </c>
      <c r="N198" s="18" t="inlineStr">
        <is>
          <t>ข้อ 5 (PLE_CC1_Key_Rx20_UBU.md)</t>
        </is>
      </c>
      <c r="O198" s="18" t="inlineStr">
        <is>
          <t>Mock</t>
        </is>
      </c>
      <c r="P198" s="18" t="inlineStr">
        <is>
          <t>Mock Rx20 UBU</t>
        </is>
      </c>
    </row>
    <row r="199">
      <c r="A199" s="15" t="inlineStr">
        <is>
          <t>197</t>
        </is>
      </c>
      <c r="B199" s="18" t="inlineStr">
        <is>
          <t>ผู$ป&amp;วยควรได$รับยาปฏิชีวนะชนิดรับประทานตามข$อใด</t>
        </is>
      </c>
      <c r="C199" s="18" t="inlineStr"/>
      <c r="D199" s="18" t="inlineStr">
        <is>
          <t>Doxycycline</t>
        </is>
      </c>
      <c r="E199" s="18" t="inlineStr">
        <is>
          <t>Chloramphenicol</t>
        </is>
      </c>
      <c r="F199" s="18" t="inlineStr">
        <is>
          <t>Sulfacillin 250mg podlD ย 2 yน น</t>
        </is>
      </c>
      <c r="G199" s="18" t="inlineStr">
        <is>
          <t>Dicloxacillin</t>
        </is>
      </c>
      <c r="H199" s="18" t="inlineStr">
        <is>
          <t>Clindamycin 150 →ออmg po QlDEE 2 yน x.</t>
        </is>
      </c>
      <c r="I199" s="15" t="inlineStr">
        <is>
          <t>1</t>
        </is>
      </c>
      <c r="J199" s="18"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ข้อนี้ไม่ใช่คำตอบที่ถูกต้องสำหรับภาวะ Superficial fungal เนื่องจากกลไกการออกฤทธิ์, efficacy หรือข้อบ่งใช้ไม่ตรงกับโจทย์ที่กำหนด
• ข้อ ค. (Sulfacillin 250mg podlD ย 2 yน น): ข้อนี้ไม่ใช่คำตอบที่ถูกต้องสำหรับภาวะ Superficial fungal เนื่องจากกลไกการออกฤทธิ์, efficacy หรือข้อบ่งใช้ไม่ตรงกับโจทย์ที่กำหนด
• ข้อ ง. (Dicloxacillin): เป็น penicillinase-resistant penicillin เป็น drug of choice สำหรับ Methicillin-Susceptible Staphylococcus aureus (MSSA) infections ต้องรับประทานตอนท้องว่าง
• ข้อ จ. (Clindamycin 150 →ออmg po QlDEE 2 yน x.):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18" t="inlineStr"/>
      <c r="L199" s="18" t="inlineStr">
        <is>
          <t>Superficial fungal</t>
        </is>
      </c>
      <c r="M199" s="18" t="inlineStr">
        <is>
          <t>Clinic</t>
        </is>
      </c>
      <c r="N199" s="18" t="inlineStr">
        <is>
          <t>ข้อ 6 (PLE_CC1_Key_Rx20_UBU.md)</t>
        </is>
      </c>
      <c r="O199" s="18" t="inlineStr">
        <is>
          <t>Mock</t>
        </is>
      </c>
      <c r="P199" s="18" t="inlineStr">
        <is>
          <t>Mock Rx20 UBU</t>
        </is>
      </c>
    </row>
    <row r="200">
      <c r="A200" s="15" t="inlineStr">
        <is>
          <t>198</t>
        </is>
      </c>
      <c r="B200" s="18"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18" t="inlineStr"/>
      <c r="D200" s="18" t="inlineStr">
        <is>
          <t>Bacitracin</t>
        </is>
      </c>
      <c r="E200" s="18" t="inlineStr">
        <is>
          <t>Polymyxin</t>
        </is>
      </c>
      <c r="F200" s="18" t="inlineStr">
        <is>
          <t>Neomycin</t>
        </is>
      </c>
      <c r="G200" s="18" t="inlineStr">
        <is>
          <t>Mupirocin</t>
        </is>
      </c>
      <c r="H200" s="18" t="inlineStr">
        <is>
          <t>Chloramphenicol</t>
        </is>
      </c>
      <c r="I200" s="15" t="inlineStr">
        <is>
          <t>4</t>
        </is>
      </c>
      <c r="J200" s="18"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ข้อนี้ไม่ใช่คำตอบที่ถูกต้องสำหรับภาวะ Wound เนื่องจากกลไกการออกฤทธิ์, efficacy หรือข้อบ่งใช้ไม่ตรงกับโจทย์ที่กำหนด
• ข้อ ข. (Polymyxin): ข้อนี้ไม่ใช่คำตอบที่ถูกต้องสำหรับภาวะ Wound เนื่องจากกลไกการออกฤทธิ์, efficacy หรือข้อบ่งใช้ไม่ตรงกับโจทย์ที่กำหนด
• ข้อ ค. (Neomycin): ข้อนี้ไม่ใช่คำตอบที่ถูกต้องสำหรับภาวะ Wound เนื่องจากกลไกการออกฤทธิ์, efficacy หรือข้อบ่งใช้ไม่ตรงกับโจทย์ที่กำหนด
• ข้อ จ. (Chloramphenicol):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18" t="inlineStr"/>
      <c r="L200" s="18" t="inlineStr">
        <is>
          <t>Wound</t>
        </is>
      </c>
      <c r="M200" s="18" t="inlineStr">
        <is>
          <t>Clinic</t>
        </is>
      </c>
      <c r="N200" s="18" t="inlineStr">
        <is>
          <t>ข้อ 7 (PLE_CC1_Key_Rx20_UBU.md)</t>
        </is>
      </c>
      <c r="O200" s="18" t="inlineStr">
        <is>
          <t>Mock</t>
        </is>
      </c>
      <c r="P200" s="18" t="inlineStr">
        <is>
          <t>Mock Rx20 UBU</t>
        </is>
      </c>
    </row>
    <row r="201">
      <c r="A201" s="15" t="inlineStr">
        <is>
          <t>199</t>
        </is>
      </c>
      <c r="B201" s="18"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18" t="inlineStr"/>
      <c r="D201" s="18" t="inlineStr">
        <is>
          <t>Isotretinoin 10 mg OD</t>
        </is>
      </c>
      <c r="E201" s="18" t="inlineStr">
        <is>
          <t>Terbinafine 1% cream</t>
        </is>
      </c>
      <c r="F201" s="18" t="inlineStr">
        <is>
          <t>Adapalene 0.1% gel</t>
        </is>
      </c>
      <c r="G201" s="18" t="inlineStr">
        <is>
          <t>Mupirocin 2% ointment</t>
        </is>
      </c>
      <c r="H201" s="18" t="inlineStr">
        <is>
          <t>Betamethasone dipropionate 0.05% cream</t>
        </is>
      </c>
      <c r="I201" s="15" t="inlineStr">
        <is>
          <t>1</t>
        </is>
      </c>
      <c r="J201" s="18"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Urticaria &amp; Angioedema เนื่องจากกลไกการออกฤทธิ์, efficacy หรือข้อบ่งใช้ไม่ตรงกับโจทย์ที่กำหนด
• ข้อ ค. (Adapalene 0.1% gel): ข้อนี้ไม่ใช่คำตอบที่ถูกต้องสำหรับภาวะ Urticaria &amp; Angioedema เนื่องจากกลไกการออกฤทธิ์, efficacy หรือข้อบ่งใช้ไม่ตรงกับโจทย์ที่กำหนด
• ข้อ ง. (Mupirocin 2% ointment): ข้อนี้ไม่ใช่คำตอบที่ถูกต้องสำหรับภาวะ Urticaria &amp; Angioedema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Urticaria &amp; Angioedema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18" t="inlineStr"/>
      <c r="L201" s="18" t="inlineStr">
        <is>
          <t>Urticaria &amp; Angioedema</t>
        </is>
      </c>
      <c r="M201" s="18" t="inlineStr">
        <is>
          <t>Clinic</t>
        </is>
      </c>
      <c r="N201" s="18" t="inlineStr">
        <is>
          <t>ข้อ 78 (PLE_CC1_Key_Rx20_UBU.md)</t>
        </is>
      </c>
      <c r="O201" s="18" t="inlineStr">
        <is>
          <t>Mock</t>
        </is>
      </c>
      <c r="P201" s="18" t="inlineStr">
        <is>
          <t>Mock Rx20 UBU</t>
        </is>
      </c>
    </row>
    <row r="202">
      <c r="A202" s="15" t="inlineStr">
        <is>
          <t>200</t>
        </is>
      </c>
      <c r="B202" s="18" t="inlineStr">
        <is>
          <t>ลักษณะสิวข$างต$นจัดอยูGในความรุนแรงระดับใด</t>
        </is>
      </c>
      <c r="C202" s="18" t="inlineStr"/>
      <c r="D202" s="18" t="inlineStr">
        <is>
          <t>Mupirocin 2% ointment</t>
        </is>
      </c>
      <c r="E202" s="18" t="inlineStr">
        <is>
          <t>Betamethasone dipropionate 0.05% cream</t>
        </is>
      </c>
      <c r="F202" s="18" t="inlineStr">
        <is>
          <t>Clotrimazole 1% cream</t>
        </is>
      </c>
      <c r="G202" s="18" t="inlineStr">
        <is>
          <t>Hydrocortisone 1% cream</t>
        </is>
      </c>
      <c r="H202" s="18" t="inlineStr">
        <is>
          <t>Triamcinolone acetonide 0.1% cream</t>
        </is>
      </c>
      <c r="I202" s="15" t="inlineStr">
        <is>
          <t>1</t>
        </is>
      </c>
      <c r="J202" s="18"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Acne เนื่องจากกลไกการออกฤทธิ์, efficacy หรือข้อบ่งใช้ไม่ตรงกับโจทย์ที่กำหนด
• ข้อ ค. (Clotrimazole 1% cream): ข้อนี้ไม่ใช่คำตอบที่ถูกต้องสำหรับภาวะ Acne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18" t="inlineStr"/>
      <c r="L202" s="18" t="inlineStr">
        <is>
          <t>Acne</t>
        </is>
      </c>
      <c r="M202" s="18" t="inlineStr">
        <is>
          <t>Clinic</t>
        </is>
      </c>
      <c r="N202" s="18" t="inlineStr">
        <is>
          <t>ข้อ 1 (PLE_CC1_Key_Rx20_UBU.md)</t>
        </is>
      </c>
      <c r="O202" s="18" t="inlineStr">
        <is>
          <t>Mock</t>
        </is>
      </c>
      <c r="P202" s="18" t="inlineStr">
        <is>
          <t>Mock Rx20 UBU</t>
        </is>
      </c>
    </row>
    <row r="203">
      <c r="A203" s="15" t="inlineStr">
        <is>
          <t>201</t>
        </is>
      </c>
      <c r="B203" s="18" t="inlineStr">
        <is>
          <t>ยาชนิดใดที่เลือกใช$รักษาเปญนอันดับแรก</t>
        </is>
      </c>
      <c r="C203" s="18" t="inlineStr"/>
      <c r="D203" s="18" t="inlineStr">
        <is>
          <t>Hydrocortisone 1% cream</t>
        </is>
      </c>
      <c r="E203" s="18" t="inlineStr">
        <is>
          <t>Triamcinolone acetonide 0.1% cream</t>
        </is>
      </c>
      <c r="F203" s="18" t="inlineStr">
        <is>
          <t>Clobetasol propionate 0.05% cream</t>
        </is>
      </c>
      <c r="G203" s="18" t="inlineStr">
        <is>
          <t>Ketoconazole 2% shampoo</t>
        </is>
      </c>
      <c r="H203" s="18" t="inlineStr">
        <is>
          <t>Benzoyl peroxide 2.5% gel</t>
        </is>
      </c>
      <c r="I203" s="15" t="inlineStr">
        <is>
          <t>1</t>
        </is>
      </c>
      <c r="J203" s="18"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ค.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18" t="inlineStr"/>
      <c r="L203" s="18" t="inlineStr">
        <is>
          <t>Superficial fungal</t>
        </is>
      </c>
      <c r="M203" s="18" t="inlineStr">
        <is>
          <t>Clinic</t>
        </is>
      </c>
      <c r="N203" s="18" t="inlineStr">
        <is>
          <t>ข้อ 2 (PLE_CC1_Key_Rx20_UBU.md)</t>
        </is>
      </c>
      <c r="O203" s="18" t="inlineStr">
        <is>
          <t>Mock</t>
        </is>
      </c>
      <c r="P203" s="18" t="inlineStr">
        <is>
          <t>Mock Rx20 UBU</t>
        </is>
      </c>
    </row>
    <row r="204">
      <c r="A204" s="15" t="inlineStr">
        <is>
          <t>202</t>
        </is>
      </c>
      <c r="B204" s="18" t="inlineStr">
        <is>
          <t>เชื้อที่เปญนสาเหตุของการเกิดสิวคือเชื้อใด</t>
        </is>
      </c>
      <c r="C204" s="18" t="inlineStr"/>
      <c r="D204" s="18" t="inlineStr">
        <is>
          <t>Ketoconazole 2% shampoo</t>
        </is>
      </c>
      <c r="E204" s="18" t="inlineStr">
        <is>
          <t>Benzoyl peroxide 2.5% gel</t>
        </is>
      </c>
      <c r="F204" s="18" t="inlineStr">
        <is>
          <t>Acyclovir 5% cream</t>
        </is>
      </c>
      <c r="G204" s="18" t="inlineStr">
        <is>
          <t>Silver sulfadiazine 1% cream</t>
        </is>
      </c>
      <c r="H204" s="18" t="inlineStr">
        <is>
          <t>Cetirizine 10 mg OD</t>
        </is>
      </c>
      <c r="I204" s="15" t="inlineStr">
        <is>
          <t>1</t>
        </is>
      </c>
      <c r="J204" s="18"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Acne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Acne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4" s="18" t="inlineStr"/>
      <c r="L204" s="18" t="inlineStr">
        <is>
          <t>Acne</t>
        </is>
      </c>
      <c r="M204" s="18" t="inlineStr">
        <is>
          <t>Clinic</t>
        </is>
      </c>
      <c r="N204" s="18" t="inlineStr">
        <is>
          <t>ข้อ 3 (PLE_CC1_Key_Rx20_UBU.md)</t>
        </is>
      </c>
      <c r="O204" s="18" t="inlineStr">
        <is>
          <t>Mock</t>
        </is>
      </c>
      <c r="P204" s="18" t="inlineStr">
        <is>
          <t>Mock Rx20 UBU</t>
        </is>
      </c>
    </row>
    <row r="205">
      <c r="A205" s="15" t="inlineStr">
        <is>
          <t>203</t>
        </is>
      </c>
      <c r="B205" s="18" t="inlineStr">
        <is>
          <t>สิวข$างต$นจัดอยูGในความรุนแรงระดับใด</t>
        </is>
      </c>
      <c r="C205" s="18" t="inlineStr"/>
      <c r="D205" s="18" t="inlineStr">
        <is>
          <t>Silver sulfadiazine 1% cream</t>
        </is>
      </c>
      <c r="E205" s="18" t="inlineStr">
        <is>
          <t>Cetirizine 10 mg OD</t>
        </is>
      </c>
      <c r="F205" s="18" t="inlineStr">
        <is>
          <t>Isotretinoin 10 mg OD</t>
        </is>
      </c>
      <c r="G205" s="18" t="inlineStr">
        <is>
          <t>Terbinafine 1% cream</t>
        </is>
      </c>
      <c r="H205" s="18" t="inlineStr">
        <is>
          <t>Adapalene 0.1% gel</t>
        </is>
      </c>
      <c r="I205" s="15" t="inlineStr">
        <is>
          <t>1</t>
        </is>
      </c>
      <c r="J205" s="18"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Acne เนื่องจากกลไกการออกฤทธิ์, efficacy หรือข้อบ่งใช้ไม่ตรงกับโจทย์ที่กำหนด
• ข้อ ง. (Terbinafine 1% cream): ข้อนี้ไม่ใช่คำตอบที่ถูกต้องสำหรับภาวะ Acne เนื่องจากกลไกการออกฤทธิ์, efficacy หรือข้อบ่งใช้ไม่ตรงกับโจทย์ที่กำหนด
• ข้อ จ. (Adapalene 0.1%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5" s="18" t="inlineStr"/>
      <c r="L205" s="18" t="inlineStr">
        <is>
          <t>Acne</t>
        </is>
      </c>
      <c r="M205" s="18" t="inlineStr">
        <is>
          <t>Clinic</t>
        </is>
      </c>
      <c r="N205" s="18" t="inlineStr">
        <is>
          <t>ข้อ 4 (PLE_CC1_Key_Rx20_UBU.md)</t>
        </is>
      </c>
      <c r="O205" s="18" t="inlineStr">
        <is>
          <t>Mock</t>
        </is>
      </c>
      <c r="P205" s="18" t="inlineStr">
        <is>
          <t>Mock Rx20 UBU</t>
        </is>
      </c>
    </row>
    <row r="206">
      <c r="A206" s="15" t="inlineStr">
        <is>
          <t>204</t>
        </is>
      </c>
      <c r="B206" s="18" t="inlineStr">
        <is>
          <t>ข$อใดไมGถูกต$องเกี่ยวกับ isotetrinoin capsule</t>
        </is>
      </c>
      <c r="C206" s="18" t="inlineStr"/>
      <c r="D206" s="18" t="inlineStr">
        <is>
          <t>Terbinafine 1% cream</t>
        </is>
      </c>
      <c r="E206" s="18" t="inlineStr">
        <is>
          <t>Adapalene 0.1% gel</t>
        </is>
      </c>
      <c r="F206" s="18" t="inlineStr">
        <is>
          <t>Mupirocin 2% ointment</t>
        </is>
      </c>
      <c r="G206" s="18" t="inlineStr">
        <is>
          <t>Betamethasone dipropionate 0.05% cream</t>
        </is>
      </c>
      <c r="H206" s="18" t="inlineStr">
        <is>
          <t>Clotrimazole 1% cream</t>
        </is>
      </c>
      <c r="I206" s="15" t="inlineStr">
        <is>
          <t>1</t>
        </is>
      </c>
      <c r="J206" s="18"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18" t="inlineStr"/>
      <c r="L206" s="18" t="inlineStr">
        <is>
          <t>Superficial fungal</t>
        </is>
      </c>
      <c r="M206" s="18" t="inlineStr">
        <is>
          <t>Clinic</t>
        </is>
      </c>
      <c r="N206" s="18" t="inlineStr">
        <is>
          <t>ข้อ 6 (PLE_CC1_Key_Rx20_UBU.md)</t>
        </is>
      </c>
      <c r="O206" s="18" t="inlineStr">
        <is>
          <t>Mock</t>
        </is>
      </c>
      <c r="P206" s="18" t="inlineStr">
        <is>
          <t>Mock Rx20 UBU</t>
        </is>
      </c>
    </row>
    <row r="207">
      <c r="A207" s="15" t="inlineStr">
        <is>
          <t>205</t>
        </is>
      </c>
      <c r="B207" s="18" t="inlineStr">
        <is>
          <t>เชื้อในข$อใดเปญนสาเหตุของแผลที่กระจกตา และทำให$ตาบอดได$</t>
        </is>
      </c>
      <c r="C207" s="18" t="inlineStr"/>
      <c r="D207" s="18" t="inlineStr">
        <is>
          <t>Betamethasone dipropionate 0.05% cream</t>
        </is>
      </c>
      <c r="E207" s="18" t="inlineStr">
        <is>
          <t>Clotrimazole 1% cream</t>
        </is>
      </c>
      <c r="F207" s="18" t="inlineStr">
        <is>
          <t>Hydrocortisone 1% cream</t>
        </is>
      </c>
      <c r="G207" s="18" t="inlineStr">
        <is>
          <t>Triamcinolone acetonide 0.1% cream</t>
        </is>
      </c>
      <c r="H207" s="18" t="inlineStr">
        <is>
          <t>Clobetasol propionate 0.05% cream</t>
        </is>
      </c>
      <c r="I207" s="15" t="inlineStr">
        <is>
          <t>1</t>
        </is>
      </c>
      <c r="J207" s="18"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Wound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Wound เนื่องจากกลไกการออกฤทธิ์, efficacy หรือข้อบ่งใช้ไม่ตรงกับโจทย์ที่กำหนด
• ข้อ จ. (Clobetasol propionate 0.05% cream):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18" t="inlineStr"/>
      <c r="L207" s="18" t="inlineStr">
        <is>
          <t>Wound</t>
        </is>
      </c>
      <c r="M207" s="18" t="inlineStr">
        <is>
          <t>Clinic</t>
        </is>
      </c>
      <c r="N207" s="18" t="inlineStr">
        <is>
          <t>ข้อ 25 (PLE_CC1_Key_Rx20_UBU.md)</t>
        </is>
      </c>
      <c r="O207" s="18" t="inlineStr">
        <is>
          <t>Mock</t>
        </is>
      </c>
      <c r="P207" s="18" t="inlineStr">
        <is>
          <t>Mock Rx20 UBU</t>
        </is>
      </c>
    </row>
    <row r="208">
      <c r="A208" s="15" t="inlineStr">
        <is>
          <t>206</t>
        </is>
      </c>
      <c r="B208" s="18" t="inlineStr">
        <is>
          <t>ได$ เพราะเปญนยาอันตราย ประกาศกระทรวงสาธารณสุข เรื่อง ยาอันตราย ข$อ ๓ ยาดังตGอไปนี้เปญนยาอันตราย… ยาจำพวกคอร_ติโคสเตอรอยด_ (Corticosteroids) ที่ได$จากธรรมชาติ หรือที่ได$จากการสังเคราะห_สำหรับใช$เฉพาะที่ “ยาสำหรับใช$เฉพาะที่” หมายความวGา ยาที่มีความมุGงหมายสำหรับใช$เฉพาะที่กับ ผิวหนัง หู ตา จมูก คอ หรือปาก</t>
        </is>
      </c>
      <c r="C208" s="18" t="inlineStr"/>
      <c r="D208" s="18" t="inlineStr">
        <is>
          <t>Triamcinolone acetonide 0.1% cream</t>
        </is>
      </c>
      <c r="E208" s="18" t="inlineStr">
        <is>
          <t>Clobetasol propionate 0.05% cream</t>
        </is>
      </c>
      <c r="F208" s="18" t="inlineStr">
        <is>
          <t>Ketoconazole 2% shampoo</t>
        </is>
      </c>
      <c r="G208" s="18" t="inlineStr">
        <is>
          <t>Benzoyl peroxide 2.5% gel</t>
        </is>
      </c>
      <c r="H208" s="18" t="inlineStr">
        <is>
          <t>Acyclovir 5% cream</t>
        </is>
      </c>
      <c r="I208" s="15" t="inlineStr">
        <is>
          <t>1</t>
        </is>
      </c>
      <c r="J208" s="1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18" t="inlineStr"/>
      <c r="L208" s="18" t="inlineStr">
        <is>
          <t>Superficial fungal</t>
        </is>
      </c>
      <c r="M208" s="18" t="inlineStr">
        <is>
          <t>Clinic</t>
        </is>
      </c>
      <c r="N208" s="18" t="inlineStr">
        <is>
          <t>ข้อ 3 (PLE_CC1_Key_Rx20_UBU.md)</t>
        </is>
      </c>
      <c r="O208" s="18" t="inlineStr">
        <is>
          <t>Mock</t>
        </is>
      </c>
      <c r="P208" s="18" t="inlineStr">
        <is>
          <t>Mock Rx20 UBU</t>
        </is>
      </c>
    </row>
    <row r="209">
      <c r="A209" s="15" t="inlineStr">
        <is>
          <t>207</t>
        </is>
      </c>
      <c r="B209" s="18" t="inlineStr">
        <is>
          <t>การฉีดยาเข$ากล$าม (IM) ออกฤทธิ์ช$ากวGาการให$ยาทางใต$ผิวหนัง (SC) ข$อ 1 จำกัดปริมาณยาเพียง 5 มิลลิลิตร (ถ$า SC จำกัดปริมาณยาเพียง 2 มิลลิลิตร ถ$า ID จำกัดปริมาณยาเพียง 0.3 มิลลิลิตร), ข$อ 4 ไมGนGาใชG เพราะนGาจะมีผลจากสารชGวยแล$วก็ตำแหนGงกล$ามเนื้อที่ฉีดยา ข$อ 5 เรียงลำดับการออกฤทธิ์จากเร็วไปช$าสุด คือ IV, IM, SC ข$อ 3 นGาจะถูดสุด เพราะเลี่ยง ﬁrst pass met.</t>
        </is>
      </c>
      <c r="C209" s="18" t="inlineStr"/>
      <c r="D209" s="18" t="inlineStr">
        <is>
          <t>Benzoyl peroxide 2.5% gel</t>
        </is>
      </c>
      <c r="E209" s="18" t="inlineStr">
        <is>
          <t>Acyclovir 5% cream</t>
        </is>
      </c>
      <c r="F209" s="18" t="inlineStr">
        <is>
          <t>Silver sulfadiazine 1% cream</t>
        </is>
      </c>
      <c r="G209" s="18" t="inlineStr">
        <is>
          <t>Cetirizine 10 mg OD</t>
        </is>
      </c>
      <c r="H209" s="18" t="inlineStr">
        <is>
          <t>Isotretinoin 10 mg OD</t>
        </is>
      </c>
      <c r="I209" s="15" t="inlineStr">
        <is>
          <t>2</t>
        </is>
      </c>
      <c r="J209" s="18"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18" t="inlineStr"/>
      <c r="L209" s="18" t="inlineStr">
        <is>
          <t>Superficial fungal</t>
        </is>
      </c>
      <c r="M209" s="18" t="inlineStr">
        <is>
          <t>Clinic</t>
        </is>
      </c>
      <c r="N209" s="18" t="inlineStr">
        <is>
          <t>ข้อ 5 (PLE_CC1_Key_Rx20_UBU.md)</t>
        </is>
      </c>
      <c r="O209" s="18" t="inlineStr">
        <is>
          <t>Mock</t>
        </is>
      </c>
      <c r="P209" s="18" t="inlineStr">
        <is>
          <t>Mock Rx20 UBU</t>
        </is>
      </c>
    </row>
    <row r="210">
      <c r="A210" s="15" t="inlineStr">
        <is>
          <t>208</t>
        </is>
      </c>
      <c r="B210" s="18" t="inlineStr">
        <is>
          <t>ข$อใดไมGใชGวิธีการปฐมพยาบาลเบื้องต$นที่เหมาะสม</t>
        </is>
      </c>
      <c r="C210" s="18" t="inlineStr"/>
      <c r="D210" s="18" t="inlineStr">
        <is>
          <t>ล$างแผลด$วยน้ำสบูGปริมาณมาก</t>
        </is>
      </c>
      <c r="E210" s="18" t="inlineStr">
        <is>
          <t>เช็ดแผลด$วย Chlorhexidine</t>
        </is>
      </c>
      <c r="F210" s="18" t="inlineStr">
        <is>
          <t>เช็ดแผลด$วย Rubbing alcohol</t>
        </is>
      </c>
      <c r="G210" s="18" t="inlineStr">
        <is>
          <t>ทานยาแก$ปวด Paracetamol ได$ตามสมควร</t>
        </is>
      </c>
      <c r="H210" s="18" t="inlineStr">
        <is>
          <t>ทาครีม Clindamycin เพื่อฆGาเชื้อแบคทีเรีย (จากแนวทางการดำเนินงานปนองกันควบคุมโรคพิษสุนัขบ$า 2560)</t>
        </is>
      </c>
      <c r="I210" s="15" t="inlineStr">
        <is>
          <t>2</t>
        </is>
      </c>
      <c r="J210" s="18"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ข้อนี้ไม่ใช่คำตอบที่ถูกต้องสำหรับภาวะ Superficial fungal เนื่องจากกลไกการออกฤทธิ์, efficacy หรือข้อบ่งใช้ไม่ตรงกับโจทย์ที่กำหนด
• ข้อ ค. (เช็ดแผลด$วย Rubbing alcohol): ข้อนี้ไม่ใช่คำตอบที่ถูกต้องสำหรับภาวะ Superficial fungal เนื่องจากกลไกการออกฤทธิ์, efficacy หรือข้อบ่งใช้ไม่ตรงกับโจทย์ที่กำหนด
• ข้อ ง. (ทานยาแก$ปวด Paracetamol ได$ตามสมควร):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(ทาครีม Clindamycin เพื่อฆGาเชื้อแบคทีเรีย (จากแนวทางการดำเนินงานปนองกันควบคุมโรคพิษสุนัขบ$า 2560)):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18" t="inlineStr"/>
      <c r="L210" s="18" t="inlineStr">
        <is>
          <t>Superficial fungal</t>
        </is>
      </c>
      <c r="M210" s="18" t="inlineStr">
        <is>
          <t>Clinic</t>
        </is>
      </c>
      <c r="N210" s="18" t="inlineStr">
        <is>
          <t>ข้อ 92 (PLE_CC1_Key_Rx20_UBU.md)</t>
        </is>
      </c>
      <c r="O210" s="18" t="inlineStr">
        <is>
          <t>Mock</t>
        </is>
      </c>
      <c r="P210" s="18" t="inlineStr">
        <is>
          <t>Mock Rx20 UBU</t>
        </is>
      </c>
    </row>
    <row r="211">
      <c r="A211" s="15" t="inlineStr">
        <is>
          <t>209</t>
        </is>
      </c>
      <c r="B211" s="18" t="inlineStr">
        <is>
          <t>ปัจจัยใดน่าจะเป็นสาเหตุที่ทำให้ผู้ป่วยเป็นโรคดังกล่าวมากที่สุด</t>
        </is>
      </c>
      <c r="C211" s="18" t="inlineStr"/>
      <c r="D211" s="18" t="inlineStr">
        <is>
          <t>ใส่เสื้อผ้าอับชื้น</t>
        </is>
      </c>
      <c r="E211" s="18" t="inlineStr">
        <is>
          <t>น้ำที่ใช้อาบไม่สะอาด</t>
        </is>
      </c>
      <c r="F211" s="18" t="inlineStr">
        <is>
          <t>เคยเป็นเริมที่ผิวหนัง</t>
        </is>
      </c>
      <c r="G211" s="18" t="inlineStr">
        <is>
          <t>สูบบุหรี่</t>
        </is>
      </c>
      <c r="H211" s="18" t="inlineStr">
        <is>
          <t>โรคความดันโลหิตสูง ตอบ ก. ใส่เสื้อผ้าอับชื้น</t>
        </is>
      </c>
      <c r="I211" s="15" t="inlineStr">
        <is>
          <t>1</t>
        </is>
      </c>
      <c r="J211" s="18"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ข้อนี้ไม่ใช่คำตอบที่ถูกต้องสำหรับภาวะ Superficial fungal เนื่องจากกลไกการออกฤทธิ์, efficacy หรือข้อบ่งใช้ไม่ตรงกับโจทย์ที่กำหนด
• ข้อ ค. (เคยเป็นเริมที่ผิวหนัง): ข้อนี้ไม่ใช่คำตอบที่ถูกต้องสำหรับภาวะ Superficial fungal เนื่องจากกลไกการออกฤทธิ์, efficacy หรือข้อบ่งใช้ไม่ตรงกับโจทย์ที่กำหนด
• ข้อ ง. (สูบบุหรี่): ข้อนี้ไม่ใช่คำตอบที่ถูกต้องสำหรับภาวะ Superficial fungal เนื่องจากกลไกการออกฤทธิ์, efficacy หรือข้อบ่งใช้ไม่ตรงกับโจทย์ที่กำหนด
• ข้อ จ. (โรคความดันโลหิตสูง ตอบ ก. ใส่เสื้อผ้าอับชื้น):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18" t="inlineStr"/>
      <c r="L211" s="18" t="inlineStr">
        <is>
          <t>Superficial fungal</t>
        </is>
      </c>
      <c r="M211" s="18" t="inlineStr">
        <is>
          <t>Clinic</t>
        </is>
      </c>
      <c r="N211" s="18" t="inlineStr">
        <is>
          <t>ข้อ 2 (PLE_CC1_Key_Rx20_UBU.md)</t>
        </is>
      </c>
      <c r="O211" s="18" t="inlineStr">
        <is>
          <t>Mock</t>
        </is>
      </c>
      <c r="P211" s="18" t="inlineStr">
        <is>
          <t>Mock Rx20 UBU</t>
        </is>
      </c>
    </row>
    <row r="212">
      <c r="A212" s="15" t="inlineStr">
        <is>
          <t>210</t>
        </is>
      </c>
      <c r="B212" s="18" t="inlineStr">
        <is>
          <t>ยาที่ผู้ป่วยควรได้รับ</t>
        </is>
      </c>
      <c r="C212" s="18" t="inlineStr"/>
      <c r="D212" s="18" t="inlineStr">
        <is>
          <t>Griseofluvin</t>
        </is>
      </c>
      <c r="E212" s="18" t="inlineStr">
        <is>
          <t>Itraconazole</t>
        </is>
      </c>
      <c r="F212" s="18" t="inlineStr">
        <is>
          <t>Ketoclonazole</t>
        </is>
      </c>
      <c r="G212" s="18" t="inlineStr">
        <is>
          <t>Teribinafine</t>
        </is>
      </c>
      <c r="H212" s="18" t="inlineStr">
        <is>
          <t>Benzyl benzoate ตอบ ข. Itraconazole</t>
        </is>
      </c>
      <c r="I212" s="15" t="inlineStr">
        <is>
          <t>1</t>
        </is>
      </c>
      <c r="J212" s="18"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(Ketoclonazole): ข้อนี้ไม่ใช่คำตอบที่ถูกต้องสำหรับภาวะ Superficial fungal เนื่องจากกลไกการออกฤทธิ์, efficacy หรือข้อบ่งใช้ไม่ตรงกับโจทย์ที่กำหนด
• ข้อ ง. (Teribinafine): ข้อนี้ไม่ใช่คำตอบที่ถูกต้องสำหรับภาวะ Superficial fungal เนื่องจากกลไกการออกฤทธิ์, efficacy หรือข้อบ่งใช้ไม่ตรงกับโจทย์ที่กำหนด
• ข้อ จ. (Benzyl benzoate ตอบ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18" t="inlineStr"/>
      <c r="L212" s="18" t="inlineStr">
        <is>
          <t>Superficial fungal</t>
        </is>
      </c>
      <c r="M212" s="18" t="inlineStr">
        <is>
          <t>Clinic</t>
        </is>
      </c>
      <c r="N212" s="18" t="inlineStr">
        <is>
          <t>ข้อ 3 (PLE_CC1_Key_Rx20_UBU.md)</t>
        </is>
      </c>
      <c r="O212" s="18" t="inlineStr">
        <is>
          <t>Mock</t>
        </is>
      </c>
      <c r="P212" s="18" t="inlineStr">
        <is>
          <t>Mock Rx20 UBU</t>
        </is>
      </c>
    </row>
    <row r="213">
      <c r="A213" s="15" t="inlineStr">
        <is>
          <t>211</t>
        </is>
      </c>
      <c r="B213" s="18" t="inlineStr">
        <is>
          <t>ยาใดมีพิษต่อตับมากที่สุด</t>
        </is>
      </c>
      <c r="C213" s="18" t="inlineStr"/>
      <c r="D213" s="18" t="inlineStr">
        <is>
          <t>Griseofluvin</t>
        </is>
      </c>
      <c r="E213" s="18" t="inlineStr">
        <is>
          <t>Itraconazole</t>
        </is>
      </c>
      <c r="F213" s="18" t="inlineStr">
        <is>
          <t>Ketoclonazole</t>
        </is>
      </c>
      <c r="G213" s="18" t="inlineStr">
        <is>
          <t>Terbenafine</t>
        </is>
      </c>
      <c r="H213" s="18" t="inlineStr">
        <is>
          <t>… ตอบ ค. Ketoclonazole</t>
        </is>
      </c>
      <c r="I213" s="15" t="inlineStr">
        <is>
          <t>1</t>
        </is>
      </c>
      <c r="J213" s="18"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(Ketoclonazole): ข้อนี้ไม่ใช่คำตอบที่ถูกต้องสำหรับภาวะ Superficial fungal เนื่องจากกลไกการออกฤทธิ์, efficacy หรือข้อบ่งใช้ไม่ตรงกับโจทย์ที่กำหนด
• ข้อ ง. (Terbenafine): ข้อนี้ไม่ใช่คำตอบที่ถูกต้องสำหรับภาวะ Superficial fungal เนื่องจากกลไกการออกฤทธิ์, efficacy หรือข้อบ่งใช้ไม่ตรงกับโจทย์ที่กำหนด
• ข้อ จ. (… ตอบ ค. Ketoclonazole):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18" t="inlineStr"/>
      <c r="L213" s="18" t="inlineStr">
        <is>
          <t>Superficial fungal</t>
        </is>
      </c>
      <c r="M213" s="18" t="inlineStr">
        <is>
          <t>Clinic</t>
        </is>
      </c>
      <c r="N213" s="18" t="inlineStr">
        <is>
          <t>ข้อ 6 (PLE_CC1_Key_Rx20_UBU.md)</t>
        </is>
      </c>
      <c r="O213" s="18" t="inlineStr">
        <is>
          <t>Mock</t>
        </is>
      </c>
      <c r="P213" s="18" t="inlineStr">
        <is>
          <t>Mock Rx20 UBU</t>
        </is>
      </c>
    </row>
    <row r="214">
      <c r="A214" s="15" t="inlineStr">
        <is>
          <t>212</t>
        </is>
      </c>
      <c r="B214" s="18" t="inlineStr">
        <is>
          <t>ต้องรักษามาตรฐานของการประกอบวิชาชีพเภสัชกรรมในระดับดีที่สุด Case 1: เด็กชายอายุ 6 ปี มีไข้สูง ไอ หลังจากนั้นพบว่ามีผื่นขึ้นที่ บริเวณใบหน้า ไรผม … บริเวณลำตัวและแขนขามีผื่นขึ้นเพียง เล็กน้อยเท่านั้น มีผื่นขึ้นบริเวณปากและกระพุงแก้มด้วย</t>
        </is>
      </c>
      <c r="C214" s="18" t="inlineStr"/>
      <c r="D214" s="18" t="inlineStr">
        <is>
          <t>Acyclovir 5% cream</t>
        </is>
      </c>
      <c r="E214" s="18" t="inlineStr">
        <is>
          <t>Silver sulfadiazine 1% cream</t>
        </is>
      </c>
      <c r="F214" s="18" t="inlineStr">
        <is>
          <t>Cetirizine 10 mg OD</t>
        </is>
      </c>
      <c r="G214" s="18" t="inlineStr">
        <is>
          <t>Isotretinoin 10 mg OD</t>
        </is>
      </c>
      <c r="H214" s="18" t="inlineStr">
        <is>
          <t>Terbinafine 1% cream</t>
        </is>
      </c>
      <c r="I214" s="15" t="inlineStr">
        <is>
          <t>4</t>
        </is>
      </c>
      <c r="J214" s="18"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เป็น Guanosine analog ยับยั้ง HSV และ VZV polymerase ต้องดื่มน้ำมากๆ ระหว่างได้ยา IV เพื่อป้องกัน crystal nephropathy และ obstructive AKI
• ข้อ ข. (Silver sulfadiazine 1% cream): ข้อนี้ไม่ใช่คำตอบที่ถูกต้องสำหรับภาวะ Eczema &amp; Dermatitis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จ. (Terbinafine 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18" t="inlineStr"/>
      <c r="L214" s="18" t="inlineStr">
        <is>
          <t>Eczema &amp; Dermatitis</t>
        </is>
      </c>
      <c r="M214" s="18" t="inlineStr">
        <is>
          <t>Clinic</t>
        </is>
      </c>
      <c r="N214" s="18" t="inlineStr">
        <is>
          <t>ข้อ 5 (PLE_CC1_Key_Rx20_UBU.md)</t>
        </is>
      </c>
      <c r="O214" s="18" t="inlineStr">
        <is>
          <t>Mock</t>
        </is>
      </c>
      <c r="P214" s="18" t="inlineStr">
        <is>
          <t>Mock Rx20 UBU</t>
        </is>
      </c>
    </row>
    <row r="215">
      <c r="A215" s="15" t="inlineStr">
        <is>
          <t>213</t>
        </is>
      </c>
      <c r="B215" s="18" t="inlineStr">
        <is>
          <t>Norfloxacin ต่อมาผู้ป่วยมีอาการตกขาวซ้ำ มีอาการคัน แพทยวินิจฉัย เป็นตกขาวจากเชื้อรา จึงได้สั่งจายยา fluconazole ให้</t>
        </is>
      </c>
      <c r="C215" s="18" t="inlineStr"/>
      <c r="D215" s="18" t="inlineStr">
        <is>
          <t>Isotretinoin 10 mg OD</t>
        </is>
      </c>
      <c r="E215" s="18" t="inlineStr">
        <is>
          <t>Terbinafine 1% cream</t>
        </is>
      </c>
      <c r="F215" s="18" t="inlineStr">
        <is>
          <t>Adapalene 0.1% gel</t>
        </is>
      </c>
      <c r="G215" s="18" t="inlineStr">
        <is>
          <t>Mupirocin 2% ointment</t>
        </is>
      </c>
      <c r="H215" s="18" t="inlineStr">
        <is>
          <t>Betamethasone dipropionate 0.05% cream</t>
        </is>
      </c>
      <c r="I215" s="15" t="inlineStr">
        <is>
          <t>5</t>
        </is>
      </c>
      <c r="J215" s="18"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18" t="inlineStr"/>
      <c r="L215" s="18" t="inlineStr">
        <is>
          <t>Superficial fungal</t>
        </is>
      </c>
      <c r="M215" s="18" t="inlineStr">
        <is>
          <t>Clinic</t>
        </is>
      </c>
      <c r="N215" s="18" t="inlineStr">
        <is>
          <t>ข้อ 5 (PLE_CC1_Key_Rx20_UBU.md)</t>
        </is>
      </c>
      <c r="O215" s="18" t="inlineStr">
        <is>
          <t>Mock</t>
        </is>
      </c>
      <c r="P215" s="18" t="inlineStr">
        <is>
          <t>Mock Rx20 UBU</t>
        </is>
      </c>
    </row>
    <row r="216">
      <c r="A216" s="15" t="inlineStr">
        <is>
          <t>214</t>
        </is>
      </c>
      <c r="B216" s="18" t="inlineStr">
        <is>
          <t>ข้อใดน่าจะเป็นสาเหตุของ Toxic epidermal necrolyisis นี้</t>
        </is>
      </c>
      <c r="C216" s="18" t="inlineStr"/>
      <c r="D216" s="18" t="inlineStr">
        <is>
          <t>Mupirocin 2% ointment</t>
        </is>
      </c>
      <c r="E216" s="18" t="inlineStr">
        <is>
          <t>Betamethasone dipropionate 0.05% cream</t>
        </is>
      </c>
      <c r="F216" s="18" t="inlineStr">
        <is>
          <t>Clotrimazole 1% cream</t>
        </is>
      </c>
      <c r="G216" s="18" t="inlineStr">
        <is>
          <t>Hydrocortisone 1% cream</t>
        </is>
      </c>
      <c r="H216" s="18" t="inlineStr">
        <is>
          <t>Triamcinolone acetonide 0.1% cream</t>
        </is>
      </c>
      <c r="I216" s="15" t="inlineStr">
        <is>
          <t>1</t>
        </is>
      </c>
      <c r="J216" s="18"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18" t="inlineStr"/>
      <c r="L216" s="18" t="inlineStr">
        <is>
          <t>Superficial fungal</t>
        </is>
      </c>
      <c r="M216" s="18" t="inlineStr">
        <is>
          <t>Clinic</t>
        </is>
      </c>
      <c r="N216" s="18" t="inlineStr">
        <is>
          <t>ข้อ 1 (PLE_CC1_Key_Rx20_UBU.md)</t>
        </is>
      </c>
      <c r="O216" s="18" t="inlineStr">
        <is>
          <t>Mock</t>
        </is>
      </c>
      <c r="P216" s="18" t="inlineStr">
        <is>
          <t>Mock Rx20 UBU</t>
        </is>
      </c>
    </row>
    <row r="217">
      <c r="A217" s="15" t="inlineStr">
        <is>
          <t>215</t>
        </is>
      </c>
      <c r="B217" s="18" t="inlineStr">
        <is>
          <t>ข้อใดไม่ใช่เหตุผลท่ีแพทย์วินิจฉัยว่าผู้ป่วยรายน้ีเป็น Toxic epidermal necrolyisis</t>
        </is>
      </c>
      <c r="C217" s="18" t="inlineStr"/>
      <c r="D217" s="18" t="inlineStr">
        <is>
          <t>Hydrocortisone 1% cream</t>
        </is>
      </c>
      <c r="E217" s="18" t="inlineStr">
        <is>
          <t>Triamcinolone acetonide 0.1% cream</t>
        </is>
      </c>
      <c r="F217" s="18" t="inlineStr">
        <is>
          <t>Clobetasol propionate 0.05% cream</t>
        </is>
      </c>
      <c r="G217" s="18" t="inlineStr">
        <is>
          <t>Ketoconazole 2% shampoo</t>
        </is>
      </c>
      <c r="H217" s="18" t="inlineStr">
        <is>
          <t>Benzoyl peroxide 2.5% gel</t>
        </is>
      </c>
      <c r="I217" s="15" t="inlineStr">
        <is>
          <t>1</t>
        </is>
      </c>
      <c r="J217" s="18"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ค.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18" t="inlineStr"/>
      <c r="L217" s="18" t="inlineStr">
        <is>
          <t>Superficial fungal</t>
        </is>
      </c>
      <c r="M217" s="18" t="inlineStr">
        <is>
          <t>Clinic</t>
        </is>
      </c>
      <c r="N217" s="18" t="inlineStr">
        <is>
          <t>ข้อ 2 (PLE_CC1_Key_Rx20_UBU.md)</t>
        </is>
      </c>
      <c r="O217" s="18" t="inlineStr">
        <is>
          <t>Mock</t>
        </is>
      </c>
      <c r="P217" s="18" t="inlineStr">
        <is>
          <t>Mock Rx20 UBU</t>
        </is>
      </c>
    </row>
    <row r="218">
      <c r="A218" s="15" t="inlineStr">
        <is>
          <t>216</t>
        </is>
      </c>
      <c r="B218" s="18" t="inlineStr">
        <is>
          <t>มีผิวหนังลอกมากกว่า 30% ของพื้นที่ผิวร่างกาย</t>
        </is>
      </c>
      <c r="C218" s="18" t="inlineStr"/>
      <c r="D218" s="18" t="inlineStr">
        <is>
          <t>Ketoconazole 2% shampoo</t>
        </is>
      </c>
      <c r="E218" s="18" t="inlineStr">
        <is>
          <t>Benzoyl peroxide 2.5% gel</t>
        </is>
      </c>
      <c r="F218" s="18" t="inlineStr">
        <is>
          <t>Acyclovir 5% cream</t>
        </is>
      </c>
      <c r="G218" s="18" t="inlineStr">
        <is>
          <t>Silver sulfadiazine 1% cream</t>
        </is>
      </c>
      <c r="H218" s="18" t="inlineStr">
        <is>
          <t>Cetirizine 10 mg OD</t>
        </is>
      </c>
      <c r="I218" s="15" t="inlineStr">
        <is>
          <t>1</t>
        </is>
      </c>
      <c r="J218" s="18" t="inlineStr">
        <is>
          <t>✅ คำตอบที่ถูกต้อง: ข้อ ก. Ketoconazole 2% shampoo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8" s="18" t="inlineStr"/>
      <c r="L218" s="18" t="inlineStr">
        <is>
          <t>Superficial fungal</t>
        </is>
      </c>
      <c r="M218" s="18" t="inlineStr">
        <is>
          <t>Clinic</t>
        </is>
      </c>
      <c r="N218" s="18" t="inlineStr">
        <is>
          <t>ข้อ 2 (PLE_CC1_Key_Rx20_UBU.md)</t>
        </is>
      </c>
      <c r="O218" s="18" t="inlineStr">
        <is>
          <t>Mock</t>
        </is>
      </c>
      <c r="P218" s="18" t="inlineStr">
        <is>
          <t>Mock Rx20 UBU</t>
        </is>
      </c>
    </row>
    <row r="219">
      <c r="A219" s="15" t="inlineStr">
        <is>
          <t>217</t>
        </is>
      </c>
      <c r="B219" s="18" t="inlineStr">
        <is>
          <t>การฉีด Equine Ig ควรทดสอบการแพ้ที่ผิวหนังกอนการให (skin test)</t>
        </is>
      </c>
      <c r="C219" s="18" t="inlineStr"/>
      <c r="D219" s="18" t="inlineStr">
        <is>
          <t>Silver sulfadiazine 1% cream</t>
        </is>
      </c>
      <c r="E219" s="18" t="inlineStr">
        <is>
          <t>Cetirizine 10 mg OD</t>
        </is>
      </c>
      <c r="F219" s="18" t="inlineStr">
        <is>
          <t>Isotretinoin 10 mg OD</t>
        </is>
      </c>
      <c r="G219" s="18" t="inlineStr">
        <is>
          <t>Terbinafine 1% cream</t>
        </is>
      </c>
      <c r="H219" s="18" t="inlineStr">
        <is>
          <t>Adapalene 0.1% gel</t>
        </is>
      </c>
      <c r="I219" s="15" t="inlineStr">
        <is>
          <t>1</t>
        </is>
      </c>
      <c r="J219" s="18"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ง.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จ. (Adapalene 0.1%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18" t="inlineStr"/>
      <c r="L219" s="18" t="inlineStr">
        <is>
          <t>Superficial fungal</t>
        </is>
      </c>
      <c r="M219" s="18" t="inlineStr">
        <is>
          <t>Clinic</t>
        </is>
      </c>
      <c r="N219" s="18" t="inlineStr">
        <is>
          <t>ข้อ 1 (PLE_CC1_Key_Rx20_UBU.md)</t>
        </is>
      </c>
      <c r="O219" s="18" t="inlineStr">
        <is>
          <t>Mock</t>
        </is>
      </c>
      <c r="P219" s="18" t="inlineStr">
        <is>
          <t>Mock Rx20 UBU</t>
        </is>
      </c>
    </row>
    <row r="220">
      <c r="A220" s="15" t="inlineStr">
        <is>
          <t>218</t>
        </is>
      </c>
      <c r="B220" s="18" t="inlineStr">
        <is>
          <t>ข้อใดต่อไปนี้ถูกต้องเกี่ยวกับเกลื้อน</t>
        </is>
      </c>
      <c r="C220" s="18" t="inlineStr"/>
      <c r="D220" s="18" t="inlineStr">
        <is>
          <t>เกิดจากเชื้อ Malassezia furfur</t>
        </is>
      </c>
      <c r="E220" s="18" t="inlineStr">
        <is>
          <t>หากมีอาการรุนแรง จะเป็นขุย แดง คัน</t>
        </is>
      </c>
      <c r="F220" s="18" t="inlineStr">
        <is>
          <t>เมื่อทดสอบด้วย 10% KOH แล้วนาไปส่องกล้องจุลทรรศน์ จะเห็น long pseudohyphae</t>
        </is>
      </c>
      <c r="G220" s="18" t="inlineStr">
        <is>
          <t>ใช้ยาทา Topical selenium sulfide ในการรักษา</t>
        </is>
      </c>
      <c r="H220" s="18" t="inlineStr">
        <is>
          <t>หากเป็นโรคบ่อยๆ ควรได้รับยาป้องกัน</t>
        </is>
      </c>
      <c r="I220" s="15" t="inlineStr">
        <is>
          <t>1</t>
        </is>
      </c>
      <c r="J220" s="18"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ข้อนี้ไม่ใช่คำตอบที่ถูกต้องสำหรับภาวะ Superficial fungal เนื่องจากกลไกการออกฤทธิ์, efficacy หรือข้อบ่งใช้ไม่ตรงกับโจทย์ที่กำหนด
• ข้อ ค. (เมื่อทดสอบด้วย 10% KOH แล้วนาไปส่องกล้องจุลทรรศน์ จะเห็น long pseudohyphae): ข้อนี้ไม่ใช่คำตอบที่ถูกต้องสำหรับภาวะ Superficial fungal เนื่องจากกลไกการออกฤทธิ์, efficacy หรือข้อบ่งใช้ไม่ตรงกับโจทย์ที่กำหนด
• ข้อ ง. (ใช้ยาทา Topical selenium sulfide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จ. (หากเป็นโรคบ่อยๆ ควรได้รับยาป้องกัน):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18" t="inlineStr"/>
      <c r="L220" s="18" t="inlineStr">
        <is>
          <t>Superficial fungal</t>
        </is>
      </c>
      <c r="M220" s="18" t="inlineStr">
        <is>
          <t>Clinic</t>
        </is>
      </c>
      <c r="N220" s="18" t="inlineStr">
        <is>
          <t>ข้อ 11 (PLE_CC1_Key_Rx20_UBU.md)</t>
        </is>
      </c>
      <c r="O220" s="18" t="inlineStr">
        <is>
          <t>Mock</t>
        </is>
      </c>
      <c r="P220" s="18" t="inlineStr">
        <is>
          <t>Mock Rx20 UBU</t>
        </is>
      </c>
    </row>
    <row r="221">
      <c r="A221" s="15" t="inlineStr">
        <is>
          <t>219</t>
        </is>
      </c>
      <c r="B221" s="18" t="inlineStr">
        <is>
          <t>หากไม่มียา Fluocinolone acetonide 0.01% เภสัชกรสามารถจ่ายยาใดแทนได้</t>
        </is>
      </c>
      <c r="C221" s="18" t="inlineStr"/>
      <c r="D221" s="18" t="inlineStr">
        <is>
          <t>Betamethasone dipropionate 0.05%</t>
        </is>
      </c>
      <c r="E221" s="18" t="inlineStr">
        <is>
          <t>Clobetasol propionate 0.05%</t>
        </is>
      </c>
      <c r="F221" s="18" t="inlineStr">
        <is>
          <t>Dexosimethasone 0.05%</t>
        </is>
      </c>
      <c r="G221" s="18" t="inlineStr">
        <is>
          <t>Triamcinolone acetonide 0.1%</t>
        </is>
      </c>
      <c r="H221" s="18" t="inlineStr">
        <is>
          <t>Hydrocortisone acetate 0.5% คำอธิบาย</t>
        </is>
      </c>
      <c r="I221" s="15" t="inlineStr">
        <is>
          <t>5</t>
        </is>
      </c>
      <c r="J221" s="18"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ข้อนี้ไม่ใช่คำตอบที่ถูกต้องสำหรับภาวะ Superficial fungal เนื่องจากกลไกการออกฤทธิ์, efficacy หรือข้อบ่งใช้ไม่ตรงกับโจทย์ที่กำหนด
• ข้อ ข. (Clobetasol propionate 0.05%): ข้อนี้ไม่ใช่คำตอบที่ถูกต้องสำหรับภาวะ Superficial fungal เนื่องจากกลไกการออกฤทธิ์, efficacy หรือข้อบ่งใช้ไม่ตรงกับโจทย์ที่กำหนด
• ข้อ ค. (Dexosimethasone 0.05%): ข้อนี้ไม่ใช่คำตอบที่ถูกต้องสำหรับภาวะ Superficial fungal เนื่องจากกลไกการออกฤทธิ์, efficacy หรือข้อบ่งใช้ไม่ตรงกับโจทย์ที่กำหนด
• ข้อ ง. (Triamcinolone acetonide 0.1%):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18" t="inlineStr"/>
      <c r="L221" s="18" t="inlineStr">
        <is>
          <t>Superficial fungal</t>
        </is>
      </c>
      <c r="M221" s="18" t="inlineStr">
        <is>
          <t>Clinic</t>
        </is>
      </c>
      <c r="N221" s="18" t="inlineStr">
        <is>
          <t>ข้อ 93 (PLE_CC1_Key_Rx20_UBU.md)</t>
        </is>
      </c>
      <c r="O221" s="18" t="inlineStr">
        <is>
          <t>Mock</t>
        </is>
      </c>
      <c r="P221" s="18" t="inlineStr">
        <is>
          <t>Mock Rx20 UBU</t>
        </is>
      </c>
    </row>
    <row r="222">
      <c r="A222" s="15" t="inlineStr">
        <is>
          <t>220</t>
        </is>
      </c>
      <c r="B222" s="18" t="inlineStr">
        <is>
          <t>ผู้ป่วยควรได้รับยาในข้อใดเพิ่ม</t>
        </is>
      </c>
      <c r="C222" s="18" t="inlineStr"/>
      <c r="D222" s="18" t="inlineStr">
        <is>
          <t>Topical tretinoin</t>
        </is>
      </c>
      <c r="E222" s="18" t="inlineStr">
        <is>
          <t>Oral tretinoin</t>
        </is>
      </c>
      <c r="F222" s="18" t="inlineStr">
        <is>
          <t>Oral antibiotic</t>
        </is>
      </c>
      <c r="G222" s="18" t="inlineStr">
        <is>
          <t>contraceptive pills (Progestin only)</t>
        </is>
      </c>
      <c r="H222" s="18" t="inlineStr">
        <is>
          <t>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t>
        </is>
      </c>
      <c r="I222" s="15" t="inlineStr">
        <is>
          <t>1</t>
        </is>
      </c>
      <c r="J222" s="18"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ข้อนี้ไม่ใช่คำตอบที่ถูกต้องสำหรับภาวะ Superficial fungal เนื่องจากกลไกการออกฤทธิ์, efficacy หรือข้อบ่งใช้ไม่ตรงกับโจทย์ที่กำหนด
• ข้อ ค. (Oral antibiotic): ข้อนี้ไม่ใช่คำตอบที่ถูกต้องสำหรับภาวะ Superficial fungal เนื่องจากกลไกการออกฤทธิ์, efficacy หรือข้อบ่งใช้ไม่ตรงกับโจทย์ที่กำหนด
• ข้อ ง. (contraceptive pills (Progestin only)): ข้อนี้ไม่ใช่คำตอบที่ถูกต้องสำหรับภาวะ Superficial fungal เนื่องจากกลไกการออกฤทธิ์, efficacy หรือข้อบ่งใช้ไม่ตรงกับโจทย์ที่กำหนด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18" t="inlineStr"/>
      <c r="L222" s="18" t="inlineStr">
        <is>
          <t>Superficial fungal</t>
        </is>
      </c>
      <c r="M222" s="18" t="inlineStr">
        <is>
          <t>Clinic</t>
        </is>
      </c>
      <c r="N222" s="18" t="inlineStr">
        <is>
          <t>ข้อ 2 (PLE_CC1_Key_Rx20_UBU.md)</t>
        </is>
      </c>
      <c r="O222" s="18" t="inlineStr">
        <is>
          <t>Mock</t>
        </is>
      </c>
      <c r="P222" s="18" t="inlineStr">
        <is>
          <t>Mock Rx20 UBU</t>
        </is>
      </c>
    </row>
    <row r="223">
      <c r="A223" s="15" t="inlineStr">
        <is>
          <t>221</t>
        </is>
      </c>
      <c r="B223" s="18" t="inlineStr">
        <is>
          <t>ผลข้างเคียงข้อใดไม่ใช่ผลข้างเคียงของ Topical tretinoin</t>
        </is>
      </c>
      <c r="C223" s="18" t="inlineStr"/>
      <c r="D223" s="18" t="inlineStr">
        <is>
          <t>Acne sores</t>
        </is>
      </c>
      <c r="E223" s="18" t="inlineStr">
        <is>
          <t>Erythema</t>
        </is>
      </c>
      <c r="F223" s="18" t="inlineStr">
        <is>
          <t>Peeling</t>
        </is>
      </c>
      <c r="G223" s="18" t="inlineStr">
        <is>
          <t>Phototoxicity</t>
        </is>
      </c>
      <c r="H223" s="18" t="inlineStr">
        <is>
          <t>Skin hyperpigmentation</t>
        </is>
      </c>
      <c r="I223" s="15" t="inlineStr">
        <is>
          <t>1</t>
        </is>
      </c>
      <c r="J223" s="18"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ข้อนี้ไม่ใช่คำตอบที่ถูกต้องสำหรับภาวะ Superficial fungal เนื่องจากกลไกการออกฤทธิ์, efficacy หรือข้อบ่งใช้ไม่ตรงกับโจทย์ที่กำหนด
• ข้อ ค. (Peeling): ข้อนี้ไม่ใช่คำตอบที่ถูกต้องสำหรับภาวะ Superficial fungal เนื่องจากกลไกการออกฤทธิ์, efficacy หรือข้อบ่งใช้ไม่ตรงกับโจทย์ที่กำหนด
• ข้อ ง. (Phototoxicity): ข้อนี้ไม่ใช่คำตอบที่ถูกต้องสำหรับภาวะ Superficial fungal เนื่องจากกลไกการออกฤทธิ์, efficacy หรือข้อบ่งใช้ไม่ตรงกับโจทย์ที่กำหนด
• ข้อ จ. (Skin hyperpigmentation):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18" t="inlineStr"/>
      <c r="L223" s="18" t="inlineStr">
        <is>
          <t>Superficial fungal</t>
        </is>
      </c>
      <c r="M223" s="18" t="inlineStr">
        <is>
          <t>Clinic</t>
        </is>
      </c>
      <c r="N223" s="18" t="inlineStr">
        <is>
          <t>ข้อ 3 (PLE_CC1_Key_Rx20_UBU.md)</t>
        </is>
      </c>
      <c r="O223" s="18" t="inlineStr">
        <is>
          <t>Mock</t>
        </is>
      </c>
      <c r="P223" s="18" t="inlineStr">
        <is>
          <t>Mock Rx20 UBU</t>
        </is>
      </c>
    </row>
    <row r="224">
      <c r="A224" s="15" t="inlineStr">
        <is>
          <t>222</t>
        </is>
      </c>
      <c r="B224" s="18" t="inlineStr">
        <is>
          <t>ศึกษาเปรียบเทียบความคุ้มค่าของการใช้ clotrimazole 500 mg OD กับ clotrimazole 100 mg 6 days ใช้แนวทางการศึกษาแบบไหนดีที่สุด</t>
        </is>
      </c>
      <c r="C224" s="18" t="inlineStr"/>
      <c r="D224" s="18" t="inlineStr">
        <is>
          <t>Cost analysis</t>
        </is>
      </c>
      <c r="E224" s="18" t="inlineStr">
        <is>
          <t>Cost benefit analysis</t>
        </is>
      </c>
      <c r="F224" s="18" t="inlineStr">
        <is>
          <t>Cost minimize analysis</t>
        </is>
      </c>
      <c r="G224" s="18" t="inlineStr">
        <is>
          <t>Cost effective analysis</t>
        </is>
      </c>
      <c r="H224" s="18" t="inlineStr">
        <is>
          <t>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t>
        </is>
      </c>
      <c r="I224" s="15" t="inlineStr">
        <is>
          <t>1</t>
        </is>
      </c>
      <c r="J224" s="18"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ข้อนี้ไม่ใช่คำตอบที่ถูกต้องสำหรับภาวะ Superficial fungal เนื่องจากกลไกการออกฤทธิ์, efficacy หรือข้อบ่งใช้ไม่ตรงกับโจทย์ที่กำหนด
• ข้อ ค. (Cost minimize analysis): ข้อนี้ไม่ใช่คำตอบที่ถูกต้องสำหรับภาวะ Superficial fungal เนื่องจากกลไกการออกฤทธิ์, efficacy หรือข้อบ่งใช้ไม่ตรงกับโจทย์ที่กำหนด
• ข้อ ง. (Cost effective analysis): ข้อนี้ไม่ใช่คำตอบที่ถูกต้องสำหรับภาวะ Superficial fungal เนื่องจากกลไกการออกฤทธิ์, efficacy หรือข้อบ่งใช้ไม่ตรงกับโจทย์ที่กำหนด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วัคซีนไข้หวัดใหญ่ชนิด inactivated ฉีดปีละ 1 ครั้ง ในกลุ่มเสี่ยง 7 กลุ่มโรคเรื้อรัง และเด็กอายุ 6 เดือน - 2 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18" t="inlineStr"/>
      <c r="L224" s="18" t="inlineStr">
        <is>
          <t>Superficial fungal</t>
        </is>
      </c>
      <c r="M224" s="18" t="inlineStr">
        <is>
          <t>Clinic</t>
        </is>
      </c>
      <c r="N224" s="18" t="inlineStr">
        <is>
          <t>ข้อ 36 (PLE_CC1_Key_Rx20_UBU.md)</t>
        </is>
      </c>
      <c r="O224" s="18" t="inlineStr">
        <is>
          <t>Mock</t>
        </is>
      </c>
      <c r="P224" s="18" t="inlineStr">
        <is>
          <t>Mock Rx20 UBU</t>
        </is>
      </c>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176"/>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26" t="inlineStr">
        <is>
          <t>1</t>
        </is>
      </c>
      <c r="B3" s="18"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18" t="inlineStr"/>
      <c r="D3" s="18" t="inlineStr">
        <is>
          <t>Glipizide 5 mg OD</t>
        </is>
      </c>
      <c r="E3" s="18" t="inlineStr">
        <is>
          <t>Metformin 500 mg BID</t>
        </is>
      </c>
      <c r="F3" s="18" t="inlineStr">
        <is>
          <t>Pioglitazone 15 mg OD</t>
        </is>
      </c>
      <c r="G3" s="18" t="inlineStr">
        <is>
          <t>Sitagliptin 100 mg OD</t>
        </is>
      </c>
      <c r="H3" s="18" t="inlineStr">
        <is>
          <t>Insulin glargine 10 units SC bedtime</t>
        </is>
      </c>
      <c r="I3" s="15" t="inlineStr">
        <is>
          <t>2</t>
        </is>
      </c>
      <c r="J3" s="18"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วัคซีนรวมคอตีบ-บาดทะยัก ฉีดกระตุ้นทุก 10 ปี หรือใช้ในหญิงตั้งครรภ์และผู้ใหญ่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18" t="inlineStr"/>
      <c r="L3" s="18" t="inlineStr">
        <is>
          <t>Diabetes mellitus</t>
        </is>
      </c>
      <c r="M3" s="18" t="inlineStr">
        <is>
          <t>Clinic</t>
        </is>
      </c>
      <c r="N3" s="18" t="inlineStr">
        <is>
          <t>ADA Standards of Care</t>
        </is>
      </c>
      <c r="O3" s="18" t="inlineStr">
        <is>
          <t>ข้อสอบจริง</t>
        </is>
      </c>
      <c r="P3" s="15" t="inlineStr">
        <is>
          <t>2566</t>
        </is>
      </c>
    </row>
    <row r="4">
      <c r="A4" s="15" t="inlineStr">
        <is>
          <t>1</t>
        </is>
      </c>
      <c r="B4" s="1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18" t="inlineStr"/>
      <c r="D4" s="18" t="inlineStr">
        <is>
          <t>Blood glucose &gt; 150 mg/dL</t>
        </is>
      </c>
      <c r="E4" s="18" t="inlineStr">
        <is>
          <t>HbA1c &lt; 7%</t>
        </is>
      </c>
      <c r="F4" s="18" t="inlineStr">
        <is>
          <t>ปัสสาวะมากกว่า 3 ลิตร/วัน</t>
        </is>
      </c>
      <c r="G4" s="18" t="inlineStr">
        <is>
          <t>Insulin ในเลือดต่ำ</t>
        </is>
      </c>
      <c r="H4" s="18" t="inlineStr">
        <is>
          <t>Glucose tolerance test &gt; 200 mg/dL</t>
        </is>
      </c>
      <c r="I4" s="15" t="inlineStr">
        <is>
          <t>5</t>
        </is>
      </c>
      <c r="J4" s="18"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ข้อนี้ไม่ใช่คำตอบที่ถูกต้องสำหรับภาวะ Diabetes mellitus เนื่องจากกลไกการออกฤทธิ์, efficacy หรือข้อบ่งใช้ไม่ตรงกับโจทย์ที่กำหนด
• ข้อ ข. (HbA1c &lt; 7%): ข้อนี้ไม่ใช่คำตอบที่ถูกต้องสำหรับภาวะ Diabetes mellitus เนื่องจากกลไกการออกฤทธิ์, efficacy หรือข้อบ่งใช้ไม่ตรงกับโจทย์ที่กำหนด
• ข้อ ค. (ปัสสาวะมากกว่า 3 ลิตร/วัน): ข้อนี้ไม่ใช่คำตอบที่ถูกต้องสำหรับภาวะ Diabetes mellitus เนื่องจากกลไกการออกฤทธิ์, efficacy หรือข้อบ่งใช้ไม่ตรงกับโจทย์ที่กำหนด
• ข้อ ง. (Insulin ในเลือดต่ำ):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18" t="inlineStr"/>
      <c r="L4" s="18" t="inlineStr">
        <is>
          <t>Diabetes mellitus</t>
        </is>
      </c>
      <c r="M4" s="18" t="inlineStr">
        <is>
          <t>Clinic</t>
        </is>
      </c>
      <c r="N4" s="18" t="inlineStr">
        <is>
          <t>ข้อ 1 ชุด 1 (เฉลยข้อ จ)</t>
        </is>
      </c>
      <c r="O4" s="18" t="inlineStr">
        <is>
          <t>Mock</t>
        </is>
      </c>
      <c r="P4" s="18" t="inlineStr">
        <is>
          <t>ชุด 1</t>
        </is>
      </c>
    </row>
    <row r="5">
      <c r="A5" s="15" t="inlineStr">
        <is>
          <t>2</t>
        </is>
      </c>
      <c r="B5" s="1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18" t="inlineStr"/>
      <c r="D5" s="18" t="inlineStr">
        <is>
          <t>Hypoglycemia</t>
        </is>
      </c>
      <c r="E5" s="18" t="inlineStr">
        <is>
          <t>Hyperglycemia</t>
        </is>
      </c>
      <c r="F5" s="18" t="inlineStr">
        <is>
          <t>Hypervolemia</t>
        </is>
      </c>
      <c r="G5" s="18" t="inlineStr">
        <is>
          <t>Hypovolemia</t>
        </is>
      </c>
      <c r="H5" s="18" t="inlineStr">
        <is>
          <t>Hypertension</t>
        </is>
      </c>
      <c r="I5" s="15" t="inlineStr">
        <is>
          <t>1</t>
        </is>
      </c>
      <c r="J5" s="18"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ข้อนี้ไม่ใช่คำตอบที่ถูกต้องสำหรับภาวะ Diabetes mellitus เนื่องจากกลไกการออกฤทธิ์, efficacy หรือข้อบ่งใช้ไม่ตรงกับโจทย์ที่กำหนด
• ข้อ ค. (Hypervolemia): ข้อนี้ไม่ใช่คำตอบที่ถูกต้องสำหรับภาวะ Diabetes mellitus เนื่องจากกลไกการออกฤทธิ์, efficacy หรือข้อบ่งใช้ไม่ตรงกับโจทย์ที่กำหนด
• ข้อ ง. (Hypovolemia): ข้อนี้ไม่ใช่คำตอบที่ถูกต้องสำหรับภาวะ Diabetes mellitus เนื่องจากกลไกการออกฤทธิ์, efficacy หรือข้อบ่งใช้ไม่ตรงกับโจทย์ที่กำหนด
• ข้อ จ. (Hypertension):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18" t="inlineStr"/>
      <c r="L5" s="18" t="inlineStr">
        <is>
          <t>Diabetes mellitus</t>
        </is>
      </c>
      <c r="M5" s="18" t="inlineStr">
        <is>
          <t>Clinic</t>
        </is>
      </c>
      <c r="N5" s="18" t="inlineStr">
        <is>
          <t>ข้อ 2 ชุด 1 (เฉลยข้อ ก)</t>
        </is>
      </c>
      <c r="O5" s="18" t="inlineStr">
        <is>
          <t>Mock</t>
        </is>
      </c>
      <c r="P5" s="18" t="inlineStr">
        <is>
          <t>ชุด 1</t>
        </is>
      </c>
    </row>
    <row r="6">
      <c r="A6" s="15" t="inlineStr">
        <is>
          <t>3</t>
        </is>
      </c>
      <c r="B6" s="1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18" t="inlineStr"/>
      <c r="D6" s="18" t="inlineStr">
        <is>
          <t>หยุดยา แล้วไปพบแพทย์</t>
        </is>
      </c>
      <c r="E6" s="18" t="inlineStr">
        <is>
          <t>ลดขนาดยา</t>
        </is>
      </c>
      <c r="F6" s="18" t="inlineStr">
        <is>
          <t>ให้ดื่มน้ำหวาน</t>
        </is>
      </c>
      <c r="G6" s="18" t="inlineStr">
        <is>
          <t>เพิ่มขนาดยา</t>
        </is>
      </c>
      <c r="H6" s="18" t="inlineStr">
        <is>
          <t>งดการดื่มกาแฟ</t>
        </is>
      </c>
      <c r="I6" s="15" t="inlineStr">
        <is>
          <t>3</t>
        </is>
      </c>
      <c r="J6" s="18"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ข้อนี้ไม่ใช่คำตอบที่ถูกต้องสำหรับภาวะ Diabetes mellitus เนื่องจากกลไกการออกฤทธิ์, efficacy หรือข้อบ่งใช้ไม่ตรงกับโจทย์ที่กำหนด
• ข้อ ข. (ลดขนาดยา): ข้อนี้ไม่ใช่คำตอบที่ถูกต้องสำหรับภาวะ Diabetes mellitus เนื่องจากกลไกการออกฤทธิ์, efficacy หรือข้อบ่งใช้ไม่ตรงกับโจทย์ที่กำหนด
• ข้อ ง. (เพิ่มขนาดยา): ข้อนี้ไม่ใช่คำตอบที่ถูกต้องสำหรับภาวะ Diabetes mellitus เนื่องจากกลไกการออกฤทธิ์, efficacy หรือข้อบ่งใช้ไม่ตรงกับโจทย์ที่กำหนด
• ข้อ จ. (งดการดื่มกาแฟ):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18" t="inlineStr"/>
      <c r="L6" s="18" t="inlineStr">
        <is>
          <t>Diabetes mellitus</t>
        </is>
      </c>
      <c r="M6" s="18" t="inlineStr">
        <is>
          <t>Clinic</t>
        </is>
      </c>
      <c r="N6" s="18" t="inlineStr">
        <is>
          <t>ข้อ 3 ชุด 1 (เฉลยข้อ ค)</t>
        </is>
      </c>
      <c r="O6" s="18" t="inlineStr">
        <is>
          <t>Mock</t>
        </is>
      </c>
      <c r="P6" s="18" t="inlineStr">
        <is>
          <t>ชุด 1</t>
        </is>
      </c>
    </row>
    <row r="7">
      <c r="A7" s="15" t="inlineStr">
        <is>
          <t>4</t>
        </is>
      </c>
      <c r="B7" s="18" t="inlineStr">
        <is>
          <t>ข้อใด ไม่ใช่ ภาวะแทรกซ้อนระยะยาวของโรคเบาหวาน</t>
        </is>
      </c>
      <c r="C7" s="18" t="inlineStr"/>
      <c r="D7" s="18" t="inlineStr">
        <is>
          <t>Retinopathy</t>
        </is>
      </c>
      <c r="E7" s="18" t="inlineStr">
        <is>
          <t>Nephropathy</t>
        </is>
      </c>
      <c r="F7" s="18" t="inlineStr">
        <is>
          <t>Neuropathy</t>
        </is>
      </c>
      <c r="G7" s="18" t="inlineStr">
        <is>
          <t>Glaucoma</t>
        </is>
      </c>
      <c r="H7" s="18" t="inlineStr">
        <is>
          <t>Atherosclerosis</t>
        </is>
      </c>
      <c r="I7" s="15" t="inlineStr">
        <is>
          <t>1</t>
        </is>
      </c>
      <c r="J7" s="18"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ภาวะแทรกซ้อนระยะยาวที่เป็นลักษณะเฉพาะ (Classic complications) ของโรคเบาหวานเกิดจากภาวะน้ำตาลในเลือดสูงเรื้อรัง ส่งผลต่อหลอดเลือดขนาดเล็ก (Microvascular: Retinopathy, Nephropathy, Neuropathy) และหลอดเลือดขนาดใหญ่ (Macrovascular: Atherosclerosis) ส่วนต้อหิน (Glaucoma) แม้จะพบความเสี่ยงเพิ่มขึ้นในผู้ป่วยเบาหวานบางราย แต่ไม่ได้จัดอยู่ในกลุ่มภาวะแทรกซ้อนหลักจากพยาธิสภาพของโรคเบาหวานโดยตรงเหมือนตัวเลือกอื่น
🔍 ข้ออื่นผิดเพราะอะไร:
• ข้อ ข. (Nephropathy): ข้อนี้ไม่ใช่คำตอบที่ถูกต้องสำหรับภาวะ Diabetes mellitus เนื่องจากกลไกการออกฤทธิ์, efficacy หรือข้อบ่งใช้ไม่ตรงกับโจทย์ที่กำหนด
• ข้อ ค. (Neuropathy): ข้อนี้ไม่ใช่คำตอบที่ถูกต้องสำหรับภาวะ Diabetes mellitus เนื่องจากกลไกการออกฤทธิ์, efficacy หรือข้อบ่งใช้ไม่ตรงกับโจทย์ที่กำหนด
• ข้อ ง. (Glaucoma): ข้อนี้ไม่ใช่คำตอบที่ถูกต้องสำหรับภาวะ Diabetes mellitus เนื่องจากกลไกการออกฤทธิ์, efficacy หรือข้อบ่งใช้ไม่ตรงกับโจทย์ที่กำหนด
• ข้อ จ. (Atherosclerosis):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 s="18" t="inlineStr"/>
      <c r="L7" s="18" t="inlineStr">
        <is>
          <t>Diabetes mellitus</t>
        </is>
      </c>
      <c r="M7" s="18" t="inlineStr">
        <is>
          <t>Clinic</t>
        </is>
      </c>
      <c r="N7" s="18" t="inlineStr">
        <is>
          <t>ข้อ 4 ชุด 1 (เฉลยข้อ )</t>
        </is>
      </c>
      <c r="O7" s="18" t="inlineStr">
        <is>
          <t>Mock</t>
        </is>
      </c>
      <c r="P7" s="18" t="inlineStr">
        <is>
          <t>ชุด 1</t>
        </is>
      </c>
    </row>
    <row r="8">
      <c r="A8" s="15" t="inlineStr">
        <is>
          <t>5</t>
        </is>
      </c>
      <c r="B8" s="18" t="inlineStr">
        <is>
          <t>ในโรงพยาบาลมี glipizide MR 30 mg แต่แพทย์ต้องการใช้ 15 mg สามารถแบ่งได้หรือไม่</t>
        </is>
      </c>
      <c r="C8" s="18" t="inlineStr"/>
      <c r="D8" s="18" t="inlineStr">
        <is>
          <t>แบ่งได้ เพราะได้ปริมาณยาเท่ากัน</t>
        </is>
      </c>
      <c r="E8" s="18" t="inlineStr">
        <is>
          <t>แบ่งได้ หักแบ่งแล้วละลายน้ำ</t>
        </is>
      </c>
      <c r="F8" s="18" t="inlineStr">
        <is>
          <t>แบ่งไม่ได้ เพราะมีผลต่อการปลดปล่อยยา</t>
        </is>
      </c>
      <c r="G8" s="18" t="inlineStr">
        <is>
          <t>แบ่งไม่ได้ เพราะตัวยาที่ได้อาจไม่เท่ากัน</t>
        </is>
      </c>
      <c r="H8" s="18" t="inlineStr">
        <is>
          <t>แบ่งไม่ได้ เพราะยาสลายตัวเมื่อสัมผัสสิ่งแวดล้อม</t>
        </is>
      </c>
      <c r="I8" s="15" t="inlineStr">
        <is>
          <t>3</t>
        </is>
      </c>
      <c r="J8" s="18"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ข้อนี้ไม่ใช่คำตอบที่ถูกต้องสำหรับภาวะ Diabetes mellitus เนื่องจากกลไกการออกฤทธิ์, efficacy หรือข้อบ่งใช้ไม่ตรงกับโจทย์ที่กำหนด
• ข้อ ข. (แบ่งได้ หักแบ่งแล้วละลายน้ำ): ข้อนี้ไม่ใช่คำตอบที่ถูกต้องสำหรับภาวะ Diabetes mellitus เนื่องจากกลไกการออกฤทธิ์, efficacy หรือข้อบ่งใช้ไม่ตรงกับโจทย์ที่กำหนด
• ข้อ ง. (แบ่งไม่ได้ เพราะตัวยาที่ได้อาจไม่เท่ากัน): ข้อนี้ไม่ใช่คำตอบที่ถูกต้องสำหรับภาวะ Diabetes mellitus เนื่องจากกลไกการออกฤทธิ์, efficacy หรือข้อบ่งใช้ไม่ตรงกับโจทย์ที่กำหนด
• ข้อ จ. (แบ่งไม่ได้ เพราะยาสลายตัวเมื่อสัมผัสสิ่งแวดล้อม):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18" t="inlineStr"/>
      <c r="L8" s="18" t="inlineStr">
        <is>
          <t>Diabetes mellitus</t>
        </is>
      </c>
      <c r="M8" s="18" t="inlineStr">
        <is>
          <t>Clinic</t>
        </is>
      </c>
      <c r="N8" s="18" t="inlineStr">
        <is>
          <t>ข้อ 5 ชุด 1 (เฉลยข้อ ค)</t>
        </is>
      </c>
      <c r="O8" s="18" t="inlineStr">
        <is>
          <t>Mock</t>
        </is>
      </c>
      <c r="P8" s="18" t="inlineStr">
        <is>
          <t>ชุด 1</t>
        </is>
      </c>
    </row>
    <row r="9">
      <c r="A9" s="15" t="inlineStr">
        <is>
          <t>6</t>
        </is>
      </c>
      <c r="B9" s="18" t="inlineStr">
        <is>
          <t>ข้อใดคือกลไกการออกฤทธิ์ของยา chlorpropamide</t>
        </is>
      </c>
      <c r="C9" s="18" t="inlineStr"/>
      <c r="D9" s="18" t="inlineStr">
        <is>
          <t>กระตุ้นการหลั่งอินซูลิน</t>
        </is>
      </c>
      <c r="E9" s="18" t="inlineStr">
        <is>
          <t>เพิ่มความไวของอินซูลินที่กล้ามเนื้อ</t>
        </is>
      </c>
      <c r="F9" s="18" t="inlineStr">
        <is>
          <t>ลดการดูดซึมน้ำตาลในทางเดินอาหาร</t>
        </is>
      </c>
      <c r="G9" s="18" t="inlineStr">
        <is>
          <t>ยับยั้งการย่อยน้ำตาลในลำไส้</t>
        </is>
      </c>
      <c r="H9" s="18" t="inlineStr">
        <is>
          <t>ลดการสร้างน้ำตาลกลูโคสในตับ</t>
        </is>
      </c>
      <c r="I9" s="15" t="inlineStr">
        <is>
          <t>1</t>
        </is>
      </c>
      <c r="J9" s="18"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ข้อนี้ไม่ใช่คำตอบที่ถูกต้องสำหรับภาวะ Diabetes mellitus เนื่องจากกลไกการออกฤทธิ์, efficacy หรือข้อบ่งใช้ไม่ตรงกับโจทย์ที่กำหนด
• ข้อ ค. (ลดการดูดซึมน้ำตาลในทางเดินอาหาร): ข้อนี้ไม่ใช่คำตอบที่ถูกต้องสำหรับภาวะ Diabetes mellitus เนื่องจากกลไกการออกฤทธิ์, efficacy หรือข้อบ่งใช้ไม่ตรงกับโจทย์ที่กำหนด
• ข้อ ง. (ยับยั้งการย่อยน้ำตาลในลำไส้): ข้อนี้ไม่ใช่คำตอบที่ถูกต้องสำหรับภาวะ Diabetes mellitus เนื่องจากกลไกการออกฤทธิ์, efficacy หรือข้อบ่งใช้ไม่ตรงกับโจทย์ที่กำหนด
• ข้อ จ. (ลดการสร้างน้ำตาลกลูโคสในตับ):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18" t="inlineStr"/>
      <c r="L9" s="18" t="inlineStr">
        <is>
          <t>Diabetes mellitus</t>
        </is>
      </c>
      <c r="M9" s="18" t="inlineStr">
        <is>
          <t>Clinic</t>
        </is>
      </c>
      <c r="N9" s="18" t="inlineStr">
        <is>
          <t>ข้อ 6 ชุด 1 (เฉลยข้อ ก)</t>
        </is>
      </c>
      <c r="O9" s="18" t="inlineStr">
        <is>
          <t>Mock</t>
        </is>
      </c>
      <c r="P9" s="18" t="inlineStr">
        <is>
          <t>ชุด 1</t>
        </is>
      </c>
    </row>
    <row r="10">
      <c r="A10" s="15" t="inlineStr">
        <is>
          <t>7</t>
        </is>
      </c>
      <c r="B10" s="18" t="inlineStr">
        <is>
          <t>ยาฉีดอินซูลินในข้อใดที่ออกฤทธิ์แบบ intermediate</t>
        </is>
      </c>
      <c r="C10" s="18" t="inlineStr"/>
      <c r="D10" s="18" t="inlineStr">
        <is>
          <t>Regular insulin</t>
        </is>
      </c>
      <c r="E10" s="18" t="inlineStr">
        <is>
          <t>Neutral insulin</t>
        </is>
      </c>
      <c r="F10" s="18" t="inlineStr">
        <is>
          <t>NPH insulin</t>
        </is>
      </c>
      <c r="G10" s="18" t="inlineStr">
        <is>
          <t>Insulin lispro</t>
        </is>
      </c>
      <c r="H10" s="18" t="inlineStr">
        <is>
          <t>Insulin glargine</t>
        </is>
      </c>
      <c r="I10" s="15" t="inlineStr">
        <is>
          <t>3</t>
        </is>
      </c>
      <c r="J10" s="18"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ข้อนี้ไม่ใช่คำตอบที่ถูกต้องสำหรับภาวะ Diabetes mellitus เนื่องจากกลไกการออกฤทธิ์, efficacy หรือข้อบ่งใช้ไม่ตรงกับโจทย์ที่กำหนด
• ข้อ ข. (Neutral insulin): ข้อนี้ไม่ใช่คำตอบที่ถูกต้องสำหรับภาวะ Diabetes mellitus เนื่องจากกลไกการออกฤทธิ์, efficacy หรือข้อบ่งใช้ไม่ตรงกับโจทย์ที่กำหนด
• ข้อ ง. (Insulin lispro): ข้อนี้ไม่ใช่คำตอบที่ถูกต้องสำหรับภาวะ Diabetes mellitus เนื่องจากกลไกการออกฤทธิ์, efficacy หรือข้อบ่งใช้ไม่ตรงกับโจทย์ที่กำหนด
• ข้อ จ. (Insulin glargine):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18" t="inlineStr"/>
      <c r="L10" s="18" t="inlineStr">
        <is>
          <t>Diabetes mellitus</t>
        </is>
      </c>
      <c r="M10" s="18" t="inlineStr">
        <is>
          <t>Clinic</t>
        </is>
      </c>
      <c r="N10" s="18" t="inlineStr">
        <is>
          <t>ข้อ 7 ชุด 1 (เฉลยข้อ ค)</t>
        </is>
      </c>
      <c r="O10" s="18" t="inlineStr">
        <is>
          <t>Mock</t>
        </is>
      </c>
      <c r="P10" s="18" t="inlineStr">
        <is>
          <t>ชุด 1</t>
        </is>
      </c>
    </row>
    <row r="11">
      <c r="A11" s="15" t="inlineStr">
        <is>
          <t>8</t>
        </is>
      </c>
      <c r="B11" s="18"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18" t="inlineStr"/>
      <c r="D11" s="18" t="inlineStr">
        <is>
          <t>DM type 2</t>
        </is>
      </c>
      <c r="E11" s="18" t="inlineStr">
        <is>
          <t>DM type 1</t>
        </is>
      </c>
      <c r="F11" s="18" t="inlineStr">
        <is>
          <t>Gestational DM</t>
        </is>
      </c>
      <c r="G11" s="18" t="inlineStr">
        <is>
          <t>Classification DM</t>
        </is>
      </c>
      <c r="H11" s="18" t="inlineStr">
        <is>
          <t>DM type 3</t>
        </is>
      </c>
      <c r="I11" s="15" t="inlineStr">
        <is>
          <t>1</t>
        </is>
      </c>
      <c r="J11" s="18"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ข้อนี้ไม่ใช่คำตอบที่ถูกต้องสำหรับภาวะ Diabetes mellitus เนื่องจากกลไกการออกฤทธิ์, efficacy หรือข้อบ่งใช้ไม่ตรงกับโจทย์ที่กำหนด
• ข้อ ค. (Gestational DM): ข้อนี้ไม่ใช่คำตอบที่ถูกต้องสำหรับภาวะ Diabetes mellitus เนื่องจากกลไกการออกฤทธิ์, efficacy หรือข้อบ่งใช้ไม่ตรงกับโจทย์ที่กำหนด
• ข้อ ง. (Classification DM): ข้อนี้ไม่ใช่คำตอบที่ถูกต้องสำหรับภาวะ Diabetes mellitus เนื่องจากกลไกการออกฤทธิ์, efficacy หรือข้อบ่งใช้ไม่ตรงกับโจทย์ที่กำหนด
• ข้อ จ. (DM type 3):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18" t="inlineStr"/>
      <c r="L11" s="18" t="inlineStr">
        <is>
          <t>Diabetes mellitus</t>
        </is>
      </c>
      <c r="M11" s="18" t="inlineStr">
        <is>
          <t>Clinic</t>
        </is>
      </c>
      <c r="N11" s="18" t="inlineStr">
        <is>
          <t>ข้อ 8 ชุด 1 (เฉลยข้อ ก)</t>
        </is>
      </c>
      <c r="O11" s="18" t="inlineStr">
        <is>
          <t>Mock</t>
        </is>
      </c>
      <c r="P11" s="18" t="inlineStr">
        <is>
          <t>ชุด 1</t>
        </is>
      </c>
    </row>
    <row r="12">
      <c r="A12" s="15" t="inlineStr">
        <is>
          <t>9</t>
        </is>
      </c>
      <c r="B12" s="18" t="inlineStr">
        <is>
          <t>Drug of choice ในการรักษา DM ตาม ADA Guideline คือยาใด</t>
        </is>
      </c>
      <c r="C12" s="18" t="inlineStr"/>
      <c r="D12" s="18" t="inlineStr">
        <is>
          <t>Metformin</t>
        </is>
      </c>
      <c r="E12" s="18" t="inlineStr">
        <is>
          <t>Sulfonylurea</t>
        </is>
      </c>
      <c r="F12" s="18" t="inlineStr">
        <is>
          <t>TZDs</t>
        </is>
      </c>
      <c r="G12" s="18" t="inlineStr">
        <is>
          <t>Insulin</t>
        </is>
      </c>
      <c r="H12" s="18" t="inlineStr">
        <is>
          <t>Alpha-glucosidase</t>
        </is>
      </c>
      <c r="I12" s="15" t="inlineStr">
        <is>
          <t>1</t>
        </is>
      </c>
      <c r="J12" s="18"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ข้อนี้ไม่ใช่คำตอบที่ถูกต้องสำหรับภาวะ Diabetes mellitus เนื่องจากกลไกการออกฤทธิ์, efficacy หรือข้อบ่งใช้ไม่ตรงกับโจทย์ที่กำหนด
• ข้อ ค. (TZDs): ข้อนี้ไม่ใช่คำตอบที่ถูกต้องสำหรับภาวะ Diabetes mellitus เนื่องจากกลไกการออกฤทธิ์, efficacy หรือข้อบ่งใช้ไม่ตรงกับโจทย์ที่กำหนด
• ข้อ ง. (Insulin): ข้อนี้ไม่ใช่คำตอบที่ถูกต้องสำหรับภาวะ Diabetes mellitus เนื่องจากกลไกการออกฤทธิ์, efficacy หรือข้อบ่งใช้ไม่ตรงกับโจทย์ที่กำหนด
• ข้อ จ. (Alpha-glucosidase):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18" t="inlineStr"/>
      <c r="L12" s="18" t="inlineStr">
        <is>
          <t>Diabetes mellitus</t>
        </is>
      </c>
      <c r="M12" s="18" t="inlineStr">
        <is>
          <t>Clinic</t>
        </is>
      </c>
      <c r="N12" s="18" t="inlineStr">
        <is>
          <t>ข้อ 9 ชุด 1 (เฉลยข้อ ก)</t>
        </is>
      </c>
      <c r="O12" s="18" t="inlineStr">
        <is>
          <t>Mock</t>
        </is>
      </c>
      <c r="P12" s="18" t="inlineStr">
        <is>
          <t>ชุด 1</t>
        </is>
      </c>
    </row>
    <row r="13">
      <c r="A13" s="15" t="inlineStr">
        <is>
          <t>10</t>
        </is>
      </c>
      <c r="B13" s="18" t="inlineStr">
        <is>
          <t>เป้าหมายของโรคเบาหวานในผู้ป่วยทั่วไป ตาม ADA Guideline คือ</t>
        </is>
      </c>
      <c r="C13" s="18" t="inlineStr"/>
      <c r="D13" s="18" t="inlineStr">
        <is>
          <t>HbA1C &lt; 6.5</t>
        </is>
      </c>
      <c r="E13" s="18" t="inlineStr">
        <is>
          <t>HbA1C &lt; 7</t>
        </is>
      </c>
      <c r="F13" s="18" t="inlineStr">
        <is>
          <t>HbA1C &lt; 7.5</t>
        </is>
      </c>
      <c r="G13" s="18" t="inlineStr">
        <is>
          <t>HbA1C &lt; 8</t>
        </is>
      </c>
      <c r="H13" s="18" t="inlineStr">
        <is>
          <t>HbA1C &lt; 8.5</t>
        </is>
      </c>
      <c r="I13" s="15" t="inlineStr">
        <is>
          <t>2</t>
        </is>
      </c>
      <c r="J13" s="18"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ข้อนี้ไม่ใช่คำตอบที่ถูกต้องสำหรับภาวะ Diabetes mellitus เนื่องจากกลไกการออกฤทธิ์, efficacy หรือข้อบ่งใช้ไม่ตรงกับโจทย์ที่กำหนด
• ข้อ ค. (HbA1C &lt; 7.5): ข้อนี้ไม่ใช่คำตอบที่ถูกต้องสำหรับภาวะ Diabetes mellitus เนื่องจากกลไกการออกฤทธิ์, efficacy หรือข้อบ่งใช้ไม่ตรงกับโจทย์ที่กำหนด
• ข้อ ง. (HbA1C &lt; 8): ข้อนี้ไม่ใช่คำตอบที่ถูกต้องสำหรับภาวะ Diabetes mellitus เนื่องจากกลไกการออกฤทธิ์, efficacy หรือข้อบ่งใช้ไม่ตรงกับโจทย์ที่กำหนด
• ข้อ จ. (HbA1C &lt; 8.5):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18" t="inlineStr"/>
      <c r="L13" s="18" t="inlineStr">
        <is>
          <t>Diabetes mellitus</t>
        </is>
      </c>
      <c r="M13" s="18" t="inlineStr">
        <is>
          <t>Clinic</t>
        </is>
      </c>
      <c r="N13" s="18" t="inlineStr">
        <is>
          <t>ข้อ 10 ชุด 1 (เฉลยข้อ ข)</t>
        </is>
      </c>
      <c r="O13" s="18" t="inlineStr">
        <is>
          <t>Mock</t>
        </is>
      </c>
      <c r="P13" s="18" t="inlineStr">
        <is>
          <t>ชุด 1</t>
        </is>
      </c>
    </row>
    <row r="14">
      <c r="A14" s="15" t="inlineStr">
        <is>
          <t>11</t>
        </is>
      </c>
      <c r="B14" s="18" t="inlineStr">
        <is>
          <t>ข้อใดไม่ใช่ S/E ของยาลดระดับน้ำตาลชนิดรับประทาน</t>
        </is>
      </c>
      <c r="C14" s="18" t="inlineStr"/>
      <c r="D14" s="18" t="inlineStr">
        <is>
          <t>Lipoatrophy</t>
        </is>
      </c>
      <c r="E14" s="18" t="inlineStr">
        <is>
          <t>Hypoglycemia</t>
        </is>
      </c>
      <c r="F14" s="18" t="inlineStr">
        <is>
          <t>Ketonuria</t>
        </is>
      </c>
      <c r="G14" s="18" t="inlineStr">
        <is>
          <t>Hepatotoxic</t>
        </is>
      </c>
      <c r="H14" s="18" t="inlineStr">
        <is>
          <t>Lactic acidosis</t>
        </is>
      </c>
      <c r="I14" s="15" t="inlineStr">
        <is>
          <t>1</t>
        </is>
      </c>
      <c r="J14" s="18"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ข้อนี้ไม่ใช่คำตอบที่ถูกต้องสำหรับภาวะ Diabetes mellitus เนื่องจากกลไกการออกฤทธิ์, efficacy หรือข้อบ่งใช้ไม่ตรงกับโจทย์ที่กำหนด
• ข้อ ค. (Ketonuria): ข้อนี้ไม่ใช่คำตอบที่ถูกต้องสำหรับภาวะ Diabetes mellitus เนื่องจากกลไกการออกฤทธิ์, efficacy หรือข้อบ่งใช้ไม่ตรงกับโจทย์ที่กำหนด
• ข้อ ง. (Hepatotoxic): ข้อนี้ไม่ใช่คำตอบที่ถูกต้องสำหรับภาวะ Diabetes mellitus เนื่องจากกลไกการออกฤทธิ์, efficacy หรือข้อบ่งใช้ไม่ตรงกับโจทย์ที่กำหนด
• ข้อ จ. (Lactic acidosis):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18" t="inlineStr"/>
      <c r="L14" s="18" t="inlineStr">
        <is>
          <t>Diabetes mellitus</t>
        </is>
      </c>
      <c r="M14" s="18" t="inlineStr">
        <is>
          <t>Clinic</t>
        </is>
      </c>
      <c r="N14" s="18" t="inlineStr">
        <is>
          <t>ข้อ 11 ชุด 1 (เฉลยข้อ ก)</t>
        </is>
      </c>
      <c r="O14" s="18" t="inlineStr">
        <is>
          <t>Mock</t>
        </is>
      </c>
      <c r="P14" s="18" t="inlineStr">
        <is>
          <t>ชุด 1</t>
        </is>
      </c>
    </row>
    <row r="15">
      <c r="A15" s="15" t="inlineStr">
        <is>
          <t>12</t>
        </is>
      </c>
      <c r="B15" s="18"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18" t="inlineStr"/>
      <c r="D15" s="18" t="inlineStr">
        <is>
          <t>Rapid acting</t>
        </is>
      </c>
      <c r="E15" s="18" t="inlineStr">
        <is>
          <t>Short acting</t>
        </is>
      </c>
      <c r="F15" s="18" t="inlineStr">
        <is>
          <t>Inhaler</t>
        </is>
      </c>
      <c r="G15" s="18" t="inlineStr">
        <is>
          <t>Long acting</t>
        </is>
      </c>
      <c r="H15" s="18" t="inlineStr">
        <is>
          <t>Intermediate</t>
        </is>
      </c>
      <c r="I15" s="15" t="inlineStr">
        <is>
          <t>4</t>
        </is>
      </c>
      <c r="J15" s="18"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ข้อนี้ไม่ใช่คำตอบที่ถูกต้องสำหรับภาวะ Diabetes mellitus เนื่องจากกลไกการออกฤทธิ์, efficacy หรือข้อบ่งใช้ไม่ตรงกับโจทย์ที่กำหนด
• ข้อ ข. (Short acting): ข้อนี้ไม่ใช่คำตอบที่ถูกต้องสำหรับภาวะ Diabetes mellitus เนื่องจากกลไกการออกฤทธิ์, efficacy หรือข้อบ่งใช้ไม่ตรงกับโจทย์ที่กำหนด
• ข้อ ค. (Inhaler): ข้อนี้ไม่ใช่คำตอบที่ถูกต้องสำหรับภาวะ Diabetes mellitus เนื่องจากกลไกการออกฤทธิ์, efficacy หรือข้อบ่งใช้ไม่ตรงกับโจทย์ที่กำหนด
• ข้อ จ. (Intermediate):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18" t="inlineStr"/>
      <c r="L15" s="18" t="inlineStr">
        <is>
          <t>Diabetes mellitus</t>
        </is>
      </c>
      <c r="M15" s="18" t="inlineStr">
        <is>
          <t>Clinic</t>
        </is>
      </c>
      <c r="N15" s="18" t="inlineStr">
        <is>
          <t>ข้อ 12 ชุด 1 (เฉลยข้อ ง)</t>
        </is>
      </c>
      <c r="O15" s="18" t="inlineStr">
        <is>
          <t>Mock</t>
        </is>
      </c>
      <c r="P15" s="18" t="inlineStr">
        <is>
          <t>ชุด 1</t>
        </is>
      </c>
    </row>
    <row r="16">
      <c r="A16" s="15" t="inlineStr">
        <is>
          <t>13</t>
        </is>
      </c>
      <c r="B16" s="1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18" t="inlineStr"/>
      <c r="D16" s="18" t="inlineStr">
        <is>
          <t>พ่อ แม่มีประวัติเป็นโรคเบาหวานและความดันโลหิตสูง</t>
        </is>
      </c>
      <c r="E16" s="18" t="inlineStr">
        <is>
          <t>แม่เสียชีวิตด้วยโรคหัวใจและหลอดเลือด</t>
        </is>
      </c>
      <c r="F16" s="18" t="inlineStr">
        <is>
          <t>มีประวัติชอบสูบบุหรี่</t>
        </is>
      </c>
      <c r="G16" s="18" t="inlineStr">
        <is>
          <t>ออกกำลังกาย 1-2 ครั้งต่อเดือน</t>
        </is>
      </c>
      <c r="H16" s="18" t="inlineStr">
        <is>
          <t>ชอบรับประทานอาหารเค็ม</t>
        </is>
      </c>
      <c r="I16" s="15" t="inlineStr">
        <is>
          <t>2</t>
        </is>
      </c>
      <c r="J16" s="18"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ข้อนี้ไม่ใช่คำตอบที่ถูกต้องสำหรับภาวะ Diabetes mellitus เนื่องจากกลไกการออกฤทธิ์, efficacy หรือข้อบ่งใช้ไม่ตรงกับโจทย์ที่กำหนด
• ข้อ ค. (มีประวัติชอบสูบบุหรี่): ข้อนี้ไม่ใช่คำตอบที่ถูกต้องสำหรับภาวะ Diabetes mellitus เนื่องจากกลไกการออกฤทธิ์, efficacy หรือข้อบ่งใช้ไม่ตรงกับโจทย์ที่กำหนด
• ข้อ ง. (ออกกำลังกาย 1-2 ครั้งต่อเดือน): ข้อนี้ไม่ใช่คำตอบที่ถูกต้องสำหรับภาวะ Diabetes mellitus เนื่องจากกลไกการออกฤทธิ์, efficacy หรือข้อบ่งใช้ไม่ตรงกับโจทย์ที่กำหนด
• ข้อ จ. (ชอบรับประทานอาหารเค็ม):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18" t="inlineStr"/>
      <c r="L16" s="18" t="inlineStr">
        <is>
          <t>Diabetes mellitus</t>
        </is>
      </c>
      <c r="M16" s="18" t="inlineStr">
        <is>
          <t>Clinic</t>
        </is>
      </c>
      <c r="N16" s="18" t="inlineStr">
        <is>
          <t>ข้อ 13 ชุด 1 (เฉลยข้อ ข)</t>
        </is>
      </c>
      <c r="O16" s="18" t="inlineStr">
        <is>
          <t>Mock</t>
        </is>
      </c>
      <c r="P16" s="18" t="inlineStr">
        <is>
          <t>ชุด 1</t>
        </is>
      </c>
    </row>
    <row r="17">
      <c r="A17" s="15" t="inlineStr">
        <is>
          <t>14</t>
        </is>
      </c>
      <c r="B17" s="1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18" t="inlineStr"/>
      <c r="D17" s="18" t="inlineStr">
        <is>
          <t>แม่เป็นเบาหวานและความดัน</t>
        </is>
      </c>
      <c r="E17" s="18" t="inlineStr">
        <is>
          <t>แม่ตายด้วยโรคหัวใจขาดเลือด</t>
        </is>
      </c>
      <c r="F17" s="18" t="inlineStr">
        <is>
          <t>สูบบุหรี่วันละ 20 มวน</t>
        </is>
      </c>
      <c r="G17" s="18" t="inlineStr">
        <is>
          <t>ออกกำลังกาย 1-2 ครั้ง/เดือน</t>
        </is>
      </c>
      <c r="H17" s="18" t="inlineStr">
        <is>
          <t>ดื่มไวน์ 1-2 แก้ว/เดือน</t>
        </is>
      </c>
      <c r="I17" s="15" t="inlineStr">
        <is>
          <t>1</t>
        </is>
      </c>
      <c r="J17" s="18"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ข้อนี้ไม่ใช่คำตอบที่ถูกต้องสำหรับภาวะ Diabetes mellitus เนื่องจากกลไกการออกฤทธิ์, efficacy หรือข้อบ่งใช้ไม่ตรงกับโจทย์ที่กำหนด
• ข้อ ค. (สูบบุหรี่วันละ 20 มวน): ข้อนี้ไม่ใช่คำตอบที่ถูกต้องสำหรับภาวะ Diabetes mellitus เนื่องจากกลไกการออกฤทธิ์, efficacy หรือข้อบ่งใช้ไม่ตรงกับโจทย์ที่กำหนด
• ข้อ ง. (ออกกำลังกาย 1-2 ครั้ง/เดือน): ข้อนี้ไม่ใช่คำตอบที่ถูกต้องสำหรับภาวะ Diabetes mellitus เนื่องจากกลไกการออกฤทธิ์, efficacy หรือข้อบ่งใช้ไม่ตรงกับโจทย์ที่กำหนด
• ข้อ จ. (ดื่มไวน์ 1-2 แก้ว/เดือน):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18" t="inlineStr"/>
      <c r="L17" s="18" t="inlineStr">
        <is>
          <t>Diabetes mellitus</t>
        </is>
      </c>
      <c r="M17" s="18" t="inlineStr">
        <is>
          <t>Clinic</t>
        </is>
      </c>
      <c r="N17" s="18" t="inlineStr">
        <is>
          <t>ข้อ 14 ชุด 1 (เฉลยข้อ ก)</t>
        </is>
      </c>
      <c r="O17" s="18" t="inlineStr">
        <is>
          <t>Mock</t>
        </is>
      </c>
      <c r="P17" s="18" t="inlineStr">
        <is>
          <t>ชุด 1</t>
        </is>
      </c>
    </row>
    <row r="18">
      <c r="A18" s="15" t="inlineStr">
        <is>
          <t>15</t>
        </is>
      </c>
      <c r="B18" s="1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18" t="inlineStr"/>
      <c r="D18" s="18" t="inlineStr">
        <is>
          <t>งดสูบบุหรี่</t>
        </is>
      </c>
      <c r="E18" s="18" t="inlineStr">
        <is>
          <t>ลดอาหารเค็ม</t>
        </is>
      </c>
      <c r="F18" s="18" t="inlineStr">
        <is>
          <t>ลดน้ำหนัก</t>
        </is>
      </c>
      <c r="G18" s="18" t="inlineStr">
        <is>
          <t>ออกกำลังกายเพิ่มเติม</t>
        </is>
      </c>
      <c r="H18" s="18" t="inlineStr">
        <is>
          <t>ลดการบริโภคน้ำตาล</t>
        </is>
      </c>
      <c r="I18" s="15" t="inlineStr">
        <is>
          <t>2</t>
        </is>
      </c>
      <c r="J18" s="18"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ข้อนี้ไม่ใช่คำตอบที่ถูกต้องสำหรับภาวะ Diabetes mellitus เนื่องจากกลไกการออกฤทธิ์, efficacy หรือข้อบ่งใช้ไม่ตรงกับโจทย์ที่กำหนด
• ข้อ ค. (ลดน้ำหนัก): ข้อนี้ไม่ใช่คำตอบที่ถูกต้องสำหรับภาวะ Diabetes mellitus เนื่องจากกลไกการออกฤทธิ์, efficacy หรือข้อบ่งใช้ไม่ตรงกับโจทย์ที่กำหนด
• ข้อ ง. (ออกกำลังกายเพิ่มเติม): ข้อนี้ไม่ใช่คำตอบที่ถูกต้องสำหรับภาวะ Diabetes mellitus เนื่องจากกลไกการออกฤทธิ์, efficacy หรือข้อบ่งใช้ไม่ตรงกับโจทย์ที่กำหนด
• ข้อ จ. (ลดการบริโภคน้ำตาล):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18" t="inlineStr"/>
      <c r="L18" s="18" t="inlineStr">
        <is>
          <t>Diabetes mellitus</t>
        </is>
      </c>
      <c r="M18" s="18" t="inlineStr">
        <is>
          <t>Clinic</t>
        </is>
      </c>
      <c r="N18" s="18" t="inlineStr">
        <is>
          <t>ข้อ 15 ชุด 1 (เฉลยข้อ ข)</t>
        </is>
      </c>
      <c r="O18" s="18" t="inlineStr">
        <is>
          <t>Mock</t>
        </is>
      </c>
      <c r="P18" s="18" t="inlineStr">
        <is>
          <t>ชุด 1</t>
        </is>
      </c>
    </row>
    <row r="19">
      <c r="A19" s="15" t="inlineStr">
        <is>
          <t>16</t>
        </is>
      </c>
      <c r="B19" s="1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18" t="inlineStr"/>
      <c r="D19" s="18" t="inlineStr">
        <is>
          <t>ผู้ป่วยเป็น pre-diabetes ให้เปลี่ยนพฤติกรรมการกิน และคอยตรวจเป็นประจำทุก 1-3 ปี</t>
        </is>
      </c>
      <c r="E19" s="18" t="inlineStr">
        <is>
          <t>สงสัยว่าผู้ป่วยเป็นเบาหวาน แนะนำให้ออกกำลังกาย</t>
        </is>
      </c>
      <c r="F19" s="18" t="inlineStr">
        <is>
          <t>เป็น DM type 2 ต้องรีบให้ยาพร้อมปรับเปลี่ยนพฤติกรรมเพื่อรักษาผู้ป่วย</t>
        </is>
      </c>
      <c r="G19" s="18" t="inlineStr">
        <is>
          <t>ผู้ป่วยเป็น pre-diabetes แนะนำให้มาเจาะเลือดทุก 3 ปี</t>
        </is>
      </c>
      <c r="H19" s="18" t="inlineStr">
        <is>
          <t>ผู้ป่วยเป็น DM type 2 ให้รีบส่งต่อผู้ป่วย</t>
        </is>
      </c>
      <c r="I19" s="15" t="inlineStr">
        <is>
          <t>3</t>
        </is>
      </c>
      <c r="J19" s="18"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ข้อนี้ไม่ใช่คำตอบที่ถูกต้องสำหรับภาวะ Diabetes mellitus เนื่องจากกลไกการออกฤทธิ์, efficacy หรือข้อบ่งใช้ไม่ตรงกับโจทย์ที่กำหนด
• ข้อ ข. (สงสัยว่าผู้ป่วยเป็นเบาหวาน แนะนำให้ออกกำลังกาย): ข้อนี้ไม่ใช่คำตอบที่ถูกต้องสำหรับภาวะ Diabetes mellitus เนื่องจากกลไกการออกฤทธิ์, efficacy หรือข้อบ่งใช้ไม่ตรงกับโจทย์ที่กำหนด
• ข้อ ง. (ผู้ป่วยเป็น pre-diabetes แนะนำให้มาเจาะเลือดทุก 3 ปี): ข้อนี้ไม่ใช่คำตอบที่ถูกต้องสำหรับภาวะ Diabetes mellitus เนื่องจากกลไกการออกฤทธิ์, efficacy หรือข้อบ่งใช้ไม่ตรงกับโจทย์ที่กำหนด
• ข้อ จ. (ผู้ป่วยเป็น DM type 2 ให้รีบส่งต่อผู้ป่วย):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18" t="inlineStr"/>
      <c r="L19" s="18" t="inlineStr">
        <is>
          <t>Diabetes mellitus</t>
        </is>
      </c>
      <c r="M19" s="18" t="inlineStr">
        <is>
          <t>Clinic</t>
        </is>
      </c>
      <c r="N19" s="18" t="inlineStr">
        <is>
          <t>ข้อ 16 ชุด 1 (เฉลยข้อ ค)</t>
        </is>
      </c>
      <c r="O19" s="18" t="inlineStr">
        <is>
          <t>Mock</t>
        </is>
      </c>
      <c r="P19" s="18" t="inlineStr">
        <is>
          <t>ชุด 1</t>
        </is>
      </c>
    </row>
    <row r="20">
      <c r="A20" s="15" t="inlineStr">
        <is>
          <t>17</t>
        </is>
      </c>
      <c r="B20" s="18" t="inlineStr">
        <is>
          <t>2 ปีต่อมา ผู้ป่วยมาพบแพทย์ มีค่า Lab ดังนี้
FBS 210 mg% จ่าย Metformin 1x2 60
ค่าผลปฏิบัติการใดที่บ่งบอกว่าผู้ป่วยเป็น hyperglycemia</t>
        </is>
      </c>
      <c r="C20" s="18" t="inlineStr"/>
      <c r="D20" s="18" t="inlineStr">
        <is>
          <t>FBS 210%</t>
        </is>
      </c>
      <c r="E20" s="18" t="inlineStr">
        <is>
          <t>Cholesterol</t>
        </is>
      </c>
      <c r="F20" s="18" t="inlineStr">
        <is>
          <t>LDL</t>
        </is>
      </c>
      <c r="G20" s="18" t="inlineStr">
        <is>
          <t>HDL 35%</t>
        </is>
      </c>
      <c r="H20" s="18" t="inlineStr">
        <is>
          <t>TGS</t>
        </is>
      </c>
      <c r="I20" s="15" t="inlineStr">
        <is>
          <t>1</t>
        </is>
      </c>
      <c r="J20" s="18"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ข้อนี้ไม่ใช่คำตอบที่ถูกต้องสำหรับภาวะ Diabetes mellitus เนื่องจากกลไกการออกฤทธิ์, efficacy หรือข้อบ่งใช้ไม่ตรงกับโจทย์ที่กำหนด
• ข้อ ค. (LDL): ข้อนี้ไม่ใช่คำตอบที่ถูกต้องสำหรับภาวะ Diabetes mellitus เนื่องจากกลไกการออกฤทธิ์, efficacy หรือข้อบ่งใช้ไม่ตรงกับโจทย์ที่กำหนด
• ข้อ ง. (HDL 35%): ข้อนี้ไม่ใช่คำตอบที่ถูกต้องสำหรับภาวะ Diabetes mellitus เนื่องจากกลไกการออกฤทธิ์, efficacy หรือข้อบ่งใช้ไม่ตรงกับโจทย์ที่กำหนด
• ข้อ จ. (TGS):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18" t="inlineStr"/>
      <c r="L20" s="18" t="inlineStr">
        <is>
          <t>Diabetes mellitus</t>
        </is>
      </c>
      <c r="M20" s="18" t="inlineStr">
        <is>
          <t>Clinic</t>
        </is>
      </c>
      <c r="N20" s="18" t="inlineStr">
        <is>
          <t>ข้อ 17 ชุด 1 (เฉลยข้อ ก)</t>
        </is>
      </c>
      <c r="O20" s="18" t="inlineStr">
        <is>
          <t>Mock</t>
        </is>
      </c>
      <c r="P20" s="18" t="inlineStr">
        <is>
          <t>ชุด 1</t>
        </is>
      </c>
    </row>
    <row r="21">
      <c r="A21" s="15" t="inlineStr">
        <is>
          <t>18</t>
        </is>
      </c>
      <c r="B21" s="18" t="inlineStr">
        <is>
          <t>2 ปีต่อมา ผู้ป่วยมาพบแพทย์ มีค่า Lab ดังนี้
FBS 210 mg% จ่าย Metformin 1x2 60
ยาที่แพทย์สั่งจ่ายอยู่ในกลุ่มใด</t>
        </is>
      </c>
      <c r="C21" s="18" t="inlineStr"/>
      <c r="D21" s="18" t="inlineStr">
        <is>
          <t>Biguanide</t>
        </is>
      </c>
      <c r="E21" s="18" t="inlineStr">
        <is>
          <t>Glitazone</t>
        </is>
      </c>
      <c r="F21" s="18" t="inlineStr">
        <is>
          <t>Sulfonylurea</t>
        </is>
      </c>
      <c r="G21" s="18" t="inlineStr">
        <is>
          <t>GLP-1 analogue</t>
        </is>
      </c>
      <c r="H21" s="18" t="inlineStr">
        <is>
          <t>Incretin analogue</t>
        </is>
      </c>
      <c r="I21" s="15" t="inlineStr">
        <is>
          <t>1</t>
        </is>
      </c>
      <c r="J21" s="18"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ข้อนี้ไม่ใช่คำตอบที่ถูกต้องสำหรับภาวะ Diabetes mellitus เนื่องจากกลไกการออกฤทธิ์, efficacy หรือข้อบ่งใช้ไม่ตรงกับโจทย์ที่กำหนด
• ข้อ ค. (Sulfonylurea): ข้อนี้ไม่ใช่คำตอบที่ถูกต้องสำหรับภาวะ Diabetes mellitus เนื่องจากกลไกการออกฤทธิ์, efficacy หรือข้อบ่งใช้ไม่ตรงกับโจทย์ที่กำหนด
• ข้อ ง. (GLP-1 analogue): ข้อนี้ไม่ใช่คำตอบที่ถูกต้องสำหรับภาวะ Diabetes mellitus เนื่องจากกลไกการออกฤทธิ์, efficacy หรือข้อบ่งใช้ไม่ตรงกับโจทย์ที่กำหนด
• ข้อ จ. (Incretin analogue):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18" t="inlineStr"/>
      <c r="L21" s="18" t="inlineStr">
        <is>
          <t>Diabetes mellitus</t>
        </is>
      </c>
      <c r="M21" s="18" t="inlineStr">
        <is>
          <t>Clinic</t>
        </is>
      </c>
      <c r="N21" s="18" t="inlineStr">
        <is>
          <t>ข้อ 18 ชุด 1 (เฉลยข้อ ก)</t>
        </is>
      </c>
      <c r="O21" s="18" t="inlineStr">
        <is>
          <t>Mock</t>
        </is>
      </c>
      <c r="P21" s="18" t="inlineStr">
        <is>
          <t>ชุด 1</t>
        </is>
      </c>
    </row>
    <row r="22">
      <c r="A22" s="15" t="inlineStr">
        <is>
          <t>19</t>
        </is>
      </c>
      <c r="B22" s="18" t="inlineStr">
        <is>
          <t>อาการไม่พึงประสงค์ที่เกิดขึ้นบ่อยจากยาตัวนี้</t>
        </is>
      </c>
      <c r="C22" s="18" t="inlineStr"/>
      <c r="D22" s="18" t="inlineStr">
        <is>
          <t>Anorexia</t>
        </is>
      </c>
      <c r="E22" s="18" t="inlineStr">
        <is>
          <t>Flatulence</t>
        </is>
      </c>
      <c r="F22" s="18" t="inlineStr">
        <is>
          <t>Constipation</t>
        </is>
      </c>
      <c r="G22" s="18" t="inlineStr">
        <is>
          <t>Lactic acidosis</t>
        </is>
      </c>
      <c r="H22" s="18" t="inlineStr">
        <is>
          <t>Hypoglycemia</t>
        </is>
      </c>
      <c r="I22" s="15" t="inlineStr">
        <is>
          <t>1</t>
        </is>
      </c>
      <c r="J22" s="18"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ข้อนี้ไม่ใช่คำตอบที่ถูกต้องสำหรับภาวะ Diabetes mellitus เนื่องจากกลไกการออกฤทธิ์, efficacy หรือข้อบ่งใช้ไม่ตรงกับโจทย์ที่กำหนด
• ข้อ ค. (Constipation): ข้อนี้ไม่ใช่คำตอบที่ถูกต้องสำหรับภาวะ Diabetes mellitus เนื่องจากกลไกการออกฤทธิ์, efficacy หรือข้อบ่งใช้ไม่ตรงกับโจทย์ที่กำหนด
• ข้อ ง. (Lactic acidosis): ข้อนี้ไม่ใช่คำตอบที่ถูกต้องสำหรับภาวะ Diabetes mellitus เนื่องจากกลไกการออกฤทธิ์, efficacy หรือข้อบ่งใช้ไม่ตรงกับโจทย์ที่กำหนด
• ข้อ จ. (Hypoglycemia):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18" t="inlineStr"/>
      <c r="L22" s="18" t="inlineStr">
        <is>
          <t>Diabetes mellitus</t>
        </is>
      </c>
      <c r="M22" s="18" t="inlineStr">
        <is>
          <t>Clinic</t>
        </is>
      </c>
      <c r="N22" s="18" t="inlineStr">
        <is>
          <t>ข้อ 19 ชุด 1 (เฉลยข้อ ก)</t>
        </is>
      </c>
      <c r="O22" s="18" t="inlineStr">
        <is>
          <t>Mock</t>
        </is>
      </c>
      <c r="P22" s="18" t="inlineStr">
        <is>
          <t>ชุด 1</t>
        </is>
      </c>
    </row>
    <row r="23">
      <c r="A23" s="15" t="inlineStr">
        <is>
          <t>20</t>
        </is>
      </c>
      <c r="B23" s="1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18" t="inlineStr"/>
      <c r="D23" s="18" t="inlineStr">
        <is>
          <t>Flatulence</t>
        </is>
      </c>
      <c r="E23" s="18" t="inlineStr">
        <is>
          <t>Hypoglycemia</t>
        </is>
      </c>
      <c r="F23" s="18" t="inlineStr">
        <is>
          <t>Dizziness</t>
        </is>
      </c>
      <c r="G23" s="18" t="inlineStr">
        <is>
          <t>Headache</t>
        </is>
      </c>
      <c r="H23" s="18" t="inlineStr">
        <is>
          <t>Photosensitivity</t>
        </is>
      </c>
      <c r="I23" s="15" t="inlineStr">
        <is>
          <t>1</t>
        </is>
      </c>
      <c r="J23" s="18"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ข้อนี้ไม่ใช่คำตอบที่ถูกต้องสำหรับภาวะ Diabetes mellitus เนื่องจากกลไกการออกฤทธิ์, efficacy หรือข้อบ่งใช้ไม่ตรงกับโจทย์ที่กำหนด
• ข้อ ค. (Dizziness): ข้อนี้ไม่ใช่คำตอบที่ถูกต้องสำหรับภาวะ Diabetes mellitus เนื่องจากกลไกการออกฤทธิ์, efficacy หรือข้อบ่งใช้ไม่ตรงกับโจทย์ที่กำหนด
• ข้อ ง. (Headache): ข้อนี้ไม่ใช่คำตอบที่ถูกต้องสำหรับภาวะ Diabetes mellitus เนื่องจากกลไกการออกฤทธิ์, efficacy หรือข้อบ่งใช้ไม่ตรงกับโจทย์ที่กำหนด
• ข้อ จ. (Photosensitivity):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18" t="inlineStr"/>
      <c r="L23" s="18" t="inlineStr">
        <is>
          <t>Diabetes mellitus</t>
        </is>
      </c>
      <c r="M23" s="18" t="inlineStr">
        <is>
          <t>Clinic</t>
        </is>
      </c>
      <c r="N23" s="18" t="inlineStr">
        <is>
          <t>ข้อ 20 ชุด 1 (เฉลยข้อ ก)</t>
        </is>
      </c>
      <c r="O23" s="18" t="inlineStr">
        <is>
          <t>Mock</t>
        </is>
      </c>
      <c r="P23" s="18" t="inlineStr">
        <is>
          <t>ชุด 1</t>
        </is>
      </c>
    </row>
    <row r="24">
      <c r="A24" s="15" t="inlineStr">
        <is>
          <t>21</t>
        </is>
      </c>
      <c r="B24" s="1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18" t="inlineStr"/>
      <c r="D24" s="18" t="inlineStr">
        <is>
          <t>Glipizide</t>
        </is>
      </c>
      <c r="E24" s="18" t="inlineStr">
        <is>
          <t>Glibenclamide</t>
        </is>
      </c>
      <c r="F24" s="18" t="inlineStr">
        <is>
          <t>Metformin</t>
        </is>
      </c>
      <c r="G24" s="18" t="inlineStr">
        <is>
          <t>Insulin lispro</t>
        </is>
      </c>
      <c r="H24" s="18" t="inlineStr">
        <is>
          <t>Insulin glargine</t>
        </is>
      </c>
      <c r="I24" s="15" t="inlineStr">
        <is>
          <t>3</t>
        </is>
      </c>
      <c r="J24" s="18"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เป็น Second-generation Sulfonylurea กระตุ้น insulin secretion เสี่ยงต่อ hypoglycemia และ weight gain ขับออกทางตับเด่นกว่า glibenclamide จึงปลอดภัยกว่าในผู้สูงอายุ/CKD
• ข้อ ข. (Glibenclamide): มี active metabolites ขับออกทางไต เสี่ยงต่อ prolonged severe hypoglycemia ในผู้สูงอายุและผู้ป่วย renal impairment จึงควรหลีกเลี่ยงตาม Beers Criteria
• ข้อ ง. (Insulin lispro): ข้อนี้ไม่ใช่คำตอบที่ถูกต้องสำหรับภาวะ Diabetes mellitus เนื่องจากกลไกการออกฤทธิ์, efficacy หรือข้อบ่งใช้ไม่ตรงกับโจทย์ที่กำหนด
• ข้อ จ. (Insulin glargine):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18" t="inlineStr"/>
      <c r="L24" s="18" t="inlineStr">
        <is>
          <t>Diabetes mellitus</t>
        </is>
      </c>
      <c r="M24" s="18" t="inlineStr">
        <is>
          <t>Clinic</t>
        </is>
      </c>
      <c r="N24" s="18" t="inlineStr">
        <is>
          <t>ข้อ 21 ชุด 1 (เฉลยข้อ ค)</t>
        </is>
      </c>
      <c r="O24" s="18" t="inlineStr">
        <is>
          <t>Mock</t>
        </is>
      </c>
      <c r="P24" s="18" t="inlineStr">
        <is>
          <t>ชุด 1</t>
        </is>
      </c>
    </row>
    <row r="25">
      <c r="A25" s="15" t="inlineStr">
        <is>
          <t>22</t>
        </is>
      </c>
      <c r="B25" s="18" t="inlineStr">
        <is>
          <t>ผู้ป่วยโรคใดมีข้อห้ามใช้ยา metformin</t>
        </is>
      </c>
      <c r="C25" s="18" t="inlineStr"/>
      <c r="D25" s="18" t="inlineStr">
        <is>
          <t>Lactic acidosis</t>
        </is>
      </c>
      <c r="E25" s="18" t="inlineStr">
        <is>
          <t>Obesity</t>
        </is>
      </c>
      <c r="F25" s="18" t="inlineStr">
        <is>
          <t>Hypertension</t>
        </is>
      </c>
      <c r="G25" s="18" t="inlineStr">
        <is>
          <t>Hyperlipidemia</t>
        </is>
      </c>
      <c r="H25" s="18" t="inlineStr">
        <is>
          <t>Gastric ulcer</t>
        </is>
      </c>
      <c r="I25" s="15" t="inlineStr">
        <is>
          <t>1</t>
        </is>
      </c>
      <c r="J25" s="18"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ข้อนี้ไม่ใช่คำตอบที่ถูกต้องสำหรับภาวะ Diabetes mellitus เนื่องจากกลไกการออกฤทธิ์, efficacy หรือข้อบ่งใช้ไม่ตรงกับโจทย์ที่กำหนด
• ข้อ ค. (Hypertension): ข้อนี้ไม่ใช่คำตอบที่ถูกต้องสำหรับภาวะ Diabetes mellitus เนื่องจากกลไกการออกฤทธิ์, efficacy หรือข้อบ่งใช้ไม่ตรงกับโจทย์ที่กำหนด
• ข้อ ง. (Hyperlipidemia): ข้อนี้ไม่ใช่คำตอบที่ถูกต้องสำหรับภาวะ Diabetes mellitus เนื่องจากกลไกการออกฤทธิ์, efficacy หรือข้อบ่งใช้ไม่ตรงกับโจทย์ที่กำหนด
• ข้อ จ. (Gastric ulcer):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18" t="inlineStr"/>
      <c r="L25" s="18" t="inlineStr">
        <is>
          <t>Diabetes mellitus</t>
        </is>
      </c>
      <c r="M25" s="18" t="inlineStr">
        <is>
          <t>Clinic</t>
        </is>
      </c>
      <c r="N25" s="18" t="inlineStr">
        <is>
          <t>ข้อ 22 ชุด 1 (เฉลยข้อ ก)</t>
        </is>
      </c>
      <c r="O25" s="18" t="inlineStr">
        <is>
          <t>Mock</t>
        </is>
      </c>
      <c r="P25" s="18" t="inlineStr">
        <is>
          <t>ชุด 1</t>
        </is>
      </c>
    </row>
    <row r="26">
      <c r="A26" s="15" t="inlineStr">
        <is>
          <t>23</t>
        </is>
      </c>
      <c r="B26" s="1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18" t="inlineStr"/>
      <c r="D26" s="18" t="inlineStr">
        <is>
          <t>ACEIs</t>
        </is>
      </c>
      <c r="E26" s="18" t="inlineStr">
        <is>
          <t>Alpha-blockers</t>
        </is>
      </c>
      <c r="F26" s="18" t="inlineStr">
        <is>
          <t>B-blockers</t>
        </is>
      </c>
      <c r="G26" s="18" t="inlineStr">
        <is>
          <t>Loop diuretics</t>
        </is>
      </c>
      <c r="H26" s="18" t="inlineStr">
        <is>
          <t>Thiazides</t>
        </is>
      </c>
      <c r="I26" s="15" t="inlineStr">
        <is>
          <t>1</t>
        </is>
      </c>
      <c r="J26" s="18"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ข้อนี้ไม่ใช่คำตอบที่ถูกต้องสำหรับภาวะ Diabetes mellitus เนื่องจากกลไกการออกฤทธิ์, efficacy หรือข้อบ่งใช้ไม่ตรงกับโจทย์ที่กำหนด
• ข้อ ค. (B-blockers): ข้อนี้ไม่ใช่คำตอบที่ถูกต้องสำหรับภาวะ Diabetes mellitus เนื่องจากกลไกการออกฤทธิ์, efficacy หรือข้อบ่งใช้ไม่ตรงกับโจทย์ที่กำหนด
• ข้อ ง. (Loop diuretics): ข้อนี้ไม่ใช่คำตอบที่ถูกต้องสำหรับภาวะ Diabetes mellitus เนื่องจากกลไกการออกฤทธิ์, efficacy หรือข้อบ่งใช้ไม่ตรงกับโจทย์ที่กำหนด
• ข้อ จ. (Thiazides):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8" t="inlineStr"/>
      <c r="L26" s="18" t="inlineStr">
        <is>
          <t>Diabetes mellitus</t>
        </is>
      </c>
      <c r="M26" s="18" t="inlineStr">
        <is>
          <t>Clinic</t>
        </is>
      </c>
      <c r="N26" s="18" t="inlineStr">
        <is>
          <t>ข้อ 23 ชุด 1 (เฉลยข้อ ก)</t>
        </is>
      </c>
      <c r="O26" s="18" t="inlineStr">
        <is>
          <t>Mock</t>
        </is>
      </c>
      <c r="P26" s="18" t="inlineStr">
        <is>
          <t>ชุด 1</t>
        </is>
      </c>
    </row>
    <row r="27">
      <c r="A27" s="15" t="inlineStr">
        <is>
          <t>29</t>
        </is>
      </c>
      <c r="B27" s="18" t="inlineStr">
        <is>
          <t>กลไกการออกฤทธิ์ของยา chlorpropamide ในผู้ป่วยโรคเบาหวานได้แก่</t>
        </is>
      </c>
      <c r="C27" s="18" t="inlineStr"/>
      <c r="D27" s="18" t="inlineStr">
        <is>
          <t>เพิ่ม insulin resistance ในผู้ป่วย</t>
        </is>
      </c>
      <c r="E27" s="18" t="inlineStr">
        <is>
          <t>ลด insulin resistance ในผู้ป่วย</t>
        </is>
      </c>
      <c r="F27" s="18" t="inlineStr">
        <is>
          <t>กระตุ้นการหลั่งของ insulin ในผู้ป่วย</t>
        </is>
      </c>
      <c r="G27" s="18" t="inlineStr">
        <is>
          <t>ข้อ ก และ ค ถูก</t>
        </is>
      </c>
      <c r="H27" s="18" t="inlineStr">
        <is>
          <t>ข้อ ข และ ค ถูก</t>
        </is>
      </c>
      <c r="I27" s="15" t="inlineStr">
        <is>
          <t>3</t>
        </is>
      </c>
      <c r="J27" s="18"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ข. (ลด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ง. (ข้อ ก และ ค ถูก): ข้อนี้ไม่ใช่คำตอบที่ถูกต้องสำหรับภาวะ Diabetes mellitus เนื่องจากกลไกการออกฤทธิ์, efficacy หรือข้อบ่งใช้ไม่ตรงกับโจทย์ที่กำหนด
• ข้อ จ. (ข้อ ข และ 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18" t="inlineStr"/>
      <c r="L27" s="18" t="inlineStr">
        <is>
          <t>Diabetes mellitus</t>
        </is>
      </c>
      <c r="M27" s="18" t="inlineStr">
        <is>
          <t>Clinic</t>
        </is>
      </c>
      <c r="N27" s="18" t="inlineStr">
        <is>
          <t>ข้อ 29 ชุด 1 (เฉลยข้อ ค)</t>
        </is>
      </c>
      <c r="O27" s="18" t="inlineStr">
        <is>
          <t>Mock</t>
        </is>
      </c>
      <c r="P27" s="18" t="inlineStr">
        <is>
          <t>ชุด 1</t>
        </is>
      </c>
    </row>
    <row r="28">
      <c r="A28" s="15" t="inlineStr">
        <is>
          <t>30</t>
        </is>
      </c>
      <c r="B28" s="18"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18" t="inlineStr"/>
      <c r="D28" s="18" t="inlineStr">
        <is>
          <t>ให้ผู้ป่วยหยุดยาทันทีเนื่องจากมีอาการแพ้ยา</t>
        </is>
      </c>
      <c r="E28" s="18" t="inlineStr">
        <is>
          <t>ให้เปลี่ยนขนาดยาเป็น 50 mg qd</t>
        </is>
      </c>
      <c r="F28" s="18" t="inlineStr">
        <is>
          <t>ให้ผู้ป่วยรับประทานยาหลังอาหาร</t>
        </is>
      </c>
      <c r="G28" s="18" t="inlineStr">
        <is>
          <t>ให้ผู้ป่วยรับประทานยาลดอาการคลื่นไส้อาเจียนร่วมด้วย</t>
        </is>
      </c>
      <c r="H28" s="18" t="inlineStr">
        <is>
          <t>ข้อ ข และ ค ถูกต้อง</t>
        </is>
      </c>
      <c r="I28" s="15" t="inlineStr">
        <is>
          <t>4</t>
        </is>
      </c>
      <c r="J28" s="18"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ข้อนี้ไม่ใช่คำตอบที่ถูกต้องสำหรับภาวะ Diabetes mellitus เนื่องจากกลไกการออกฤทธิ์, efficacy หรือข้อบ่งใช้ไม่ตรงกับโจทย์ที่กำหนด
• ข้อ ข. (ให้เปลี่ยนขนาดยาเป็น 50 mg qd): ข้อนี้ไม่ใช่คำตอบที่ถูกต้องสำหรับภาวะ Diabetes mellitus เนื่องจากกลไกการออกฤทธิ์, efficacy หรือข้อบ่งใช้ไม่ตรงกับโจทย์ที่กำหนด
• ข้อ ค. (ให้ผู้ป่วยรับประทานยาหลังอาหาร): ข้อนี้ไม่ใช่คำตอบที่ถูกต้องสำหรับภาวะ Diabetes mellitus เนื่องจากกลไกการออกฤทธิ์, efficacy หรือข้อบ่งใช้ไม่ตรงกับโจทย์ที่กำหนด
• ข้อ จ. (ข้อ ข และ ค ถูกต้อง):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18" t="inlineStr"/>
      <c r="L28" s="18" t="inlineStr">
        <is>
          <t>Diabetes mellitus</t>
        </is>
      </c>
      <c r="M28" s="18" t="inlineStr">
        <is>
          <t>Clinic</t>
        </is>
      </c>
      <c r="N28" s="18" t="inlineStr">
        <is>
          <t>ข้อ 30 ชุด 1 (เฉลยข้อ ง)</t>
        </is>
      </c>
      <c r="O28" s="18" t="inlineStr">
        <is>
          <t>Mock</t>
        </is>
      </c>
      <c r="P28" s="18" t="inlineStr">
        <is>
          <t>ชุด 1</t>
        </is>
      </c>
    </row>
    <row r="29">
      <c r="A29" s="15" t="inlineStr">
        <is>
          <t>31</t>
        </is>
      </c>
      <c r="B29" s="18"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18" t="inlineStr"/>
      <c r="D29" s="18" t="inlineStr">
        <is>
          <t>อาการคลื่นไส้ อาเจียน</t>
        </is>
      </c>
      <c r="E29" s="18" t="inlineStr">
        <is>
          <t>ระดับน้ำตาลในเลือดต่ำ</t>
        </is>
      </c>
      <c r="F29" s="18" t="inlineStr">
        <is>
          <t>ผื่นคันตามผิวหนัง</t>
        </is>
      </c>
      <c r="G29" s="18" t="inlineStr">
        <is>
          <t>ข้อ ข และ ค ถูก</t>
        </is>
      </c>
      <c r="H29" s="18" t="inlineStr">
        <is>
          <t>ข้อ ก ข และ ค ถูก</t>
        </is>
      </c>
      <c r="I29" s="15" t="inlineStr">
        <is>
          <t>5</t>
        </is>
      </c>
      <c r="J29" s="18"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ข้อนี้ไม่ใช่คำตอบที่ถูกต้องสำหรับภาวะ Diabetes mellitus เนื่องจากกลไกการออกฤทธิ์, efficacy หรือข้อบ่งใช้ไม่ตรงกับโจทย์ที่กำหนด
• ข้อ ข. (ระดับน้ำตาลในเลือดต่ำ): ข้อนี้ไม่ใช่คำตอบที่ถูกต้องสำหรับภาวะ Diabetes mellitus เนื่องจากกลไกการออกฤทธิ์, efficacy หรือข้อบ่งใช้ไม่ตรงกับโจทย์ที่กำหนด
• ข้อ ค. (ผื่นคันตามผิวหนัง): ข้อนี้ไม่ใช่คำตอบที่ถูกต้องสำหรับภาวะ Diabetes mellitus เนื่องจากกลไกการออกฤทธิ์, efficacy หรือข้อบ่งใช้ไม่ตรงกับโจทย์ที่กำหนด
• ข้อ ง. (ข้อ ข และ 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18" t="inlineStr"/>
      <c r="L29" s="18" t="inlineStr">
        <is>
          <t>Diabetes mellitus</t>
        </is>
      </c>
      <c r="M29" s="18" t="inlineStr">
        <is>
          <t>Clinic</t>
        </is>
      </c>
      <c r="N29" s="18" t="inlineStr">
        <is>
          <t>ข้อ 31 ชุด 1 (เฉลยข้อ จ)</t>
        </is>
      </c>
      <c r="O29" s="18" t="inlineStr">
        <is>
          <t>Mock</t>
        </is>
      </c>
      <c r="P29" s="18" t="inlineStr">
        <is>
          <t>ชุด 1</t>
        </is>
      </c>
    </row>
    <row r="30">
      <c r="A30" s="15" t="inlineStr">
        <is>
          <t>32</t>
        </is>
      </c>
      <c r="B30" s="18"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18" t="inlineStr"/>
      <c r="D30" s="18" t="inlineStr">
        <is>
          <t>แนะนำให้ผู้ป่วยดื่มได้ตามปกติ</t>
        </is>
      </c>
      <c r="E30" s="18" t="inlineStr">
        <is>
          <t>แนะนำให้ผู้ป่วยดื่มได้บ้างแต่จำนวนน้อยลง</t>
        </is>
      </c>
      <c r="F30" s="18" t="inlineStr">
        <is>
          <t>แนะนำให้ผู้ป่วยหยุดดื่มจนกว่าอาการคลื่นไส้อาเจียนจะหายไป</t>
        </is>
      </c>
      <c r="G30" s="18" t="inlineStr">
        <is>
          <t>หากผู้ป่วยต้องการดื่มแอลกอฮอล์ให้ดื่มอย่างน้อย 2 ชั่วโมงก่อนหรือหลังรับประทานยา</t>
        </is>
      </c>
      <c r="H30" s="18" t="inlineStr">
        <is>
          <t>ให้ผู้ป่วยหยุดดื่มหากรับประทานยาตัวนี้อยู่</t>
        </is>
      </c>
      <c r="I30" s="15" t="inlineStr">
        <is>
          <t>5</t>
        </is>
      </c>
      <c r="J30" s="18"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ข้อนี้ไม่ใช่คำตอบที่ถูกต้องสำหรับภาวะ Diabetes mellitus เนื่องจากกลไกการออกฤทธิ์, efficacy หรือข้อบ่งใช้ไม่ตรงกับโจทย์ที่กำหนด
• ข้อ ข. (แนะนำให้ผู้ป่วยดื่มได้บ้างแต่จำนวนน้อยลง): ข้อนี้ไม่ใช่คำตอบที่ถูกต้องสำหรับภาวะ Diabetes mellitus เนื่องจากกลไกการออกฤทธิ์, efficacy หรือข้อบ่งใช้ไม่ตรงกับโจทย์ที่กำหนด
• ข้อ ค. (แนะนำให้ผู้ป่วยหยุดดื่มจนกว่าอาการคลื่นไส้อาเจียนจะหายไป): ข้อนี้ไม่ใช่คำตอบที่ถูกต้องสำหรับภาวะ Diabetes mellitus เนื่องจากกลไกการออกฤทธิ์, efficacy หรือข้อบ่งใช้ไม่ตรงกับโจทย์ที่กำหนด
• ข้อ ง. (หากผู้ป่วยต้องการดื่มแอลกอฮอล์ให้ดื่มอย่างน้อย 2 ชั่วโมงก่อนหรือหลังรับประทานยา):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18" t="inlineStr"/>
      <c r="L30" s="18" t="inlineStr">
        <is>
          <t>Diabetes mellitus</t>
        </is>
      </c>
      <c r="M30" s="18" t="inlineStr">
        <is>
          <t>Clinic</t>
        </is>
      </c>
      <c r="N30" s="18" t="inlineStr">
        <is>
          <t>ข้อ 32 ชุด 1 (เฉลยข้อ จ)</t>
        </is>
      </c>
      <c r="O30" s="18" t="inlineStr">
        <is>
          <t>Mock</t>
        </is>
      </c>
      <c r="P30" s="18" t="inlineStr">
        <is>
          <t>ชุด 1</t>
        </is>
      </c>
    </row>
    <row r="31">
      <c r="A31" s="15" t="inlineStr">
        <is>
          <t>33</t>
        </is>
      </c>
      <c r="B31" s="18"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18" t="inlineStr"/>
      <c r="D31" s="18" t="inlineStr">
        <is>
          <t>Allergic reaction</t>
        </is>
      </c>
      <c r="E31" s="18" t="inlineStr">
        <is>
          <t>Toxic reaction</t>
        </is>
      </c>
      <c r="F31" s="18" t="inlineStr">
        <is>
          <t>Overdose</t>
        </is>
      </c>
      <c r="G31" s="18" t="inlineStr">
        <is>
          <t>ผู้ป่วยไม่สามารถควบคุมการรับประทานอาหารให้เหมาะสมได้</t>
        </is>
      </c>
      <c r="H31" s="18" t="inlineStr">
        <is>
          <t>เป็นผลข้างเคียงจากยาตัวนี้</t>
        </is>
      </c>
      <c r="I31" s="15" t="inlineStr">
        <is>
          <t>5</t>
        </is>
      </c>
      <c r="J31" s="18"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ข้อนี้ไม่ใช่คำตอบที่ถูกต้องสำหรับภาวะ Diabetes mellitus เนื่องจากกลไกการออกฤทธิ์, efficacy หรือข้อบ่งใช้ไม่ตรงกับโจทย์ที่กำหนด
• ข้อ ข. (Toxic reaction): ข้อนี้ไม่ใช่คำตอบที่ถูกต้องสำหรับภาวะ Diabetes mellitus เนื่องจากกลไกการออกฤทธิ์, efficacy หรือข้อบ่งใช้ไม่ตรงกับโจทย์ที่กำหนด
• ข้อ ค. (Overdose): ข้อนี้ไม่ใช่คำตอบที่ถูกต้องสำหรับภาวะ Diabetes mellitus เนื่องจากกลไกการออกฤทธิ์, efficacy หรือข้อบ่งใช้ไม่ตรงกับโจทย์ที่กำหนด
• ข้อ ง. (ผู้ป่วยไม่สามารถควบคุมการรับประทานอาหารให้เหมาะสมได้):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18" t="inlineStr"/>
      <c r="L31" s="18" t="inlineStr">
        <is>
          <t>Diabetes mellitus</t>
        </is>
      </c>
      <c r="M31" s="18" t="inlineStr">
        <is>
          <t>Clinic</t>
        </is>
      </c>
      <c r="N31" s="18" t="inlineStr">
        <is>
          <t>ข้อ 33 ชุด 1 (เฉลยข้อ จ)</t>
        </is>
      </c>
      <c r="O31" s="18" t="inlineStr">
        <is>
          <t>Mock</t>
        </is>
      </c>
      <c r="P31" s="18" t="inlineStr">
        <is>
          <t>ชุด 1</t>
        </is>
      </c>
    </row>
    <row r="32">
      <c r="A32" s="15" t="inlineStr">
        <is>
          <t>34</t>
        </is>
      </c>
      <c r="B32" s="18"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18" t="inlineStr"/>
      <c r="D32" s="18" t="inlineStr">
        <is>
          <t>ขนาดยา tolbutamide ที่ได้รับมีขนาดสูงเกินไป</t>
        </is>
      </c>
      <c r="E32" s="18" t="inlineStr">
        <is>
          <t>มีการเสริมฤทธิ์กันระหว่างยา Chlorpropamide และ tolbutamide เนื่องจากระยะเวลาในการออกฤทธิ์ของยา chlorpropamide เนิ่นนาน</t>
        </is>
      </c>
      <c r="F32" s="18" t="inlineStr">
        <is>
          <t>เป็นภาวะปกติของผู้ป่วยโรคเบาหวานเมื่อมีการเปลี่ยนแปลงยา</t>
        </is>
      </c>
      <c r="G32" s="18" t="inlineStr">
        <is>
          <t>ผู้ป่วยอาจรับประทานอาหารไม่ตรงเวลา และมีอาการคลื่นไส้อาเจียนที่เกิดจากผลข้างเคียงจากยา</t>
        </is>
      </c>
      <c r="H32" s="18" t="inlineStr">
        <is>
          <t>ไม่มีข้อใดถูก</t>
        </is>
      </c>
      <c r="I32" s="15" t="inlineStr">
        <is>
          <t>2</t>
        </is>
      </c>
      <c r="J32" s="18"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ข้อนี้ไม่ใช่คำตอบที่ถูกต้องสำหรับภาวะ Diabetes mellitus เนื่องจากกลไกการออกฤทธิ์, efficacy หรือข้อบ่งใช้ไม่ตรงกับโจทย์ที่กำหนด
• ข้อ ค. (เป็นภาวะปกติของผู้ป่วยโรคเบาหวานเมื่อมีการเปลี่ยนแปลงยา): ข้อนี้ไม่ใช่คำตอบที่ถูกต้องสำหรับภาวะ Diabetes mellitus เนื่องจากกลไกการออกฤทธิ์, efficacy หรือข้อบ่งใช้ไม่ตรงกับโจทย์ที่กำหนด
• ข้อ ง. (ผู้ป่วยอาจรับประทานอาหารไม่ตรงเวลา และมีอาการคลื่นไส้อาเจียนที่เกิดจากผลข้างเคียงจากยา):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18" t="inlineStr"/>
      <c r="L32" s="18" t="inlineStr">
        <is>
          <t>Diabetes mellitus</t>
        </is>
      </c>
      <c r="M32" s="18" t="inlineStr">
        <is>
          <t>Clinic</t>
        </is>
      </c>
      <c r="N32" s="18" t="inlineStr">
        <is>
          <t>ข้อ 34 ชุด 1 (เฉลยข้อ ข)</t>
        </is>
      </c>
      <c r="O32" s="18" t="inlineStr">
        <is>
          <t>Mock</t>
        </is>
      </c>
      <c r="P32" s="18" t="inlineStr">
        <is>
          <t>ชุด 1</t>
        </is>
      </c>
    </row>
    <row r="33">
      <c r="A33" s="15" t="inlineStr">
        <is>
          <t>35</t>
        </is>
      </c>
      <c r="B33" s="18"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18" t="inlineStr"/>
      <c r="D33" s="18" t="inlineStr">
        <is>
          <t>Chlorpropamide &gt; glyburide &gt; glipizide &gt; tolbutamide</t>
        </is>
      </c>
      <c r="E33" s="18" t="inlineStr">
        <is>
          <t>Tolbutamide &gt; glipizide &gt; glyburide &gt; chlorpropamide</t>
        </is>
      </c>
      <c r="F33" s="18" t="inlineStr">
        <is>
          <t>Glyburide &gt; tolbutamide &gt; glipizide &gt; chlorpropamide</t>
        </is>
      </c>
      <c r="G33" s="18" t="inlineStr">
        <is>
          <t>Glipizide &gt; glyburide &gt; chlorpropamide &gt; tolbutamide</t>
        </is>
      </c>
      <c r="H33" s="18" t="inlineStr">
        <is>
          <t>Tolbutamide &gt; chlorpropamide &gt; glyburide &gt; glipizide</t>
        </is>
      </c>
      <c r="I33" s="15" t="inlineStr">
        <is>
          <t>1</t>
        </is>
      </c>
      <c r="J33" s="18"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18" t="inlineStr"/>
      <c r="L33" s="18" t="inlineStr">
        <is>
          <t>Diabetes mellitus</t>
        </is>
      </c>
      <c r="M33" s="18" t="inlineStr">
        <is>
          <t>Clinic</t>
        </is>
      </c>
      <c r="N33" s="18" t="inlineStr">
        <is>
          <t>ข้อ 35 ชุด 1 (เฉลยข้อ ก)</t>
        </is>
      </c>
      <c r="O33" s="18" t="inlineStr">
        <is>
          <t>Mock</t>
        </is>
      </c>
      <c r="P33" s="18" t="inlineStr">
        <is>
          <t>ชุด 1</t>
        </is>
      </c>
    </row>
    <row r="34">
      <c r="A34" s="15" t="inlineStr">
        <is>
          <t>36</t>
        </is>
      </c>
      <c r="B34" s="18"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18" t="inlineStr"/>
      <c r="D34" s="18" t="inlineStr">
        <is>
          <t>หิวน้ำบ่อย</t>
        </is>
      </c>
      <c r="E34" s="18" t="inlineStr">
        <is>
          <t>ปัสสาวะบ่อย</t>
        </is>
      </c>
      <c r="F34" s="18" t="inlineStr">
        <is>
          <t>เจ็บหน้าอก</t>
        </is>
      </c>
      <c r="G34" s="18" t="inlineStr">
        <is>
          <t>น้ำหนักลด</t>
        </is>
      </c>
      <c r="H34" s="18" t="inlineStr">
        <is>
          <t>อ่อนเพลีย</t>
        </is>
      </c>
      <c r="I34" s="15" t="inlineStr">
        <is>
          <t>3</t>
        </is>
      </c>
      <c r="J34" s="18"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ข้อนี้ไม่ใช่คำตอบที่ถูกต้องสำหรับภาวะ Diabetes mellitus เนื่องจากกลไกการออกฤทธิ์, efficacy หรือข้อบ่งใช้ไม่ตรงกับโจทย์ที่กำหนด
• ข้อ ข. (ปัสสาวะบ่อย): ข้อนี้ไม่ใช่คำตอบที่ถูกต้องสำหรับภาวะ Diabetes mellitus เนื่องจากกลไกการออกฤทธิ์, efficacy หรือข้อบ่งใช้ไม่ตรงกับโจทย์ที่กำหนด
• ข้อ ง. (น้ำหนักลด): ข้อนี้ไม่ใช่คำตอบที่ถูกต้องสำหรับภาวะ Diabetes mellitus เนื่องจากกลไกการออกฤทธิ์, efficacy หรือข้อบ่งใช้ไม่ตรงกับโจทย์ที่กำหนด
• ข้อ จ. (อ่อนเพลีย):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18" t="inlineStr"/>
      <c r="L34" s="18" t="inlineStr">
        <is>
          <t>Diabetes mellitus</t>
        </is>
      </c>
      <c r="M34" s="18" t="inlineStr">
        <is>
          <t>Clinic</t>
        </is>
      </c>
      <c r="N34" s="18" t="inlineStr">
        <is>
          <t>ข้อ 36 ชุด 1 (เฉลยข้อ ค)</t>
        </is>
      </c>
      <c r="O34" s="18" t="inlineStr">
        <is>
          <t>Mock</t>
        </is>
      </c>
      <c r="P34" s="18" t="inlineStr">
        <is>
          <t>ชุด 1</t>
        </is>
      </c>
    </row>
    <row r="35">
      <c r="A35" s="15" t="inlineStr">
        <is>
          <t>37</t>
        </is>
      </c>
      <c r="B35" s="18"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18" t="inlineStr"/>
      <c r="D35" s="18" t="inlineStr">
        <is>
          <t>ยา glibenclamide ควรรับประทานก่อนอาหารประมาณ 30 นาที</t>
        </is>
      </c>
      <c r="E35" s="18" t="inlineStr">
        <is>
          <t>ยา aspirin ควรรับประทานหลังอาหารทันที</t>
        </is>
      </c>
      <c r="F35" s="18" t="inlineStr">
        <is>
          <t>อาการไม่พึงประสงค์ที่อาจพบสำหรับยา glibenclamide คือ weight gain</t>
        </is>
      </c>
      <c r="G35" s="18" t="inlineStr">
        <is>
          <t>อาการไม่พึงประสงค์ของยา metformin ที่พบบ่อยได้แก่ hypoglycemia</t>
        </is>
      </c>
      <c r="H35" s="18" t="inlineStr">
        <is>
          <t>ไม่ควรดื่ม alcohol ร่วมกับยา glibenclamide</t>
        </is>
      </c>
      <c r="I35" s="15" t="inlineStr">
        <is>
          <t>4</t>
        </is>
      </c>
      <c r="J35" s="18"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18" t="inlineStr"/>
      <c r="L35" s="18" t="inlineStr">
        <is>
          <t>Diabetes mellitus</t>
        </is>
      </c>
      <c r="M35" s="18" t="inlineStr">
        <is>
          <t>Clinic</t>
        </is>
      </c>
      <c r="N35" s="18" t="inlineStr">
        <is>
          <t>ข้อ 37 ชุด 1 (เฉลยข้อ ง)</t>
        </is>
      </c>
      <c r="O35" s="18" t="inlineStr">
        <is>
          <t>Mock</t>
        </is>
      </c>
      <c r="P35" s="18" t="inlineStr">
        <is>
          <t>ชุด 1</t>
        </is>
      </c>
    </row>
    <row r="36">
      <c r="A36" s="15" t="inlineStr">
        <is>
          <t>38</t>
        </is>
      </c>
      <c r="B36" s="18"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18" t="inlineStr"/>
      <c r="D36" s="18" t="inlineStr">
        <is>
          <t>Glucosidase</t>
        </is>
      </c>
      <c r="E36" s="18" t="inlineStr">
        <is>
          <t>Rosiglitazone</t>
        </is>
      </c>
      <c r="F36" s="18" t="inlineStr">
        <is>
          <t>Chlorpropamide</t>
        </is>
      </c>
      <c r="G36" s="18" t="inlineStr">
        <is>
          <t>Pioglitazone</t>
        </is>
      </c>
      <c r="H36" s="18" t="inlineStr">
        <is>
          <t>สามารถใช้ได้ทั้งหมด</t>
        </is>
      </c>
      <c r="I36" s="15" t="inlineStr">
        <is>
          <t>1</t>
        </is>
      </c>
      <c r="J36" s="18"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ข้อนี้ไม่ใช่คำตอบที่ถูกต้องสำหรับภาวะ Diabetes mellitus เนื่องจากกลไกการออกฤทธิ์, efficacy หรือข้อบ่งใช้ไม่ตรงกับโจทย์ที่กำหนด
• ข้อ ค. (Chlorpropamide): ข้อนี้ไม่ใช่คำตอบที่ถูกต้องสำหรับภาวะ Diabetes mellitus เนื่องจากกลไกการออกฤทธิ์, efficacy หรือข้อบ่งใช้ไม่ตรงกับโจทย์ที่กำหนด
• ข้อ ง. (Pioglitazone): เป็น Thiazolidinedione (PPAR-gamma agonist) เพิ่ม insulin sensitivity ที่กล้ามเนื้อและตับ แต่มีข้อห้ามใช้ใน Heart Failure (NYHA class III-IV) เพราะทำให้น้ำคั่ง (fluid retention/edema)
• ข้อ จ. (สามารถใช้ได้ทั้งหมด):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18" t="inlineStr"/>
      <c r="L36" s="18" t="inlineStr">
        <is>
          <t>Diabetes mellitus</t>
        </is>
      </c>
      <c r="M36" s="18" t="inlineStr">
        <is>
          <t>Clinic</t>
        </is>
      </c>
      <c r="N36" s="18" t="inlineStr">
        <is>
          <t>ข้อ 38 ชุด 1 (เฉลยข้อ ก ค ง)</t>
        </is>
      </c>
      <c r="O36" s="18" t="inlineStr">
        <is>
          <t>Mock</t>
        </is>
      </c>
      <c r="P36" s="18" t="inlineStr">
        <is>
          <t>ชุด 1</t>
        </is>
      </c>
    </row>
    <row r="37">
      <c r="A37" s="15" t="inlineStr">
        <is>
          <t>39</t>
        </is>
      </c>
      <c r="B37" s="18" t="inlineStr">
        <is>
          <t>ข้อใดกล่าวถูกต้องเกี่ยวกับกลไกการออกฤทธิ์ของ glibenclamide</t>
        </is>
      </c>
      <c r="C37" s="18" t="inlineStr"/>
      <c r="D37" s="18" t="inlineStr">
        <is>
          <t>กระตุ้นการหลั่ง glucagon</t>
        </is>
      </c>
      <c r="E37" s="18" t="inlineStr">
        <is>
          <t>กระตุ้นการหลั่ง insulin จากตับอ่อน</t>
        </is>
      </c>
      <c r="F37" s="18" t="inlineStr">
        <is>
          <t>ลดการทำลาย insulin ที่ตับ</t>
        </is>
      </c>
      <c r="G37" s="18" t="inlineStr">
        <is>
          <t>กระตุ้นการหลั่ง somatostatin</t>
        </is>
      </c>
      <c r="H37" s="18" t="inlineStr">
        <is>
          <t>ทำให้ตอบสนองต่อ Insulin ดีขึ้น</t>
        </is>
      </c>
      <c r="I37" s="15" t="inlineStr">
        <is>
          <t>2</t>
        </is>
      </c>
      <c r="J37" s="18"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ข้อนี้ไม่ใช่คำตอบที่ถูกต้องสำหรับภาวะ Diabetes mellitus เนื่องจากกลไกการออกฤทธิ์, efficacy หรือข้อบ่งใช้ไม่ตรงกับโจทย์ที่กำหนด
• ข้อ ค. (ลดการทำลาย insulin ที่ตับ): ข้อนี้ไม่ใช่คำตอบที่ถูกต้องสำหรับภาวะ Diabetes mellitus เนื่องจากกลไกการออกฤทธิ์, efficacy หรือข้อบ่งใช้ไม่ตรงกับโจทย์ที่กำหนด
• ข้อ ง. (กระตุ้นการหลั่ง somatostatin): ข้อนี้ไม่ใช่คำตอบที่ถูกต้องสำหรับภาวะ Diabetes mellitus เนื่องจากกลไกการออกฤทธิ์, efficacy หรือข้อบ่งใช้ไม่ตรงกับโจทย์ที่กำหนด
• ข้อ จ. (ทำให้ตอบสนองต่อ Insulin ดีขึ้น):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18" t="inlineStr"/>
      <c r="L37" s="18" t="inlineStr">
        <is>
          <t>Diabetes mellitus</t>
        </is>
      </c>
      <c r="M37" s="18" t="inlineStr">
        <is>
          <t>Clinic</t>
        </is>
      </c>
      <c r="N37" s="18" t="inlineStr">
        <is>
          <t>ข้อ 39 ชุด 1 (เฉลยข้อ ข)</t>
        </is>
      </c>
      <c r="O37" s="18" t="inlineStr">
        <is>
          <t>Mock</t>
        </is>
      </c>
      <c r="P37" s="18" t="inlineStr">
        <is>
          <t>ชุด 1</t>
        </is>
      </c>
    </row>
    <row r="38">
      <c r="A38" s="15" t="inlineStr">
        <is>
          <t>40</t>
        </is>
      </c>
      <c r="B38" s="18" t="inlineStr">
        <is>
          <t>ข้อใดเป็นผลที่อาจเกิดขึ้นได้จากการใช้ยา glibenclamide เป็นระยะเวลานาน</t>
        </is>
      </c>
      <c r="C38" s="18" t="inlineStr"/>
      <c r="D38" s="18" t="inlineStr">
        <is>
          <t>Desensitization of sulfonylureas receptor</t>
        </is>
      </c>
      <c r="E38" s="18" t="inlineStr">
        <is>
          <t>Up-regulation of sulfonylureas receptor</t>
        </is>
      </c>
      <c r="F38" s="18" t="inlineStr">
        <is>
          <t>Down-regulation of sulfonylureas receptor</t>
        </is>
      </c>
      <c r="G38" s="18" t="inlineStr">
        <is>
          <t>Hyperinsulinemia</t>
        </is>
      </c>
      <c r="H38" s="18" t="inlineStr">
        <is>
          <t>Increase insulin sensitivity</t>
        </is>
      </c>
      <c r="I38" s="15" t="inlineStr">
        <is>
          <t>3</t>
        </is>
      </c>
      <c r="J38" s="18"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ข้อนี้ไม่ใช่คำตอบที่ถูกต้องสำหรับภาวะ Diabetes mellitus เนื่องจากกลไกการออกฤทธิ์, efficacy หรือข้อบ่งใช้ไม่ตรงกับโจทย์ที่กำหนด
• ข้อ ข. (Up-regulation of sulfonylureas receptor): ข้อนี้ไม่ใช่คำตอบที่ถูกต้องสำหรับภาวะ Diabetes mellitus เนื่องจากกลไกการออกฤทธิ์, efficacy หรือข้อบ่งใช้ไม่ตรงกับโจทย์ที่กำหนด
• ข้อ ง. (Hyperinsulinemia): ข้อนี้ไม่ใช่คำตอบที่ถูกต้องสำหรับภาวะ Diabetes mellitus เนื่องจากกลไกการออกฤทธิ์, efficacy หรือข้อบ่งใช้ไม่ตรงกับโจทย์ที่กำหนด
• ข้อ จ. (Increase insulin sensitivity):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18" t="inlineStr"/>
      <c r="L38" s="18" t="inlineStr">
        <is>
          <t>Diabetes mellitus</t>
        </is>
      </c>
      <c r="M38" s="18" t="inlineStr">
        <is>
          <t>Clinic</t>
        </is>
      </c>
      <c r="N38" s="18" t="inlineStr">
        <is>
          <t>ข้อ 40 ชุด 1 (เฉลยข้อ ค)</t>
        </is>
      </c>
      <c r="O38" s="18" t="inlineStr">
        <is>
          <t>Mock</t>
        </is>
      </c>
      <c r="P38" s="18" t="inlineStr">
        <is>
          <t>ชุด 1</t>
        </is>
      </c>
    </row>
    <row r="39">
      <c r="A39" s="15" t="inlineStr">
        <is>
          <t>41</t>
        </is>
      </c>
      <c r="B39" s="18"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18" t="inlineStr"/>
      <c r="D39" s="18" t="inlineStr">
        <is>
          <t>มีผลโดยเสริมฤทธิ์ยับยั้งการแข็งตัวของเกร็ดเลือดของ aspirin</t>
        </is>
      </c>
      <c r="E39" s="18" t="inlineStr">
        <is>
          <t>มีผลโดยเสริมฤทธิ์ลดน้ำตาลในเลือดของ metformin</t>
        </is>
      </c>
      <c r="F39" s="18" t="inlineStr">
        <is>
          <t>มีผลโดยลดประสิทธิภาพการจับของยา isosorbide mononitrate</t>
        </is>
      </c>
      <c r="G39" s="18" t="inlineStr">
        <is>
          <t>มีผลโดยลดประสิทธิภาพการลดน้ำตาลในเลือดของ glibenclamide</t>
        </is>
      </c>
      <c r="H39" s="18" t="inlineStr">
        <is>
          <t>ไม่มี อันตรกิริยากับยาที่ได้รับจากโรงพยาบาล</t>
        </is>
      </c>
      <c r="I39" s="15" t="inlineStr">
        <is>
          <t>1</t>
        </is>
      </c>
      <c r="J39" s="18"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ข้อนี้ไม่ใช่คำตอบที่ถูกต้องสำหรับภาวะ Diabetes mellitus เนื่องจากกลไกการออกฤทธิ์, efficacy หรือข้อบ่งใช้ไม่ตรงกับโจทย์ที่กำหนด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18" t="inlineStr"/>
      <c r="L39" s="18" t="inlineStr">
        <is>
          <t>Diabetes mellitus</t>
        </is>
      </c>
      <c r="M39" s="18" t="inlineStr">
        <is>
          <t>Clinic</t>
        </is>
      </c>
      <c r="N39" s="18" t="inlineStr">
        <is>
          <t>ข้อ 41 ชุด 1 (เฉลยข้อ ก)</t>
        </is>
      </c>
      <c r="O39" s="18" t="inlineStr">
        <is>
          <t>Mock</t>
        </is>
      </c>
      <c r="P39" s="18" t="inlineStr">
        <is>
          <t>ชุด 1</t>
        </is>
      </c>
    </row>
    <row r="40">
      <c r="A40" s="15" t="inlineStr">
        <is>
          <t>42</t>
        </is>
      </c>
      <c r="B40" s="18"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18" t="inlineStr"/>
      <c r="D40" s="18" t="inlineStr">
        <is>
          <t>FPG 70-130, HbA1c &lt; 10</t>
        </is>
      </c>
      <c r="E40" s="18" t="inlineStr">
        <is>
          <t>FPG 70-150, HbA1c &lt; 7</t>
        </is>
      </c>
      <c r="F40" s="18" t="inlineStr">
        <is>
          <t>FPG 70-130, HbA1c &lt; 7</t>
        </is>
      </c>
      <c r="G40" s="18" t="inlineStr">
        <is>
          <t>FPG 80-150, HbA1c &lt; 10</t>
        </is>
      </c>
      <c r="H40" s="18" t="inlineStr">
        <is>
          <t>FPG 80-130, HbA1c &lt; 7</t>
        </is>
      </c>
      <c r="I40" s="15" t="inlineStr">
        <is>
          <t>5</t>
        </is>
      </c>
      <c r="J40" s="18"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ข้อนี้ไม่ใช่คำตอบที่ถูกต้องสำหรับภาวะ Diabetes mellitus เนื่องจากกลไกการออกฤทธิ์, efficacy หรือข้อบ่งใช้ไม่ตรงกับโจทย์ที่กำหนด
• ข้อ ข. (FPG 70-150, HbA1c &lt; 7): ข้อนี้ไม่ใช่คำตอบที่ถูกต้องสำหรับภาวะ Diabetes mellitus เนื่องจากกลไกการออกฤทธิ์, efficacy หรือข้อบ่งใช้ไม่ตรงกับโจทย์ที่กำหนด
• ข้อ ค. (FPG 70-130, HbA1c &lt; 7): ข้อนี้ไม่ใช่คำตอบที่ถูกต้องสำหรับภาวะ Diabetes mellitus เนื่องจากกลไกการออกฤทธิ์, efficacy หรือข้อบ่งใช้ไม่ตรงกับโจทย์ที่กำหนด
• ข้อ ง. (FPG 80-150, HbA1c &lt; 10):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18" t="inlineStr"/>
      <c r="L40" s="18" t="inlineStr">
        <is>
          <t>Diabetes mellitus</t>
        </is>
      </c>
      <c r="M40" s="18" t="inlineStr">
        <is>
          <t>Clinic</t>
        </is>
      </c>
      <c r="N40" s="18" t="inlineStr">
        <is>
          <t>ข้อ 42 ชุด 1 (เฉลยข้อ จ)</t>
        </is>
      </c>
      <c r="O40" s="18" t="inlineStr">
        <is>
          <t>Mock</t>
        </is>
      </c>
      <c r="P40" s="18" t="inlineStr">
        <is>
          <t>ชุด 1</t>
        </is>
      </c>
    </row>
    <row r="41">
      <c r="A41" s="15" t="inlineStr">
        <is>
          <t>43</t>
        </is>
      </c>
      <c r="B41" s="18"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18" t="inlineStr"/>
      <c r="D41" s="18" t="inlineStr">
        <is>
          <t>รับประทานหลังอาหารทันที</t>
        </is>
      </c>
      <c r="E41" s="18" t="inlineStr">
        <is>
          <t>รับประทานก่อนอาหาร 30 นาที และให้อยู่ในท่านั่งห้ามนอน</t>
        </is>
      </c>
      <c r="F41" s="18" t="inlineStr">
        <is>
          <t>รับประทานโดยเคี้ยวพร้อมอาหารคำแรก</t>
        </is>
      </c>
      <c r="G41" s="18" t="inlineStr">
        <is>
          <t>รับประทานหลังอาหารไขมันเพื่อเพิ่มการดูดซึม</t>
        </is>
      </c>
      <c r="H41" s="18" t="inlineStr">
        <is>
          <t>ห้ามรับประทานพร้อมกับนม</t>
        </is>
      </c>
      <c r="I41" s="15" t="inlineStr">
        <is>
          <t>3</t>
        </is>
      </c>
      <c r="J41" s="18"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ข้อนี้ไม่ใช่คำตอบที่ถูกต้องสำหรับภาวะ Diabetes mellitus เนื่องจากกลไกการออกฤทธิ์, efficacy หรือข้อบ่งใช้ไม่ตรงกับโจทย์ที่กำหนด
• ข้อ ข. (รับประทานก่อนอาหาร 30 นาที และให้อยู่ในท่านั่งห้ามนอน): ข้อนี้ไม่ใช่คำตอบที่ถูกต้องสำหรับภาวะ Diabetes mellitus เนื่องจากกลไกการออกฤทธิ์, efficacy หรือข้อบ่งใช้ไม่ตรงกับโจทย์ที่กำหนด
• ข้อ ง. (รับประทานหลังอาหารไขมันเพื่อเพิ่มการดูดซึม): ข้อนี้ไม่ใช่คำตอบที่ถูกต้องสำหรับภาวะ Diabetes mellitus เนื่องจากกลไกการออกฤทธิ์, efficacy หรือข้อบ่งใช้ไม่ตรงกับโจทย์ที่กำหนด
• ข้อ จ. (ห้ามรับประทานพร้อมกับนม):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18" t="inlineStr"/>
      <c r="L41" s="18" t="inlineStr">
        <is>
          <t>Diabetes mellitus</t>
        </is>
      </c>
      <c r="M41" s="18" t="inlineStr">
        <is>
          <t>Clinic</t>
        </is>
      </c>
      <c r="N41" s="18" t="inlineStr">
        <is>
          <t>ข้อ 43 ชุด 1 (เฉลยข้อ ค)</t>
        </is>
      </c>
      <c r="O41" s="18" t="inlineStr">
        <is>
          <t>Mock</t>
        </is>
      </c>
      <c r="P41" s="18" t="inlineStr">
        <is>
          <t>ชุด 1</t>
        </is>
      </c>
    </row>
    <row r="42">
      <c r="A42" s="15" t="inlineStr">
        <is>
          <t>50</t>
        </is>
      </c>
      <c r="B42" s="18" t="inlineStr">
        <is>
          <t>เกี่ยวกับ glipizide ข้อใดผิด</t>
        </is>
      </c>
      <c r="C42" s="18" t="inlineStr"/>
      <c r="D42" s="18" t="inlineStr">
        <is>
          <t>glipizide มีคุณสมบัติค่อนข้าง non-polar</t>
        </is>
      </c>
      <c r="E42" s="18" t="inlineStr">
        <is>
          <t>glipizide เมื่อละลายในต่างละลายได้ดี</t>
        </is>
      </c>
      <c r="F42" s="18" t="inlineStr">
        <is>
          <t>การเตรียมยา glipizide แบบ extended release tablet ไม่จำเป็นต้องทำในรูป salt form</t>
        </is>
      </c>
      <c r="G42" s="18" t="inlineStr">
        <is>
          <t>Glipizide มีสูตรโครงสร้างคล้ายกับ metformin</t>
        </is>
      </c>
      <c r="H42" s="18" t="inlineStr">
        <is>
          <t>Glipizide จัดอยู่ในกลุ่ม second generation drug ของการรักษา type 2 diabetes</t>
        </is>
      </c>
      <c r="I42" s="15" t="inlineStr">
        <is>
          <t>4</t>
        </is>
      </c>
      <c r="J42" s="18"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18" t="inlineStr"/>
      <c r="L42" s="18" t="inlineStr">
        <is>
          <t>Diabetes mellitus</t>
        </is>
      </c>
      <c r="M42" s="18" t="inlineStr">
        <is>
          <t>Clinic</t>
        </is>
      </c>
      <c r="N42" s="18" t="inlineStr">
        <is>
          <t>ข้อ 50 ชุด 1 (เฉลยข้อ ง)</t>
        </is>
      </c>
      <c r="O42" s="18" t="inlineStr">
        <is>
          <t>Mock</t>
        </is>
      </c>
      <c r="P42" s="18" t="inlineStr">
        <is>
          <t>ชุด 1</t>
        </is>
      </c>
    </row>
    <row r="43">
      <c r="A43" s="15" t="inlineStr">
        <is>
          <t>51</t>
        </is>
      </c>
      <c r="B43" s="18" t="inlineStr">
        <is>
          <t>Rosiglitazone เป็นยาลดระดับน้ำตาลในเลือดที่ ห้ามใช้ ในโรคเบาหวานชนิดที่ 1 เพราะ</t>
        </is>
      </c>
      <c r="C43" s="18" t="inlineStr"/>
      <c r="D43" s="18" t="inlineStr">
        <is>
          <t>ลดระดับน้ำตาลในเลือดได้น้อยเมื่อให้ร่วมกับ insulin</t>
        </is>
      </c>
      <c r="E43" s="18" t="inlineStr">
        <is>
          <t>ลดระดับ insulin</t>
        </is>
      </c>
      <c r="F43" s="18" t="inlineStr">
        <is>
          <t>ทำให้ insulin ไม่สามารถออกฤทธิ์ได้เต็มที่</t>
        </is>
      </c>
      <c r="G43" s="18" t="inlineStr">
        <is>
          <t>อาจทำให้ระดับน้ำตาลในเลือดลดลงจนเกิด hypoglycemia</t>
        </is>
      </c>
      <c r="H43" s="18" t="inlineStr">
        <is>
          <t>ต้องอาศัย insulin ในการออกฤทธิ์ เนื่องจากจะช่วยเพิ่มความไวตัวรับของ insulin</t>
        </is>
      </c>
      <c r="I43" s="15" t="inlineStr">
        <is>
          <t>5</t>
        </is>
      </c>
      <c r="J43" s="18"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ข้อนี้ไม่ใช่คำตอบที่ถูกต้องสำหรับภาวะ Diabetes mellitus เนื่องจากกลไกการออกฤทธิ์, efficacy หรือข้อบ่งใช้ไม่ตรงกับโจทย์ที่กำหนด
• ข้อ ข. (ลดระดับ insulin): ข้อนี้ไม่ใช่คำตอบที่ถูกต้องสำหรับภาวะ Diabetes mellitus เนื่องจากกลไกการออกฤทธิ์, efficacy หรือข้อบ่งใช้ไม่ตรงกับโจทย์ที่กำหนด
• ข้อ ค. (ทำให้ insulin ไม่สามารถออกฤทธิ์ได้เต็มที่): ข้อนี้ไม่ใช่คำตอบที่ถูกต้องสำหรับภาวะ Diabetes mellitus เนื่องจากกลไกการออกฤทธิ์, efficacy หรือข้อบ่งใช้ไม่ตรงกับโจทย์ที่กำหนด
• ข้อ ง. (อาจทำให้ระดับน้ำตาลในเลือดลดลงจนเกิด hypoglycemia):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18" t="inlineStr"/>
      <c r="L43" s="18" t="inlineStr">
        <is>
          <t>Diabetes mellitus</t>
        </is>
      </c>
      <c r="M43" s="18" t="inlineStr">
        <is>
          <t>Clinic</t>
        </is>
      </c>
      <c r="N43" s="18" t="inlineStr">
        <is>
          <t>ข้อ 51 ชุด 1 (เฉลยข้อ จ)</t>
        </is>
      </c>
      <c r="O43" s="18" t="inlineStr">
        <is>
          <t>Mock</t>
        </is>
      </c>
      <c r="P43" s="18" t="inlineStr">
        <is>
          <t>ชุด 1</t>
        </is>
      </c>
    </row>
    <row r="44">
      <c r="A44" s="15" t="inlineStr">
        <is>
          <t>52</t>
        </is>
      </c>
      <c r="B44" s="18" t="inlineStr">
        <is>
          <t>ผลข้างเคียงสำคัญที่ต้องมีการเฝ้าระวังเป็นพิเศษสำหรับการใช้ยาในกลุ่ม thiazolidinedione คือ</t>
        </is>
      </c>
      <c r="C44" s="18" t="inlineStr"/>
      <c r="D44" s="18" t="inlineStr">
        <is>
          <t>Renal toxicity</t>
        </is>
      </c>
      <c r="E44" s="18" t="inlineStr">
        <is>
          <t>Retinopathy</t>
        </is>
      </c>
      <c r="F44" s="18" t="inlineStr">
        <is>
          <t>Hepatotoxicity</t>
        </is>
      </c>
      <c r="G44" s="18" t="inlineStr">
        <is>
          <t>Hemolytic anemia</t>
        </is>
      </c>
      <c r="H44" s="18" t="inlineStr">
        <is>
          <t>Cardiotoxicity</t>
        </is>
      </c>
      <c r="I44" s="15" t="inlineStr">
        <is>
          <t>3</t>
        </is>
      </c>
      <c r="J44" s="18"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ข้อนี้ไม่ใช่คำตอบที่ถูกต้องสำหรับภาวะ Diabetes mellitus เนื่องจากกลไกการออกฤทธิ์, efficacy หรือข้อบ่งใช้ไม่ตรงกับโจทย์ที่กำหนด
• ข้อ ข. (Retinopathy): ข้อนี้ไม่ใช่คำตอบที่ถูกต้องสำหรับภาวะ Diabetes mellitus เนื่องจากกลไกการออกฤทธิ์, efficacy หรือข้อบ่งใช้ไม่ตรงกับโจทย์ที่กำหนด
• ข้อ ง. (Hemolytic anemia): ข้อนี้ไม่ใช่คำตอบที่ถูกต้องสำหรับภาวะ Diabetes mellitus เนื่องจากกลไกการออกฤทธิ์, efficacy หรือข้อบ่งใช้ไม่ตรงกับโจทย์ที่กำหนด
• ข้อ จ. (Cardiotoxicity):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18" t="inlineStr"/>
      <c r="L44" s="18" t="inlineStr">
        <is>
          <t>Diabetes mellitus</t>
        </is>
      </c>
      <c r="M44" s="18" t="inlineStr">
        <is>
          <t>Clinic</t>
        </is>
      </c>
      <c r="N44" s="18" t="inlineStr">
        <is>
          <t>ข้อ 52 ชุด 1 (เฉลยข้อ ค จ)</t>
        </is>
      </c>
      <c r="O44" s="18" t="inlineStr">
        <is>
          <t>Mock</t>
        </is>
      </c>
      <c r="P44" s="18" t="inlineStr">
        <is>
          <t>ชุด 1</t>
        </is>
      </c>
    </row>
    <row r="45">
      <c r="A45" s="15" t="inlineStr">
        <is>
          <t>53</t>
        </is>
      </c>
      <c r="B45" s="18" t="inlineStr">
        <is>
          <t>ทำไม insulin ต้องให้แบบฉีด</t>
        </is>
      </c>
      <c r="C45" s="18" t="inlineStr"/>
      <c r="D45" s="18" t="inlineStr">
        <is>
          <t>เพื่อให้ไร้เชื้อ</t>
        </is>
      </c>
      <c r="E45" s="18" t="inlineStr">
        <is>
          <t>เพื่อความคงสภาพ</t>
        </is>
      </c>
      <c r="F45" s="18" t="inlineStr">
        <is>
          <t>เพื่อให้ออกฤทธิ์เร็ว</t>
        </is>
      </c>
      <c r="G45" s="18" t="inlineStr">
        <is>
          <t>เพื่อให้ออกฤทธิ์ต่อเนื่อง</t>
        </is>
      </c>
      <c r="H45" s="18" t="inlineStr">
        <is>
          <t>เพื่อหลีกเลี่ยงการถูกทำลายในทางเดินอาหาร</t>
        </is>
      </c>
      <c r="I45" s="15" t="inlineStr">
        <is>
          <t>5</t>
        </is>
      </c>
      <c r="J45" s="18"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ข้อนี้ไม่ใช่คำตอบที่ถูกต้องสำหรับภาวะ Diabetes mellitus เนื่องจากกลไกการออกฤทธิ์, efficacy หรือข้อบ่งใช้ไม่ตรงกับโจทย์ที่กำหนด
• ข้อ ข. (เพื่อความคงสภาพ): ข้อนี้ไม่ใช่คำตอบที่ถูกต้องสำหรับภาวะ Diabetes mellitus เนื่องจากกลไกการออกฤทธิ์, efficacy หรือข้อบ่งใช้ไม่ตรงกับโจทย์ที่กำหนด
• ข้อ ค. (เพื่อให้ออกฤทธิ์เร็ว): ข้อนี้ไม่ใช่คำตอบที่ถูกต้องสำหรับภาวะ Diabetes mellitus เนื่องจากกลไกการออกฤทธิ์, efficacy หรือข้อบ่งใช้ไม่ตรงกับโจทย์ที่กำหนด
• ข้อ ง. (เพื่อให้ออกฤทธิ์ต่อเนื่อง):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18" t="inlineStr"/>
      <c r="L45" s="18" t="inlineStr">
        <is>
          <t>Diabetes mellitus</t>
        </is>
      </c>
      <c r="M45" s="18" t="inlineStr">
        <is>
          <t>Clinic</t>
        </is>
      </c>
      <c r="N45" s="18" t="inlineStr">
        <is>
          <t>ข้อ 53 ชุด 1 (เฉลยข้อ จ)</t>
        </is>
      </c>
      <c r="O45" s="18" t="inlineStr">
        <is>
          <t>Mock</t>
        </is>
      </c>
      <c r="P45" s="18" t="inlineStr">
        <is>
          <t>ชุด 1</t>
        </is>
      </c>
    </row>
    <row r="46">
      <c r="A46" s="15" t="inlineStr">
        <is>
          <t>54</t>
        </is>
      </c>
      <c r="B46" s="18" t="inlineStr">
        <is>
          <t>ข้อใดผิดเกี่ยวกับ insulin</t>
        </is>
      </c>
      <c r="C46" s="18" t="inlineStr"/>
      <c r="D46" s="18" t="inlineStr">
        <is>
          <t>Lispro คือการสลับตำแหน่งของ amino acid proline เป็น lysine เพื่อให้ออกฤทธิ์เร็ว</t>
        </is>
      </c>
      <c r="E46" s="18" t="inlineStr">
        <is>
          <t>Protamine ใน NPH ทำให้ออกฤทธิ์เร็ว</t>
        </is>
      </c>
      <c r="F46" s="18" t="inlineStr">
        <is>
          <t>ใน phosphate buffers ไม่สามารถผสม lente</t>
        </is>
      </c>
      <c r="G46" s="18" t="inlineStr">
        <is>
          <t>Insulin ในท้องตลาด มักจะเป็นแบบกึ่งสังเคราะห์ของหมูและวัว</t>
        </is>
      </c>
      <c r="H46" s="18" t="inlineStr">
        <is>
          <t>ไม่มีข้อใดถูก</t>
        </is>
      </c>
      <c r="I46" s="15" t="inlineStr">
        <is>
          <t>2</t>
        </is>
      </c>
      <c r="J46" s="18"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ข้อนี้ไม่ใช่คำตอบที่ถูกต้องสำหรับภาวะ Diabetes mellitus เนื่องจากกลไกการออกฤทธิ์, efficacy หรือข้อบ่งใช้ไม่ตรงกับโจทย์ที่กำหนด
• ข้อ ค. (ใน phosphate buffers ไม่สามารถผสม lente): ข้อนี้ไม่ใช่คำตอบที่ถูกต้องสำหรับภาวะ Diabetes mellitus เนื่องจากกลไกการออกฤทธิ์, efficacy หรือข้อบ่งใช้ไม่ตรงกับโจทย์ที่กำหนด
• ข้อ ง. (Insulin ในท้องตลาด มักจะเป็นแบบกึ่งสังเคราะห์ของหมูและวัว):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18" t="inlineStr"/>
      <c r="L46" s="18" t="inlineStr">
        <is>
          <t>Diabetes mellitus</t>
        </is>
      </c>
      <c r="M46" s="18" t="inlineStr">
        <is>
          <t>Clinic</t>
        </is>
      </c>
      <c r="N46" s="18" t="inlineStr">
        <is>
          <t>ข้อ 54 ชุด 1 (เฉลยข้อ ข ง)</t>
        </is>
      </c>
      <c r="O46" s="18" t="inlineStr">
        <is>
          <t>Mock</t>
        </is>
      </c>
      <c r="P46" s="18" t="inlineStr">
        <is>
          <t>ชุด 1</t>
        </is>
      </c>
    </row>
    <row r="47">
      <c r="A47" s="15" t="inlineStr">
        <is>
          <t>55</t>
        </is>
      </c>
      <c r="B47" s="18" t="inlineStr">
        <is>
          <t>ข้อใดเป็นข้อบ่งใช้ของ acarbose</t>
        </is>
      </c>
      <c r="C47" s="18" t="inlineStr"/>
      <c r="D47" s="18" t="inlineStr">
        <is>
          <t>กระเพาะปัสสาวะอักเสบ</t>
        </is>
      </c>
      <c r="E47" s="18" t="inlineStr">
        <is>
          <t>ไต</t>
        </is>
      </c>
      <c r="F47" s="18" t="inlineStr">
        <is>
          <t>ตับอักเสบ</t>
        </is>
      </c>
      <c r="G47" s="18" t="inlineStr">
        <is>
          <t>เบาหวาน</t>
        </is>
      </c>
      <c r="H47" s="18" t="inlineStr">
        <is>
          <t>ความดันโลหิตต่ำ</t>
        </is>
      </c>
      <c r="I47" s="15" t="inlineStr">
        <is>
          <t>4</t>
        </is>
      </c>
      <c r="J47" s="18"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ข้อนี้ไม่ใช่คำตอบที่ถูกต้องสำหรับภาวะ Diabetes mellitus เนื่องจากกลไกการออกฤทธิ์, efficacy หรือข้อบ่งใช้ไม่ตรงกับโจทย์ที่กำหนด
• ข้อ ข. (ไต): ข้อนี้ไม่ใช่คำตอบที่ถูกต้องสำหรับภาวะ Diabetes mellitus เนื่องจากกลไกการออกฤทธิ์, efficacy หรือข้อบ่งใช้ไม่ตรงกับโจทย์ที่กำหนด
• ข้อ ค. (ตับอักเสบ): ข้อนี้ไม่ใช่คำตอบที่ถูกต้องสำหรับภาวะ Diabetes mellitus เนื่องจากกลไกการออกฤทธิ์, efficacy หรือข้อบ่งใช้ไม่ตรงกับโจทย์ที่กำหนด
• ข้อ จ. (ความดันโลหิตต่ำ):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18" t="inlineStr"/>
      <c r="L47" s="18" t="inlineStr">
        <is>
          <t>Diabetes mellitus</t>
        </is>
      </c>
      <c r="M47" s="18" t="inlineStr">
        <is>
          <t>Clinic</t>
        </is>
      </c>
      <c r="N47" s="18" t="inlineStr">
        <is>
          <t>ข้อ 55 ชุด 1 (เฉลยข้อ ง)</t>
        </is>
      </c>
      <c r="O47" s="18" t="inlineStr">
        <is>
          <t>Mock</t>
        </is>
      </c>
      <c r="P47" s="18" t="inlineStr">
        <is>
          <t>ชุด 1</t>
        </is>
      </c>
    </row>
    <row r="48">
      <c r="A48" s="15" t="inlineStr">
        <is>
          <t>56</t>
        </is>
      </c>
      <c r="B48" s="18" t="inlineStr">
        <is>
          <t>ยาใดทำให้เกิด hyperglycemia และ hypokalemia</t>
        </is>
      </c>
      <c r="C48" s="18" t="inlineStr"/>
      <c r="D48" s="18" t="inlineStr">
        <is>
          <t>Hydrocortisone</t>
        </is>
      </c>
      <c r="E48" s="18" t="inlineStr">
        <is>
          <t>Chlorpropamide</t>
        </is>
      </c>
      <c r="F48" s="18" t="inlineStr">
        <is>
          <t>Hydrochlorothiazide</t>
        </is>
      </c>
      <c r="G48" s="18" t="inlineStr">
        <is>
          <t>Bumetanide</t>
        </is>
      </c>
      <c r="H48" s="18" t="inlineStr">
        <is>
          <t>Prednisone</t>
        </is>
      </c>
      <c r="I48" s="15" t="inlineStr">
        <is>
          <t>3</t>
        </is>
      </c>
      <c r="J48" s="18"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เป็น short-acting glucocorticoid ที่มี mineralocorticoid activity สูง เป็น drug of choice สำหรับ acute adrenal insufficiency / adrenal crisis
• ข้อ ข. (Chlorpropamide): ข้อนี้ไม่ใช่คำตอบที่ถูกต้องสำหรับภาวะ Diabetes mellitus เนื่องจากกลไกการออกฤทธิ์, efficacy หรือข้อบ่งใช้ไม่ตรงกับโจทย์ที่กำหนด
• ข้อ ง. (Bumetanide): ข้อนี้ไม่ใช่คำตอบที่ถูกต้องสำหรับภาวะ Diabetes mellitus เนื่องจากกลไกการออกฤทธิ์, efficacy หรือข้อบ่งใช้ไม่ตรงกับโจทย์ที่กำหนด
• ข้อ จ. (Prednisone):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18" t="inlineStr"/>
      <c r="L48" s="18" t="inlineStr">
        <is>
          <t>Diabetes mellitus</t>
        </is>
      </c>
      <c r="M48" s="18" t="inlineStr">
        <is>
          <t>Clinic</t>
        </is>
      </c>
      <c r="N48" s="18" t="inlineStr">
        <is>
          <t>ข้อ 56 ชุด 1 (เฉลยข้อ ค)</t>
        </is>
      </c>
      <c r="O48" s="18" t="inlineStr">
        <is>
          <t>Mock</t>
        </is>
      </c>
      <c r="P48" s="18" t="inlineStr">
        <is>
          <t>ชุด 1</t>
        </is>
      </c>
    </row>
    <row r="49">
      <c r="A49" s="15" t="inlineStr">
        <is>
          <t>85</t>
        </is>
      </c>
      <c r="B49" s="18" t="inlineStr">
        <is>
          <t>อาการที่เกิดขึ้นกับผู้ป่วยรายนี้ถือเป็น DRP ข้อใด</t>
        </is>
      </c>
      <c r="C49" s="18" t="inlineStr"/>
      <c r="D49" s="18" t="inlineStr">
        <is>
          <t>Non-compliance</t>
        </is>
      </c>
      <c r="E49" s="18" t="inlineStr">
        <is>
          <t>Low dose</t>
        </is>
      </c>
      <c r="F49" s="18" t="inlineStr">
        <is>
          <t>High dose</t>
        </is>
      </c>
      <c r="G49" s="18" t="inlineStr">
        <is>
          <t>Inappropriate treatment</t>
        </is>
      </c>
      <c r="H49" s="18" t="inlineStr">
        <is>
          <t>Adverse drug reaction</t>
        </is>
      </c>
      <c r="I49" s="15" t="inlineStr">
        <is>
          <t>1</t>
        </is>
      </c>
      <c r="J49" s="18"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ข้อนี้ไม่ใช่คำตอบที่ถูกต้องสำหรับภาวะ Diabetes mellitus เนื่องจากกลไกการออกฤทธิ์, efficacy หรือข้อบ่งใช้ไม่ตรงกับโจทย์ที่กำหนด
• ข้อ ค. (High dose): ข้อนี้ไม่ใช่คำตอบที่ถูกต้องสำหรับภาวะ Diabetes mellitus เนื่องจากกลไกการออกฤทธิ์, efficacy หรือข้อบ่งใช้ไม่ตรงกับโจทย์ที่กำหนด
• ข้อ ง. (Inappropriate treatment): ข้อนี้ไม่ใช่คำตอบที่ถูกต้องสำหรับภาวะ Diabetes mellitus เนื่องจากกลไกการออกฤทธิ์, efficacy หรือข้อบ่งใช้ไม่ตรงกับโจทย์ที่กำหนด
• ข้อ จ. (Adverse drug reaction):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18" t="inlineStr"/>
      <c r="L49" s="18" t="inlineStr">
        <is>
          <t>Diabetes mellitus</t>
        </is>
      </c>
      <c r="M49" s="18" t="inlineStr">
        <is>
          <t>Clinic</t>
        </is>
      </c>
      <c r="N49" s="18" t="inlineStr">
        <is>
          <t>ข้อ 85 ชุด 1 (เฉลยข้อ ก)</t>
        </is>
      </c>
      <c r="O49" s="18" t="inlineStr">
        <is>
          <t>Mock</t>
        </is>
      </c>
      <c r="P49" s="18" t="inlineStr">
        <is>
          <t>ชุด 1</t>
        </is>
      </c>
    </row>
    <row r="50">
      <c r="A50" s="15" t="inlineStr">
        <is>
          <t>86</t>
        </is>
      </c>
      <c r="B50" s="18" t="inlineStr">
        <is>
          <t>ยาใดมีผลช่วยลด macrovascular complication ได้</t>
        </is>
      </c>
      <c r="C50" s="18" t="inlineStr"/>
      <c r="D50" s="18" t="inlineStr">
        <is>
          <t>Acarbose และ metformin</t>
        </is>
      </c>
      <c r="E50" s="18" t="inlineStr">
        <is>
          <t>Glipizide และ pioglitazone</t>
        </is>
      </c>
      <c r="F50" s="18" t="inlineStr">
        <is>
          <t>SU และ metformin</t>
        </is>
      </c>
      <c r="G50" s="18" t="inlineStr">
        <is>
          <t>Repaglinide และ SU</t>
        </is>
      </c>
      <c r="H50" s="18" t="inlineStr">
        <is>
          <t>Levothyroxine 50 mcg OD</t>
        </is>
      </c>
      <c r="I50" s="15" t="inlineStr">
        <is>
          <t>5</t>
        </is>
      </c>
      <c r="J50" s="18"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จากหลักฐานเชิงประจักษ์ (UKPDS) Metformin มีหลักฐานชัดเจนในการลด macrovascular complications (myocardial infarction) ในผู้ป่วยเบาหวานชนิดที่ 2 ที่มีภาวะอ้วน ส่วนกลุ่ม Sulfonylurea (SU) และยาอื่นๆ ส่วนใหญ่เด่นเรื่อง microvascular complication ยกเว้นบางกลุ่มใหม่ SGLT2i หรือ GLP-1RA ในที่นี้ตัวเลือกที่มี metformin คือข้อ ค. (SU และ metformin) แต่ถ้ายึดตามแนวทาง Metformin เป็นหลักเด่นสุด ข้อ ค จึงครอบคลุมถึงผลของ metformin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(Acarbose และ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ข. (Glipizide และ pioglitazone): เป็น Second-generation Sulfonylurea กระตุ้น insulin secretion เสี่ยงต่อ hypoglycemia และ weight gain ขับออกทางตับเด่นกว่า glibenclamide จึงปลอดภัยกว่าในผู้สูงอายุ/CKD
• ข้อ ค. (SU และ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(Repaglinide และ SU):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50" s="18" t="inlineStr"/>
      <c r="L50" s="18" t="inlineStr">
        <is>
          <t>Diabetes mellitus</t>
        </is>
      </c>
      <c r="M50" s="18" t="inlineStr">
        <is>
          <t>Clinic</t>
        </is>
      </c>
      <c r="N50" s="18" t="inlineStr">
        <is>
          <t>ข้อ 86 ชุด 1 (เฉลยข้อ จ)</t>
        </is>
      </c>
      <c r="O50" s="18" t="inlineStr">
        <is>
          <t>Mock</t>
        </is>
      </c>
      <c r="P50" s="18" t="inlineStr">
        <is>
          <t>ชุด 1</t>
        </is>
      </c>
    </row>
    <row r="51">
      <c r="A51" s="15" t="inlineStr">
        <is>
          <t>87</t>
        </is>
      </c>
      <c r="B51" s="18" t="inlineStr">
        <is>
          <t>ท่านจะแนะนำการรับประทานยา acarbose ชนิดเม็ดอย่างไร</t>
        </is>
      </c>
      <c r="C51" s="18" t="inlineStr"/>
      <c r="D51" s="18" t="inlineStr">
        <is>
          <t>รับประทานหลังอาหารทันที</t>
        </is>
      </c>
      <c r="E51" s="18" t="inlineStr">
        <is>
          <t>รับประทานก่อนอาหาร 30 นาที และอยู่ในท่านั่งสักครู่</t>
        </is>
      </c>
      <c r="F51" s="18" t="inlineStr">
        <is>
          <t>รับประทานพร้อมอาหารคำแรก</t>
        </is>
      </c>
      <c r="G51" s="18" t="inlineStr">
        <is>
          <t>รับประทานก่อนหรือหลังอาหารก็ได้</t>
        </is>
      </c>
      <c r="H51" s="18" t="inlineStr">
        <is>
          <t>เคี้ยวพร้อมอาหารคำแรก</t>
        </is>
      </c>
      <c r="I51" s="15" t="inlineStr">
        <is>
          <t>3</t>
        </is>
      </c>
      <c r="J51" s="18"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ข้อนี้ไม่ใช่คำตอบที่ถูกต้องสำหรับภาวะ Diabetes mellitus เนื่องจากกลไกการออกฤทธิ์, efficacy หรือข้อบ่งใช้ไม่ตรงกับโจทย์ที่กำหนด
• ข้อ ข. (รับประทานก่อนอาหาร 30 นาที และอยู่ในท่านั่งสักครู่): ข้อนี้ไม่ใช่คำตอบที่ถูกต้องสำหรับภาวะ Diabetes mellitus เนื่องจากกลไกการออกฤทธิ์, efficacy หรือข้อบ่งใช้ไม่ตรงกับโจทย์ที่กำหนด
• ข้อ ง. (รับประทานก่อนหรือหลังอาหารก็ได้): ข้อนี้ไม่ใช่คำตอบที่ถูกต้องสำหรับภาวะ Diabetes mellitus เนื่องจากกลไกการออกฤทธิ์, efficacy หรือข้อบ่งใช้ไม่ตรงกับโจทย์ที่กำหนด
• ข้อ จ. (เคี้ยวพร้อมอาหารคำแรก):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18" t="inlineStr"/>
      <c r="L51" s="18" t="inlineStr">
        <is>
          <t>Diabetes mellitus</t>
        </is>
      </c>
      <c r="M51" s="18" t="inlineStr">
        <is>
          <t>Clinic</t>
        </is>
      </c>
      <c r="N51" s="18" t="inlineStr">
        <is>
          <t>ข้อ 87 ชุด 1 (เฉลยข้อ ค)</t>
        </is>
      </c>
      <c r="O51" s="18" t="inlineStr">
        <is>
          <t>Mock</t>
        </is>
      </c>
      <c r="P51" s="18" t="inlineStr">
        <is>
          <t>ชุด 1</t>
        </is>
      </c>
    </row>
    <row r="52">
      <c r="A52" s="15" t="inlineStr">
        <is>
          <t>88</t>
        </is>
      </c>
      <c r="B52" s="18" t="inlineStr">
        <is>
          <t>เมื่อเปรียบเทียบ duration of action ของยาในกลุ่ม sulfonylureas พบว่าสามารถเรียงลำดับได้ดังนี้</t>
        </is>
      </c>
      <c r="C52" s="18" t="inlineStr"/>
      <c r="D52" s="18" t="inlineStr">
        <is>
          <t>Chlorpropamide &gt; Glyburide &gt; Glipizide &gt; Tolbutamide</t>
        </is>
      </c>
      <c r="E52" s="18" t="inlineStr">
        <is>
          <t>Tolbutamide &gt; Glipizide &gt; Glyburide &gt; Chlorpropamide</t>
        </is>
      </c>
      <c r="F52" s="18" t="inlineStr">
        <is>
          <t>Glyburide &gt; Tolbutamide &gt; Glipizide &gt; Chlorpropamide</t>
        </is>
      </c>
      <c r="G52" s="18" t="inlineStr">
        <is>
          <t>Glipizide &gt; Glyburide &gt; Chlorpropamide &gt; Tolbutamide</t>
        </is>
      </c>
      <c r="H52" s="18" t="inlineStr">
        <is>
          <t>Dapagliflozin 10 mg OD</t>
        </is>
      </c>
      <c r="I52" s="15" t="inlineStr">
        <is>
          <t>1</t>
        </is>
      </c>
      <c r="J52" s="18"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18" t="inlineStr"/>
      <c r="L52" s="18" t="inlineStr">
        <is>
          <t>Diabetes mellitus</t>
        </is>
      </c>
      <c r="M52" s="18" t="inlineStr">
        <is>
          <t>Clinic</t>
        </is>
      </c>
      <c r="N52" s="18" t="inlineStr">
        <is>
          <t>ข้อ 88 ชุด 1 (เฉลยข้อ ก)</t>
        </is>
      </c>
      <c r="O52" s="18" t="inlineStr">
        <is>
          <t>Mock</t>
        </is>
      </c>
      <c r="P52" s="18" t="inlineStr">
        <is>
          <t>ชุด 1</t>
        </is>
      </c>
    </row>
    <row r="53">
      <c r="A53" s="15" t="inlineStr">
        <is>
          <t>89</t>
        </is>
      </c>
      <c r="B53" s="18" t="inlineStr">
        <is>
          <t>กลไกการออกฤทธิ์ของยา chlorpropamide ในผู้ป่วยโรคเบาหวานได้แก่</t>
        </is>
      </c>
      <c r="C53" s="18" t="inlineStr"/>
      <c r="D53" s="18" t="inlineStr">
        <is>
          <t>เพิ่ม insulin resistance ในผู้ป่วย</t>
        </is>
      </c>
      <c r="E53" s="18" t="inlineStr">
        <is>
          <t>ลด insulin resistance ในผู้ป่วย</t>
        </is>
      </c>
      <c r="F53" s="18" t="inlineStr">
        <is>
          <t>กระตุ้นการหลั่งของ insulin ในผู้ป่วย</t>
        </is>
      </c>
      <c r="G53" s="18" t="inlineStr">
        <is>
          <t>ข้อ ก และ ค ถูก</t>
        </is>
      </c>
      <c r="H53" s="18" t="inlineStr">
        <is>
          <t>ข้อ ก และ ข ถูก</t>
        </is>
      </c>
      <c r="I53" s="15" t="inlineStr">
        <is>
          <t>3</t>
        </is>
      </c>
      <c r="J53" s="18"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ข. (ลด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ง. (ข้อ ก และ ค ถูก): ข้อนี้ไม่ใช่คำตอบที่ถูกต้องสำหรับภาวะ Diabetes mellitus เนื่องจากกลไกการออกฤทธิ์, efficacy หรือข้อบ่งใช้ไม่ตรงกับโจทย์ที่กำหนด
• ข้อ จ. (ข้อ ก และ ข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18" t="inlineStr"/>
      <c r="L53" s="18" t="inlineStr">
        <is>
          <t>Diabetes mellitus</t>
        </is>
      </c>
      <c r="M53" s="18" t="inlineStr">
        <is>
          <t>Clinic</t>
        </is>
      </c>
      <c r="N53" s="18" t="inlineStr">
        <is>
          <t>ข้อ 89 ชุด 1 (เฉลยข้อ ค)</t>
        </is>
      </c>
      <c r="O53" s="18" t="inlineStr">
        <is>
          <t>Mock</t>
        </is>
      </c>
      <c r="P53" s="18" t="inlineStr">
        <is>
          <t>ชุด 1</t>
        </is>
      </c>
    </row>
    <row r="54">
      <c r="A54" s="15" t="inlineStr">
        <is>
          <t>90</t>
        </is>
      </c>
      <c r="B54" s="18" t="inlineStr">
        <is>
          <t>อาการแทรกซ้อนที่ต้องระวังในผู้ป่วยเบาหวานคืออะไร</t>
        </is>
      </c>
      <c r="C54" s="18" t="inlineStr"/>
      <c r="D54" s="18" t="inlineStr">
        <is>
          <t>Retinopathy</t>
        </is>
      </c>
      <c r="E54" s="18" t="inlineStr">
        <is>
          <t>Nephropathy</t>
        </is>
      </c>
      <c r="F54" s="18" t="inlineStr">
        <is>
          <t>Neuropathy</t>
        </is>
      </c>
      <c r="G54" s="18" t="inlineStr">
        <is>
          <t>Ischemic stroke</t>
        </is>
      </c>
      <c r="H54" s="18" t="inlineStr">
        <is>
          <t>ถูกทุกข้อ</t>
        </is>
      </c>
      <c r="I54" s="15" t="inlineStr">
        <is>
          <t>5</t>
        </is>
      </c>
      <c r="J54" s="18"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ข้อนี้ไม่ใช่คำตอบที่ถูกต้องสำหรับภาวะ Diabetes mellitus เนื่องจากกลไกการออกฤทธิ์, efficacy หรือข้อบ่งใช้ไม่ตรงกับโจทย์ที่กำหนด
• ข้อ ข. (Nephropathy): ข้อนี้ไม่ใช่คำตอบที่ถูกต้องสำหรับภาวะ Diabetes mellitus เนื่องจากกลไกการออกฤทธิ์, efficacy หรือข้อบ่งใช้ไม่ตรงกับโจทย์ที่กำหนด
• ข้อ ค. (Neuropathy): ข้อนี้ไม่ใช่คำตอบที่ถูกต้องสำหรับภาวะ Diabetes mellitus เนื่องจากกลไกการออกฤทธิ์, efficacy หรือข้อบ่งใช้ไม่ตรงกับโจทย์ที่กำหนด
• ข้อ ง. (Ischemic stroke):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18" t="inlineStr"/>
      <c r="L54" s="18" t="inlineStr">
        <is>
          <t>Diabetes mellitus</t>
        </is>
      </c>
      <c r="M54" s="18" t="inlineStr">
        <is>
          <t>Clinic</t>
        </is>
      </c>
      <c r="N54" s="18" t="inlineStr">
        <is>
          <t>ข้อ 90 ชุด 1 (เฉลยข้อ จ)</t>
        </is>
      </c>
      <c r="O54" s="18" t="inlineStr">
        <is>
          <t>Mock</t>
        </is>
      </c>
      <c r="P54" s="18" t="inlineStr">
        <is>
          <t>ชุด 1</t>
        </is>
      </c>
    </row>
    <row r="55">
      <c r="A55" s="15" t="inlineStr">
        <is>
          <t>91</t>
        </is>
      </c>
      <c r="B55" s="18" t="inlineStr">
        <is>
          <t>ข้อใดไม่ใช่อาการหลักของผู้ป่วยเบาหวาน</t>
        </is>
      </c>
      <c r="C55" s="18" t="inlineStr"/>
      <c r="D55" s="18" t="inlineStr">
        <is>
          <t>Polyuria</t>
        </is>
      </c>
      <c r="E55" s="18" t="inlineStr">
        <is>
          <t>Weight gain</t>
        </is>
      </c>
      <c r="F55" s="18" t="inlineStr">
        <is>
          <t>Fatigue</t>
        </is>
      </c>
      <c r="G55" s="18" t="inlineStr">
        <is>
          <t>Polydipsia</t>
        </is>
      </c>
      <c r="H55" s="18" t="inlineStr">
        <is>
          <t>Polyphagia</t>
        </is>
      </c>
      <c r="I55" s="15" t="inlineStr">
        <is>
          <t>2</t>
        </is>
      </c>
      <c r="J55" s="18"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ข้อนี้ไม่ใช่คำตอบที่ถูกต้องสำหรับภาวะ Diabetes mellitus เนื่องจากกลไกการออกฤทธิ์, efficacy หรือข้อบ่งใช้ไม่ตรงกับโจทย์ที่กำหนด
• ข้อ ค. (Fatigue): ข้อนี้ไม่ใช่คำตอบที่ถูกต้องสำหรับภาวะ Diabetes mellitus เนื่องจากกลไกการออกฤทธิ์, efficacy หรือข้อบ่งใช้ไม่ตรงกับโจทย์ที่กำหนด
• ข้อ ง. (Polydipsia): ข้อนี้ไม่ใช่คำตอบที่ถูกต้องสำหรับภาวะ Diabetes mellitus เนื่องจากกลไกการออกฤทธิ์, efficacy หรือข้อบ่งใช้ไม่ตรงกับโจทย์ที่กำหนด
• ข้อ จ. (Polyphagia):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18" t="inlineStr"/>
      <c r="L55" s="18" t="inlineStr">
        <is>
          <t>Diabetes mellitus</t>
        </is>
      </c>
      <c r="M55" s="18" t="inlineStr">
        <is>
          <t>Clinic</t>
        </is>
      </c>
      <c r="N55" s="18" t="inlineStr">
        <is>
          <t>ข้อ 91 ชุด 1 (เฉลยข้อ ข)</t>
        </is>
      </c>
      <c r="O55" s="18" t="inlineStr">
        <is>
          <t>Mock</t>
        </is>
      </c>
      <c r="P55" s="18" t="inlineStr">
        <is>
          <t>ชุด 1</t>
        </is>
      </c>
    </row>
    <row r="56">
      <c r="A56" s="15" t="inlineStr">
        <is>
          <t>92</t>
        </is>
      </c>
      <c r="B56" s="18" t="inlineStr">
        <is>
          <t>Lispro insulin จัดอยู่ในประเภทใด</t>
        </is>
      </c>
      <c r="C56" s="18" t="inlineStr"/>
      <c r="D56" s="18" t="inlineStr">
        <is>
          <t>Rapid acting insulin</t>
        </is>
      </c>
      <c r="E56" s="18" t="inlineStr">
        <is>
          <t>Short acting insulin</t>
        </is>
      </c>
      <c r="F56" s="18" t="inlineStr">
        <is>
          <t>Intermediate acting insulin</t>
        </is>
      </c>
      <c r="G56" s="18" t="inlineStr">
        <is>
          <t>Long acting insulin</t>
        </is>
      </c>
      <c r="H56" s="18" t="inlineStr">
        <is>
          <t>Lente insulin</t>
        </is>
      </c>
      <c r="I56" s="15" t="inlineStr">
        <is>
          <t>4</t>
        </is>
      </c>
      <c r="J56" s="18"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ข้อนี้ไม่ใช่คำตอบที่ถูกต้องสำหรับภาวะ Diabetes mellitus เนื่องจากกลไกการออกฤทธิ์, efficacy หรือข้อบ่งใช้ไม่ตรงกับโจทย์ที่กำหนด
• ข้อ ข. (Short acting insulin): ข้อนี้ไม่ใช่คำตอบที่ถูกต้องสำหรับภาวะ Diabetes mellitus เนื่องจากกลไกการออกฤทธิ์, efficacy หรือข้อบ่งใช้ไม่ตรงกับโจทย์ที่กำหนด
• ข้อ ค. (Intermediate acting insulin): ข้อนี้ไม่ใช่คำตอบที่ถูกต้องสำหรับภาวะ Diabetes mellitus เนื่องจากกลไกการออกฤทธิ์, efficacy หรือข้อบ่งใช้ไม่ตรงกับโจทย์ที่กำหนด
• ข้อ จ. (Lente insulin):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18" t="inlineStr"/>
      <c r="L56" s="18" t="inlineStr">
        <is>
          <t>Diabetes mellitus</t>
        </is>
      </c>
      <c r="M56" s="18" t="inlineStr">
        <is>
          <t>Clinic</t>
        </is>
      </c>
      <c r="N56" s="18" t="inlineStr">
        <is>
          <t>ข้อ 92 ชุด 1 (เฉลยข้อ ง)</t>
        </is>
      </c>
      <c r="O56" s="18" t="inlineStr">
        <is>
          <t>Mock</t>
        </is>
      </c>
      <c r="P56" s="18" t="inlineStr">
        <is>
          <t>ชุด 1</t>
        </is>
      </c>
    </row>
    <row r="57">
      <c r="A57" s="15" t="inlineStr">
        <is>
          <t>93</t>
        </is>
      </c>
      <c r="B57" s="18" t="inlineStr">
        <is>
          <t>โครงสร้างนี้เป็นของยาตัวใด</t>
        </is>
      </c>
      <c r="C57" s="18" t="inlineStr"/>
      <c r="D57" s="18" t="inlineStr">
        <is>
          <t>Glibenclamide</t>
        </is>
      </c>
      <c r="E57" s="18" t="inlineStr">
        <is>
          <t>Metformin</t>
        </is>
      </c>
      <c r="F57" s="18" t="inlineStr">
        <is>
          <t>Glipizide</t>
        </is>
      </c>
      <c r="G57" s="18" t="inlineStr">
        <is>
          <t>Chlorpropamide</t>
        </is>
      </c>
      <c r="H57" s="18" t="inlineStr">
        <is>
          <t>Pioglitazone</t>
        </is>
      </c>
      <c r="I57" s="15" t="inlineStr">
        <is>
          <t>1</t>
        </is>
      </c>
      <c r="J57" s="18"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(Chlorpropamide): ข้อนี้ไม่ใช่คำตอบที่ถูกต้องสำหรับภาวะ Diabetes mellitus เนื่องจากกลไกการออกฤทธิ์, efficacy หรือข้อบ่งใช้ไม่ตรงกับโจทย์ที่กำหนด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18" t="inlineStr"/>
      <c r="L57" s="18" t="inlineStr">
        <is>
          <t>Diabetes mellitus</t>
        </is>
      </c>
      <c r="M57" s="18" t="inlineStr">
        <is>
          <t>Clinic</t>
        </is>
      </c>
      <c r="N57" s="18" t="inlineStr">
        <is>
          <t>ข้อ 93 ชุด 1 (เฉลยข้อ )</t>
        </is>
      </c>
      <c r="O57" s="18" t="inlineStr">
        <is>
          <t>Mock</t>
        </is>
      </c>
      <c r="P57" s="18" t="inlineStr">
        <is>
          <t>ชุด 1</t>
        </is>
      </c>
    </row>
    <row r="58">
      <c r="A58" s="15" t="inlineStr">
        <is>
          <t>94</t>
        </is>
      </c>
      <c r="B58" s="18" t="inlineStr">
        <is>
          <t>อาการข้างเคียงที่ต้องเฝ้าระวังเป็นพิเศษ สำหรับยาในกลุ่ม Thiazolidinedione คือ</t>
        </is>
      </c>
      <c r="C58" s="18" t="inlineStr"/>
      <c r="D58" s="18" t="inlineStr">
        <is>
          <t>Renal toxicity</t>
        </is>
      </c>
      <c r="E58" s="18" t="inlineStr">
        <is>
          <t>Retinopathy</t>
        </is>
      </c>
      <c r="F58" s="18" t="inlineStr">
        <is>
          <t>Hepatotoxicity</t>
        </is>
      </c>
      <c r="G58" s="18" t="inlineStr">
        <is>
          <t>Cardiotoxicity</t>
        </is>
      </c>
      <c r="H58" s="18" t="inlineStr">
        <is>
          <t>ถูกต้องทุกข้อ</t>
        </is>
      </c>
      <c r="I58" s="15" t="inlineStr">
        <is>
          <t>3</t>
        </is>
      </c>
      <c r="J58" s="18"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ข้อนี้ไม่ใช่คำตอบที่ถูกต้องสำหรับภาวะ Diabetes mellitus เนื่องจากกลไกการออกฤทธิ์, efficacy หรือข้อบ่งใช้ไม่ตรงกับโจทย์ที่กำหนด
• ข้อ ข. (Retinopathy): ข้อนี้ไม่ใช่คำตอบที่ถูกต้องสำหรับภาวะ Diabetes mellitus เนื่องจากกลไกการออกฤทธิ์, efficacy หรือข้อบ่งใช้ไม่ตรงกับโจทย์ที่กำหนด
• ข้อ ง. (Cardiotoxicity): ข้อนี้ไม่ใช่คำตอบที่ถูกต้องสำหรับภาวะ Diabetes mellitus เนื่องจากกลไกการออกฤทธิ์, efficacy หรือข้อบ่งใช้ไม่ตรงกับโจทย์ที่กำหนด
• ข้อ จ. (ถูกต้องทุกข้อ):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18" t="inlineStr"/>
      <c r="L58" s="18" t="inlineStr">
        <is>
          <t>Diabetes mellitus</t>
        </is>
      </c>
      <c r="M58" s="18" t="inlineStr">
        <is>
          <t>Clinic</t>
        </is>
      </c>
      <c r="N58" s="18" t="inlineStr">
        <is>
          <t>ข้อ 94 ชุด 1 (เฉลยข้อ ค)</t>
        </is>
      </c>
      <c r="O58" s="18" t="inlineStr">
        <is>
          <t>Mock</t>
        </is>
      </c>
      <c r="P58" s="18" t="inlineStr">
        <is>
          <t>ชุด 1</t>
        </is>
      </c>
    </row>
    <row r="59">
      <c r="A59" s="15" t="inlineStr">
        <is>
          <t>95</t>
        </is>
      </c>
      <c r="B59" s="18" t="inlineStr">
        <is>
          <t>ข้อใดไม่ถูกต้องเกี่ยวกับรูปแบบการให้อินซูลินแบบผสมระหว่าง NPH/regular insulin</t>
        </is>
      </c>
      <c r="C59" s="18" t="inlineStr"/>
      <c r="D59" s="18" t="inlineStr">
        <is>
          <t>สามารถให้ได้วันละ 2 ครั้ง ทำให้ผู้ป่วยไม่ต้องฉีดอินซูลินหลายครั้งต่อวัน</t>
        </is>
      </c>
      <c r="E59" s="18" t="inlineStr">
        <is>
          <t>เหมาะกับผู้ป่วยที่รับประทานอาหารไม่ตรงเวลาหรือทานข้าวไม่ค่อยได้</t>
        </is>
      </c>
      <c r="F59" s="18" t="inlineStr">
        <is>
          <t>แบ่งขนาดยาก่อนอาหารเช้าเป็น 2/3 ของขนาดยาที่ต้องการทั้งหมดในแต่ละวัน</t>
        </is>
      </c>
      <c r="G59" s="18" t="inlineStr">
        <is>
          <t>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t>
        </is>
      </c>
      <c r="H59" s="18" t="inlineStr">
        <is>
          <t>ถูกต้องทุกข้อ</t>
        </is>
      </c>
      <c r="I59" s="15" t="inlineStr">
        <is>
          <t>2</t>
        </is>
      </c>
      <c r="J59" s="18" t="inlineStr">
        <is>
          <t>✅ คำตอบที่ถูกต้อง: ข้อ ข. เหมาะกับผู้ป่วยที่รับประทานอาหารไม่ตรงเวลาหรือทานข้าวไม่ค่อยได้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เหมาะกับผู้ป่วยที่รับประทานอาหารไม่ตรงเวลาหรือทานข้าวไม่ค่อยได้ ข้อ 2 ไม่ถูกต้อง เนื่องจากอินซูลินสูตรผสมที่มี NPH และ Regular ผสมอยู่จำเป็นต้องรับประทานอาหารให้ตรงเวลาและสม่ำเสมอ เพื่อป้องกันภาวะน้ำตาลในเลือดต่ำ (Hypoglycemia) จากฤทธิ์ของอินซูลินที่ออกฤทธิ์ตรงกับมื้ออาหาร
🔍 ข้ออื่นผิดเพราะอะไร:
• ข้อ ก. (สามารถให้ได้วันละ 2 ครั้ง ทำให้ผู้ป่วยไม่ต้องฉีดอินซูลินหลายครั้งต่อวัน): ข้อนี้ไม่ใช่คำตอบที่ถูกต้องสำหรับภาวะ Diabetes mellitus เนื่องจากกลไกการออกฤทธิ์, efficacy หรือข้อบ่งใช้ไม่ตรงกับโจทย์ที่กำหนด
• ข้อ ค. (แบ่งขนาดยาก่อนอาหารเช้าเป็น 2/3 ของขนาดยาที่ต้องการทั้งหมดในแต่ละวัน): ข้อนี้ไม่ใช่คำตอบที่ถูกต้องสำหรับภาวะ Diabetes mellitus เนื่องจากกลไกการออกฤทธิ์, efficacy หรือข้อบ่งใช้ไม่ตรงกับโจทย์ที่กำหนด
• ข้อ ง. (วิธีนี้สามารถครอบคลุมระดับน้ำตาลในเลือดได้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 ข้อนี้ไม่ใช่คำตอบที่ถูกต้องสำหรับภาวะ Diabetes mellitus เนื่องจากกลไกการออกฤทธิ์, efficacy หรือข้อบ่งใช้ไม่ตรงกับโจทย์ที่กำหนด
• ข้อ จ. (ถูกต้องทุกข้อ):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9" s="18" t="inlineStr"/>
      <c r="L59" s="18" t="inlineStr">
        <is>
          <t>Diabetes mellitus</t>
        </is>
      </c>
      <c r="M59" s="18" t="inlineStr">
        <is>
          <t>Clinic</t>
        </is>
      </c>
      <c r="N59" s="18" t="inlineStr">
        <is>
          <t>ข้อ 95 ชุด 1 (เฉลยข้อ ข)</t>
        </is>
      </c>
      <c r="O59" s="18" t="inlineStr">
        <is>
          <t>Mock</t>
        </is>
      </c>
      <c r="P59" s="18" t="inlineStr">
        <is>
          <t>ชุด 1</t>
        </is>
      </c>
    </row>
    <row r="60">
      <c r="A60" s="15" t="inlineStr">
        <is>
          <t>96</t>
        </is>
      </c>
      <c r="B60" s="18" t="inlineStr">
        <is>
          <t>ข้อใดไม่ถูกต้องเกี่ยวกับวิธีการฉีดอินซูลิน</t>
        </is>
      </c>
      <c r="C60" s="18" t="inlineStr"/>
      <c r="D60" s="18"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18" t="inlineStr">
        <is>
          <t>การฉีดให้เปลี่ยนจุดที่ฉีดไปเรื่อย ๆ ห่างจากจุดเดิมประมาณ 1-2 นิ้ว</t>
        </is>
      </c>
      <c r="F60" s="18" t="inlineStr">
        <is>
          <t>บริเวณที่ควรฉีดอินซูลินได้แก่หน้าท้อง ต้นแขน สะโพก และต้นขา</t>
        </is>
      </c>
      <c r="G60" s="18" t="inlineStr">
        <is>
          <t>หลังฉีดยาให้เช็ดเข็มด้วย alcohol และปิดฝาครอบเข็มให้สนิทด้วยความระมัดระวัง</t>
        </is>
      </c>
      <c r="H60" s="18" t="inlineStr">
        <is>
          <t>ไม่มีข้อใดไม่ถูกต้อง</t>
        </is>
      </c>
      <c r="I60" s="15" t="inlineStr">
        <is>
          <t>4</t>
        </is>
      </c>
      <c r="J60" s="18"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ข้อนี้ไม่ใช่คำตอบที่ถูกต้องสำหรับภาวะ Diabetes mellitus เนื่องจากกลไกการออกฤทธิ์, efficacy หรือข้อบ่งใช้ไม่ตรงกับโจทย์ที่กำหนด
• ข้อ ข. (การฉีดให้เปลี่ยนจุดที่ฉีดไปเรื่อย ๆ ห่างจากจุดเดิมประมาณ 1-2 นิ้ว): ข้อนี้ไม่ใช่คำตอบที่ถูกต้องสำหรับภาวะ Diabetes mellitus เนื่องจากกลไกการออกฤทธิ์, efficacy หรือข้อบ่งใช้ไม่ตรงกับโจทย์ที่กำหนด
• ข้อ ค. (บริเวณที่ควรฉีดอินซูลินได้แก่หน้าท้อง ต้นแขน สะโพก และต้นขา):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18" t="inlineStr"/>
      <c r="L60" s="18" t="inlineStr">
        <is>
          <t>Diabetes mellitus</t>
        </is>
      </c>
      <c r="M60" s="18" t="inlineStr">
        <is>
          <t>Clinic</t>
        </is>
      </c>
      <c r="N60" s="18" t="inlineStr">
        <is>
          <t>ข้อ 96 ชุด 1 (เฉลยข้อ ง)</t>
        </is>
      </c>
      <c r="O60" s="18" t="inlineStr">
        <is>
          <t>Mock</t>
        </is>
      </c>
      <c r="P60" s="18" t="inlineStr">
        <is>
          <t>ชุด 1</t>
        </is>
      </c>
    </row>
    <row r="61">
      <c r="A61" s="15" t="inlineStr">
        <is>
          <t>97</t>
        </is>
      </c>
      <c r="B61" s="18" t="inlineStr">
        <is>
          <t>ข้อใดไม่ถูกต้องเกี่ยวกับวิธีการเก็บรักษาอินซูลิน</t>
        </is>
      </c>
      <c r="C61" s="18" t="inlineStr"/>
      <c r="D61" s="18" t="inlineStr">
        <is>
          <t>ขวดที่ยังไม่เปิดให้เก็บในตู้เย็น (2-8°C)</t>
        </is>
      </c>
      <c r="E61" s="18" t="inlineStr">
        <is>
          <t>ขวดที่เปิดแล้ว สามารถเก็บยาที่อุณหภูมิห้องได้ แต่ต้องใช้ให้หมดภายใน 1 เดือน</t>
        </is>
      </c>
      <c r="F61" s="18" t="inlineStr">
        <is>
          <t>ขวดที่ยังไม่เปิดและเก็บในตู้เย็นนั้น ยามีอายุตามฉลากข้างขวด</t>
        </is>
      </c>
      <c r="G61" s="18" t="inlineStr">
        <is>
          <t>หลังฉีดยาไม่ควรเก็บเข็มในตู้เย็นเพราะจะทำให้เข็มทื่อ</t>
        </is>
      </c>
      <c r="H61" s="18" t="inlineStr">
        <is>
          <t>ถูกต้องทุกข้อ</t>
        </is>
      </c>
      <c r="I61" s="15" t="inlineStr">
        <is>
          <t>4</t>
        </is>
      </c>
      <c r="J61" s="18"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ข้อนี้ไม่ใช่คำตอบที่ถูกต้องสำหรับภาวะ Diabetes mellitus เนื่องจากกลไกการออกฤทธิ์, efficacy หรือข้อบ่งใช้ไม่ตรงกับโจทย์ที่กำหนด
• ข้อ ข. (ขวดที่เปิดแล้ว สามารถเก็บยาที่อุณหภูมิห้องได้ แต่ต้องใช้ให้หมดภายใน 1 เดือน): ข้อนี้ไม่ใช่คำตอบที่ถูกต้องสำหรับภาวะ Diabetes mellitus เนื่องจากกลไกการออกฤทธิ์, efficacy หรือข้อบ่งใช้ไม่ตรงกับโจทย์ที่กำหนด
• ข้อ ค. (ขวดที่ยังไม่เปิดและเก็บในตู้เย็นนั้น ยามีอายุตามฉลากข้างขวด): ข้อนี้ไม่ใช่คำตอบที่ถูกต้องสำหรับภาวะ Diabetes mellitus เนื่องจากกลไกการออกฤทธิ์, efficacy หรือข้อบ่งใช้ไม่ตรงกับโจทย์ที่กำหนด
• ข้อ จ. (ถูกต้องทุกข้อ):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18" t="inlineStr"/>
      <c r="L61" s="18" t="inlineStr">
        <is>
          <t>Diabetes mellitus</t>
        </is>
      </c>
      <c r="M61" s="18" t="inlineStr">
        <is>
          <t>Clinic</t>
        </is>
      </c>
      <c r="N61" s="18" t="inlineStr">
        <is>
          <t>ข้อ 97 ชุด 1 (เฉลยข้อ ง)</t>
        </is>
      </c>
      <c r="O61" s="18" t="inlineStr">
        <is>
          <t>Mock</t>
        </is>
      </c>
      <c r="P61" s="18" t="inlineStr">
        <is>
          <t>ชุด 1</t>
        </is>
      </c>
    </row>
    <row r="62">
      <c r="A62" s="15" t="inlineStr">
        <is>
          <t>123</t>
        </is>
      </c>
      <c r="B62" s="18" t="inlineStr">
        <is>
          <t>การปฏิบัติในข้อใด เหมาะสมกับการรักษาต่อไปในผู้ป่วยรายนี้</t>
        </is>
      </c>
      <c r="C62" s="18" t="inlineStr"/>
      <c r="D62" s="18" t="inlineStr">
        <is>
          <t>เปลี่ยนยา propylthiouracil เป็น methimazole ในขนาดรับประทานที่สมมูลกัน</t>
        </is>
      </c>
      <c r="E62" s="18" t="inlineStr">
        <is>
          <t>แนะนำให้ผู้ป่วยรับประทานยา propylthiouracil ในขนาดดังกล่าวต่อไป</t>
        </is>
      </c>
      <c r="F62" s="18" t="inlineStr">
        <is>
          <t>หยุดยารับประทาน เปลี่ยนวิธีการรักษาเป็นการผ่าตัดต่อม</t>
        </is>
      </c>
      <c r="G62" s="18" t="inlineStr">
        <is>
          <t>หยุดยารับประทาน ให้การรักษาด้วยการทาน iodine</t>
        </is>
      </c>
      <c r="H62" s="18" t="inlineStr">
        <is>
          <t>เพิ่ม propranolol ให้รับประทานร่วมกับยา propylthiouracil</t>
        </is>
      </c>
      <c r="I62" s="15" t="inlineStr">
        <is>
          <t>2</t>
        </is>
      </c>
      <c r="J62" s="18" t="inlineStr">
        <is>
          <t>✅ คำตอบที่ถูกต้อง: ข้อ ข. แนะนำให้ผู้ป่วยรับประทานยา propylthiouracil ในขนาดดังกล่าวต่อไป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แนะนำให้ผู้ป่วยรับประทานยา propylthiouracil ในขนาดดังกล่าวต่อไป ตามแนวทางการรักษาภาวะ hyperthyroidism (เช่น Graves' disease) การใช้ยาต้านไทรอยด์กลุ่ม thionamides มักเริ่มต้นด้วยขนาดมาตรฐานแล้วปรับลดลงตามระดับ T3/T4 และ TSH ในผู้ป่วยที่ได้รับประทานยาในขนาดที่เหมาะสมแล้ว ควรให้รับประทานยาต่อในขนาดดังกล่าว (maintenance phase) เพื่อควบคุมอาการให้อยู่ในระดับ euthyroid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ก. (เปลี่ยนยา propylthiouracil เป็น methimazole ในขนาดรับประทานที่สมมูลกัน):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(หยุดยารับประทาน เปลี่ยนวิธีการรักษาเป็นการผ่าตัดต่อม): ข้อนี้ไม่ใช่คำตอบที่ถูกต้องสำหรับภาวะ Hypo/Hyperthyroidism เนื่องจากกลไกการออกฤทธิ์, efficacy หรือข้อบ่งใช้ไม่ตรงกับโจทย์ที่กำหนด
• ข้อ ง. (หยุดยารับประทาน ให้การรักษาด้วยการทาน iodine): ข้อนี้ไม่ใช่คำตอบที่ถูกต้องสำหรับภาวะ Hypo/Hyperthyroidism เนื่องจากกลไกการออกฤทธิ์, efficacy หรือข้อบ่งใช้ไม่ตรงกับโจทย์ที่กำหนด
• ข้อ จ. (เพิ่ม propranolol ให้รับประทานร่วมกับยา propylthiouracil):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2" s="18" t="inlineStr"/>
      <c r="L62" s="18" t="inlineStr">
        <is>
          <t>Hypo/Hyperthyroidism</t>
        </is>
      </c>
      <c r="M62" s="18" t="inlineStr">
        <is>
          <t>Clinic</t>
        </is>
      </c>
      <c r="N62" s="18" t="inlineStr">
        <is>
          <t>ข้อ 123 ชุด 1 (เฉลยข้อ ข)</t>
        </is>
      </c>
      <c r="O62" s="18" t="inlineStr">
        <is>
          <t>Mock</t>
        </is>
      </c>
      <c r="P62" s="18" t="inlineStr">
        <is>
          <t>ชุด 1</t>
        </is>
      </c>
    </row>
    <row r="63">
      <c r="A63" s="15" t="inlineStr">
        <is>
          <t>124</t>
        </is>
      </c>
      <c r="B63" s="18" t="inlineStr">
        <is>
          <t>อาการไม่พึงประสงค์ที่เกิดขึ้นจากการใช้ thiouracil</t>
        </is>
      </c>
      <c r="C63" s="18" t="inlineStr"/>
      <c r="D63" s="18" t="inlineStr">
        <is>
          <t>ปวดข้อ</t>
        </is>
      </c>
      <c r="E63" s="18" t="inlineStr">
        <is>
          <t>เม็ดเลือดขาวต่ำ</t>
        </is>
      </c>
      <c r="F63" s="18" t="inlineStr">
        <is>
          <t>ง่วงนอน</t>
        </is>
      </c>
      <c r="G63" s="18" t="inlineStr">
        <is>
          <t>SLE like syndrome</t>
        </is>
      </c>
      <c r="H63" s="18" t="inlineStr">
        <is>
          <t>Metallic taste</t>
        </is>
      </c>
      <c r="I63" s="15" t="inlineStr">
        <is>
          <t>2</t>
        </is>
      </c>
      <c r="J63" s="18"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ข้อนี้ไม่ใช่คำตอบที่ถูกต้องสำหรับภาวะ Diabetes mellitus เนื่องจากกลไกการออกฤทธิ์, efficacy หรือข้อบ่งใช้ไม่ตรงกับโจทย์ที่กำหนด
• ข้อ ค. (ง่วงนอน): ข้อนี้ไม่ใช่คำตอบที่ถูกต้องสำหรับภาวะ Diabetes mellitus เนื่องจากกลไกการออกฤทธิ์, efficacy หรือข้อบ่งใช้ไม่ตรงกับโจทย์ที่กำหนด
• ข้อ ง. (SLE like syndrome): ข้อนี้ไม่ใช่คำตอบที่ถูกต้องสำหรับภาวะ Diabetes mellitus เนื่องจากกลไกการออกฤทธิ์, efficacy หรือข้อบ่งใช้ไม่ตรงกับโจทย์ที่กำหนด
• ข้อ จ. (Metallic taste):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18" t="inlineStr"/>
      <c r="L63" s="18" t="inlineStr">
        <is>
          <t>Diabetes mellitus</t>
        </is>
      </c>
      <c r="M63" s="18" t="inlineStr">
        <is>
          <t>Clinic</t>
        </is>
      </c>
      <c r="N63" s="18" t="inlineStr">
        <is>
          <t>ข้อ 124 ชุด 1 (เฉลยข้อ ข)</t>
        </is>
      </c>
      <c r="O63" s="18" t="inlineStr">
        <is>
          <t>Mock</t>
        </is>
      </c>
      <c r="P63" s="18" t="inlineStr">
        <is>
          <t>ชุด 1</t>
        </is>
      </c>
    </row>
    <row r="64">
      <c r="A64" s="15" t="inlineStr">
        <is>
          <t>125</t>
        </is>
      </c>
      <c r="B64" s="18" t="inlineStr">
        <is>
          <t>ข้อใดถูกต้องเกี่ยวกับยา propylthiouracil</t>
        </is>
      </c>
      <c r="C64" s="18" t="inlineStr"/>
      <c r="D64" s="18" t="inlineStr">
        <is>
          <t>เป็นอนุพันธ์ของ thiourea</t>
        </is>
      </c>
      <c r="E64" s="18" t="inlineStr">
        <is>
          <t>ยับยั้งการหลั่งของ thyroid hormone</t>
        </is>
      </c>
      <c r="F64" s="18" t="inlineStr">
        <is>
          <t>ใช้รักษา hypothyroid</t>
        </is>
      </c>
      <c r="G64" s="18" t="inlineStr">
        <is>
          <t>กระตุ้นเอนไซม์ thyroid peroxidase</t>
        </is>
      </c>
      <c r="H64" s="18" t="inlineStr">
        <is>
          <t>เพิ่มการสร้าง T3</t>
        </is>
      </c>
      <c r="I64" s="15" t="inlineStr">
        <is>
          <t>1</t>
        </is>
      </c>
      <c r="J64" s="18"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ข้อนี้ไม่ใช่คำตอบที่ถูกต้องสำหรับภาวะ Diabetes mellitus เนื่องจากกลไกการออกฤทธิ์, efficacy หรือข้อบ่งใช้ไม่ตรงกับโจทย์ที่กำหนด
• ข้อ ค. (ใช้รักษา hypothyroid): ข้อนี้ไม่ใช่คำตอบที่ถูกต้องสำหรับภาวะ Diabetes mellitus เนื่องจากกลไกการออกฤทธิ์, efficacy หรือข้อบ่งใช้ไม่ตรงกับโจทย์ที่กำหนด
• ข้อ ง. (กระตุ้นเอนไซม์ thyroid peroxidase): ข้อนี้ไม่ใช่คำตอบที่ถูกต้องสำหรับภาวะ Diabetes mellitus เนื่องจากกลไกการออกฤทธิ์, efficacy หรือข้อบ่งใช้ไม่ตรงกับโจทย์ที่กำหนด
• ข้อ จ. (เพิ่มการสร้าง T3):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18" t="inlineStr"/>
      <c r="L64" s="18" t="inlineStr">
        <is>
          <t>Diabetes mellitus</t>
        </is>
      </c>
      <c r="M64" s="18" t="inlineStr">
        <is>
          <t>Clinic</t>
        </is>
      </c>
      <c r="N64" s="18" t="inlineStr">
        <is>
          <t>ข้อ 125 ชุด 1 (เฉลยข้อ ก)</t>
        </is>
      </c>
      <c r="O64" s="18" t="inlineStr">
        <is>
          <t>Mock</t>
        </is>
      </c>
      <c r="P64" s="18" t="inlineStr">
        <is>
          <t>ชุด 1</t>
        </is>
      </c>
    </row>
    <row r="65">
      <c r="A65" s="15" t="inlineStr">
        <is>
          <t>126</t>
        </is>
      </c>
      <c r="B65" s="18" t="inlineStr">
        <is>
          <t>Lugol's solution ประกอบด้วยสารชนิดใดเป็นส่วนประกอบ</t>
        </is>
      </c>
      <c r="C65" s="18" t="inlineStr"/>
      <c r="D65" s="18" t="inlineStr">
        <is>
          <t>Iodine + KI</t>
        </is>
      </c>
      <c r="E65" s="18" t="inlineStr">
        <is>
          <t>Manganese</t>
        </is>
      </c>
      <c r="F65" s="18" t="inlineStr">
        <is>
          <t>Methimazole</t>
        </is>
      </c>
      <c r="G65" s="18" t="inlineStr">
        <is>
          <t>Thiocyanate</t>
        </is>
      </c>
      <c r="H65" s="18" t="inlineStr">
        <is>
          <t>Propylthiouracil</t>
        </is>
      </c>
      <c r="I65" s="15" t="inlineStr">
        <is>
          <t>1</t>
        </is>
      </c>
      <c r="J65" s="18"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ข้อนี้ไม่ใช่คำตอบที่ถูกต้องสำหรับภาวะ Diabetes mellitus เนื่องจากกลไกการออกฤทธิ์, efficacy หรือข้อบ่งใช้ไม่ตรงกับโจทย์ที่กำหนด
• ข้อ ค.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ง. (Thiocyanate): ข้อนี้ไม่ใช่คำตอบที่ถูกต้องสำหรับภาวะ Diabetes mellitus เนื่องจากกลไกการออกฤทธิ์, efficacy หรือข้อบ่งใช้ไม่ตรงกับโจทย์ที่กำหนด
• ข้อ จ.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18" t="inlineStr"/>
      <c r="L65" s="18" t="inlineStr">
        <is>
          <t>Diabetes mellitus</t>
        </is>
      </c>
      <c r="M65" s="18" t="inlineStr">
        <is>
          <t>Clinic</t>
        </is>
      </c>
      <c r="N65" s="18" t="inlineStr">
        <is>
          <t>ข้อ 126 ชุด 1 (เฉลยข้อ ก)</t>
        </is>
      </c>
      <c r="O65" s="18" t="inlineStr">
        <is>
          <t>Mock</t>
        </is>
      </c>
      <c r="P65" s="18" t="inlineStr">
        <is>
          <t>ชุด 1</t>
        </is>
      </c>
    </row>
    <row r="66">
      <c r="A66" s="15" t="inlineStr">
        <is>
          <t>127</t>
        </is>
      </c>
      <c r="B66" s="18" t="inlineStr">
        <is>
          <t>ข้อใดถูกต้องเกี่ยวกับการใช้ยา propranolol ร่วมกับ propylthiouracil</t>
        </is>
      </c>
      <c r="C66" s="18" t="inlineStr"/>
      <c r="D66" s="18" t="inlineStr">
        <is>
          <t>Propranolol เป็น alpha-adrenergic blocking agent ชนิดหนึ่ง</t>
        </is>
      </c>
      <c r="E66" s="18" t="inlineStr">
        <is>
          <t>Propranolol ช่วยลดอาการต่าง ๆ เช่น tremor และ tachycardia ที่เกิดจาก thyrotoxicosis</t>
        </is>
      </c>
      <c r="F66" s="18" t="inlineStr">
        <is>
          <t>Propranolol มีความสำคัญต่อ pharmacokinetic ของ propylthiouracil ทำให้การดูดซึมและฤทธิ์ของยา propylthiouracil ดีขึ้น</t>
        </is>
      </c>
      <c r="G66" s="18" t="inlineStr">
        <is>
          <t>Propranolol ช่วยลดอาการข้างเคียงจากการใช้ยา propylthiouracil</t>
        </is>
      </c>
      <c r="H66" s="18" t="inlineStr">
        <is>
          <t>Propranolol ออกฤทธิ์เสริมกับ propylthiouracil โดยลดการสังเคราะห์ T4</t>
        </is>
      </c>
      <c r="I66" s="15" t="inlineStr">
        <is>
          <t>2</t>
        </is>
      </c>
      <c r="J66" s="18" t="inlineStr">
        <is>
          <t>✅ คำตอบที่ถูกต้อง: ข้อ ข. Propranolol ช่วยลดอาการต่าง ๆ เช่น tremor และ tachycardia ที่เกิดจาก thyrotoxicosis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Propranolol ช่วยลดอาการต่าง ๆ เช่น tremor และ tachycardia ที่เกิดจาก thyrotoxicosis Propranolol เป็น non-selective beta-adrenergic receptor blocker (ไม่ใช่ alpha-blocker) ซึ่งถูกนำมาใช้ร่วมรักษาในภาวะ thyrotoxicosis เพื่อบรรเทาอาการแสดงทางระบบประสาทซิมพาเทติกที่เกินขึ้น เช่น ใจสั่น (tachycardia) และมือสั่น (tremor) อย่างรวดเร็วก่อนที่ยาต้านไทรอยด์จะออกฤทธิ์เต็มที่
🔍 ข้ออื่นผิดเพราะอะไร:
• ข้อ ก. (Propranolol เป็น alpha-adrenergic blocking agent ชนิดหนึ่ง): เป็น non-selective beta-blocker ข้าม blood-brain barrier ได้ดี เหมาะสำหรับ performance anxiety, essential tremor, migraine prophylaxis และ thyroid storm แต่ contraindication ใน asthma
• ข้อ ค. (Propranolol มีความสำคัญต่อ pharmacokinetic ของ propylthiouracil ทำให้การดูดซึมและฤทธิ์ของยา propylthiouracil ดีขึ้น): เป็น non-selective beta-blocker ข้าม blood-brain barrier ได้ดี เหมาะสำหรับ performance anxiety, essential tremor, migraine prophylaxis และ thyroid storm แต่ contraindication ใน asthma
• ข้อ ง. (Propranolol ช่วยลดอาการข้างเคียงจากการใช้ยา propylthiouracil): เป็น non-selective beta-blocker ข้าม blood-brain barrier ได้ดี เหมาะสำหรับ performance anxiety, essential tremor, migraine prophylaxis และ thyroid storm แต่ contraindication ใน asthma
• ข้อ จ. (Propranolol ออกฤทธิ์เสริมกับ propylthiouracil โดยลดการสังเคราะห์ T4):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6" s="18" t="inlineStr"/>
      <c r="L66" s="18" t="inlineStr">
        <is>
          <t>Hypo/Hyperthyroidism</t>
        </is>
      </c>
      <c r="M66" s="18" t="inlineStr">
        <is>
          <t>Clinic</t>
        </is>
      </c>
      <c r="N66" s="18" t="inlineStr">
        <is>
          <t>ข้อ 127 ชุด 1 (เฉลยข้อ ข)</t>
        </is>
      </c>
      <c r="O66" s="18" t="inlineStr">
        <is>
          <t>Mock</t>
        </is>
      </c>
      <c r="P66" s="18" t="inlineStr">
        <is>
          <t>ชุด 1</t>
        </is>
      </c>
    </row>
    <row r="67">
      <c r="A67" s="15" t="inlineStr">
        <is>
          <t>128</t>
        </is>
      </c>
      <c r="B67" s="18" t="inlineStr">
        <is>
          <t>ข้อใดผิดเกี่ยวกับ goiter</t>
        </is>
      </c>
      <c r="C67" s="18" t="inlineStr"/>
      <c r="D67" s="18" t="inlineStr">
        <is>
          <t>Iodine บางชนิด เช่น thiocyanate อาจมีผลทำให้เกิด goiter</t>
        </is>
      </c>
      <c r="E67" s="18" t="inlineStr">
        <is>
          <t>Thiocyanate อาจได้จากการ metabolize สารจากผัก เช่น กะหล่ำปลี</t>
        </is>
      </c>
      <c r="F67" s="18" t="inlineStr">
        <is>
          <t>Lithium สามารถลด secretion ของ thyroxine และสามารถช่วยในการรักษา hyperthyroidism</t>
        </is>
      </c>
      <c r="G67" s="18" t="inlineStr">
        <is>
          <t>Goitrin สามารถยับยั้ง thyroid peroxidase</t>
        </is>
      </c>
      <c r="H67" s="18" t="inlineStr">
        <is>
          <t>Perchlorate เป็น ion ที่ช่วยเพิ่มการ uptake iodide และเพิ่มระดับ iodide ใน thyroid</t>
        </is>
      </c>
      <c r="I67" s="15" t="inlineStr">
        <is>
          <t>5</t>
        </is>
      </c>
      <c r="J67" s="18"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ข้อนี้ไม่ใช่คำตอบที่ถูกต้องสำหรับภาวะ Diabetes mellitus เนื่องจากกลไกการออกฤทธิ์, efficacy หรือข้อบ่งใช้ไม่ตรงกับโจทย์ที่กำหนด
• ข้อ ข. (Thiocyanate อาจได้จากการ metabolize สารจากผัก เช่น กะหล่ำปลี): ข้อนี้ไม่ใช่คำตอบที่ถูกต้องสำหรับภาวะ Diabetes mellitus เนื่องจากกลไกการออกฤทธิ์, efficacy หรือข้อบ่งใช้ไม่ตรงกับโจทย์ที่กำหนด
• ข้อ ค. (Lithium สามารถลด secretion ของ thyroxine และสามารถช่วยในการรักษา hyperthyroidism): ข้อนี้ไม่ใช่คำตอบที่ถูกต้องสำหรับภาวะ Diabetes mellitus เนื่องจากกลไกการออกฤทธิ์, efficacy หรือข้อบ่งใช้ไม่ตรงกับโจทย์ที่กำหนด
• ข้อ ง. (Goitrin สามารถยับยั้ง thyroid peroxidase):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18" t="inlineStr"/>
      <c r="L67" s="18" t="inlineStr">
        <is>
          <t>Diabetes mellitus</t>
        </is>
      </c>
      <c r="M67" s="18" t="inlineStr">
        <is>
          <t>Clinic</t>
        </is>
      </c>
      <c r="N67" s="18" t="inlineStr">
        <is>
          <t>ข้อ 128 ชุด 1 (เฉลยข้อ จ)</t>
        </is>
      </c>
      <c r="O67" s="18" t="inlineStr">
        <is>
          <t>Mock</t>
        </is>
      </c>
      <c r="P67" s="18" t="inlineStr">
        <is>
          <t>ชุด 1</t>
        </is>
      </c>
    </row>
    <row r="68">
      <c r="A68" s="15" t="inlineStr">
        <is>
          <t>129</t>
        </is>
      </c>
      <c r="B68" s="18" t="inlineStr">
        <is>
          <t>ชุมชนที่มีคนเป็น toxic goiter มากบ่งบอกว่าชุมชนนั้นมีลักษณะอย่างไร</t>
        </is>
      </c>
      <c r="C68" s="18" t="inlineStr"/>
      <c r="D68" s="18" t="inlineStr">
        <is>
          <t>ได้รับ iodine ต่ำเกินไป</t>
        </is>
      </c>
      <c r="E68" s="18" t="inlineStr">
        <is>
          <t>ได้รับ iodine มากเกินไป</t>
        </is>
      </c>
      <c r="F68" s="18" t="inlineStr">
        <is>
          <t>แหล่งน้ำดื่มมีการปนเปื้อนของสารหนู</t>
        </is>
      </c>
      <c r="G68" s="18" t="inlineStr">
        <is>
          <t>แหล่งน้ำดื่มมีการปนเปื้อนของสารตะกั่ว</t>
        </is>
      </c>
      <c r="H68" s="18" t="inlineStr">
        <is>
          <t>กินอาหารที่มี thiocyanide มากเกินไป</t>
        </is>
      </c>
      <c r="I68" s="15" t="inlineStr">
        <is>
          <t>2</t>
        </is>
      </c>
      <c r="J68" s="18"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ข้อนี้ไม่ใช่คำตอบที่ถูกต้องสำหรับภาวะ Diabetes mellitus เนื่องจากกลไกการออกฤทธิ์, efficacy หรือข้อบ่งใช้ไม่ตรงกับโจทย์ที่กำหนด
• ข้อ ค. (แหล่งน้ำดื่มมีการปนเปื้อนของสารหนู): ข้อนี้ไม่ใช่คำตอบที่ถูกต้องสำหรับภาวะ Diabetes mellitus เนื่องจากกลไกการออกฤทธิ์, efficacy หรือข้อบ่งใช้ไม่ตรงกับโจทย์ที่กำหนด
• ข้อ ง. (แหล่งน้ำดื่มมีการปนเปื้อนของสารตะกั่ว): ข้อนี้ไม่ใช่คำตอบที่ถูกต้องสำหรับภาวะ Diabetes mellitus เนื่องจากกลไกการออกฤทธิ์, efficacy หรือข้อบ่งใช้ไม่ตรงกับโจทย์ที่กำหนด
• ข้อ จ. (กินอาหารที่มี thiocyanide มากเกินไป):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18" t="inlineStr"/>
      <c r="L68" s="18" t="inlineStr">
        <is>
          <t>Diabetes mellitus</t>
        </is>
      </c>
      <c r="M68" s="18" t="inlineStr">
        <is>
          <t>Clinic</t>
        </is>
      </c>
      <c r="N68" s="18" t="inlineStr">
        <is>
          <t>ข้อ 129 ชุด 1 (เฉลยข้อ ข)</t>
        </is>
      </c>
      <c r="O68" s="18" t="inlineStr">
        <is>
          <t>Mock</t>
        </is>
      </c>
      <c r="P68" s="18" t="inlineStr">
        <is>
          <t>ชุด 1</t>
        </is>
      </c>
    </row>
    <row r="69">
      <c r="A69" s="15" t="inlineStr">
        <is>
          <t>68</t>
        </is>
      </c>
      <c r="B69" s="18" t="inlineStr">
        <is>
          <t>เป้าหมาย HbA1c ของผู้ป่วยรายนี้เป็นเท่าไหร่</t>
        </is>
      </c>
      <c r="C69" s="18" t="inlineStr"/>
      <c r="D69" s="18" t="inlineStr">
        <is>
          <t>&lt; 5.5%</t>
        </is>
      </c>
      <c r="E69" s="18" t="inlineStr">
        <is>
          <t>&lt; 6%</t>
        </is>
      </c>
      <c r="F69" s="18" t="inlineStr">
        <is>
          <t>&lt; 7%</t>
        </is>
      </c>
      <c r="G69" s="18" t="inlineStr">
        <is>
          <t>&lt; 8%</t>
        </is>
      </c>
      <c r="H69" s="18" t="inlineStr">
        <is>
          <t>&lt; 8.5%"</t>
        </is>
      </c>
      <c r="I69" s="15" t="inlineStr">
        <is>
          <t>1</t>
        </is>
      </c>
      <c r="J69" s="18"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5.5%): ข้อนี้ไม่ใช่คำตอบที่ถูกต้องสำหรับภาวะ Diabetes mellitus เนื่องจากกลไกการออกฤทธิ์, efficacy หรือข้อบ่งใช้ไม่ตรงกับโจทย์ที่กำหนด
• ข้อ ค. (&lt; 6%): ข้อนี้ไม่ใช่คำตอบที่ถูกต้องสำหรับภาวะ Diabetes mellitus เนื่องจากกลไกการออกฤทธิ์, efficacy หรือข้อบ่งใช้ไม่ตรงกับโจทย์ที่กำหนด
• ข้อ ง. (&lt; 7%): ข้อนี้ไม่ใช่คำตอบที่ถูกต้องสำหรับภาวะ Diabetes mellitus เนื่องจากกลไกการออกฤทธิ์, efficacy หรือข้อบ่งใช้ไม่ตรงกับโจทย์ที่กำหนด
• ข้อ จ. (&lt; 8%):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18" t="inlineStr"/>
      <c r="L69" s="18" t="inlineStr">
        <is>
          <t>Diabetes mellitus</t>
        </is>
      </c>
      <c r="M69" s="18" t="inlineStr">
        <is>
          <t>Diabetes mellitus</t>
        </is>
      </c>
      <c r="N69" s="18" t="inlineStr">
        <is>
          <t>Mock PLE-CC 1 ข้อ 26</t>
        </is>
      </c>
      <c r="O69" s="18" t="inlineStr">
        <is>
          <t>Mock</t>
        </is>
      </c>
      <c r="P69" s="18" t="inlineStr">
        <is>
          <t>Mock RxCU83</t>
        </is>
      </c>
      <c r="Q69" s="18" t="inlineStr"/>
    </row>
    <row r="70">
      <c r="A70" s="15" t="inlineStr">
        <is>
          <t>69</t>
        </is>
      </c>
      <c r="B70" s="18"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18" t="inlineStr"/>
      <c r="D70" s="18" t="inlineStr">
        <is>
          <t>Sitagliptin</t>
        </is>
      </c>
      <c r="E70" s="18" t="inlineStr">
        <is>
          <t>Empagliflozin</t>
        </is>
      </c>
      <c r="F70" s="18" t="inlineStr">
        <is>
          <t>Acarbose</t>
        </is>
      </c>
      <c r="G70" s="18" t="inlineStr">
        <is>
          <t>Semaglutide SC</t>
        </is>
      </c>
      <c r="H70" s="18" t="inlineStr">
        <is>
          <t>insulin SC</t>
        </is>
      </c>
      <c r="I70" s="15" t="inlineStr">
        <is>
          <t>3</t>
        </is>
      </c>
      <c r="J70" s="18"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(Sitagliptin): เป็น DPP-4 inhibitor เพิ่ม active GLP-1 แบบ glucose-dependent มี neutral effect ต่อน้ำหนักตัว และความเสี่ยงต่อ hypoglycemia ต่ำมาก แต่ต้องปรับ dose ตาม CrCl
• ข้อ ค. (Empagliflozin): เป็น SGLT2 inhibitor ยับยั้งการดูดกลับ glucose ที่ไต มี cardiorenal benefit ชัดเจน (ลด HF hospitalization และชะลอ CKD progression) แต่เสี่ยงต่อ mycotic genital infection และ euglycemic DKA
• ข้อ จ. (Semaglutide SC):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18" t="inlineStr"/>
      <c r="L70" s="18" t="inlineStr">
        <is>
          <t>Diabetes mellitus</t>
        </is>
      </c>
      <c r="M70" s="18" t="inlineStr">
        <is>
          <t>Diabetes mellitus</t>
        </is>
      </c>
      <c r="N70" s="18" t="inlineStr">
        <is>
          <t>Mock PLE-CC 1 ข้อ 27</t>
        </is>
      </c>
      <c r="O70" s="18" t="inlineStr">
        <is>
          <t>Mock</t>
        </is>
      </c>
      <c r="P70" s="18" t="inlineStr">
        <is>
          <t>Mock RxCU83</t>
        </is>
      </c>
      <c r="Q70" s="18" t="inlineStr"/>
    </row>
    <row r="71">
      <c r="A71" s="15" t="inlineStr">
        <is>
          <t>70</t>
        </is>
      </c>
      <c r="B71" s="18" t="inlineStr">
        <is>
          <t>หากแพทย์ต้องการเริ่ม insulin แก่ผู้ป่วยรายนี้ ผู้ป่วยควรได้รับ insulin ชนิดใดถึงจะเหมาะสมที่สุด ตาม ADA
2024 guideline</t>
        </is>
      </c>
      <c r="C71" s="18" t="inlineStr"/>
      <c r="D71" s="18" t="inlineStr">
        <is>
          <t>Lispro insulin SC</t>
        </is>
      </c>
      <c r="E71" s="18" t="inlineStr">
        <is>
          <t>Lispro insulin SC + insulin glargine SC</t>
        </is>
      </c>
      <c r="F71" s="18" t="inlineStr">
        <is>
          <t>RI insulin SC</t>
        </is>
      </c>
      <c r="G71" s="18" t="inlineStr">
        <is>
          <t>RI insulin SC + NPH insulin SC</t>
        </is>
      </c>
      <c r="H71" s="18" t="inlineStr">
        <is>
          <t>Insulin glargine SC</t>
        </is>
      </c>
      <c r="I71" s="15" t="inlineStr">
        <is>
          <t>1</t>
        </is>
      </c>
      <c r="J71" s="18"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(Lispro insulin SC): ข้อนี้ไม่ใช่คำตอบที่ถูกต้องสำหรับภาวะ Diabetes mellitus เนื่องจากกลไกการออกฤทธิ์, efficacy หรือข้อบ่งใช้ไม่ตรงกับโจทย์ที่กำหนด
• ข้อ ง. (RI insulin SC): ข้อนี้ไม่ใช่คำตอบที่ถูกต้องสำหรับภาวะ Diabetes mellitus เนื่องจากกลไกการออกฤทธิ์, efficacy หรือข้อบ่งใช้ไม่ตรงกับโจทย์ที่กำหนด
• ข้อ จ. (RI insulin SC + NPH insulin SC):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18" t="inlineStr"/>
      <c r="L71" s="18" t="inlineStr">
        <is>
          <t>Diabetes mellitus</t>
        </is>
      </c>
      <c r="M71" s="18" t="inlineStr">
        <is>
          <t>Diabetes mellitus</t>
        </is>
      </c>
      <c r="N71" s="18" t="inlineStr">
        <is>
          <t>Mock PLE-CC 1 ข้อ 28</t>
        </is>
      </c>
      <c r="O71" s="18" t="inlineStr">
        <is>
          <t>Mock</t>
        </is>
      </c>
      <c r="P71" s="18" t="inlineStr">
        <is>
          <t>Mock RxCU83</t>
        </is>
      </c>
      <c r="Q71" s="18" t="inlineStr"/>
    </row>
    <row r="72">
      <c r="A72" s="15" t="inlineStr">
        <is>
          <t>71</t>
        </is>
      </c>
      <c r="B72" s="18" t="inlineStr">
        <is>
          <t>ยาในข้อใดไม่มีในการเพิ่มการหลั่ง insulin</t>
        </is>
      </c>
      <c r="C72" s="18" t="inlineStr"/>
      <c r="D72" s="18" t="inlineStr">
        <is>
          <t>Glipizide</t>
        </is>
      </c>
      <c r="E72" s="18" t="inlineStr">
        <is>
          <t>Repaglinide</t>
        </is>
      </c>
      <c r="F72" s="18" t="inlineStr">
        <is>
          <t>Pioglitazone</t>
        </is>
      </c>
      <c r="G72" s="18" t="inlineStr">
        <is>
          <t>Saxagliptin</t>
        </is>
      </c>
      <c r="H72" s="18" t="inlineStr">
        <is>
          <t>Liraglutide</t>
        </is>
      </c>
      <c r="I72" s="15" t="inlineStr">
        <is>
          <t>1</t>
        </is>
      </c>
      <c r="J72" s="18"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(Repaglinide): ข้อนี้ไม่ใช่คำตอบที่ถูกต้องสำหรับภาวะ Diabetes mellitus เนื่องจากกลไกการออกฤทธิ์, efficacy หรือข้อบ่งใช้ไม่ตรงกับโจทย์ที่กำหนด
• ข้อ ง. (Pioglitazone): เป็น Thiazolidinedione (PPAR-gamma agonist) เพิ่ม insulin sensitivity ที่กล้ามเนื้อและตับ แต่มีข้อห้ามใช้ใน Heart Failure (NYHA class III-IV) เพราะทำให้น้ำคั่ง (fluid retention/edema)
• ข้อ จ. (Saxagliptin):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18" t="inlineStr"/>
      <c r="L72" s="18" t="inlineStr">
        <is>
          <t>Diabetes mellitus</t>
        </is>
      </c>
      <c r="M72" s="18" t="inlineStr">
        <is>
          <t>Diabetes mellitus</t>
        </is>
      </c>
      <c r="N72" s="18" t="inlineStr">
        <is>
          <t>Mock PLE-CC 1 ข้อ 29</t>
        </is>
      </c>
      <c r="O72" s="18" t="inlineStr">
        <is>
          <t>Mock</t>
        </is>
      </c>
      <c r="P72" s="18" t="inlineStr">
        <is>
          <t>Mock RxCU83</t>
        </is>
      </c>
      <c r="Q72" s="18" t="inlineStr"/>
    </row>
    <row r="73">
      <c r="A73" s="15" t="inlineStr">
        <is>
          <t>72</t>
        </is>
      </c>
      <c r="B73" s="18" t="inlineStr">
        <is>
          <t>กลไกการออกฤทธิ์หลักของยา semaglutide คือข้อใด</t>
        </is>
      </c>
      <c r="C73" s="18" t="inlineStr"/>
      <c r="D73" s="18" t="inlineStr">
        <is>
          <t>กระตุ้น PPAR-γ receptor</t>
        </is>
      </c>
      <c r="E73" s="18" t="inlineStr">
        <is>
          <t>กระตุ้น GLP-1 receptor</t>
        </is>
      </c>
      <c r="F73" s="18" t="inlineStr">
        <is>
          <t>ยับยั้งการดูดกลับกลูโคสที่หน่วยไต</t>
        </is>
      </c>
      <c r="G73" s="18" t="inlineStr">
        <is>
          <t>กระตุ้น sulfonylurea receptor type 1</t>
        </is>
      </c>
      <c r="H73" s="18" t="inlineStr">
        <is>
          <t>ยับยั้งเอนไซม์ α-glucosidase</t>
        </is>
      </c>
      <c r="I73" s="15" t="inlineStr">
        <is>
          <t>1</t>
        </is>
      </c>
      <c r="J73" s="18"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PPAR-γ receptor): ข้อนี้ไม่ใช่คำตอบที่ถูกต้องสำหรับภาวะ Diabetes mellitus เนื่องจากกลไกการออกฤทธิ์, efficacy หรือข้อบ่งใช้ไม่ตรงกับโจทย์ที่กำหนด
• ข้อ ค. (กระตุ้น GLP-1 receptor): ข้อนี้ไม่ใช่คำตอบที่ถูกต้องสำหรับภาวะ Diabetes mellitus เนื่องจากกลไกการออกฤทธิ์, efficacy หรือข้อบ่งใช้ไม่ตรงกับโจทย์ที่กำหนด
• ข้อ ง. (ยับยั้งการดูดกลับกลูโคสที่หน่วยไต): ข้อนี้ไม่ใช่คำตอบที่ถูกต้องสำหรับภาวะ Diabetes mellitus เนื่องจากกลไกการออกฤทธิ์, efficacy หรือข้อบ่งใช้ไม่ตรงกับโจทย์ที่กำหนด
• ข้อ จ. (กระตุ้น sulfonylurea receptor type 1):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18" t="inlineStr"/>
      <c r="L73" s="18" t="inlineStr">
        <is>
          <t>Diabetes mellitus</t>
        </is>
      </c>
      <c r="M73" s="18" t="inlineStr">
        <is>
          <t>Diabetes mellitus</t>
        </is>
      </c>
      <c r="N73" s="18" t="inlineStr">
        <is>
          <t>Mock PLE-CC 1 ข้อ 30</t>
        </is>
      </c>
      <c r="O73" s="18" t="inlineStr">
        <is>
          <t>Mock</t>
        </is>
      </c>
      <c r="P73" s="18" t="inlineStr">
        <is>
          <t>Mock RxCU83</t>
        </is>
      </c>
      <c r="Q73" s="18" t="inlineStr"/>
    </row>
    <row r="74">
      <c r="A74" s="15" t="inlineStr">
        <is>
          <t>73</t>
        </is>
      </c>
      <c r="B74" s="18" t="inlineStr">
        <is>
          <t>การเติม Zinc chloride หรือ Zinc acetate ในสูตรตำรับ NPH insulin มีส่วนช่วยอะไรในสูตรตำรับ</t>
        </is>
      </c>
      <c r="C74" s="18" t="inlineStr"/>
      <c r="D74" s="18" t="inlineStr">
        <is>
          <t>เสริมฤทธิ์การกันเสีย (preservative) ร่วมกับ phenol</t>
        </is>
      </c>
      <c r="E74" s="18" t="inlineStr">
        <is>
          <t>ป้องกันการตกตะกอนของ insulin</t>
        </is>
      </c>
      <c r="F74" s="18" t="inlineStr">
        <is>
          <t>ทำให้เกิดสารประกอบเชิงซ้อนกับ insulin ส่งผลต่อการออกฤทธิ์</t>
        </is>
      </c>
      <c r="G74" s="18" t="inlineStr">
        <is>
          <t>ป้องกันการดูดซับของ insulin บนพื้นผิวภาชนะแก้ว type 1</t>
        </is>
      </c>
      <c r="H74" s="18" t="inlineStr">
        <is>
          <t>เพื่อเพิ่มความคงตัวของ pH ในการผลิตและเก็บรักษา</t>
        </is>
      </c>
      <c r="I74" s="15" t="inlineStr">
        <is>
          <t>2</t>
        </is>
      </c>
      <c r="J74" s="18"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(เสริมฤทธิ์การกันเสีย (preservative) ร่วมกับ phenol): ข้อนี้ไม่ใช่คำตอบที่ถูกต้องสำหรับภาวะ Diabetes mellitus เนื่องจากกลไกการออกฤทธิ์, efficacy หรือข้อบ่งใช้ไม่ตรงกับโจทย์ที่กำหนด
• ข้อ ง. (ทำให้เกิดสารประกอบเชิงซ้อนกับ insulin ส่งผลต่อการออกฤทธิ์): ข้อนี้ไม่ใช่คำตอบที่ถูกต้องสำหรับภาวะ Diabetes mellitus เนื่องจากกลไกการออกฤทธิ์, efficacy หรือข้อบ่งใช้ไม่ตรงกับโจทย์ที่กำหนด
• ข้อ จ. (ป้องกันการดูดซับของ insulin บนพื้นผิวภาชนะแก้ว type 1):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18" t="inlineStr"/>
      <c r="L74" s="18" t="inlineStr">
        <is>
          <t>Diabetes mellitus</t>
        </is>
      </c>
      <c r="M74" s="18" t="inlineStr">
        <is>
          <t>Diabetes mellitus</t>
        </is>
      </c>
      <c r="N74" s="18" t="inlineStr">
        <is>
          <t>Mock PLE-CC 1 ข้อ 31</t>
        </is>
      </c>
      <c r="O74" s="18" t="inlineStr">
        <is>
          <t>Mock</t>
        </is>
      </c>
      <c r="P74" s="18" t="inlineStr">
        <is>
          <t>Mock RxCU83</t>
        </is>
      </c>
      <c r="Q74" s="18" t="inlineStr"/>
    </row>
    <row r="75">
      <c r="A75" s="15" t="inlineStr">
        <is>
          <t>74</t>
        </is>
      </c>
      <c r="B75" s="18" t="inlineStr">
        <is>
          <t>ข้อใดคือแนวทางแก้ปัญหาที่มักพบในการผลิตยา insulin injection แล้วมีฟอง และการรวมกลุ่ม (aggregation)</t>
        </is>
      </c>
      <c r="C75" s="18" t="inlineStr"/>
      <c r="D75" s="18" t="inlineStr">
        <is>
          <t>ลดอุณหภูมิระหว่างการผลิตต ่ากว่า 0</t>
        </is>
      </c>
      <c r="E75" s="18" t="inlineStr">
        <is>
          <t>เพิ่มสารลดแรงตึงผิว non-ionic เช่น polysorbate 20</t>
        </is>
      </c>
      <c r="F75" s="18" t="inlineStr">
        <is>
          <t>เติม zinc รูป zinc chloride</t>
        </is>
      </c>
      <c r="G75" s="18" t="inlineStr">
        <is>
          <t>ใช้ nitrogen purging ไล่ออกซิเจน</t>
        </is>
      </c>
      <c r="H75" s="18" t="inlineStr">
        <is>
          <t>เปลี่ยนสูตรต ารับเป็น acetate buffer แทน phosphate buffer"</t>
        </is>
      </c>
      <c r="I75" s="15" t="inlineStr">
        <is>
          <t>1</t>
        </is>
      </c>
      <c r="J75" s="18"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(เพิ่มสารลดแรงตึงผิว non-ionic เช่น polysorbate 20): ข้อนี้ไม่ใช่คำตอบที่ถูกต้องสำหรับภาวะ Diabetes mellitus เนื่องจากกลไกการออกฤทธิ์, efficacy หรือข้อบ่งใช้ไม่ตรงกับโจทย์ที่กำหนด
• ข้อ ง. (เติม zinc รูป zinc chloride): ข้อนี้ไม่ใช่คำตอบที่ถูกต้องสำหรับภาวะ Diabetes mellitus เนื่องจากกลไกการออกฤทธิ์, efficacy หรือข้อบ่งใช้ไม่ตรงกับโจทย์ที่กำหนด
• ข้อ จ. (ใช้ nitrogen purging ไล่ออกซิเจน):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18" t="inlineStr"/>
      <c r="L75" s="18" t="inlineStr">
        <is>
          <t>Diabetes mellitus</t>
        </is>
      </c>
      <c r="M75" s="18" t="inlineStr">
        <is>
          <t>Diabetes mellitus</t>
        </is>
      </c>
      <c r="N75" s="18" t="inlineStr">
        <is>
          <t>Mock PLE-CC 1 ข้อ 33</t>
        </is>
      </c>
      <c r="O75" s="18" t="inlineStr">
        <is>
          <t>Mock</t>
        </is>
      </c>
      <c r="P75" s="18" t="inlineStr">
        <is>
          <t>Mock RxCU83</t>
        </is>
      </c>
      <c r="Q75" s="18" t="inlineStr"/>
    </row>
    <row r="76">
      <c r="A76" s="15" t="inlineStr">
        <is>
          <t>75</t>
        </is>
      </c>
      <c r="B76" s="18" t="inlineStr">
        <is>
          <t>การผลิต insulin ในระดับอุตสาหกรรม ข้อใดมีความเป็นไปได้มากที่สุด</t>
        </is>
      </c>
      <c r="C76" s="18" t="inlineStr"/>
      <c r="D76" s="18" t="inlineStr">
        <is>
          <t>สกัดโดยตรงจากสุกรหรือวัว แล้วเอามาสังเคราะห์ต่อ จนได้ insulin</t>
        </is>
      </c>
      <c r="E76" s="18" t="inlineStr">
        <is>
          <t>ใช้ E. coli หรือ Saccharomyces cerevisiae สังเคราะห์ แล้วใช้ C-$Peptidase ตัดให้เป็น insulin</t>
        </is>
      </c>
      <c r="F76" s="18" t="inlineStr">
        <is>
          <t>SPPS แล้วพับใน bioreactor</t>
        </is>
      </c>
      <c r="G76" s="18" t="inlineStr">
        <is>
          <t>hybridoma technology ผลิตเป็น Immuno monoclonal antibody</t>
        </is>
      </c>
      <c r="H76" s="18" t="inlineStr">
        <is>
          <t>ใช้ stem cell ของ human beta cell ในตับอ่อน แล้วสกัด insulin ออกมาท า formulation ต่อ"</t>
        </is>
      </c>
      <c r="I76" s="15" t="inlineStr">
        <is>
          <t>1</t>
        </is>
      </c>
      <c r="J76" s="18"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(ใช้ E. coli หรือ Saccharomyces cerevisiae สังเคราะห์ แล้วใช้ C-$Peptidase ตัดให้เป็น insulin): ข้อนี้ไม่ใช่คำตอบที่ถูกต้องสำหรับภาวะ Diabetes mellitus เนื่องจากกลไกการออกฤทธิ์, efficacy หรือข้อบ่งใช้ไม่ตรงกับโจทย์ที่กำหนด
• ข้อ ง. (SPPS แล้วพับใน bioreactor): ข้อนี้ไม่ใช่คำตอบที่ถูกต้องสำหรับภาวะ Diabetes mellitus เนื่องจากกลไกการออกฤทธิ์, efficacy หรือข้อบ่งใช้ไม่ตรงกับโจทย์ที่กำหนด
• ข้อ จ. (hybridoma technology ผลิตเป็น Immuno monoclonal antibody):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18" t="inlineStr"/>
      <c r="L76" s="18" t="inlineStr">
        <is>
          <t>Diabetes mellitus</t>
        </is>
      </c>
      <c r="M76" s="18" t="inlineStr">
        <is>
          <t>Diabetes mellitus</t>
        </is>
      </c>
      <c r="N76" s="18" t="inlineStr">
        <is>
          <t>Mock PLE-CC 1 ข้อ 36</t>
        </is>
      </c>
      <c r="O76" s="18" t="inlineStr">
        <is>
          <t>Mock</t>
        </is>
      </c>
      <c r="P76" s="18" t="inlineStr">
        <is>
          <t>Mock RxCU83</t>
        </is>
      </c>
      <c r="Q76" s="18" t="inlineStr"/>
    </row>
    <row r="77">
      <c r="A77" s="15" t="inlineStr">
        <is>
          <t>76</t>
        </is>
      </c>
      <c r="B77" s="18"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18" t="inlineStr"/>
      <c r="D77" s="18" t="inlineStr">
        <is>
          <t>Levothyroxine 50 mcg OD</t>
        </is>
      </c>
      <c r="E77" s="18" t="inlineStr">
        <is>
          <t>Propylthiouracil 50 mg TID</t>
        </is>
      </c>
      <c r="F77" s="18" t="inlineStr">
        <is>
          <t>Methimazole 10 mg OD</t>
        </is>
      </c>
      <c r="G77" s="18" t="inlineStr">
        <is>
          <t>Pioglitazone 15 mg OD</t>
        </is>
      </c>
      <c r="H77" s="18" t="inlineStr"/>
      <c r="I77" s="15" t="inlineStr">
        <is>
          <t>1</t>
        </is>
      </c>
      <c r="J77" s="1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18" t="inlineStr"/>
      <c r="L77" s="18" t="inlineStr">
        <is>
          <t>Diabetes mellitus</t>
        </is>
      </c>
      <c r="M77" s="18" t="inlineStr">
        <is>
          <t>Diabetes mellitus</t>
        </is>
      </c>
      <c r="N77" s="18" t="inlineStr">
        <is>
          <t>Mock PLE-CC 1 ข้อ 37</t>
        </is>
      </c>
      <c r="O77" s="18" t="inlineStr">
        <is>
          <t>Mock</t>
        </is>
      </c>
      <c r="P77" s="18" t="inlineStr">
        <is>
          <t>Mock RxCU83</t>
        </is>
      </c>
      <c r="Q77" s="18" t="inlineStr"/>
    </row>
    <row r="78">
      <c r="A78" s="15" t="inlineStr">
        <is>
          <t>77</t>
        </is>
      </c>
      <c r="B78" s="18" t="inlineStr">
        <is>
          <t>พืชผัก ในข้อใด มีผลลดระดับน ้าตาลในเลือด</t>
        </is>
      </c>
      <c r="C78" s="18" t="inlineStr"/>
      <c r="D78" s="18" t="inlineStr">
        <is>
          <t>ยอดฝักแม้ว</t>
        </is>
      </c>
      <c r="E78" s="18" t="inlineStr">
        <is>
          <t>ใบกะหล ่าปลี</t>
        </is>
      </c>
      <c r="F78" s="18" t="inlineStr">
        <is>
          <t>ผลบวบงู</t>
        </is>
      </c>
      <c r="G78" s="18" t="inlineStr">
        <is>
          <t>ผลมะระขี้นก</t>
        </is>
      </c>
      <c r="H78" s="18" t="inlineStr">
        <is>
          <t>ช่อดอกบล็อคโคลี</t>
        </is>
      </c>
      <c r="I78" s="15" t="inlineStr">
        <is>
          <t>2</t>
        </is>
      </c>
      <c r="J78" s="18"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(ยอดฝักแม้ว): ข้อนี้ไม่ใช่คำตอบที่ถูกต้องสำหรับภาวะ Diabetes mellitus เนื่องจากกลไกการออกฤทธิ์, efficacy หรือข้อบ่งใช้ไม่ตรงกับโจทย์ที่กำหนด
• ข้อ ง. (ผลบวบงู): ข้อนี้ไม่ใช่คำตอบที่ถูกต้องสำหรับภาวะ Diabetes mellitus เนื่องจากกลไกการออกฤทธิ์, efficacy หรือข้อบ่งใช้ไม่ตรงกับโจทย์ที่กำหนด
• ข้อ จ. (ผลมะระขี้นก):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18" t="inlineStr"/>
      <c r="L78" s="18" t="inlineStr">
        <is>
          <t>Diabetes mellitus</t>
        </is>
      </c>
      <c r="M78" s="18" t="inlineStr">
        <is>
          <t>Diabetes mellitus</t>
        </is>
      </c>
      <c r="N78" s="18" t="inlineStr">
        <is>
          <t>Mock PLE-CC 1 ข้อ 39</t>
        </is>
      </c>
      <c r="O78" s="18" t="inlineStr">
        <is>
          <t>Mock</t>
        </is>
      </c>
      <c r="P78" s="18" t="inlineStr">
        <is>
          <t>Mock RxCU83</t>
        </is>
      </c>
      <c r="Q78" s="18" t="inlineStr"/>
    </row>
    <row r="79">
      <c r="A79" s="15" t="inlineStr">
        <is>
          <t>78</t>
        </is>
      </c>
      <c r="B79" s="18" t="inlineStr">
        <is>
          <t>ในการพัฒนาสูตรตำรับยาพ่นจมูกในรูปแบบสารละลาย (Non-pressurized Multiple Use …)
ไม่จำเป็นต้องทำการทดสอบใด</t>
        </is>
      </c>
      <c r="C79" s="18" t="inlineStr"/>
      <c r="D79" s="18" t="inlineStr">
        <is>
          <t>Uniformity of dosage unit/delivered dose uniformity</t>
        </is>
      </c>
      <c r="E79" s="18" t="inlineStr">
        <is>
          <t>Droplet size distribution</t>
        </is>
      </c>
      <c r="F79" s="18" t="inlineStr">
        <is>
          <t>Actuator deposition</t>
        </is>
      </c>
      <c r="G79" s="18" t="inlineStr">
        <is>
          <t>Shake requirement</t>
        </is>
      </c>
      <c r="H79" s="18" t="inlineStr">
        <is>
          <t>Extractable/Leachable</t>
        </is>
      </c>
      <c r="I79" s="15" t="inlineStr">
        <is>
          <t>1</t>
        </is>
      </c>
      <c r="J79" s="18"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(Uniformity of dosage unit/delivered dose uniformity): ข้อนี้ไม่ใช่คำตอบที่ถูกต้องสำหรับภาวะ Diabetes mellitus เนื่องจากกลไกการออกฤทธิ์, efficacy หรือข้อบ่งใช้ไม่ตรงกับโจทย์ที่กำหนด
• ข้อ ค. (Droplet size distribution): ข้อนี้ไม่ใช่คำตอบที่ถูกต้องสำหรับภาวะ Diabetes mellitus เนื่องจากกลไกการออกฤทธิ์, efficacy หรือข้อบ่งใช้ไม่ตรงกับโจทย์ที่กำหนด
• ข้อ ง. (Actuator deposition): ข้อนี้ไม่ใช่คำตอบที่ถูกต้องสำหรับภาวะ Diabetes mellitus เนื่องจากกลไกการออกฤทธิ์, efficacy หรือข้อบ่งใช้ไม่ตรงกับโจทย์ที่กำหนด
• ข้อ จ. (Shake requirement):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18" t="inlineStr"/>
      <c r="L79" s="18" t="inlineStr">
        <is>
          <t>Diabetes mellitus</t>
        </is>
      </c>
      <c r="M79" s="18" t="inlineStr">
        <is>
          <t>Diabetes mellitus</t>
        </is>
      </c>
      <c r="N79" s="18" t="inlineStr">
        <is>
          <t>Mock PLE-CC 1 ข้อ 46</t>
        </is>
      </c>
      <c r="O79" s="18" t="inlineStr">
        <is>
          <t>Mock</t>
        </is>
      </c>
      <c r="P79" s="18" t="inlineStr">
        <is>
          <t>Mock RxCU83</t>
        </is>
      </c>
      <c r="Q79" s="18" t="inlineStr"/>
    </row>
    <row r="80">
      <c r="A80" s="15" t="inlineStr">
        <is>
          <t>79</t>
        </is>
      </c>
      <c r="B80" s="18" t="inlineStr">
        <is>
          <t>ข้อใดไม่ใช่ปัจจัยที่มาพิจารณาการตั้งตำรับผลิตภัณฑ์ยาพ่นจมูกรูปแบบสารละลาย</t>
        </is>
      </c>
      <c r="C80" s="18" t="inlineStr"/>
      <c r="D80" s="18" t="inlineStr">
        <is>
          <t>Particle size</t>
        </is>
      </c>
      <c r="E80" s="18" t="inlineStr">
        <is>
          <t>Solvent</t>
        </is>
      </c>
      <c r="F80" s="18" t="inlineStr">
        <is>
          <t>Viscosity</t>
        </is>
      </c>
      <c r="G80" s="18" t="inlineStr">
        <is>
          <t>Osmolarity</t>
        </is>
      </c>
      <c r="H80" s="18" t="inlineStr">
        <is>
          <t>pH</t>
        </is>
      </c>
      <c r="I80" s="15" t="inlineStr">
        <is>
          <t>1</t>
        </is>
      </c>
      <c r="J80" s="18"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(Solvent): ข้อนี้ไม่ใช่คำตอบที่ถูกต้องสำหรับภาวะ Diabetes mellitus เนื่องจากกลไกการออกฤทธิ์, efficacy หรือข้อบ่งใช้ไม่ตรงกับโจทย์ที่กำหนด
• ข้อ ง. (Viscosity): ข้อนี้ไม่ใช่คำตอบที่ถูกต้องสำหรับภาวะ Diabetes mellitus เนื่องจากกลไกการออกฤทธิ์, efficacy หรือข้อบ่งใช้ไม่ตรงกับโจทย์ที่กำหนด
• ข้อ จ. (Osmolarity):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18" t="inlineStr"/>
      <c r="L80" s="18" t="inlineStr">
        <is>
          <t>Diabetes mellitus</t>
        </is>
      </c>
      <c r="M80" s="18" t="inlineStr">
        <is>
          <t>Diabetes mellitus</t>
        </is>
      </c>
      <c r="N80" s="18" t="inlineStr">
        <is>
          <t>Mock PLE-CC 1 ข้อ 47</t>
        </is>
      </c>
      <c r="O80" s="18" t="inlineStr">
        <is>
          <t>Mock</t>
        </is>
      </c>
      <c r="P80" s="18" t="inlineStr">
        <is>
          <t>Mock RxCU83</t>
        </is>
      </c>
      <c r="Q80" s="18" t="inlineStr"/>
    </row>
    <row r="81">
      <c r="A81" s="15" t="inlineStr">
        <is>
          <t>80</t>
        </is>
      </c>
      <c r="B81" s="18" t="inlineStr">
        <is>
          <t>หัวข้อใดไม่จำเป็นต้องกำหนดในการควบคุมคุณภาพของผลิตภัณฑ์ยาพ่นจมูกรูปแบบสารละลาย</t>
        </is>
      </c>
      <c r="C81" s="18" t="inlineStr"/>
      <c r="D81" s="18" t="inlineStr">
        <is>
          <t>Description</t>
        </is>
      </c>
      <c r="E81" s="18" t="inlineStr">
        <is>
          <t>Assay</t>
        </is>
      </c>
      <c r="F81" s="18" t="inlineStr">
        <is>
          <t>Moisture content</t>
        </is>
      </c>
      <c r="G81" s="18" t="inlineStr">
        <is>
          <t>Microbial limit</t>
        </is>
      </c>
      <c r="H81" s="18" t="inlineStr">
        <is>
          <t>Mean delivered dose</t>
        </is>
      </c>
      <c r="I81" s="15" t="inlineStr">
        <is>
          <t>1</t>
        </is>
      </c>
      <c r="J81" s="18"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(Assay): ข้อนี้ไม่ใช่คำตอบที่ถูกต้องสำหรับภาวะ Diabetes mellitus เนื่องจากกลไกการออกฤทธิ์, efficacy หรือข้อบ่งใช้ไม่ตรงกับโจทย์ที่กำหนด
• ข้อ ง. (Moisture content): ข้อนี้ไม่ใช่คำตอบที่ถูกต้องสำหรับภาวะ Diabetes mellitus เนื่องจากกลไกการออกฤทธิ์, efficacy หรือข้อบ่งใช้ไม่ตรงกับโจทย์ที่กำหนด
• ข้อ จ. (Microbial limit):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18" t="inlineStr"/>
      <c r="L81" s="18" t="inlineStr">
        <is>
          <t>Diabetes mellitus</t>
        </is>
      </c>
      <c r="M81" s="18" t="inlineStr">
        <is>
          <t>Diabetes mellitus</t>
        </is>
      </c>
      <c r="N81" s="18" t="inlineStr">
        <is>
          <t>Mock PLE-CC 1 ข้อ 48</t>
        </is>
      </c>
      <c r="O81" s="18" t="inlineStr">
        <is>
          <t>Mock</t>
        </is>
      </c>
      <c r="P81" s="18" t="inlineStr">
        <is>
          <t>Mock RxCU83</t>
        </is>
      </c>
      <c r="Q81" s="18" t="inlineStr"/>
    </row>
    <row r="82">
      <c r="A82" s="15" t="inlineStr">
        <is>
          <t>81</t>
        </is>
      </c>
      <c r="B82" s="18"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18" t="inlineStr"/>
      <c r="D82" s="18" t="inlineStr">
        <is>
          <t>Methimazole 10 mg OD</t>
        </is>
      </c>
      <c r="E82" s="18" t="inlineStr">
        <is>
          <t>Pioglitazone 15 mg OD</t>
        </is>
      </c>
      <c r="F82" s="18" t="inlineStr">
        <is>
          <t>A และ B</t>
        </is>
      </c>
      <c r="G82" s="18" t="inlineStr">
        <is>
          <t>ไม่ใช้ทั้ง A และ B</t>
        </is>
      </c>
      <c r="H82" s="18" t="inlineStr">
        <is>
          <t>ตัดสินไม่ได้</t>
        </is>
      </c>
      <c r="I82" s="15" t="inlineStr">
        <is>
          <t>1</t>
        </is>
      </c>
      <c r="J82" s="1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(A และ B): ข้อนี้ไม่ใช่คำตอบที่ถูกต้องสำหรับภาวะ Diabetes mellitus เนื่องจากกลไกการออกฤทธิ์, efficacy หรือข้อบ่งใช้ไม่ตรงกับโจทย์ที่กำหนด
• ข้อ จ. (ไม่ใช้ทั้ง A และ B):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18" t="inlineStr"/>
      <c r="L82" s="18" t="inlineStr">
        <is>
          <t>Diabetes mellitus</t>
        </is>
      </c>
      <c r="M82" s="18" t="inlineStr">
        <is>
          <t>Diabetes mellitus</t>
        </is>
      </c>
      <c r="N82" s="18" t="inlineStr">
        <is>
          <t>Mock PLE-CC 1 ข้อ 49</t>
        </is>
      </c>
      <c r="O82" s="18" t="inlineStr">
        <is>
          <t>Mock</t>
        </is>
      </c>
      <c r="P82" s="18" t="inlineStr">
        <is>
          <t>Mock RxCU83</t>
        </is>
      </c>
      <c r="Q82" s="18" t="inlineStr"/>
    </row>
    <row r="83">
      <c r="A83" s="15" t="inlineStr">
        <is>
          <t>82</t>
        </is>
      </c>
      <c r="B83" s="18" t="inlineStr">
        <is>
          <t>ข้อใดถูกต้องเกี่ยวกับ immune-related adverse events (irAEs)</t>
        </is>
      </c>
      <c r="C83" s="18" t="inlineStr"/>
      <c r="D83" s="18" t="inlineStr">
        <is>
          <t>ลำดับการเกิดคือ colitis &gt; endocrinepathy &gt; skin &gt; liver toxicity</t>
        </is>
      </c>
      <c r="E83" s="18" t="inlineStr">
        <is>
          <t>Endocrine toxicity คือการเกิด hypothyroidism รักษาด้วย steroid</t>
        </is>
      </c>
      <c r="F83" s="18" t="inlineStr">
        <is>
          <t>สามารถเกิดได้กับหลายอวัยวะ และเกิดได้แม้หยุดยาไปแล้ว</t>
        </is>
      </c>
      <c r="G83" s="18" t="inlineStr">
        <is>
          <t>ไม่จำเป็นต้องหยุดยา และสามารถหายได้เอง</t>
        </is>
      </c>
      <c r="H83" s="18" t="inlineStr">
        <is>
          <t>Skin จะเกิดเฉพาะกับผู้ป่วยที่มี EGFR mutation positive เท่านั้น</t>
        </is>
      </c>
      <c r="I83" s="15" t="inlineStr">
        <is>
          <t>1</t>
        </is>
      </c>
      <c r="J83" s="18"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(Endocrine toxicity คือการเกิด hypothyroidism รักษาด้วย steroid): ข้อนี้ไม่ใช่คำตอบที่ถูกต้องสำหรับภาวะ Diabetes mellitus เนื่องจากกลไกการออกฤทธิ์, efficacy หรือข้อบ่งใช้ไม่ตรงกับโจทย์ที่กำหนด
• ข้อ ง. (สามารถเกิดได้กับหลายอวัยวะ และเกิดได้แม้หยุดยาไปแล้ว): ข้อนี้ไม่ใช่คำตอบที่ถูกต้องสำหรับภาวะ Diabetes mellitus เนื่องจากกลไกการออกฤทธิ์, efficacy หรือข้อบ่งใช้ไม่ตรงกับโจทย์ที่กำหนด
• ข้อ จ. (ไม่จำเป็นต้องหยุดยา และสามารถหายได้เอง):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18" t="inlineStr"/>
      <c r="L83" s="18" t="inlineStr">
        <is>
          <t>Diabetes mellitus</t>
        </is>
      </c>
      <c r="M83" s="18" t="inlineStr">
        <is>
          <t>Diabetes mellitus</t>
        </is>
      </c>
      <c r="N83" s="18" t="inlineStr">
        <is>
          <t>Mock PLE-CC 1 ข้อ 68</t>
        </is>
      </c>
      <c r="O83" s="18" t="inlineStr">
        <is>
          <t>Mock</t>
        </is>
      </c>
      <c r="P83" s="18" t="inlineStr">
        <is>
          <t>Mock RxCU83</t>
        </is>
      </c>
      <c r="Q83" s="18" t="inlineStr"/>
    </row>
    <row r="84">
      <c r="A84" s="15" t="inlineStr">
        <is>
          <t>83</t>
        </is>
      </c>
      <c r="B84" s="18" t="inlineStr">
        <is>
          <t>ใช้ propranolol ในการป้องกันไมเกรน ควรระวังในผู้ป่วยที่มีโรคร่วมใดมากที่สุด</t>
        </is>
      </c>
      <c r="C84" s="18" t="inlineStr"/>
      <c r="D84" s="18" t="inlineStr">
        <is>
          <t>เบาหวาน</t>
        </is>
      </c>
      <c r="E84" s="18" t="inlineStr">
        <is>
          <t>หืด</t>
        </is>
      </c>
      <c r="F84" s="18" t="inlineStr">
        <is>
          <t>ซึมเศร้า</t>
        </is>
      </c>
      <c r="G84" s="18" t="inlineStr">
        <is>
          <t>กรดไหลย้อน</t>
        </is>
      </c>
      <c r="H84" s="18" t="inlineStr">
        <is>
          <t>ไตเรื้อรัง</t>
        </is>
      </c>
      <c r="I84" s="15" t="inlineStr">
        <is>
          <t>1</t>
        </is>
      </c>
      <c r="J84" s="18"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(เบาหวาน): ข้อนี้ไม่ใช่คำตอบที่ถูกต้องสำหรับภาวะ Diabetes mellitus เนื่องจากกลไกการออกฤทธิ์, efficacy หรือข้อบ่งใช้ไม่ตรงกับโจทย์ที่กำหนด
• ข้อ ค. (หืด): ข้อนี้ไม่ใช่คำตอบที่ถูกต้องสำหรับภาวะ Diabetes mellitus เนื่องจากกลไกการออกฤทธิ์, efficacy หรือข้อบ่งใช้ไม่ตรงกับโจทย์ที่กำหนด
• ข้อ ง. (ซึมเศร้า): ข้อนี้ไม่ใช่คำตอบที่ถูกต้องสำหรับภาวะ Diabetes mellitus เนื่องจากกลไกการออกฤทธิ์, efficacy หรือข้อบ่งใช้ไม่ตรงกับโจทย์ที่กำหนด
• ข้อ จ. (กรดไหลย้อน):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18" t="inlineStr"/>
      <c r="L84" s="18" t="inlineStr">
        <is>
          <t>Diabetes mellitus</t>
        </is>
      </c>
      <c r="M84" s="18" t="inlineStr">
        <is>
          <t>Diabetes mellitus</t>
        </is>
      </c>
      <c r="N84" s="18" t="inlineStr">
        <is>
          <t>Mock PLE-CC 1 ข้อ 111</t>
        </is>
      </c>
      <c r="O84" s="18" t="inlineStr">
        <is>
          <t>Mock</t>
        </is>
      </c>
      <c r="P84" s="18" t="inlineStr">
        <is>
          <t>Mock RxCU83</t>
        </is>
      </c>
      <c r="Q84" s="18" t="inlineStr"/>
    </row>
    <row r="85">
      <c r="A85" s="15" t="inlineStr">
        <is>
          <t>84</t>
        </is>
      </c>
      <c r="B85" s="18"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18" t="inlineStr"/>
      <c r="D85" s="18" t="inlineStr">
        <is>
          <t>ให้กินยาจนครบคอร์ส 6-8 เดือน ห้ามหยุดยาเอง ก่อนปรึกษาแพทย์</t>
        </is>
      </c>
      <c r="E85" s="18" t="inlineStr">
        <is>
          <t>ยาอาจทำให้ง่วงซึม หลีกเลี่ยงการขับขี่ยานพาหนะหรือทำงานเครื่องจักร</t>
        </is>
      </c>
      <c r="F85" s="18" t="inlineStr">
        <is>
          <t>หลีกเลี่ยงการออกแดดหรือให้ทาครีมกันแดด เมื่อจำเป็น</t>
        </is>
      </c>
      <c r="G85" s="18" t="inlineStr">
        <is>
          <t>หากมีอาการ ไข้ เจ็บคอ มีแผลในปาก ควรหยุดยาแล้วมาพบแพทย์ทันที</t>
        </is>
      </c>
      <c r="H85" s="18" t="inlineStr">
        <is>
          <t>หากมีผื่นขึ้นแม้เพียงเล็กน้อย ให้หยุดยาทันที PLE-PC1 Preparation 2567</t>
        </is>
      </c>
      <c r="I85" s="15" t="inlineStr">
        <is>
          <t>1</t>
        </is>
      </c>
      <c r="J85" s="18" t="inlineStr">
        <is>
          <t>✅ คำตอบที่ถูกต้อง: ข้อ ก. ให้กินยาจนครบคอร์ส 6-8 เดือน ห้ามหยุดยาเอง ก่อนปรึกษาแพทย์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ข้อนี้ไม่ใช่คำตอบที่ถูกต้องสำหรับภาวะ Hypo/Hyperthyroidism เนื่องจากกลไกการออกฤทธิ์, efficacy หรือข้อบ่งใช้ไม่ตรงกับโจทย์ที่กำหนด
• ข้อ ค. (ยาอาจทำให้ง่วงซึม หลีกเลี่ยงการขับขี่ยานพาหนะหรือทำงานเครื่องจักร): ข้อนี้ไม่ใช่คำตอบที่ถูกต้องสำหรับภาวะ Hypo/Hyperthyroidism เนื่องจากกลไกการออกฤทธิ์, efficacy หรือข้อบ่งใช้ไม่ตรงกับโจทย์ที่กำหนด
• ข้อ ง. (หลีกเลี่ยงการออกแดดหรือให้ทาครีมกันแดด เมื่อจำเป็น): ข้อนี้ไม่ใช่คำตอบที่ถูกต้องสำหรับภาวะ Hypo/Hyperthyroidism เนื่องจากกลไกการออกฤทธิ์, efficacy หรือข้อบ่งใช้ไม่ตรงกับโจทย์ที่กำหนด
• ข้อ จ. (หากมีอาการ ไข้ เจ็บคอ มีแผลในปาก ควรหยุดยาแล้วมาพบแพทย์ทันที): ข้อนี้ไม่ใช่คำตอบที่ถูกต้องสำหรับภาวะ Hypo/Hyperthyroidism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5" s="18" t="inlineStr"/>
      <c r="L85" s="18" t="inlineStr">
        <is>
          <t>Hypo/Hyperthyroidism</t>
        </is>
      </c>
      <c r="M85" s="18" t="inlineStr">
        <is>
          <t>Diabetes mellitus</t>
        </is>
      </c>
      <c r="N85" s="18" t="inlineStr">
        <is>
          <t>PLE_CC1_2567_Key ข้อ 43</t>
        </is>
      </c>
      <c r="O85" s="18" t="inlineStr">
        <is>
          <t>ข้อสอบจริง</t>
        </is>
      </c>
      <c r="P85" s="18" t="inlineStr">
        <is>
          <t>ปี 2567</t>
        </is>
      </c>
      <c r="Q85" s="18" t="inlineStr"/>
    </row>
    <row r="86">
      <c r="A86" s="15" t="inlineStr">
        <is>
          <t>85</t>
        </is>
      </c>
      <c r="B86" s="18" t="inlineStr">
        <is>
          <t>ยาเบาหวานที่เหมาะสมในผู้ป่วยรายนี้ ตาม KDIGO 2022 - 「 ←</t>
        </is>
      </c>
      <c r="C86" s="18" t="inlineStr"/>
      <c r="D86" s="18" t="inlineStr">
        <is>
          <t>Metformin + dapagliflozin</t>
        </is>
      </c>
      <c r="E86" s="18" t="inlineStr">
        <is>
          <t>Glipizide + insulin</t>
        </is>
      </c>
      <c r="F86" s="18" t="inlineStr">
        <is>
          <t>Insulin</t>
        </is>
      </c>
      <c r="G86" s="18" t="inlineStr">
        <is>
          <t>Linagliptin</t>
        </is>
      </c>
      <c r="H86" s="18" t="inlineStr">
        <is>
          <t>Metformin + sitagliptin ปจจยเสยงโรคไตเรอรง • Family history • อาย • เชอชาต - African • DM • Hypertension จาก KDIGO2022 — DM &amp; CKD PLE-PC1 Preparation 2567 UACR = 282 ☆</t>
        </is>
      </c>
      <c r="I86" s="15" t="inlineStr">
        <is>
          <t>1</t>
        </is>
      </c>
      <c r="J86" s="18" t="inlineStr">
        <is>
          <t>✅ คำตอบที่ถูกต้อง: ข้อ ก. Metformin + dapagliflozin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 dapagliflozin):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 insulin): เป็น Second-generation Sulfonylurea กระตุ้น insulin secretion เสี่ยงต่อ hypoglycemia และ weight gain ขับออกทางตับเด่นกว่า glibenclamide จึงปลอดภัยกว่าในผู้สูงอายุ/CKD
• ข้อ ง. (Insulin): ข้อนี้ไม่ใช่คำตอบที่ถูกต้องสำหรับภาวะ Diabetes mellitus เนื่องจากกลไกการออกฤทธิ์, efficacy หรือข้อบ่งใช้ไม่ตรงกับโจทย์ที่กำหนด
• ข้อ จ. (Linagliptin): เป็น DPP-4 inhibitor ชนิดเดียวที่ขับออกทางระบบทางเดินน้ำดี/อุจจาระเป็นหลัก จึงไม่ต้องปรับขนาดยาในผู้ป่วย renal impairment ทุกระดับ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6" s="18" t="inlineStr"/>
      <c r="L86" s="18" t="inlineStr">
        <is>
          <t>Diabetes mellitus</t>
        </is>
      </c>
      <c r="M86" s="18" t="inlineStr">
        <is>
          <t>Diabetes mellitus</t>
        </is>
      </c>
      <c r="N86" s="18" t="inlineStr">
        <is>
          <t>PLE_CC1_2567_Key ข้อ 49</t>
        </is>
      </c>
      <c r="O86" s="18" t="inlineStr">
        <is>
          <t>ข้อสอบจริง</t>
        </is>
      </c>
      <c r="P86" s="18" t="inlineStr">
        <is>
          <t>ปี 2567</t>
        </is>
      </c>
      <c r="Q86" s="18" t="inlineStr"/>
    </row>
    <row r="87">
      <c r="A87" s="15" t="inlineStr">
        <is>
          <t>86</t>
        </is>
      </c>
      <c r="B87" s="18" t="inlineStr">
        <is>
          <t>ผู้ป่วยรายนี้ ผลการตรวจฮอร์โมนต่อมไทรอยด์ควรมีลักษณะเป็นอย่างไร</t>
        </is>
      </c>
      <c r="C87" s="18" t="inlineStr"/>
      <c r="D87" s="18" t="inlineStr">
        <is>
          <t>TSH สูง, FT3 ปกติ, FT4 ปกติ</t>
        </is>
      </c>
      <c r="E87" s="18" t="inlineStr">
        <is>
          <t>TSH ปกติ, FT3 สูง, FT4 สูง</t>
        </is>
      </c>
      <c r="F87" s="18" t="inlineStr">
        <is>
          <t>TSH ต่ำ, FT3 สูง, FT4 สูง</t>
        </is>
      </c>
      <c r="G87" s="18" t="inlineStr">
        <is>
          <t>TSH ต่ำ, FT3 ต่ำ, FT4 ต่ำ</t>
        </is>
      </c>
      <c r="H87" s="18" t="inlineStr">
        <is>
          <t>TSH สูง, FT3 สูง, FT4 สูง</t>
        </is>
      </c>
      <c r="I87" s="15" t="inlineStr">
        <is>
          <t>1</t>
        </is>
      </c>
      <c r="J87" s="18" t="inlineStr">
        <is>
          <t>✅ คำตอบที่ถูกต้อง: ข้อ ก. TSH สูง, FT3 ปกติ, FT4 ปกติ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(TSH สูง, FT3 ปกติ, FT4 ปกติ): ข้อนี้ไม่ใช่คำตอบที่ถูกต้องสำหรับภาวะ Hypo/Hyperthyroidism เนื่องจากกลไกการออกฤทธิ์, efficacy หรือข้อบ่งใช้ไม่ตรงกับโจทย์ที่กำหนด
• ข้อ ค. (TSH ปกติ, FT3 สูง, FT4 สูง): ข้อนี้ไม่ใช่คำตอบที่ถูกต้องสำหรับภาวะ Hypo/Hyperthyroidism เนื่องจากกลไกการออกฤทธิ์, efficacy หรือข้อบ่งใช้ไม่ตรงกับโจทย์ที่กำหนด
• ข้อ ง. (TSH ต่ำ, FT3 สูง, FT4 สูง): ข้อนี้ไม่ใช่คำตอบที่ถูกต้องสำหรับภาวะ Hypo/Hyperthyroidism เนื่องจากกลไกการออกฤทธิ์, efficacy หรือข้อบ่งใช้ไม่ตรงกับโจทย์ที่กำหนด
• ข้อ จ. (TSH ต่ำ, FT3 ต่ำ, FT4 ต่ำ): ข้อนี้ไม่ใช่คำตอบที่ถูกต้องสำหรับภาวะ Hypo/Hyperthyroidism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7" s="18" t="inlineStr"/>
      <c r="L87" s="18" t="inlineStr">
        <is>
          <t>Hypo/Hyperthyroidism</t>
        </is>
      </c>
      <c r="M87" s="18" t="inlineStr">
        <is>
          <t>Diabetes mellitus</t>
        </is>
      </c>
      <c r="N87" s="18" t="inlineStr">
        <is>
          <t>PLE_CC1_2567_Key ข้อ 67</t>
        </is>
      </c>
      <c r="O87" s="18" t="inlineStr">
        <is>
          <t>ข้อสอบจริง</t>
        </is>
      </c>
      <c r="P87" s="18" t="inlineStr">
        <is>
          <t>ปี 2567</t>
        </is>
      </c>
      <c r="Q87" s="18" t="inlineStr"/>
    </row>
    <row r="88">
      <c r="A88" s="15" t="inlineStr">
        <is>
          <t>87</t>
        </is>
      </c>
      <c r="B88" s="18" t="inlineStr">
        <is>
          <t>ข้อใดต่อไปนี้เป็นอาการแสดง hyperthyroid x &amp; VIn &lt; PT3 thyroid disorder e ↓</t>
        </is>
      </c>
      <c r="C88" s="18" t="inlineStr"/>
      <c r="D88" s="18" t="inlineStr">
        <is>
          <t>หงุดหงิดง่าย</t>
        </is>
      </c>
      <c r="E88" s="18" t="inlineStr">
        <is>
          <t>ผมร่วง</t>
        </is>
      </c>
      <c r="F88" s="18" t="inlineStr">
        <is>
          <t>ผิวแห้ง</t>
        </is>
      </c>
      <c r="G88" s="18" t="inlineStr">
        <is>
          <t>หัวใจเต้นช้า</t>
        </is>
      </c>
      <c r="H88" s="18" t="inlineStr">
        <is>
          <t>ท้องผูก</t>
        </is>
      </c>
      <c r="I88" s="15" t="inlineStr">
        <is>
          <t>1</t>
        </is>
      </c>
      <c r="J88" s="18" t="inlineStr">
        <is>
          <t>✅ คำตอบที่ถูกต้อง: ข้อ ก. หงุดหงิดง่าย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(หงุดหงิดง่าย): ข้อนี้ไม่ใช่คำตอบที่ถูกต้องสำหรับภาวะ Hypo/Hyperthyroidism เนื่องจากกลไกการออกฤทธิ์, efficacy หรือข้อบ่งใช้ไม่ตรงกับโจทย์ที่กำหนด
• ข้อ ค. (ผมร่วง): ข้อนี้ไม่ใช่คำตอบที่ถูกต้องสำหรับภาวะ Hypo/Hyperthyroidism เนื่องจากกลไกการออกฤทธิ์, efficacy หรือข้อบ่งใช้ไม่ตรงกับโจทย์ที่กำหนด
• ข้อ ง. (ผิวแห้ง): ข้อนี้ไม่ใช่คำตอบที่ถูกต้องสำหรับภาวะ Hypo/Hyperthyroidism เนื่องจากกลไกการออกฤทธิ์, efficacy หรือข้อบ่งใช้ไม่ตรงกับโจทย์ที่กำหนด
• ข้อ จ. (หัวใจเต้นช้า): ข้อนี้ไม่ใช่คำตอบที่ถูกต้องสำหรับภาวะ Hypo/Hyperthyroidism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8" s="18" t="inlineStr"/>
      <c r="L88" s="18" t="inlineStr">
        <is>
          <t>Hypo/Hyperthyroidism</t>
        </is>
      </c>
      <c r="M88" s="18" t="inlineStr">
        <is>
          <t>Diabetes mellitus</t>
        </is>
      </c>
      <c r="N88" s="18" t="inlineStr">
        <is>
          <t>PLE_CC1_2567_Key ข้อ 68</t>
        </is>
      </c>
      <c r="O88" s="18" t="inlineStr">
        <is>
          <t>ข้อสอบจริง</t>
        </is>
      </c>
      <c r="P88" s="18" t="inlineStr">
        <is>
          <t>ปี 2567</t>
        </is>
      </c>
      <c r="Q88" s="18" t="inlineStr"/>
    </row>
    <row r="89">
      <c r="A89" s="15" t="inlineStr">
        <is>
          <t>88</t>
        </is>
      </c>
      <c r="B89" s="18" t="inlineStr">
        <is>
          <t>แพทย์จ่าย propranolol , MMI ในคนท้อง 4 เดือน DRP คืออะไร X 7 อาการแสดง vos hyperthyroid</t>
        </is>
      </c>
      <c r="C89" s="18" t="inlineStr"/>
      <c r="D89" s="18" t="inlineStr">
        <is>
          <t>จ่ายยาเพิ่มอีก 1 ตัว</t>
        </is>
      </c>
      <c r="E89" s="18" t="inlineStr">
        <is>
          <t>มียาที่ไม่เหมาะสม</t>
        </is>
      </c>
      <c r="F89" s="18" t="inlineStr">
        <is>
          <t>มียาที่ความถี่ในการบริหารไม่เหมาะสม</t>
        </is>
      </c>
      <c r="G89" s="18" t="inlineStr">
        <is>
          <t>มียาที่ไม่มีข้อบ่งใช้</t>
        </is>
      </c>
      <c r="H89" s="18" t="inlineStr">
        <is>
          <t>*จำ choice ไม่ได้* PLE-PC1 Preparation 2567</t>
        </is>
      </c>
      <c r="I89" s="15" t="inlineStr">
        <is>
          <t>1</t>
        </is>
      </c>
      <c r="J89" s="18" t="inlineStr">
        <is>
          <t>✅ คำตอบที่ถูกต้อง: ข้อ ก. จ่ายยาเพิ่มอีก 1 ตัว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(จ่ายยาเพิ่มอีก 1 ตัว): ข้อนี้ไม่ใช่คำตอบที่ถูกต้องสำหรับภาวะ Hypo/Hyperthyroidism เนื่องจากกลไกการออกฤทธิ์, efficacy หรือข้อบ่งใช้ไม่ตรงกับโจทย์ที่กำหนด
• ข้อ ค. (มียาที่ไม่เหมาะสม): ข้อนี้ไม่ใช่คำตอบที่ถูกต้องสำหรับภาวะ Hypo/Hyperthyroidism เนื่องจากกลไกการออกฤทธิ์, efficacy หรือข้อบ่งใช้ไม่ตรงกับโจทย์ที่กำหนด
• ข้อ ง. (มียาที่ความถี่ในการบริหารไม่เหมาะสม): ข้อนี้ไม่ใช่คำตอบที่ถูกต้องสำหรับภาวะ Hypo/Hyperthyroidism เนื่องจากกลไกการออกฤทธิ์, efficacy หรือข้อบ่งใช้ไม่ตรงกับโจทย์ที่กำหนด
• ข้อ จ. (มียาที่ไม่มีข้อบ่งใช้): ข้อนี้ไม่ใช่คำตอบที่ถูกต้องสำหรับภาวะ Hypo/Hyperthyroidism เนื่องจากกลไกการออกฤทธิ์, efficacy หรือข้อบ่งใช้ไม่ตรงกับโจทย์ที่กำหนด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9" s="18" t="inlineStr"/>
      <c r="L89" s="18" t="inlineStr">
        <is>
          <t>Hypo/Hyperthyroidism</t>
        </is>
      </c>
      <c r="M89" s="18" t="inlineStr">
        <is>
          <t>Diabetes mellitus</t>
        </is>
      </c>
      <c r="N89" s="18" t="inlineStr">
        <is>
          <t>PLE_CC1_2567_Key ข้อ 69</t>
        </is>
      </c>
      <c r="O89" s="18" t="inlineStr">
        <is>
          <t>ข้อสอบจริง</t>
        </is>
      </c>
      <c r="P89" s="18" t="inlineStr">
        <is>
          <t>ปี 2567</t>
        </is>
      </c>
      <c r="Q89" s="18" t="inlineStr"/>
    </row>
    <row r="90">
      <c r="A90" s="15" t="inlineStr">
        <is>
          <t>89</t>
        </is>
      </c>
      <c r="B90" s="18"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90" s="18" t="inlineStr"/>
      <c r="D90" s="18" t="inlineStr">
        <is>
          <t>Cefixime</t>
        </is>
      </c>
      <c r="E90" s="18" t="inlineStr">
        <is>
          <t>Amoxicillin/clavulanate</t>
        </is>
      </c>
      <c r="F90" s="18" t="inlineStr">
        <is>
          <t>cotrimoxazole</t>
        </is>
      </c>
      <c r="G90" s="18" t="inlineStr">
        <is>
          <t>Amoxicillin</t>
        </is>
      </c>
      <c r="H90" s="18" t="inlineStr">
        <is>
          <t>Levofloxacin</t>
        </is>
      </c>
      <c r="I90" s="15" t="inlineStr">
        <is>
          <t>1</t>
        </is>
      </c>
      <c r="J90" s="18" t="inlineStr">
        <is>
          <t>✅ คำตอบที่ถูกต้อง: ข้อ ก. Cefixime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(Cefixime): ข้อนี้ไม่ใช่คำตอบที่ถูกต้องสำหรับภาวะ Hypo/Hyperthyroidism เนื่องจากกลไกการออกฤทธิ์, efficacy หรือข้อบ่งใช้ไม่ตรงกับโจทย์ที่กำหนด
• ข้อ ค. (Amoxicillin/clavulanate): เป็น Aminopenicillin ยับยั้ง bacterial cell wall synthesis เป็น first-line สำหรับ uncomplicated bacterial infections (เช่น Strep pharyngitis, AOM, sinusitis)
• ข้อ ง. (cotrimoxazole): เป็นยาผสม Trimethoprim/Sulfamethoxazole (TMP/SMX) เป็น drug of choice สำหรับ PCP/PJP prophylaxis &amp; treatment, Stenotrophomonas และ Nocardia ระวัง hyperkalemia และ SCARs
• ข้อ จ. (Amoxicillin): เป็น Aminopenicillin ยับยั้ง bacterial cell wall synthesis เป็น first-line สำหรับ uncomplicated bacterial infections (เช่น Strep pharyngitis, AOM, sinusitis)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0" s="18" t="inlineStr"/>
      <c r="L90" s="18" t="inlineStr">
        <is>
          <t>Hypo/Hyperthyroidism</t>
        </is>
      </c>
      <c r="M90" s="18" t="inlineStr">
        <is>
          <t>Diabetes mellitus</t>
        </is>
      </c>
      <c r="N90" s="18" t="inlineStr">
        <is>
          <t>PLE_CC1_2567_Set1_Key ข้อ 43</t>
        </is>
      </c>
      <c r="O90" s="18" t="inlineStr">
        <is>
          <t>ข้อสอบจริง</t>
        </is>
      </c>
      <c r="P90" s="18" t="inlineStr">
        <is>
          <t>ปี 2567</t>
        </is>
      </c>
      <c r="Q90" s="18" t="inlineStr"/>
    </row>
    <row r="91">
      <c r="A91" s="15" t="inlineStr">
        <is>
          <t>90</t>
        </is>
      </c>
      <c r="B91" s="18" t="inlineStr">
        <is>
          <t>ยาเบาหวานที่เหมาะสมในผู้ป่วยรายนี้ ตาม KDIGO 2022 MจNยเOยงโรคไตเRอ'ง - Family history อาi เ(อชาk - African DM Hypertension 「 ←</t>
        </is>
      </c>
      <c r="C91" s="18" t="inlineStr"/>
      <c r="D91" s="18" t="inlineStr">
        <is>
          <t>ติดเชื้อในทางเดินปัสสาวะ</t>
        </is>
      </c>
      <c r="E91" s="18" t="inlineStr">
        <is>
          <t>นิ่วในถุงน้ำดี</t>
        </is>
      </c>
      <c r="F91" s="18" t="inlineStr">
        <is>
          <t>ตั้งครรภ์</t>
        </is>
      </c>
      <c r="G91" s="18" t="inlineStr">
        <is>
          <t>ไตเรื้อรัง ระยะ 3a</t>
        </is>
      </c>
      <c r="H91" s="18" t="inlineStr">
        <is>
          <t>เลือดออกในสมอง</t>
        </is>
      </c>
      <c r="I91" s="15" t="inlineStr">
        <is>
          <t>1</t>
        </is>
      </c>
      <c r="J91" s="18" t="inlineStr">
        <is>
          <t>✅ คำตอบที่ถูกต้อง: ข้อ ก. ติดเชื้อในทางเดินปัสสาวะ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(ติดเชื้อในทางเดินปัสสาวะ): ข้อนี้ไม่ใช่คำตอบที่ถูกต้องสำหรับภาวะ Diabetes mellitus เนื่องจากกลไกการออกฤทธิ์, efficacy หรือข้อบ่งใช้ไม่ตรงกับโจทย์ที่กำหนด
• ข้อ ค. (นิ่วในถุงน้ำดี): ข้อนี้ไม่ใช่คำตอบที่ถูกต้องสำหรับภาวะ Diabetes mellitus เนื่องจากกลไกการออกฤทธิ์, efficacy หรือข้อบ่งใช้ไม่ตรงกับโจทย์ที่กำหนด
• ข้อ ง. (ตั้งครรภ์): ข้อนี้ไม่ใช่คำตอบที่ถูกต้องสำหรับภาวะ Diabetes mellitus เนื่องจากกลไกการออกฤทธิ์, efficacy หรือข้อบ่งใช้ไม่ตรงกับโจทย์ที่กำหนด
• ข้อ จ. (ไตเรื้อรัง ระยะ 3a):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8" t="inlineStr"/>
      <c r="L91" s="18" t="inlineStr">
        <is>
          <t>Diabetes mellitus</t>
        </is>
      </c>
      <c r="M91" s="18" t="inlineStr">
        <is>
          <t>Diabetes mellitus</t>
        </is>
      </c>
      <c r="N91" s="18" t="inlineStr">
        <is>
          <t>PLE_CC1_2567_Set1_Key ข้อ 49</t>
        </is>
      </c>
      <c r="O91" s="18" t="inlineStr">
        <is>
          <t>ข้อสอบจริง</t>
        </is>
      </c>
      <c r="P91" s="18" t="inlineStr">
        <is>
          <t>ปี 2567</t>
        </is>
      </c>
      <c r="Q91" s="18" t="inlineStr"/>
    </row>
    <row r="92">
      <c r="A92" s="15" t="inlineStr">
        <is>
          <t>91</t>
        </is>
      </c>
      <c r="B92" s="18" t="inlineStr">
        <is>
          <t>ข้อใดต่อไปนี้เป็นอาการแสดง hyperthyroid เพื่อเจเA ยา เม็ค↑U on slide spos &gt; uniformity of dosage units uncoated มี AP l1Om A; Sawanya Buranaphalin ผ่าหนักเม็ดยาเฉลี่ / x dose and vario of drug substance &lt;25mg or 25 % Minwhinco Trivirions we 、</t>
        </is>
      </c>
      <c r="C92" s="18" t="inlineStr"/>
      <c r="D92" s="18" t="inlineStr">
        <is>
          <t>หงุดหงิดง่าย</t>
        </is>
      </c>
      <c r="E92" s="18" t="inlineStr">
        <is>
          <t>ผมร่วง</t>
        </is>
      </c>
      <c r="F92" s="18" t="inlineStr">
        <is>
          <t>ผิวแห้ง</t>
        </is>
      </c>
      <c r="G92" s="18" t="inlineStr">
        <is>
          <t>หัวใจเต้นช้า</t>
        </is>
      </c>
      <c r="H92" s="18" t="inlineStr">
        <is>
          <t>ท้องผูก</t>
        </is>
      </c>
      <c r="I92" s="15" t="inlineStr">
        <is>
          <t>1</t>
        </is>
      </c>
      <c r="J92" s="18" t="inlineStr">
        <is>
          <t>✅ คำตอบที่ถูกต้อง: ข้อ ก. หงุดหงิดง่าย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(หงุดหงิดง่าย): ข้อนี้ไม่ใช่คำตอบที่ถูกต้องสำหรับภาวะ Hypo/Hyperthyroidism เนื่องจากกลไกการออกฤทธิ์, efficacy หรือข้อบ่งใช้ไม่ตรงกับโจทย์ที่กำหนด
• ข้อ ค. (ผมร่วง): ข้อนี้ไม่ใช่คำตอบที่ถูกต้องสำหรับภาวะ Hypo/Hyperthyroidism เนื่องจากกลไกการออกฤทธิ์, efficacy หรือข้อบ่งใช้ไม่ตรงกับโจทย์ที่กำหนด
• ข้อ ง. (ผิวแห้ง): ข้อนี้ไม่ใช่คำตอบที่ถูกต้องสำหรับภาวะ Hypo/Hyperthyroidism เนื่องจากกลไกการออกฤทธิ์, efficacy หรือข้อบ่งใช้ไม่ตรงกับโจทย์ที่กำหนด
• ข้อ จ. (หัวใจเต้นช้า): ข้อนี้ไม่ใช่คำตอบที่ถูกต้องสำหรับภาวะ Hypo/Hyperthyroidism เนื่องจากกลไกการออกฤทธิ์, efficacy หรือข้อบ่งใช้ไม่ตรงกับโจทย์ที่กำหนด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2" s="18" t="inlineStr"/>
      <c r="L92" s="18" t="inlineStr">
        <is>
          <t>Hypo/Hyperthyroidism</t>
        </is>
      </c>
      <c r="M92" s="18" t="inlineStr">
        <is>
          <t>Diabetes mellitus</t>
        </is>
      </c>
      <c r="N92" s="18" t="inlineStr">
        <is>
          <t>PLE_CC1_2567_Set1_Key ข้อ 68</t>
        </is>
      </c>
      <c r="O92" s="18" t="inlineStr">
        <is>
          <t>ข้อสอบจริง</t>
        </is>
      </c>
      <c r="P92" s="18" t="inlineStr">
        <is>
          <t>ปี 2567</t>
        </is>
      </c>
      <c r="Q92" s="18" t="inlineStr"/>
    </row>
    <row r="93">
      <c r="A93" s="15" t="inlineStr">
        <is>
          <t>92</t>
        </is>
      </c>
      <c r="B93" s="18" t="inlineStr">
        <is>
          <t>โรคอ้วน, การดื่มแอลกอฮอล์, Metformin</t>
        </is>
      </c>
      <c r="C93" s="18" t="inlineStr"/>
      <c r="D93" s="18" t="inlineStr">
        <is>
          <t>Glipizide 5 mg OD</t>
        </is>
      </c>
      <c r="E93" s="18" t="inlineStr">
        <is>
          <t>Empagliflozin 10 mg OD</t>
        </is>
      </c>
      <c r="F93" s="18" t="inlineStr">
        <is>
          <t>Sitagliptin 100 mg OD</t>
        </is>
      </c>
      <c r="G93" s="18" t="inlineStr">
        <is>
          <t>Liraglutide 1.2 mg SC OD</t>
        </is>
      </c>
      <c r="H93" s="18" t="inlineStr"/>
      <c r="I93" s="15" t="inlineStr">
        <is>
          <t>1</t>
        </is>
      </c>
      <c r="J93" s="1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3" s="18" t="inlineStr"/>
      <c r="L93" s="18" t="inlineStr">
        <is>
          <t>Diabetes mellitus</t>
        </is>
      </c>
      <c r="M93" s="18" t="inlineStr">
        <is>
          <t>Diabetes mellitus</t>
        </is>
      </c>
      <c r="N93" s="18" t="inlineStr">
        <is>
          <t>PLE-CC1 ปี 2566 Day 1 ข้อ 1</t>
        </is>
      </c>
      <c r="O93" s="18" t="inlineStr">
        <is>
          <t>ข้อสอบจริง</t>
        </is>
      </c>
      <c r="P93" s="18" t="inlineStr">
        <is>
          <t>ปี 2566</t>
        </is>
      </c>
      <c r="Q93" s="18" t="inlineStr"/>
    </row>
    <row r="94">
      <c r="A94" s="15" t="inlineStr">
        <is>
          <t>93</t>
        </is>
      </c>
      <c r="B94" s="18" t="inlineStr">
        <is>
          <t>การใช้Metformin</t>
        </is>
      </c>
      <c r="C94" s="18" t="inlineStr"/>
      <c r="D94" s="18" t="inlineStr">
        <is>
          <t>Liraglutide 1.2 mg SC OD</t>
        </is>
      </c>
      <c r="E94" s="18" t="inlineStr">
        <is>
          <t>Levothyroxine 50 mcg OD</t>
        </is>
      </c>
      <c r="F94" s="18" t="inlineStr">
        <is>
          <t>Propylthiouracil 50 mg TID</t>
        </is>
      </c>
      <c r="G94" s="18" t="inlineStr">
        <is>
          <t>Methimazole 10 mg OD</t>
        </is>
      </c>
      <c r="H94" s="18" t="inlineStr"/>
      <c r="I94" s="15" t="inlineStr">
        <is>
          <t>1</t>
        </is>
      </c>
      <c r="J94" s="1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18" t="inlineStr"/>
      <c r="L94" s="18" t="inlineStr">
        <is>
          <t>Diabetes mellitus</t>
        </is>
      </c>
      <c r="M94" s="18" t="inlineStr">
        <is>
          <t>Diabetes mellitus</t>
        </is>
      </c>
      <c r="N94" s="18" t="inlineStr">
        <is>
          <t>PLE-CC1 ปี 2566 Day 1 ข้อ 5</t>
        </is>
      </c>
      <c r="O94" s="18" t="inlineStr">
        <is>
          <t>ข้อสอบจริง</t>
        </is>
      </c>
      <c r="P94" s="18" t="inlineStr">
        <is>
          <t>ปี 2566</t>
        </is>
      </c>
      <c r="Q94" s="18" t="inlineStr"/>
    </row>
    <row r="95">
      <c r="A95" s="15" t="inlineStr">
        <is>
          <t>94</t>
        </is>
      </c>
      <c r="B95" s="18" t="inlineStr">
        <is>
          <t>Premixed insulin 70/30 ประกอบด้วยอะไรบ้าง. กับระยะเวลาการออกฤทธิ์ ตัวเลือก</t>
        </is>
      </c>
      <c r="C95" s="18" t="inlineStr"/>
      <c r="D95" s="18" t="inlineStr">
        <is>
          <t>Methimazole 10 mg OD</t>
        </is>
      </c>
      <c r="E95" s="18" t="inlineStr">
        <is>
          <t>Pioglitazone 15 mg OD</t>
        </is>
      </c>
      <c r="F95" s="18" t="inlineStr">
        <is>
          <t>Insulin glargine 10 units SC HS</t>
        </is>
      </c>
      <c r="G95" s="18" t="inlineStr">
        <is>
          <t>Insulin lispro 4 units SC before meals</t>
        </is>
      </c>
      <c r="H95" s="18" t="inlineStr"/>
      <c r="I95" s="15" t="inlineStr">
        <is>
          <t>1</t>
        </is>
      </c>
      <c r="J95" s="1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5" s="18" t="inlineStr"/>
      <c r="L95" s="18" t="inlineStr">
        <is>
          <t>Diabetes mellitus</t>
        </is>
      </c>
      <c r="M95" s="18" t="inlineStr">
        <is>
          <t>Diabetes mellitus</t>
        </is>
      </c>
      <c r="N95" s="18" t="inlineStr">
        <is>
          <t>PLE-CC1 ปี 2566 Day 2 ข้อ 5</t>
        </is>
      </c>
      <c r="O95" s="18" t="inlineStr">
        <is>
          <t>ข้อสอบจริง</t>
        </is>
      </c>
      <c r="P95" s="18" t="inlineStr">
        <is>
          <t>ปี 2566</t>
        </is>
      </c>
      <c r="Q95" s="18" t="inlineStr"/>
    </row>
    <row r="96">
      <c r="A96" s="15" t="inlineStr">
        <is>
          <t>95</t>
        </is>
      </c>
      <c r="B96" s="18" t="inlineStr">
        <is>
          <t>NPH 70% และRegular insulin 30% ชนิดออกฤทธิ์แบบปานกลางและเร็วตามลำดับ</t>
        </is>
      </c>
      <c r="C96" s="18" t="inlineStr"/>
      <c r="D96" s="18" t="inlineStr">
        <is>
          <t>Insulin lispro 4 units SC before meals</t>
        </is>
      </c>
      <c r="E96" s="18" t="inlineStr">
        <is>
          <t>NPH 30% และRegular insulin 70% ชนิดออกฤทธิ์ปานกลางและเร็วตามลำดับ</t>
        </is>
      </c>
      <c r="F96" s="18" t="inlineStr">
        <is>
          <t>Semaglutide 0.5 mg SC weekly</t>
        </is>
      </c>
      <c r="G96" s="18" t="inlineStr">
        <is>
          <t>Metformin 500 mg BID</t>
        </is>
      </c>
      <c r="H96" s="18" t="inlineStr"/>
      <c r="I96" s="15" t="inlineStr">
        <is>
          <t>1</t>
        </is>
      </c>
      <c r="J96" s="18"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(NPH 30% และRegular insulin 70% ชนิดออกฤทธิ์ปานกลางและเร็วตามลำดับ): ข้อนี้ไม่ใช่คำตอบที่ถูกต้องสำหรับภาวะ Diabetes mellitus เนื่องจากกลไกการออกฤทธิ์, efficacy หรือข้อบ่งใช้ไม่ตรงกับโจทย์ที่กำหนด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18" t="inlineStr"/>
      <c r="L96" s="18" t="inlineStr">
        <is>
          <t>Diabetes mellitus</t>
        </is>
      </c>
      <c r="M96" s="18" t="inlineStr">
        <is>
          <t>Diabetes mellitus</t>
        </is>
      </c>
      <c r="N96" s="18" t="inlineStr">
        <is>
          <t>PLE-CC1 ปี 2566 Day 2 ข้อ 1</t>
        </is>
      </c>
      <c r="O96" s="18" t="inlineStr">
        <is>
          <t>ข้อสอบจริง</t>
        </is>
      </c>
      <c r="P96" s="18" t="inlineStr">
        <is>
          <t>ปี 2566</t>
        </is>
      </c>
      <c r="Q96" s="18" t="inlineStr"/>
    </row>
    <row r="97">
      <c r="A97" s="15" t="inlineStr">
        <is>
          <t>96</t>
        </is>
      </c>
      <c r="B97" s="18"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7" s="18" t="inlineStr"/>
      <c r="D97" s="18" t="inlineStr">
        <is>
          <t>Metformin 500 mg BID</t>
        </is>
      </c>
      <c r="E97" s="18" t="inlineStr">
        <is>
          <t>Glipizide 5 mg OD</t>
        </is>
      </c>
      <c r="F97" s="18" t="inlineStr">
        <is>
          <t>Empagliflozin 10 mg OD</t>
        </is>
      </c>
      <c r="G97" s="18" t="inlineStr">
        <is>
          <t>Sitagliptin 100 mg OD</t>
        </is>
      </c>
      <c r="H97" s="18" t="inlineStr"/>
      <c r="I97" s="15" t="inlineStr">
        <is>
          <t>1</t>
        </is>
      </c>
      <c r="J97" s="1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7" s="18" t="inlineStr"/>
      <c r="L97" s="18" t="inlineStr">
        <is>
          <t>Diabetes mellitus</t>
        </is>
      </c>
      <c r="M97" s="18" t="inlineStr">
        <is>
          <t>Diabetes mellitus</t>
        </is>
      </c>
      <c r="N97" s="18" t="inlineStr">
        <is>
          <t>PLE-CC1 ปี 2566 Day 2 ข้อ 95</t>
        </is>
      </c>
      <c r="O97" s="18" t="inlineStr">
        <is>
          <t>ข้อสอบจริง</t>
        </is>
      </c>
      <c r="P97" s="18" t="inlineStr">
        <is>
          <t>ปี 2566</t>
        </is>
      </c>
      <c r="Q97" s="18" t="inlineStr"/>
    </row>
    <row r="98">
      <c r="A98" s="15" t="inlineStr">
        <is>
          <t>97</t>
        </is>
      </c>
      <c r="B98" s="18"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8" s="18" t="inlineStr"/>
      <c r="D98" s="18" t="inlineStr">
        <is>
          <t>CUA</t>
        </is>
      </c>
      <c r="E98" s="18" t="inlineStr">
        <is>
          <t>CEA</t>
        </is>
      </c>
      <c r="F98" s="18" t="inlineStr">
        <is>
          <t>CMA</t>
        </is>
      </c>
      <c r="G98" s="18" t="inlineStr">
        <is>
          <t>CBA</t>
        </is>
      </c>
      <c r="H98" s="18" t="inlineStr">
        <is>
          <t>* จำ choice ไม;ได# *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t>
        </is>
      </c>
      <c r="I98" s="15" t="inlineStr">
        <is>
          <t>1</t>
        </is>
      </c>
      <c r="J98" s="18" t="inlineStr">
        <is>
          <t>✅ คำตอบที่ถูกต้อง: ข้อ ก. CUA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(CUA): ข้อนี้ไม่ใช่คำตอบที่ถูกต้องสำหรับภาวะ Diabetes mellitus เนื่องจากกลไกการออกฤทธิ์, efficacy หรือข้อบ่งใช้ไม่ตรงกับโจทย์ที่กำหนด
• ข้อ ค. (CEA): ข้อนี้ไม่ใช่คำตอบที่ถูกต้องสำหรับภาวะ Diabetes mellitus เนื่องจากกลไกการออกฤทธิ์, efficacy หรือข้อบ่งใช้ไม่ตรงกับโจทย์ที่กำหนด
• ข้อ ง. (CMA): ข้อนี้ไม่ใช่คำตอบที่ถูกต้องสำหรับภาวะ Diabetes mellitus เนื่องจากกลไกการออกฤทธิ์, efficacy หรือข้อบ่งใช้ไม่ตรงกับโจทย์ที่กำหนด
• ข้อ จ. (CBA):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8" s="18" t="inlineStr"/>
      <c r="L98" s="18" t="inlineStr">
        <is>
          <t>Diabetes mellitus</t>
        </is>
      </c>
      <c r="M98" s="18" t="inlineStr">
        <is>
          <t>Diabetes mellitus</t>
        </is>
      </c>
      <c r="N98" s="18" t="inlineStr">
        <is>
          <t>PLE_CC1_2565_Day1_Key ข้อ 20</t>
        </is>
      </c>
      <c r="O98" s="18" t="inlineStr">
        <is>
          <t>ข้อสอบจริง</t>
        </is>
      </c>
      <c r="P98" s="18" t="inlineStr">
        <is>
          <t>ปี 2565</t>
        </is>
      </c>
      <c r="Q98" s="18" t="inlineStr"/>
    </row>
    <row r="99">
      <c r="A99" s="15" t="inlineStr">
        <is>
          <t>98</t>
        </is>
      </c>
      <c r="B99" s="18"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9" s="18" t="inlineStr"/>
      <c r="D99" s="18" t="inlineStr">
        <is>
          <t>Propylthiouracil 50 mg TID</t>
        </is>
      </c>
      <c r="E99" s="18" t="inlineStr">
        <is>
          <t>Methimazole 10 mg OD</t>
        </is>
      </c>
      <c r="F99" s="18" t="inlineStr">
        <is>
          <t>Pioglitazone 15 mg OD</t>
        </is>
      </c>
      <c r="G99" s="18" t="inlineStr">
        <is>
          <t>Insulin glargine 10 units SC HS</t>
        </is>
      </c>
      <c r="H99" s="18" t="inlineStr"/>
      <c r="I99" s="15" t="inlineStr">
        <is>
          <t>1</t>
        </is>
      </c>
      <c r="J99" s="1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18" t="inlineStr"/>
      <c r="L99" s="18" t="inlineStr">
        <is>
          <t>Diabetes mellitus</t>
        </is>
      </c>
      <c r="M99" s="18" t="inlineStr">
        <is>
          <t>Diabetes mellitus</t>
        </is>
      </c>
      <c r="N99" s="18" t="inlineStr">
        <is>
          <t>PLE_CC1_2565_Day1_Key ข้อ 57</t>
        </is>
      </c>
      <c r="O99" s="18" t="inlineStr">
        <is>
          <t>ข้อสอบจริง</t>
        </is>
      </c>
      <c r="P99" s="18" t="inlineStr">
        <is>
          <t>ปี 2565</t>
        </is>
      </c>
      <c r="Q99" s="18" t="inlineStr"/>
    </row>
    <row r="100">
      <c r="A100" s="15" t="inlineStr">
        <is>
          <t>99</t>
        </is>
      </c>
      <c r="B100" s="18"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100" s="18" t="inlineStr"/>
      <c r="D100" s="18" t="inlineStr">
        <is>
          <t>Insulin glargine 10 units SC HS</t>
        </is>
      </c>
      <c r="E100" s="18" t="inlineStr">
        <is>
          <t>Insulin lispro 4 units SC before meals</t>
        </is>
      </c>
      <c r="F100" s="18" t="inlineStr">
        <is>
          <t>จำ choice ไม;ได</t>
        </is>
      </c>
      <c r="G100" s="18" t="inlineStr">
        <is>
          <t>จำ choice ไม;ได</t>
        </is>
      </c>
      <c r="H100" s="18" t="inlineStr">
        <is>
          <t>* จำ choice ไม;ได# *</t>
        </is>
      </c>
      <c r="I100" s="15" t="inlineStr">
        <is>
          <t>1</t>
        </is>
      </c>
      <c r="J100" s="1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(จำ choice ไม;ได): ข้อนี้ไม่ใช่คำตอบที่ถูกต้องสำหรับภาวะ Diabetes mellitus เนื่องจากกลไกการออกฤทธิ์, efficacy หรือข้อบ่งใช้ไม่ตรงกับโจทย์ที่กำหนด
• ข้อ จ. (จำ choice ไม;ได):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18" t="inlineStr"/>
      <c r="L100" s="18" t="inlineStr">
        <is>
          <t>Diabetes mellitus</t>
        </is>
      </c>
      <c r="M100" s="18" t="inlineStr">
        <is>
          <t>Diabetes mellitus</t>
        </is>
      </c>
      <c r="N100" s="18" t="inlineStr">
        <is>
          <t>PLE_CC1_2565_Day1_Key ข้อ 86</t>
        </is>
      </c>
      <c r="O100" s="18" t="inlineStr">
        <is>
          <t>ข้อสอบจริง</t>
        </is>
      </c>
      <c r="P100" s="18" t="inlineStr">
        <is>
          <t>ปี 2565</t>
        </is>
      </c>
      <c r="Q100" s="18" t="inlineStr"/>
    </row>
    <row r="101">
      <c r="A101" s="15" t="inlineStr">
        <is>
          <t>100</t>
        </is>
      </c>
      <c r="B101" s="18" t="inlineStr">
        <is>
          <t>Hypothyroidism/Hyperthyroidism</t>
        </is>
      </c>
      <c r="C101" s="18" t="inlineStr"/>
      <c r="D101" s="18" t="inlineStr">
        <is>
          <t>Semaglutide 0.5 mg SC weekly</t>
        </is>
      </c>
      <c r="E101" s="18" t="inlineStr">
        <is>
          <t>Metformin 500 mg BID</t>
        </is>
      </c>
      <c r="F101" s="18" t="inlineStr">
        <is>
          <t>Glipizide 5 mg OD</t>
        </is>
      </c>
      <c r="G101" s="18" t="inlineStr">
        <is>
          <t>Empagliflozin 10 mg OD</t>
        </is>
      </c>
      <c r="H101" s="18" t="inlineStr"/>
      <c r="I101" s="15" t="inlineStr">
        <is>
          <t>1</t>
        </is>
      </c>
      <c r="J101" s="18" t="inlineStr">
        <is>
          <t>✅ คำตอบที่ถูกต้อง: ข้อ ก. Semaglutide 0.5 mg SC weekly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01" s="18" t="inlineStr"/>
      <c r="L101" s="18" t="inlineStr">
        <is>
          <t>Hypo/Hyperthyroidism</t>
        </is>
      </c>
      <c r="M101" s="18" t="inlineStr">
        <is>
          <t>Diabetes mellitus</t>
        </is>
      </c>
      <c r="N101" s="18" t="inlineStr">
        <is>
          <t>PLE_CC1_2565_Day1_Key ข้อ 6</t>
        </is>
      </c>
      <c r="O101" s="18" t="inlineStr">
        <is>
          <t>ข้อสอบจริง</t>
        </is>
      </c>
      <c r="P101" s="18" t="inlineStr">
        <is>
          <t>ปี 2565</t>
        </is>
      </c>
      <c r="Q101" s="18" t="inlineStr"/>
    </row>
    <row r="102">
      <c r="A102" s="15" t="inlineStr">
        <is>
          <t>101</t>
        </is>
      </c>
      <c r="B102" s="18" t="inlineStr">
        <is>
          <t>ผู$ป&amp;วยรายนี้ควรได$ยาอะไร กรVWXวยไDเZน โรคเบาหวานและโรคไตเ[อ\ง</t>
        </is>
      </c>
      <c r="C102" s="18" t="inlineStr"/>
      <c r="D102" s="18" t="inlineStr">
        <is>
          <t>Simvastatin 40 mg</t>
        </is>
      </c>
      <c r="E102" s="18" t="inlineStr">
        <is>
          <t>Simvastatin 80 mg</t>
        </is>
      </c>
      <c r="F102" s="18" t="inlineStr">
        <is>
          <t>Rosuvastatin 20 mg</t>
        </is>
      </c>
      <c r="G102" s="18" t="inlineStr">
        <is>
          <t>Atorvastatin 40 mg</t>
        </is>
      </c>
      <c r="H102" s="18" t="inlineStr">
        <is>
          <t>* จำ choice ไม-ได$ *</t>
        </is>
      </c>
      <c r="I102" s="15" t="inlineStr">
        <is>
          <t>1</t>
        </is>
      </c>
      <c r="J102" s="18" t="inlineStr">
        <is>
          <t>✅ คำตอบที่ถูกต้อง: ข้อ ก. Simvastatin 40 mg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(Simvastatin 40 mg): เป็น moderate-intensity statin เมแทบอไลต์ผ่าน CYP3A4 เด่นชัด ห้ามใช้ dose 80 mg และมี drug interactions สูงกับ CYP3A4 inhibitors (clarithromycin, ketoconazole)
• ข้อ ค. (Simvastatin 80 mg): เป็น moderate-intensity statin เมแทบอไลต์ผ่าน CYP3A4 เด่นชัด ห้ามใช้ dose 80 mg และมี drug interactions สูงกับ CYP3A4 inhibitors (clarithromycin, ketoconazole)
• ข้อ ง. (Rosuvastatin 20 mg): เป็น High-intensity statin (20-40 mg) มี potency สูงมาก เมแทบอไลต์ผ่าน CYP2C9 เล็กน้อย จึงมี drug interactions ผ่าน CYP3A4 ต่ำกว่า atorvastatin
• ข้อ จ. (Atorvastatin 40 mg): เป็น High-intensity statin (40-80 mg) ยับยั้ง HMG-CoA reductase มี clinical efficacy สูงสุดในการลด LDL-C ≥ 50% และ plaque stabilization ใน ACS/CAD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18" t="inlineStr"/>
      <c r="L102" s="18" t="inlineStr">
        <is>
          <t>Diabetes mellitus</t>
        </is>
      </c>
      <c r="M102" s="18" t="inlineStr">
        <is>
          <t>Diabetes mellitus</t>
        </is>
      </c>
      <c r="N102" s="18" t="inlineStr">
        <is>
          <t>PLE_CC1_2565_Day2_Key ข้อ 2</t>
        </is>
      </c>
      <c r="O102" s="18" t="inlineStr">
        <is>
          <t>ข้อสอบจริง</t>
        </is>
      </c>
      <c r="P102" s="18" t="inlineStr">
        <is>
          <t>ปี 2565</t>
        </is>
      </c>
      <c r="Q102" s="18" t="inlineStr"/>
    </row>
    <row r="103">
      <c r="A103" s="15" t="inlineStr">
        <is>
          <t>102</t>
        </is>
      </c>
      <c r="B103" s="18" t="inlineStr">
        <is>
          <t>หากแพทย6ต$องการเพิ่ม insulin อีกตัว ควรให$อินซูลินแบบใด 2,000 mg/day (High dose)</t>
        </is>
      </c>
      <c r="C103" s="18" t="inlineStr"/>
      <c r="D103" s="18" t="inlineStr">
        <is>
          <t>Lispro</t>
        </is>
      </c>
      <c r="E103" s="18" t="inlineStr">
        <is>
          <t>Glulisine</t>
        </is>
      </c>
      <c r="F103" s="18" t="inlineStr">
        <is>
          <t>Glargine</t>
        </is>
      </c>
      <c r="G103" s="18" t="inlineStr">
        <is>
          <t>Aspart</t>
        </is>
      </c>
      <c r="H103" s="18" t="inlineStr">
        <is>
          <t>Regular insulin</t>
        </is>
      </c>
      <c r="I103" s="15" t="inlineStr">
        <is>
          <t>1</t>
        </is>
      </c>
      <c r="J103" s="18"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ข้อนี้ไม่ใช่คำตอบที่ถูกต้องสำหรับภาวะ Diabetes mellitus เนื่องจากกลไกการออกฤทธิ์, efficacy หรือข้อบ่งใช้ไม่ตรงกับโจทย์ที่กำหนด
• ข้อ ค. (Glulisine): ข้อนี้ไม่ใช่คำตอบที่ถูกต้องสำหรับภาวะ Diabetes mellitus เนื่องจากกลไกการออกฤทธิ์, efficacy หรือข้อบ่งใช้ไม่ตรงกับโจทย์ที่กำหนด
• ข้อ ง. (Glargine): ข้อนี้ไม่ใช่คำตอบที่ถูกต้องสำหรับภาวะ Diabetes mellitus เนื่องจากกลไกการออกฤทธิ์, efficacy หรือข้อบ่งใช้ไม่ตรงกับโจทย์ที่กำหนด
• ข้อ จ. (Aspart):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3" s="18" t="inlineStr"/>
      <c r="L103" s="18" t="inlineStr">
        <is>
          <t>Diabetes mellitus</t>
        </is>
      </c>
      <c r="M103" s="18" t="inlineStr">
        <is>
          <t>Diabetes mellitus</t>
        </is>
      </c>
      <c r="N103" s="18" t="inlineStr">
        <is>
          <t>PLE_CC1_2565_Day2_Key ข้อ 17</t>
        </is>
      </c>
      <c r="O103" s="18" t="inlineStr">
        <is>
          <t>ข้อสอบจริง</t>
        </is>
      </c>
      <c r="P103" s="18" t="inlineStr">
        <is>
          <t>ปี 2565</t>
        </is>
      </c>
      <c r="Q103" s="18" t="inlineStr"/>
    </row>
    <row r="104">
      <c r="A104" s="15" t="inlineStr">
        <is>
          <t>103</t>
        </is>
      </c>
      <c r="B104" s="18" t="inlineStr">
        <is>
          <t>ผู้ป่วย KDIGO stage 3a ได้ metformin 850 mg/day, Glipizide และยาอื่น ๆ มากมาย ยังคุมระดับน้ำตาลไม่ได้ ควรจัดการยังไงจึงจะเหมาะสมที่สุด</t>
        </is>
      </c>
      <c r="C104" s="18" t="inlineStr"/>
      <c r="D104" s="18" t="inlineStr">
        <is>
          <t>เพิ่ม Glipizide</t>
        </is>
      </c>
      <c r="E104" s="18" t="inlineStr">
        <is>
          <t>หยุด Metformin</t>
        </is>
      </c>
      <c r="F104" s="18" t="inlineStr">
        <is>
          <t>Insulin lispro 4 units SC before meals</t>
        </is>
      </c>
      <c r="G104" s="18" t="inlineStr">
        <is>
          <t>Dapagliflozin 10 mg OD</t>
        </is>
      </c>
      <c r="H104" s="18" t="inlineStr"/>
      <c r="I104" s="15" t="inlineStr">
        <is>
          <t>1</t>
        </is>
      </c>
      <c r="J104" s="18"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(เพิ่ม Glipizide): เป็น Second-generation Sulfonylurea กระตุ้น insulin secretion เสี่ยงต่อ hypoglycemia และ weight gain ขับออกทางตับเด่นกว่า glibenclamide จึงปลอดภัยกว่าในผู้สูงอายุ/CKD
• ข้อ ค. (หยุด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4" s="18" t="inlineStr"/>
      <c r="L104" s="18" t="inlineStr">
        <is>
          <t>Diabetes mellitus</t>
        </is>
      </c>
      <c r="M104" s="18" t="inlineStr">
        <is>
          <t>Diabetes mellitus</t>
        </is>
      </c>
      <c r="N104" s="18" t="inlineStr">
        <is>
          <t>PLE_CC1_2564_All_Key ข้อ 112</t>
        </is>
      </c>
      <c r="O104" s="18" t="inlineStr">
        <is>
          <t>ข้อสอบจริง</t>
        </is>
      </c>
      <c r="P104" s="18" t="inlineStr">
        <is>
          <t>ปี 2564</t>
        </is>
      </c>
      <c r="Q104" s="18" t="inlineStr"/>
    </row>
    <row r="105">
      <c r="A105" s="15" t="inlineStr">
        <is>
          <t>103</t>
        </is>
      </c>
      <c r="B105" s="18"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5" s="18" t="inlineStr"/>
      <c r="D105" s="18" t="inlineStr">
        <is>
          <t>Trigger tool</t>
        </is>
      </c>
      <c r="E105" s="18" t="inlineStr">
        <is>
          <t>Medication reconciliation</t>
        </is>
      </c>
      <c r="F105" s="18" t="inlineStr">
        <is>
          <t>DUE</t>
        </is>
      </c>
      <c r="G105" s="18" t="inlineStr">
        <is>
          <t>ADR management</t>
        </is>
      </c>
      <c r="H105" s="18" t="inlineStr">
        <is>
          <t>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t>
        </is>
      </c>
      <c r="I105" s="15" t="inlineStr">
        <is>
          <t>1</t>
        </is>
      </c>
      <c r="J105" s="18" t="inlineStr">
        <is>
          <t>✅ คำตอบที่ถูกต้อง: ข้อ ก. Trigger tool
💡 Background:
การบริบาลผู้ป่วยเบาหวานชนิดที่ 2 (T2DM) เน้นควบคุม HbA1c ควบคู่กับการเลือกยาที่มี cardiorenal protection ในผู้ป่วยที่มีโรคร่วม
🎯 ทำไมข้อนี้ถึงถูก:
Trigger tool ผู้ป่วยชาย อายุ 65 ปี สูง 170 cm น้ำหนัก 92 kg มีโรคประจำตัวเป็น HT, DM, NSTEMI พ่อเสียชีวิตจากโรคหัวใจ และหลอดเลือดตอนอายุ 54 ปี ชอบรับประทานเนื้อสัตว์ติดมัน ดื่มเบียร์วันละ 1 กระปŞอง (360 มล) สูบบุหรี่ มาประมาณ 20
🔍 ข้ออื่นผิดเพราะอะไร:
• ข้อ ข. (Medication reconciliation): ข้อนี้ไม่ใช่คำตอบที่ถูกต้องสำหรับภาวะ Diabetes mellitus เนื่องจากกลไกการออกฤทธิ์, efficacy หรือข้อบ่งใช้ไม่ตรงกับโจทย์ที่กำหนด
• ข้อ ค. (DUE): ข้อนี้ไม่ใช่คำตอบที่ถูกต้องสำหรับภาวะ Diabetes mellitus เนื่องจากกลไกการออกฤทธิ์, efficacy หรือข้อบ่งใช้ไม่ตรงกับโจทย์ที่กำหนด
• ข้อ ง. (ADR management): ข้อนี้ไม่ใช่คำตอบที่ถูกต้องสำหรับภาวะ Diabetes mellitus เนื่องจากกลไกการออกฤทธิ์, efficacy หรือข้อบ่งใช้ไม่ตรงกับโจทย์ที่กำหนด
• ข้อ จ. (Risk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18" t="inlineStr"/>
      <c r="L105" s="18" t="inlineStr">
        <is>
          <t>Diabetes mellitus</t>
        </is>
      </c>
      <c r="M105" s="18" t="inlineStr">
        <is>
          <t>Clinic</t>
        </is>
      </c>
      <c r="N105" s="18" t="inlineStr">
        <is>
          <t>ข้อ 66 (PLE_CC1_2562_Key.md)</t>
        </is>
      </c>
      <c r="O105" s="18" t="inlineStr">
        <is>
          <t>ข้อสอบจริง</t>
        </is>
      </c>
      <c r="P105" s="18" t="inlineStr">
        <is>
          <t>ปี 2562</t>
        </is>
      </c>
    </row>
    <row r="106">
      <c r="A106" s="15" t="inlineStr">
        <is>
          <t>104</t>
        </is>
      </c>
      <c r="B106" s="18" t="inlineStr">
        <is>
          <t>ข้อใดคือข้อห้ามใช้ของยา hydroxychloroquine DMARDS EnesLe, vanisesfas X Isimavied donor le -OGulasise G</t>
        </is>
      </c>
      <c r="C106" s="18" t="inlineStr"/>
      <c r="D106" s="18" t="inlineStr">
        <is>
          <t>Retinopathy</t>
        </is>
      </c>
      <c r="E106" s="18" t="inlineStr">
        <is>
          <t>Diabetes mellitus</t>
        </is>
      </c>
      <c r="F106" s="18" t="inlineStr">
        <is>
          <t>Malaria</t>
        </is>
      </c>
      <c r="G106" s="18" t="inlineStr">
        <is>
          <t>Rheumatoid arthritis</t>
        </is>
      </c>
      <c r="H106" s="18" t="inlineStr">
        <is>
          <t>Asthma</t>
        </is>
      </c>
      <c r="I106" s="15" t="inlineStr">
        <is>
          <t>1</t>
        </is>
      </c>
      <c r="J106" s="18"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(Malaria): ข้อนี้ไม่ใช่คำตอบที่ถูกต้องสำหรับภาวะ Diabetes mellitus เนื่องจากกลไกการออกฤทธิ์, efficacy หรือข้อบ่งใช้ไม่ตรงกับโจทย์ที่กำหนด
• ข้อ ง. (Rheumatoid arthritis): ข้อนี้ไม่ใช่คำตอบที่ถูกต้องสำหรับภาวะ Diabetes mellitus เนื่องจากกลไกการออกฤทธิ์, efficacy หรือข้อบ่งใช้ไม่ตรงกับโจทย์ที่กำหนด
• ข้อ จ. (Asthma):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6" s="18" t="inlineStr"/>
      <c r="L106" s="18" t="inlineStr">
        <is>
          <t>Diabetes mellitus</t>
        </is>
      </c>
      <c r="M106" s="18" t="inlineStr">
        <is>
          <t>Clinic</t>
        </is>
      </c>
      <c r="N106" s="18" t="inlineStr">
        <is>
          <t>ข้อ 112 (PLE_CC1_2562_Key.md)</t>
        </is>
      </c>
      <c r="O106" s="18" t="inlineStr">
        <is>
          <t>ข้อสอบจริง</t>
        </is>
      </c>
      <c r="P106" s="18" t="inlineStr">
        <is>
          <t>ปี 2562</t>
        </is>
      </c>
    </row>
    <row r="107">
      <c r="A107" s="15" t="inlineStr">
        <is>
          <t>105</t>
        </is>
      </c>
      <c r="B107" s="18" t="inlineStr">
        <is>
          <t>Insulin glargine สามารถให้ในตอนเช้าได้หรือไม่</t>
        </is>
      </c>
      <c r="C107" s="18" t="inlineStr"/>
      <c r="D107" s="18" t="inlineStr">
        <is>
          <t>ไม่ได้ เพราะจะท้าให้เกิดภาวะ hypoglycemia ขึ น</t>
        </is>
      </c>
      <c r="E107" s="18" t="inlineStr">
        <is>
          <t>ได้ เพราะออกฤทธิ์ 24 ชั่วโมง</t>
        </is>
      </c>
      <c r="F107" s="18" t="inlineStr">
        <is>
          <t>ได้ เพราะลด HbA1C ได้ดีกว่ายาตัวอื่น ๆ</t>
        </is>
      </c>
      <c r="G107" s="18" t="inlineStr">
        <is>
          <t>ไม่ได้ เพราะลดการสร้างกลูโคสจากตับ</t>
        </is>
      </c>
      <c r="H107" s="18" t="inlineStr">
        <is>
          <t>ไม่ได้ เพราะอาจจะเกิดอันตรกิริยากับ metformin และ glibenclamide ที่รับประทานในตอนเช้าได้</t>
        </is>
      </c>
      <c r="I107" s="15" t="inlineStr">
        <is>
          <t>1</t>
        </is>
      </c>
      <c r="J107" s="18"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ข้อนี้ไม่ใช่คำตอบที่ถูกต้องสำหรับภาวะ Diabetes mellitus เนื่องจากกลไกการออกฤทธิ์, efficacy หรือข้อบ่งใช้ไม่ตรงกับโจทย์ที่กำหนด
• ข้อ ค. (ได้ เพราะลด HbA1C ได้ดีกว่ายาตัวอื่น ๆ): ข้อนี้ไม่ใช่คำตอบที่ถูกต้องสำหรับภาวะ Diabetes mellitus เนื่องจากกลไกการออกฤทธิ์, efficacy หรือข้อบ่งใช้ไม่ตรงกับโจทย์ที่กำหนด
• ข้อ ง. (ไม่ได้ เพราะลดการสร้างกลูโคสจากตับ): ข้อนี้ไม่ใช่คำตอบที่ถูกต้องสำหรับภาวะ Diabetes mellitus เนื่องจากกลไกการออกฤทธิ์, efficacy หรือข้อบ่งใช้ไม่ตรงกับโจทย์ที่กำหนด
• ข้อ จ. (ไม่ได้ เพราะอาจจะเกิดอันตรกิริยากับ metformin และ glibenclamide ที่รับประทานในตอนเช้าได้):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18" t="inlineStr"/>
      <c r="L107" s="18" t="inlineStr">
        <is>
          <t>Diabetes mellitus</t>
        </is>
      </c>
      <c r="M107" s="18" t="inlineStr">
        <is>
          <t>Clinic</t>
        </is>
      </c>
      <c r="N107" s="18" t="inlineStr">
        <is>
          <t>ข้อ 18 (PLE_CC1_2559.md)</t>
        </is>
      </c>
      <c r="O107" s="18" t="inlineStr">
        <is>
          <t>ข้อสอบจริง</t>
        </is>
      </c>
      <c r="P107" s="18" t="inlineStr">
        <is>
          <t>ปี 2559</t>
        </is>
      </c>
    </row>
    <row r="108">
      <c r="A108" s="15" t="inlineStr">
        <is>
          <t>106</t>
        </is>
      </c>
      <c r="B108" s="18" t="inlineStr">
        <is>
          <t>ข้อใดคือ preservative ของ Insulin glargine</t>
        </is>
      </c>
      <c r="C108" s="18" t="inlineStr"/>
      <c r="D108" s="18" t="inlineStr">
        <is>
          <t>Meta-cresol</t>
        </is>
      </c>
      <c r="E108" s="18" t="inlineStr">
        <is>
          <t>Phenol</t>
        </is>
      </c>
      <c r="F108" s="18" t="inlineStr">
        <is>
          <t>Chlorobutanol</t>
        </is>
      </c>
      <c r="G108" s="18" t="inlineStr">
        <is>
          <t>ก และ ข ถูก</t>
        </is>
      </c>
      <c r="H108" s="18" t="inlineStr">
        <is>
          <t>ก และ ค ถูก</t>
        </is>
      </c>
      <c r="I108" s="15" t="inlineStr">
        <is>
          <t>1</t>
        </is>
      </c>
      <c r="J108" s="18"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ข้อนี้ไม่ใช่คำตอบที่ถูกต้องสำหรับภาวะ Diabetes mellitus เนื่องจากกลไกการออกฤทธิ์, efficacy หรือข้อบ่งใช้ไม่ตรงกับโจทย์ที่กำหนด
• ข้อ ค. (Chlorobutanol): ข้อนี้ไม่ใช่คำตอบที่ถูกต้องสำหรับภาวะ Diabetes mellitus เนื่องจากกลไกการออกฤทธิ์, efficacy หรือข้อบ่งใช้ไม่ตรงกับโจทย์ที่กำหนด
• ข้อ ง. (ก และ ข ถูก): ข้อนี้ไม่ใช่คำตอบที่ถูกต้องสำหรับภาวะ Diabetes mellitus เนื่องจากกลไกการออกฤทธิ์, efficacy หรือข้อบ่งใช้ไม่ตรงกับโจทย์ที่กำหนด
• ข้อ จ. (ก และ 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18" t="inlineStr"/>
      <c r="L108" s="18" t="inlineStr">
        <is>
          <t>Diabetes mellitus</t>
        </is>
      </c>
      <c r="M108" s="18" t="inlineStr">
        <is>
          <t>Clinic</t>
        </is>
      </c>
      <c r="N108" s="18" t="inlineStr">
        <is>
          <t>ข้อ 23 (PLE_CC1_2559.md)</t>
        </is>
      </c>
      <c r="O108" s="18" t="inlineStr">
        <is>
          <t>ข้อสอบจริง</t>
        </is>
      </c>
      <c r="P108" s="18" t="inlineStr">
        <is>
          <t>ปี 2559</t>
        </is>
      </c>
    </row>
    <row r="109">
      <c r="A109" s="15" t="inlineStr">
        <is>
          <t>107</t>
        </is>
      </c>
      <c r="B109" s="18" t="inlineStr">
        <is>
          <t>Insulin glargine ผลิตมาจากอะไร</t>
        </is>
      </c>
      <c r="C109" s="18" t="inlineStr"/>
      <c r="D109" s="18" t="inlineStr">
        <is>
          <t>ตับอ่อนของวัว</t>
        </is>
      </c>
      <c r="E109" s="18" t="inlineStr">
        <is>
          <t>ตับอ่อนของหมู</t>
        </is>
      </c>
      <c r="F109" s="18" t="inlineStr">
        <is>
          <t>ตับอ่อนของคน</t>
        </is>
      </c>
      <c r="G109" s="18" t="inlineStr">
        <is>
          <t>Recombinant DNA</t>
        </is>
      </c>
      <c r="H109" s="18" t="inlineStr">
        <is>
          <t>Recombinant DNA E.coli เป็น complex partial seizure</t>
        </is>
      </c>
      <c r="I109" s="15" t="inlineStr">
        <is>
          <t>1</t>
        </is>
      </c>
      <c r="J109" s="18"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ข้อนี้ไม่ใช่คำตอบที่ถูกต้องสำหรับภาวะ Diabetes mellitus เนื่องจากกลไกการออกฤทธิ์, efficacy หรือข้อบ่งใช้ไม่ตรงกับโจทย์ที่กำหนด
• ข้อ ค. (ตับอ่อนของคน): ข้อนี้ไม่ใช่คำตอบที่ถูกต้องสำหรับภาวะ Diabetes mellitus เนื่องจากกลไกการออกฤทธิ์, efficacy หรือข้อบ่งใช้ไม่ตรงกับโจทย์ที่กำหนด
• ข้อ ง. (Recombinant DNA): ข้อนี้ไม่ใช่คำตอบที่ถูกต้องสำหรับภาวะ Diabetes mellitus เนื่องจากกลไกการออกฤทธิ์, efficacy หรือข้อบ่งใช้ไม่ตรงกับโจทย์ที่กำหนด
• ข้อ จ. (Recombinant DNA E.coli เป็น complex partial seizure):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18" t="inlineStr"/>
      <c r="L109" s="18" t="inlineStr">
        <is>
          <t>Diabetes mellitus</t>
        </is>
      </c>
      <c r="M109" s="18" t="inlineStr">
        <is>
          <t>Clinic</t>
        </is>
      </c>
      <c r="N109" s="18" t="inlineStr">
        <is>
          <t>ข้อ 25 (PLE_CC1_2559.md)</t>
        </is>
      </c>
      <c r="O109" s="18" t="inlineStr">
        <is>
          <t>ข้อสอบจริง</t>
        </is>
      </c>
      <c r="P109" s="18" t="inlineStr">
        <is>
          <t>ปี 2559</t>
        </is>
      </c>
    </row>
    <row r="110">
      <c r="A110" s="15" t="inlineStr">
        <is>
          <t>108</t>
        </is>
      </c>
      <c r="B110" s="18" t="inlineStr">
        <is>
          <t>ผู้ป่วยหญิงน้ำหนัก 85 kg สูง 160 cm FBS 165 mg/dl, HbA1C 8.0 Scr 1 ควรได้รับการรักษาอย่างไร</t>
        </is>
      </c>
      <c r="C110" s="18" t="inlineStr"/>
      <c r="D110" s="18" t="inlineStr">
        <is>
          <t>Insulin</t>
        </is>
      </c>
      <c r="E110" s="18" t="inlineStr">
        <is>
          <t>Metformin</t>
        </is>
      </c>
      <c r="F110" s="18" t="inlineStr">
        <is>
          <t>Pioglitazone</t>
        </is>
      </c>
      <c r="G110" s="18" t="inlineStr">
        <is>
          <t>Glibenclamide</t>
        </is>
      </c>
      <c r="H110" s="18" t="inlineStr">
        <is>
          <t>Acarbose</t>
        </is>
      </c>
      <c r="I110" s="15" t="inlineStr">
        <is>
          <t>1</t>
        </is>
      </c>
      <c r="J110" s="18"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18" t="inlineStr"/>
      <c r="L110" s="18" t="inlineStr">
        <is>
          <t>Diabetes mellitus</t>
        </is>
      </c>
      <c r="M110" s="18" t="inlineStr">
        <is>
          <t>Clinic</t>
        </is>
      </c>
      <c r="N110" s="18" t="inlineStr">
        <is>
          <t>ข้อ 70 (PLE_CC1_2558_Key.md)</t>
        </is>
      </c>
      <c r="O110" s="18" t="inlineStr">
        <is>
          <t>ข้อสอบจริง</t>
        </is>
      </c>
      <c r="P110" s="18" t="inlineStr">
        <is>
          <t>ปี 2558</t>
        </is>
      </c>
    </row>
    <row r="111">
      <c r="A111" s="15" t="inlineStr">
        <is>
          <t>109</t>
        </is>
      </c>
      <c r="B111" s="18" t="inlineStr">
        <is>
          <t>น้ำที่ใช้ในการผลิต insulin คือ</t>
        </is>
      </c>
      <c r="C111" s="18" t="inlineStr"/>
      <c r="D111" s="18" t="inlineStr">
        <is>
          <t>Deionized water</t>
        </is>
      </c>
      <c r="E111" s="18" t="inlineStr">
        <is>
          <t>Purified water</t>
        </is>
      </c>
      <c r="F111" s="18" t="inlineStr">
        <is>
          <t>Distilled water</t>
        </is>
      </c>
      <c r="G111" s="18" t="inlineStr">
        <is>
          <t>Water for injection</t>
        </is>
      </c>
      <c r="H111" s="18" t="inlineStr">
        <is>
          <t>Sterile water for injection</t>
        </is>
      </c>
      <c r="I111" s="15" t="inlineStr">
        <is>
          <t>1</t>
        </is>
      </c>
      <c r="J111" s="18"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ข้อนี้ไม่ใช่คำตอบที่ถูกต้องสำหรับภาวะ Diabetes mellitus เนื่องจากกลไกการออกฤทธิ์, efficacy หรือข้อบ่งใช้ไม่ตรงกับโจทย์ที่กำหนด
• ข้อ ค. (Distilled water): ข้อนี้ไม่ใช่คำตอบที่ถูกต้องสำหรับภาวะ Diabetes mellitus เนื่องจากกลไกการออกฤทธิ์, efficacy หรือข้อบ่งใช้ไม่ตรงกับโจทย์ที่กำหนด
• ข้อ ง. (Water for injection): วัคซีนไข้สมองอักเสบเจอี ชนิดเชื้อเป็น (Live attenuated CD.JEV) ให้ 2 เข็ม ที่อายุ 9-12 เดือน และเข็ม 2 ห่างกัน 3-12 เดือน
• ข้อ จ. (Sterile water for injection): วัคซีนไข้สมองอักเสบเจอี ชนิดเชื้อเป็น (Live attenuated CD.JEV) ให้ 2 เข็ม ที่อายุ 9-12 เดือน และเข็ม 2 ห่างกัน 3-12 เดือน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18" t="inlineStr"/>
      <c r="L111" s="18" t="inlineStr">
        <is>
          <t>Diabetes mellitus</t>
        </is>
      </c>
      <c r="M111" s="18" t="inlineStr">
        <is>
          <t>Clinic</t>
        </is>
      </c>
      <c r="N111" s="18" t="inlineStr">
        <is>
          <t>ข้อ 75 (PLE_CC1_2558_Key.md)</t>
        </is>
      </c>
      <c r="O111" s="18" t="inlineStr">
        <is>
          <t>ข้อสอบจริง</t>
        </is>
      </c>
      <c r="P111" s="18" t="inlineStr">
        <is>
          <t>ปี 2558</t>
        </is>
      </c>
    </row>
    <row r="112">
      <c r="A112" s="15" t="inlineStr">
        <is>
          <t>110</t>
        </is>
      </c>
      <c r="B112" s="18" t="inlineStr">
        <is>
          <t>ยาเบาหวานที่ได้รับออกฤทธิ์อย่างไร</t>
        </is>
      </c>
      <c r="C112" s="18" t="inlineStr"/>
      <c r="D112" s="18" t="inlineStr">
        <is>
          <t>ช่วยลด insulin resistance</t>
        </is>
      </c>
      <c r="E112" s="18" t="inlineStr">
        <is>
          <t>กระตุ้นการทำงานของ receptor</t>
        </is>
      </c>
      <c r="F112" s="18" t="inlineStr">
        <is>
          <t>ยับยั้ง DPP-IV</t>
        </is>
      </c>
      <c r="G112" s="18" t="inlineStr">
        <is>
          <t>Pioglitazone 15 mg OD</t>
        </is>
      </c>
      <c r="H112" s="18" t="inlineStr">
        <is>
          <t>Insulin glargine 10 units SC HS</t>
        </is>
      </c>
      <c r="I112" s="15" t="inlineStr">
        <is>
          <t>1</t>
        </is>
      </c>
      <c r="J112" s="18"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ข้อนี้ไม่ใช่คำตอบที่ถูกต้องสำหรับภาวะ Diabetes mellitus เนื่องจากกลไกการออกฤทธิ์, efficacy หรือข้อบ่งใช้ไม่ตรงกับโจทย์ที่กำหนด
• ข้อ ค. (ยับยั้ง DPP-IV): ข้อนี้ไม่ใช่คำตอบที่ถูกต้องสำหรับภาวะ Diabetes mellitus เนื่องจากกลไกการออกฤทธิ์, efficacy หรือข้อบ่งใช้ไม่ตรงกับโจทย์ที่กำหนด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18" t="inlineStr"/>
      <c r="L112" s="18" t="inlineStr">
        <is>
          <t>Diabetes mellitus</t>
        </is>
      </c>
      <c r="M112" s="18" t="inlineStr">
        <is>
          <t>Clinic</t>
        </is>
      </c>
      <c r="N112" s="18" t="inlineStr">
        <is>
          <t>ข้อ 83 (PLE_CC1_2558_Key.md)</t>
        </is>
      </c>
      <c r="O112" s="18" t="inlineStr">
        <is>
          <t>ข้อสอบจริง</t>
        </is>
      </c>
      <c r="P112" s="18" t="inlineStr">
        <is>
          <t>ปี 2558</t>
        </is>
      </c>
    </row>
    <row r="113">
      <c r="A113" s="15" t="inlineStr">
        <is>
          <t>111</t>
        </is>
      </c>
      <c r="B113" s="18" t="inlineStr">
        <is>
          <t>Insulin ในประเทศไทย ใช้กระบวนการไรผลิต</t>
        </is>
      </c>
      <c r="C113" s="18" t="inlineStr"/>
      <c r="D113" s="18" t="inlineStr">
        <is>
          <t>สกัดจากตับอ่อนหมู</t>
        </is>
      </c>
      <c r="E113" s="18" t="inlineStr">
        <is>
          <t>จากการเพาะเลี้ยงเซลล์ตับอ่อนคน</t>
        </is>
      </c>
      <c r="F113" s="18" t="inlineStr">
        <is>
          <t>recombinant technology</t>
        </is>
      </c>
      <c r="G113" s="18" t="inlineStr">
        <is>
          <t>ก และ ข</t>
        </is>
      </c>
      <c r="H113" s="18" t="inlineStr">
        <is>
          <t>ก และ ค</t>
        </is>
      </c>
      <c r="I113" s="15" t="inlineStr">
        <is>
          <t>1</t>
        </is>
      </c>
      <c r="J113" s="18"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ข้อนี้ไม่ใช่คำตอบที่ถูกต้องสำหรับภาวะ Diabetes mellitus เนื่องจากกลไกการออกฤทธิ์, efficacy หรือข้อบ่งใช้ไม่ตรงกับโจทย์ที่กำหนด
• ข้อ ค. (recombinant technology): ข้อนี้ไม่ใช่คำตอบที่ถูกต้องสำหรับภาวะ Diabetes mellitus เนื่องจากกลไกการออกฤทธิ์, efficacy หรือข้อบ่งใช้ไม่ตรงกับโจทย์ที่กำหนด
• ข้อ ง. (ก และ ข): ข้อนี้ไม่ใช่คำตอบที่ถูกต้องสำหรับภาวะ Diabetes mellitus เนื่องจากกลไกการออกฤทธิ์, efficacy หรือข้อบ่งใช้ไม่ตรงกับโจทย์ที่กำหนด
• ข้อ จ. (ก และ ค):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18" t="inlineStr"/>
      <c r="L113" s="18" t="inlineStr">
        <is>
          <t>Diabetes mellitus</t>
        </is>
      </c>
      <c r="M113" s="18" t="inlineStr">
        <is>
          <t>Clinic</t>
        </is>
      </c>
      <c r="N113" s="18" t="inlineStr">
        <is>
          <t>ข้อ 84 (PLE_CC1_2558_Key.md)</t>
        </is>
      </c>
      <c r="O113" s="18" t="inlineStr">
        <is>
          <t>ข้อสอบจริง</t>
        </is>
      </c>
      <c r="P113" s="18" t="inlineStr">
        <is>
          <t>ปี 2558</t>
        </is>
      </c>
    </row>
    <row r="114">
      <c r="A114" s="15" t="inlineStr">
        <is>
          <t>112</t>
        </is>
      </c>
      <c r="B114" s="18" t="inlineStr">
        <is>
          <t>ข้อใดถูกต้องเกี่ยวกับ insulin</t>
        </is>
      </c>
      <c r="C114" s="18" t="inlineStr"/>
      <c r="D114" s="18" t="inlineStr">
        <is>
          <t>ออกฤทธิ์คล้าย GLP-1 analogue</t>
        </is>
      </c>
      <c r="E114" s="18" t="inlineStr">
        <is>
          <t>เพิ่ม insulin receptor</t>
        </is>
      </c>
      <c r="F114" s="18" t="inlineStr">
        <is>
          <t>ใช้สำลีชุบ alcohol เช็ดที่ปลายเข็มก่อนฉีด</t>
        </is>
      </c>
      <c r="G114" s="18" t="inlineStr">
        <is>
          <t>ควรฉีดซ้ำที่เดิม เพื่อให้ยาออกฤทธิ์ได้เท่าเดิม</t>
        </is>
      </c>
      <c r="H114" s="18" t="inlineStr">
        <is>
          <t>หลังจากเปิดใช้แล้วเก็บได้นาน 2 เดือน</t>
        </is>
      </c>
      <c r="I114" s="15" t="inlineStr">
        <is>
          <t>1</t>
        </is>
      </c>
      <c r="J114" s="18"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ข้อนี้ไม่ใช่คำตอบที่ถูกต้องสำหรับภาวะ Diabetes mellitus เนื่องจากกลไกการออกฤทธิ์, efficacy หรือข้อบ่งใช้ไม่ตรงกับโจทย์ที่กำหนด
• ข้อ ค. (ใช้สำลีชุบ alcohol เช็ดที่ปลายเข็มก่อนฉีด): ข้อนี้ไม่ใช่คำตอบที่ถูกต้องสำหรับภาวะ Diabetes mellitus เนื่องจากกลไกการออกฤทธิ์, efficacy หรือข้อบ่งใช้ไม่ตรงกับโจทย์ที่กำหนด
• ข้อ ง. (ควรฉีดซ้ำที่เดิม เพื่อให้ยาออกฤทธิ์ได้เท่าเดิม): ข้อนี้ไม่ใช่คำตอบที่ถูกต้องสำหรับภาวะ Diabetes mellitus เนื่องจากกลไกการออกฤทธิ์, efficacy หรือข้อบ่งใช้ไม่ตรงกับโจทย์ที่กำหนด
• ข้อ จ. (หลังจากเปิดใช้แล้วเก็บได้นาน 2 เดือน):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18" t="inlineStr"/>
      <c r="L114" s="18" t="inlineStr">
        <is>
          <t>Diabetes mellitus</t>
        </is>
      </c>
      <c r="M114" s="18" t="inlineStr">
        <is>
          <t>Clinic</t>
        </is>
      </c>
      <c r="N114" s="18" t="inlineStr">
        <is>
          <t>ข้อ 85 (PLE_CC1_2558_Key.md)</t>
        </is>
      </c>
      <c r="O114" s="18" t="inlineStr">
        <is>
          <t>ข้อสอบจริง</t>
        </is>
      </c>
      <c r="P114" s="18" t="inlineStr">
        <is>
          <t>ปี 2558</t>
        </is>
      </c>
    </row>
    <row r="115">
      <c r="A115" s="15" t="inlineStr">
        <is>
          <t>113</t>
        </is>
      </c>
      <c r="B115" s="18" t="inlineStr">
        <is>
          <t>ข้อใดไม่ใช่อาการของผู้ป่วยเบาหวาน</t>
        </is>
      </c>
      <c r="C115" s="18" t="inlineStr"/>
      <c r="D115" s="18" t="inlineStr">
        <is>
          <t>หิวบ่อย/กินเยอะ</t>
        </is>
      </c>
      <c r="E115" s="18" t="inlineStr">
        <is>
          <t>ปัสสาวะบ่อย</t>
        </is>
      </c>
      <c r="F115" s="18" t="inlineStr">
        <is>
          <t>อาการร้อนวูบวาบ</t>
        </is>
      </c>
      <c r="G115" s="18" t="inlineStr">
        <is>
          <t>ดื่มน้ำบ่อย/กระหายน้ำบ่อย</t>
        </is>
      </c>
      <c r="H115" s="18" t="inlineStr">
        <is>
          <t>น้ำหนักลด</t>
        </is>
      </c>
      <c r="I115" s="15" t="inlineStr">
        <is>
          <t>1</t>
        </is>
      </c>
      <c r="J115" s="18"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ข้อนี้ไม่ใช่คำตอบที่ถูกต้องสำหรับภาวะ Diabetes mellitus เนื่องจากกลไกการออกฤทธิ์, efficacy หรือข้อบ่งใช้ไม่ตรงกับโจทย์ที่กำหนด
• ข้อ ค. (อาการร้อนวูบวาบ): ข้อนี้ไม่ใช่คำตอบที่ถูกต้องสำหรับภาวะ Diabetes mellitus เนื่องจากกลไกการออกฤทธิ์, efficacy หรือข้อบ่งใช้ไม่ตรงกับโจทย์ที่กำหนด
• ข้อ ง. (ดื่มน้ำบ่อย/กระหายน้ำบ่อย): ข้อนี้ไม่ใช่คำตอบที่ถูกต้องสำหรับภาวะ Diabetes mellitus เนื่องจากกลไกการออกฤทธิ์, efficacy หรือข้อบ่งใช้ไม่ตรงกับโจทย์ที่กำหนด
• ข้อ จ. (น้ำหนักลด):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5" s="18" t="inlineStr"/>
      <c r="L115" s="18" t="inlineStr">
        <is>
          <t>Diabetes mellitus</t>
        </is>
      </c>
      <c r="M115" s="18" t="inlineStr">
        <is>
          <t>Clinic</t>
        </is>
      </c>
      <c r="N115" s="18" t="inlineStr">
        <is>
          <t>ข้อ 74 (Pharmtutor_2024_Set1.md)</t>
        </is>
      </c>
      <c r="O115" s="18" t="inlineStr">
        <is>
          <t>Mock</t>
        </is>
      </c>
      <c r="P115" s="18" t="inlineStr">
        <is>
          <t>Mock Pharmtutor 2024</t>
        </is>
      </c>
    </row>
    <row r="116">
      <c r="A116" s="15" t="inlineStr">
        <is>
          <t>114</t>
        </is>
      </c>
      <c r="B116" s="18" t="inlineStr">
        <is>
          <t>ข้อใดคือเป้าหมายของการรักษาผู้ป่วยเบาหวาน</t>
        </is>
      </c>
      <c r="C116" s="18" t="inlineStr"/>
      <c r="D116" s="18" t="inlineStr">
        <is>
          <t>HbA1C &lt; 6.5%</t>
        </is>
      </c>
      <c r="E116" s="18" t="inlineStr">
        <is>
          <t>HbA1C &lt; 7%</t>
        </is>
      </c>
      <c r="F116" s="18" t="inlineStr">
        <is>
          <t>HbA1C &lt; 7.5%</t>
        </is>
      </c>
      <c r="G116" s="18" t="inlineStr">
        <is>
          <t>Preprandial glucose &lt; 80 mg/dL</t>
        </is>
      </c>
      <c r="H116" s="18" t="inlineStr">
        <is>
          <t>Peak postprandial glucose &lt; 200 mg/dL</t>
        </is>
      </c>
      <c r="I116" s="15" t="inlineStr">
        <is>
          <t>1</t>
        </is>
      </c>
      <c r="J116" s="18"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ข้อนี้ไม่ใช่คำตอบที่ถูกต้องสำหรับภาวะ Diabetes mellitus เนื่องจากกลไกการออกฤทธิ์, efficacy หรือข้อบ่งใช้ไม่ตรงกับโจทย์ที่กำหนด
• ข้อ ค. (HbA1C &lt; 7.5%): ข้อนี้ไม่ใช่คำตอบที่ถูกต้องสำหรับภาวะ Diabetes mellitus เนื่องจากกลไกการออกฤทธิ์, efficacy หรือข้อบ่งใช้ไม่ตรงกับโจทย์ที่กำหนด
• ข้อ ง. (Preprandial glucose &lt; 80 mg/dL): ข้อนี้ไม่ใช่คำตอบที่ถูกต้องสำหรับภาวะ Diabetes mellitus เนื่องจากกลไกการออกฤทธิ์, efficacy หรือข้อบ่งใช้ไม่ตรงกับโจทย์ที่กำหนด
• ข้อ จ. (Peak postprandial glucose &lt; 200 mg/dL):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18" t="inlineStr"/>
      <c r="L116" s="18" t="inlineStr">
        <is>
          <t>Diabetes mellitus</t>
        </is>
      </c>
      <c r="M116" s="18" t="inlineStr">
        <is>
          <t>Clinic</t>
        </is>
      </c>
      <c r="N116" s="18" t="inlineStr">
        <is>
          <t>ข้อ 75 (Pharmtutor_2024_Set1.md)</t>
        </is>
      </c>
      <c r="O116" s="18" t="inlineStr">
        <is>
          <t>Mock</t>
        </is>
      </c>
      <c r="P116" s="18" t="inlineStr">
        <is>
          <t>Mock Pharmtutor 2024</t>
        </is>
      </c>
    </row>
    <row r="117">
      <c r="A117" s="15" t="inlineStr">
        <is>
          <t>115</t>
        </is>
      </c>
      <c r="B117" s="18" t="inlineStr">
        <is>
          <t>การดัดแปลง insulin ในข้อใดทำให้ออกฤทธิ์ได้เร็วขึ้น</t>
        </is>
      </c>
      <c r="C117" s="18" t="inlineStr"/>
      <c r="D117" s="18" t="inlineStr">
        <is>
          <t>เติม protamine</t>
        </is>
      </c>
      <c r="E117" s="18" t="inlineStr">
        <is>
          <t>เติม arginine 2 หมู่</t>
        </is>
      </c>
      <c r="F117" s="18" t="inlineStr">
        <is>
          <t>เติม zinc chloride</t>
        </is>
      </c>
      <c r="G117" s="18" t="inlineStr">
        <is>
          <t>เติม myristic acid</t>
        </is>
      </c>
      <c r="H117" s="18" t="inlineStr">
        <is>
          <t>สลับ amino acid ระหว่าง Lysine และ Proline</t>
        </is>
      </c>
      <c r="I117" s="15" t="inlineStr">
        <is>
          <t>1</t>
        </is>
      </c>
      <c r="J117" s="18"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ข้อนี้ไม่ใช่คำตอบที่ถูกต้องสำหรับภาวะ Diabetes mellitus เนื่องจากกลไกการออกฤทธิ์, efficacy หรือข้อบ่งใช้ไม่ตรงกับโจทย์ที่กำหนด
• ข้อ ค. (เติม zinc chloride): ข้อนี้ไม่ใช่คำตอบที่ถูกต้องสำหรับภาวะ Diabetes mellitus เนื่องจากกลไกการออกฤทธิ์, efficacy หรือข้อบ่งใช้ไม่ตรงกับโจทย์ที่กำหนด
• ข้อ ง. (เติม myristic acid): ข้อนี้ไม่ใช่คำตอบที่ถูกต้องสำหรับภาวะ Diabetes mellitus เนื่องจากกลไกการออกฤทธิ์, efficacy หรือข้อบ่งใช้ไม่ตรงกับโจทย์ที่กำหนด
• ข้อ จ. (สลับ amino acid ระหว่าง Lysine และ Proline):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18" t="inlineStr"/>
      <c r="L117" s="18" t="inlineStr">
        <is>
          <t>Diabetes mellitus</t>
        </is>
      </c>
      <c r="M117" s="18" t="inlineStr">
        <is>
          <t>Clinic</t>
        </is>
      </c>
      <c r="N117" s="18" t="inlineStr">
        <is>
          <t>ข้อ 78 (Pharmtutor_2024_Set1.md)</t>
        </is>
      </c>
      <c r="O117" s="18" t="inlineStr">
        <is>
          <t>Mock</t>
        </is>
      </c>
      <c r="P117" s="18" t="inlineStr">
        <is>
          <t>Mock Pharmtutor 2024</t>
        </is>
      </c>
    </row>
    <row r="118">
      <c r="A118" s="15" t="inlineStr">
        <is>
          <t>116</t>
        </is>
      </c>
      <c r="B118" s="18" t="inlineStr">
        <is>
          <t>ยารักษาเบาหวาน ที่ควรเริ่มเป็นอันดับแรก ในผู้ป่วยรายนี้ คือข้อใด</t>
        </is>
      </c>
      <c r="C118" s="18" t="inlineStr"/>
      <c r="D118" s="18" t="inlineStr">
        <is>
          <t>Glipizide</t>
        </is>
      </c>
      <c r="E118" s="18" t="inlineStr">
        <is>
          <t>Metformin</t>
        </is>
      </c>
      <c r="F118" s="18" t="inlineStr">
        <is>
          <t>Pioglitazone</t>
        </is>
      </c>
      <c r="G118" s="18" t="inlineStr">
        <is>
          <t>Insulin glargine</t>
        </is>
      </c>
      <c r="H118" s="18" t="inlineStr">
        <is>
          <t>Acarbose</t>
        </is>
      </c>
      <c r="I118" s="15" t="inlineStr">
        <is>
          <t>1</t>
        </is>
      </c>
      <c r="J118" s="18"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(Insulin glargine): ข้อนี้ไม่ใช่คำตอบที่ถูกต้องสำหรับภาวะ Diabetes mellitus เนื่องจากกลไกการออกฤทธิ์, efficacy หรือข้อบ่งใช้ไม่ตรงกับโจทย์ที่กำหนด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8" s="18" t="inlineStr"/>
      <c r="L118" s="18" t="inlineStr">
        <is>
          <t>Diabetes mellitus</t>
        </is>
      </c>
      <c r="M118" s="18" t="inlineStr">
        <is>
          <t>Clinic</t>
        </is>
      </c>
      <c r="N118" s="18" t="inlineStr">
        <is>
          <t>ข้อ 70 (Pharmtutor_2024_Set2.md)</t>
        </is>
      </c>
      <c r="O118" s="18" t="inlineStr">
        <is>
          <t>Mock</t>
        </is>
      </c>
      <c r="P118" s="18" t="inlineStr">
        <is>
          <t>Mock Pharmtutor 2024</t>
        </is>
      </c>
    </row>
    <row r="119">
      <c r="A119" s="15" t="inlineStr">
        <is>
          <t>117</t>
        </is>
      </c>
      <c r="B119" s="18" t="inlineStr">
        <is>
          <t>เป้าหมายการรักษาเบาหวาน (ควบคุมทั่วไป) ในผู้ป่วยรายนี้</t>
        </is>
      </c>
      <c r="C119" s="18" t="inlineStr"/>
      <c r="D119" s="18" t="inlineStr">
        <is>
          <t>FBS &lt; 70 mg/dL</t>
        </is>
      </c>
      <c r="E119" s="18" t="inlineStr">
        <is>
          <t>HbA1C &lt;8%</t>
        </is>
      </c>
      <c r="F119" s="18" t="inlineStr">
        <is>
          <t>Peak Post prandial glucose &lt; 180 mg/dL</t>
        </is>
      </c>
      <c r="G119" s="18" t="inlineStr">
        <is>
          <t>OGTT &lt; 126 mg/dL</t>
        </is>
      </c>
      <c r="H119" s="18" t="inlineStr">
        <is>
          <t>Random plasma glucose &lt; 250 mg/dL</t>
        </is>
      </c>
      <c r="I119" s="15" t="inlineStr">
        <is>
          <t>1</t>
        </is>
      </c>
      <c r="J119" s="18"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ข้อนี้ไม่ใช่คำตอบที่ถูกต้องสำหรับภาวะ Diabetes mellitus เนื่องจากกลไกการออกฤทธิ์, efficacy หรือข้อบ่งใช้ไม่ตรงกับโจทย์ที่กำหนด
• ข้อ ค. (Peak Post prandial glucose &lt; 180 mg/dL): ข้อนี้ไม่ใช่คำตอบที่ถูกต้องสำหรับภาวะ Diabetes mellitus เนื่องจากกลไกการออกฤทธิ์, efficacy หรือข้อบ่งใช้ไม่ตรงกับโจทย์ที่กำหนด
• ข้อ ง. (OGTT &lt; 126 mg/dL): ข้อนี้ไม่ใช่คำตอบที่ถูกต้องสำหรับภาวะ Diabetes mellitus เนื่องจากกลไกการออกฤทธิ์, efficacy หรือข้อบ่งใช้ไม่ตรงกับโจทย์ที่กำหนด
• ข้อ จ. (Random plasma glucose &lt; 250 mg/dL):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18" t="inlineStr"/>
      <c r="L119" s="18" t="inlineStr">
        <is>
          <t>Diabetes mellitus</t>
        </is>
      </c>
      <c r="M119" s="18" t="inlineStr">
        <is>
          <t>Clinic</t>
        </is>
      </c>
      <c r="N119" s="18" t="inlineStr">
        <is>
          <t>ข้อ 71 (Pharmtutor_2024_Set2.md)</t>
        </is>
      </c>
      <c r="O119" s="18" t="inlineStr">
        <is>
          <t>Mock</t>
        </is>
      </c>
      <c r="P119" s="18" t="inlineStr">
        <is>
          <t>Mock Pharmtutor 2024</t>
        </is>
      </c>
    </row>
    <row r="120">
      <c r="A120" s="15" t="inlineStr">
        <is>
          <t>118</t>
        </is>
      </c>
      <c r="B120" s="18" t="inlineStr">
        <is>
          <t>การปรับปรุงโปรงสร้างของ insulin ในข้อใด ทำให้สามารถออกฤทธิ์ได้ยาวนานมากขึ้น</t>
        </is>
      </c>
      <c r="C120" s="18" t="inlineStr"/>
      <c r="D120" s="18" t="inlineStr">
        <is>
          <t>เพิ่มการละลายของ insulin</t>
        </is>
      </c>
      <c r="E120" s="18" t="inlineStr">
        <is>
          <t>ลดความสามารถในการก่อ hexamer ของ insulin</t>
        </is>
      </c>
      <c r="F120" s="18" t="inlineStr">
        <is>
          <t>การเติมกรดไขมัน เช่น myristic acid</t>
        </is>
      </c>
      <c r="G120" s="18" t="inlineStr">
        <is>
          <t>สลับกรดอะมิโน ระหว่าง lysine และ proline</t>
        </is>
      </c>
      <c r="H120" s="18" t="inlineStr">
        <is>
          <t>ไม่มีข้อใดถูก</t>
        </is>
      </c>
      <c r="I120" s="15" t="inlineStr">
        <is>
          <t>1</t>
        </is>
      </c>
      <c r="J120" s="18"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ข้อนี้ไม่ใช่คำตอบที่ถูกต้องสำหรับภาวะ Diabetes mellitus เนื่องจากกลไกการออกฤทธิ์, efficacy หรือข้อบ่งใช้ไม่ตรงกับโจทย์ที่กำหนด
• ข้อ ค. (การเติมกรดไขมัน เช่น myristic acid): ข้อนี้ไม่ใช่คำตอบที่ถูกต้องสำหรับภาวะ Diabetes mellitus เนื่องจากกลไกการออกฤทธิ์, efficacy หรือข้อบ่งใช้ไม่ตรงกับโจทย์ที่กำหนด
• ข้อ ง. (สลับกรดอะมิโน ระหว่าง lysine และ proline):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0" s="18" t="inlineStr"/>
      <c r="L120" s="18" t="inlineStr">
        <is>
          <t>Diabetes mellitus</t>
        </is>
      </c>
      <c r="M120" s="18" t="inlineStr">
        <is>
          <t>Clinic</t>
        </is>
      </c>
      <c r="N120" s="18" t="inlineStr">
        <is>
          <t>ข้อ 72 (Pharmtutor_2024_Set2.md)</t>
        </is>
      </c>
      <c r="O120" s="18" t="inlineStr">
        <is>
          <t>Mock</t>
        </is>
      </c>
      <c r="P120" s="18" t="inlineStr">
        <is>
          <t>Mock Pharmtutor 2024</t>
        </is>
      </c>
    </row>
    <row r="121">
      <c r="A121" s="15" t="inlineStr">
        <is>
          <t>119</t>
        </is>
      </c>
      <c r="B121" s="18"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21" s="18" t="inlineStr"/>
      <c r="D121" s="18" t="inlineStr">
        <is>
          <t>Propylthiouracil 50 mg TID</t>
        </is>
      </c>
      <c r="E121" s="18" t="inlineStr">
        <is>
          <t>Methimazole 10 mg OD</t>
        </is>
      </c>
      <c r="F121" s="18" t="inlineStr">
        <is>
          <t>Pioglitazone 15 mg OD</t>
        </is>
      </c>
      <c r="G121" s="18" t="inlineStr">
        <is>
          <t>Insulin glargine 10 units SC HS</t>
        </is>
      </c>
      <c r="H121" s="18" t="inlineStr">
        <is>
          <t>Insulin lispro 4 units SC before meals</t>
        </is>
      </c>
      <c r="I121" s="15" t="inlineStr">
        <is>
          <t>1</t>
        </is>
      </c>
      <c r="J121" s="1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1" s="18" t="inlineStr"/>
      <c r="L121" s="18" t="inlineStr">
        <is>
          <t>Diabetes mellitus</t>
        </is>
      </c>
      <c r="M121" s="18" t="inlineStr">
        <is>
          <t>Clinic</t>
        </is>
      </c>
      <c r="N121" s="18" t="inlineStr">
        <is>
          <t>ข้อ 10 (PLE_CC1_2557.md)</t>
        </is>
      </c>
      <c r="O121" s="18" t="inlineStr">
        <is>
          <t>ข้อสอบจริง</t>
        </is>
      </c>
      <c r="P121" s="18" t="inlineStr">
        <is>
          <t>ปี 2557</t>
        </is>
      </c>
    </row>
    <row r="122">
      <c r="A122" s="15" t="inlineStr">
        <is>
          <t>120</t>
        </is>
      </c>
      <c r="B122" s="18" t="inlineStr">
        <is>
          <t>ก่อนผู้ป่วยกลับบ้าน แพทย์สั_x001e_งใช้ยา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ให้ผู้ป่วยกี_x001e_ vial (NPH insulin ที_x001e_มีในโรงพยาบาล มีขนาด 100 unit/mL โดยที_x001e_ 1 vial มีปริมาตร 10 mL) (1) 1 (2) 2 (3) 3 (4) 4 (5) 5</t>
        </is>
      </c>
      <c r="C122" s="18" t="inlineStr"/>
      <c r="D122" s="18" t="inlineStr">
        <is>
          <t>Insulin glargine 10 units SC HS</t>
        </is>
      </c>
      <c r="E122" s="18" t="inlineStr">
        <is>
          <t>Insulin lispro 4 units SC before meals</t>
        </is>
      </c>
      <c r="F122" s="18" t="inlineStr">
        <is>
          <t>Dapagliflozin 10 mg OD</t>
        </is>
      </c>
      <c r="G122" s="18" t="inlineStr">
        <is>
          <t>Semaglutide 0.5 mg SC weekly</t>
        </is>
      </c>
      <c r="H122" s="18" t="inlineStr">
        <is>
          <t>Metformin 500 mg BID</t>
        </is>
      </c>
      <c r="I122" s="15" t="inlineStr">
        <is>
          <t>1</t>
        </is>
      </c>
      <c r="J122" s="1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2" s="18" t="inlineStr"/>
      <c r="L122" s="18" t="inlineStr">
        <is>
          <t>Diabetes mellitus</t>
        </is>
      </c>
      <c r="M122" s="18" t="inlineStr">
        <is>
          <t>Clinic</t>
        </is>
      </c>
      <c r="N122" s="18" t="inlineStr">
        <is>
          <t>ข้อ 16 (PLE_CC1_2557.md)</t>
        </is>
      </c>
      <c r="O122" s="18" t="inlineStr">
        <is>
          <t>ข้อสอบจริง</t>
        </is>
      </c>
      <c r="P122" s="18" t="inlineStr">
        <is>
          <t>ปี 2557</t>
        </is>
      </c>
    </row>
    <row r="123">
      <c r="A123" s="15" t="inlineStr">
        <is>
          <t>121</t>
        </is>
      </c>
      <c r="B123" s="18" t="inlineStr">
        <is>
          <t>ในปัจจุบันมีระบบการนำส่งยา Insulin ทางการรับประทาน โดยนำยา Insulin บรรจุใน liposomal system ข้อใดไม่ ถูกต้องเกี_x001e_ยวกับการพัฒนาตำรับยาให้อยู่ในรูป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3" s="18" t="inlineStr"/>
      <c r="D123" s="18" t="inlineStr">
        <is>
          <t>Semaglutide 0.5 mg SC weekly</t>
        </is>
      </c>
      <c r="E123" s="18" t="inlineStr">
        <is>
          <t>Metformin 500 mg BID</t>
        </is>
      </c>
      <c r="F123" s="18" t="inlineStr">
        <is>
          <t>Glipizide 5 mg OD</t>
        </is>
      </c>
      <c r="G123" s="18" t="inlineStr">
        <is>
          <t>Empagliflozin 10 mg OD</t>
        </is>
      </c>
      <c r="H123" s="18" t="inlineStr">
        <is>
          <t>Sitagliptin 100 mg OD</t>
        </is>
      </c>
      <c r="I123" s="15" t="inlineStr">
        <is>
          <t>1</t>
        </is>
      </c>
      <c r="J123" s="1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3" s="18" t="inlineStr"/>
      <c r="L123" s="18" t="inlineStr">
        <is>
          <t>Diabetes mellitus</t>
        </is>
      </c>
      <c r="M123" s="18" t="inlineStr">
        <is>
          <t>Clinic</t>
        </is>
      </c>
      <c r="N123" s="18" t="inlineStr">
        <is>
          <t>ข้อ 33 (PLE_CC1_2557.md)</t>
        </is>
      </c>
      <c r="O123" s="18" t="inlineStr">
        <is>
          <t>ข้อสอบจริง</t>
        </is>
      </c>
      <c r="P123" s="18" t="inlineStr">
        <is>
          <t>ปี 2557</t>
        </is>
      </c>
    </row>
    <row r="124">
      <c r="A124" s="15" t="inlineStr">
        <is>
          <t>122</t>
        </is>
      </c>
      <c r="B124" s="18" t="inlineStr">
        <is>
          <t>ผู้ป่วยรายนี%ไปอ่านบทความบทความหนึ_x001e_ง ซึ_x001e_งกล่าวว่า การ รับประทานอาหารที_x001e_มีรสหวาน สามารถเพิ_x001e_มอุบัติการณ์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สถานการณ์ที_x001e_ 6 หญิงไทย อายุ 26 ปี ต้องการใช้ยาคุมกำเนิดชนิด รับประทาน</t>
        </is>
      </c>
      <c r="C124" s="18" t="inlineStr"/>
      <c r="D124" s="18" t="inlineStr">
        <is>
          <t>Empagliflozin 10 mg OD</t>
        </is>
      </c>
      <c r="E124" s="18" t="inlineStr">
        <is>
          <t>Sitagliptin 100 mg OD</t>
        </is>
      </c>
      <c r="F124" s="18" t="inlineStr">
        <is>
          <t>Liraglutide 1.2 mg SC OD</t>
        </is>
      </c>
      <c r="G124" s="18" t="inlineStr">
        <is>
          <t>Levothyroxine 50 mcg OD</t>
        </is>
      </c>
      <c r="H124" s="18" t="inlineStr">
        <is>
          <t>Propylthiouracil 50 mg TID</t>
        </is>
      </c>
      <c r="I124" s="15" t="inlineStr">
        <is>
          <t>1</t>
        </is>
      </c>
      <c r="J124" s="18"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4" s="18" t="inlineStr"/>
      <c r="L124" s="18" t="inlineStr">
        <is>
          <t>Diabetes mellitus</t>
        </is>
      </c>
      <c r="M124" s="18" t="inlineStr">
        <is>
          <t>Clinic</t>
        </is>
      </c>
      <c r="N124" s="18" t="inlineStr">
        <is>
          <t>ข้อ 36 (PLE_CC1_2557.md)</t>
        </is>
      </c>
      <c r="O124" s="18" t="inlineStr">
        <is>
          <t>ข้อสอบจริง</t>
        </is>
      </c>
      <c r="P124" s="18" t="inlineStr">
        <is>
          <t>ปี 2557</t>
        </is>
      </c>
    </row>
    <row r="125">
      <c r="A125" s="15" t="inlineStr">
        <is>
          <t>123</t>
        </is>
      </c>
      <c r="B125" s="18" t="inlineStr">
        <is>
          <t>การซักประวัติในข้อใดไม่จำเป็นก่อนการเริ_x001e_มรับประทานยา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5" s="18" t="inlineStr"/>
      <c r="D125" s="18" t="inlineStr">
        <is>
          <t>Levothyroxine 50 mcg OD</t>
        </is>
      </c>
      <c r="E125" s="18" t="inlineStr">
        <is>
          <t>Propylthiouracil 50 mg TID</t>
        </is>
      </c>
      <c r="F125" s="18" t="inlineStr">
        <is>
          <t>Methimazole 10 mg OD</t>
        </is>
      </c>
      <c r="G125" s="18" t="inlineStr">
        <is>
          <t>Pioglitazone 15 mg OD</t>
        </is>
      </c>
      <c r="H125" s="18" t="inlineStr">
        <is>
          <t>Insulin glargine 10 units SC HS</t>
        </is>
      </c>
      <c r="I125" s="15" t="inlineStr">
        <is>
          <t>1</t>
        </is>
      </c>
      <c r="J125" s="1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5" s="18" t="inlineStr"/>
      <c r="L125" s="18" t="inlineStr">
        <is>
          <t>Diabetes mellitus</t>
        </is>
      </c>
      <c r="M125" s="18" t="inlineStr">
        <is>
          <t>Clinic</t>
        </is>
      </c>
      <c r="N125" s="18" t="inlineStr">
        <is>
          <t>ข้อ 37 (PLE_CC1_2557.md)</t>
        </is>
      </c>
      <c r="O125" s="18" t="inlineStr">
        <is>
          <t>ข้อสอบจริง</t>
        </is>
      </c>
      <c r="P125" s="18" t="inlineStr">
        <is>
          <t>ปี 2557</t>
        </is>
      </c>
    </row>
    <row r="126">
      <c r="A126" s="15" t="inlineStr">
        <is>
          <t>124</t>
        </is>
      </c>
      <c r="B126" s="18" t="inlineStr">
        <is>
          <t>Insulin อีก 2 เดือนต่อมา ผู้ป่วยมาพบแพทย์ตามนัด ผลตรวจร่างกายเป็นดังนี้ FBS 123, HbA1C 6.8, BP 150/98, urine analysis : protein 1.5 g/ 24 h</t>
        </is>
      </c>
      <c r="C126" s="18" t="inlineStr"/>
      <c r="D126" s="18" t="inlineStr">
        <is>
          <t>จากข้อมูลข้างต้น ควรรักษาอย่างไร</t>
        </is>
      </c>
      <c r="E126" s="18" t="inlineStr">
        <is>
          <t>Insulin glargine 10 units SC HS</t>
        </is>
      </c>
      <c r="F126" s="18" t="inlineStr">
        <is>
          <t>Insulin lispro 4 units SC before meals</t>
        </is>
      </c>
      <c r="G126" s="18" t="inlineStr">
        <is>
          <t>Dapagliflozin 10 mg OD</t>
        </is>
      </c>
      <c r="H126" s="18" t="inlineStr">
        <is>
          <t>Semaglutide 0.5 mg SC weekly</t>
        </is>
      </c>
      <c r="I126" s="15" t="inlineStr">
        <is>
          <t>1</t>
        </is>
      </c>
      <c r="J126" s="18"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(Dapagliflozin 10 mg OD): เป็น SGLT2 inhibitor ได้รับการรับรองใน HFrEF, CKD และ T2DM เด่นชัดในด้าน renal &amp; cardiovascular protective efficacy
• ข้อ จ.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6" s="18" t="inlineStr"/>
      <c r="L126" s="18" t="inlineStr">
        <is>
          <t>Diabetes mellitus</t>
        </is>
      </c>
      <c r="M126" s="18" t="inlineStr">
        <is>
          <t>Clinic</t>
        </is>
      </c>
      <c r="N126" s="18" t="inlineStr">
        <is>
          <t>ข้อ 5 (PLE_CC1_2556.md)</t>
        </is>
      </c>
      <c r="O126" s="18" t="inlineStr">
        <is>
          <t>ข้อสอบจริง</t>
        </is>
      </c>
      <c r="P126" s="18" t="inlineStr">
        <is>
          <t>ปี 2556</t>
        </is>
      </c>
    </row>
    <row r="127">
      <c r="A127" s="15" t="inlineStr">
        <is>
          <t>125</t>
        </is>
      </c>
      <c r="B127" s="18" t="inlineStr">
        <is>
          <t>โจทย์ให้ค่าแลปมา FBS สูง HbA1C สูง ALT 200 กว่า, AST 200 กว่า, BUN 17, Cr 0.8 จากข้อมูลดังกล่าวยาตัวใดปลอดภัยที่สุด</t>
        </is>
      </c>
      <c r="C127" s="18" t="inlineStr"/>
      <c r="D127" s="18" t="inlineStr">
        <is>
          <t>Dapagliflozin 10 mg OD</t>
        </is>
      </c>
      <c r="E127" s="18" t="inlineStr">
        <is>
          <t>Semaglutide 0.5 mg SC weekly</t>
        </is>
      </c>
      <c r="F127" s="18" t="inlineStr">
        <is>
          <t>Metformin 500 mg BID</t>
        </is>
      </c>
      <c r="G127" s="18" t="inlineStr">
        <is>
          <t>Glipizide 5 mg OD</t>
        </is>
      </c>
      <c r="H127" s="18" t="inlineStr">
        <is>
          <t>Empagliflozin 10 mg OD</t>
        </is>
      </c>
      <c r="I127" s="15" t="inlineStr">
        <is>
          <t>1</t>
        </is>
      </c>
      <c r="J127" s="1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7" s="18" t="inlineStr"/>
      <c r="L127" s="18" t="inlineStr">
        <is>
          <t>Diabetes mellitus</t>
        </is>
      </c>
      <c r="M127" s="18" t="inlineStr">
        <is>
          <t>Clinic</t>
        </is>
      </c>
      <c r="N127" s="18" t="inlineStr">
        <is>
          <t>ข้อ 6 (PLE_CC1_2556.md)</t>
        </is>
      </c>
      <c r="O127" s="18" t="inlineStr">
        <is>
          <t>ข้อสอบจริง</t>
        </is>
      </c>
      <c r="P127" s="18" t="inlineStr">
        <is>
          <t>ปี 2556</t>
        </is>
      </c>
    </row>
    <row r="128">
      <c r="A128" s="15" t="inlineStr">
        <is>
          <t>126</t>
        </is>
      </c>
      <c r="B128" s="18" t="inlineStr">
        <is>
          <t>ข้อใดไม่ถูกต้องเกี่ยวกับ NPH insulin</t>
        </is>
      </c>
      <c r="C128" s="18" t="inlineStr"/>
      <c r="D128" s="18" t="inlineStr">
        <is>
          <t>Glipizide 5 mg OD</t>
        </is>
      </c>
      <c r="E128" s="18" t="inlineStr">
        <is>
          <t>Empagliflozin 10 mg OD</t>
        </is>
      </c>
      <c r="F128" s="18" t="inlineStr">
        <is>
          <t>Sitagliptin 100 mg OD</t>
        </is>
      </c>
      <c r="G128" s="18" t="inlineStr">
        <is>
          <t>Liraglutide 1.2 mg SC OD</t>
        </is>
      </c>
      <c r="H128" s="18" t="inlineStr">
        <is>
          <t>Levothyroxine 50 mcg OD</t>
        </is>
      </c>
      <c r="I128" s="15" t="inlineStr">
        <is>
          <t>1</t>
        </is>
      </c>
      <c r="J128" s="1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8" s="18" t="inlineStr"/>
      <c r="L128" s="18" t="inlineStr">
        <is>
          <t>Diabetes mellitus</t>
        </is>
      </c>
      <c r="M128" s="18" t="inlineStr">
        <is>
          <t>Clinic</t>
        </is>
      </c>
      <c r="N128" s="18" t="inlineStr">
        <is>
          <t>ข้อ 9 (PLE_CC1_2556.md)</t>
        </is>
      </c>
      <c r="O128" s="18" t="inlineStr">
        <is>
          <t>ข้อสอบจริง</t>
        </is>
      </c>
      <c r="P128" s="18" t="inlineStr">
        <is>
          <t>ปี 2556</t>
        </is>
      </c>
    </row>
    <row r="129">
      <c r="A129" s="15" t="inlineStr">
        <is>
          <t>127</t>
        </is>
      </c>
      <c r="B129" s="18" t="inlineStr">
        <is>
          <t>เป็น intermediate acting insulin</t>
        </is>
      </c>
      <c r="C129" s="18" t="inlineStr"/>
      <c r="D129" s="18" t="inlineStr">
        <is>
          <t>Liraglutide 1.2 mg SC OD</t>
        </is>
      </c>
      <c r="E129" s="18" t="inlineStr">
        <is>
          <t>Levothyroxine 50 mcg OD</t>
        </is>
      </c>
      <c r="F129" s="18" t="inlineStr">
        <is>
          <t>Propylthiouracil 50 mg TID</t>
        </is>
      </c>
      <c r="G129" s="18" t="inlineStr">
        <is>
          <t>Methimazole 10 mg OD</t>
        </is>
      </c>
      <c r="H129" s="18" t="inlineStr">
        <is>
          <t>Pioglitazone 15 mg OD</t>
        </is>
      </c>
      <c r="I129" s="15" t="inlineStr">
        <is>
          <t>1</t>
        </is>
      </c>
      <c r="J129" s="1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9" s="18" t="inlineStr"/>
      <c r="L129" s="18" t="inlineStr">
        <is>
          <t>Diabetes mellitus</t>
        </is>
      </c>
      <c r="M129" s="18" t="inlineStr">
        <is>
          <t>Clinic</t>
        </is>
      </c>
      <c r="N129" s="18" t="inlineStr">
        <is>
          <t>ข้อ 2 (PLE_CC1_2556.md)</t>
        </is>
      </c>
      <c r="O129" s="18" t="inlineStr">
        <is>
          <t>ข้อสอบจริง</t>
        </is>
      </c>
      <c r="P129" s="18" t="inlineStr">
        <is>
          <t>ปี 2556</t>
        </is>
      </c>
    </row>
    <row r="130">
      <c r="A130" s="15" t="inlineStr">
        <is>
          <t>128</t>
        </is>
      </c>
      <c r="B130" s="18" t="inlineStr">
        <is>
          <t>insulin resistant</t>
        </is>
      </c>
      <c r="C130" s="18" t="inlineStr"/>
      <c r="D130" s="18" t="inlineStr">
        <is>
          <t>Methimazole 10 mg OD</t>
        </is>
      </c>
      <c r="E130" s="18" t="inlineStr">
        <is>
          <t>Pioglitazone 15 mg OD</t>
        </is>
      </c>
      <c r="F130" s="18" t="inlineStr">
        <is>
          <t>Insulin glargine 10 units SC HS</t>
        </is>
      </c>
      <c r="G130" s="18" t="inlineStr">
        <is>
          <t>Insulin lispro 4 units SC before meals</t>
        </is>
      </c>
      <c r="H130" s="18" t="inlineStr">
        <is>
          <t>Dapagliflozin 10 mg OD</t>
        </is>
      </c>
      <c r="I130" s="15" t="inlineStr">
        <is>
          <t>1</t>
        </is>
      </c>
      <c r="J130" s="1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0" s="18" t="inlineStr"/>
      <c r="L130" s="18" t="inlineStr">
        <is>
          <t>Diabetes mellitus</t>
        </is>
      </c>
      <c r="M130" s="18" t="inlineStr">
        <is>
          <t>Clinic</t>
        </is>
      </c>
      <c r="N130" s="18" t="inlineStr">
        <is>
          <t>ข้อ 4 (PLE_CC1_2555 Day 2.md)</t>
        </is>
      </c>
      <c r="O130" s="18" t="inlineStr">
        <is>
          <t>ข้อสอบจริง</t>
        </is>
      </c>
      <c r="P130" s="18" t="inlineStr">
        <is>
          <t>ปี 2555</t>
        </is>
      </c>
    </row>
    <row r="131">
      <c r="A131" s="15" t="inlineStr">
        <is>
          <t>129</t>
        </is>
      </c>
      <c r="B131" s="18" t="inlineStr">
        <is>
          <t>อาการของไทรอยด์เป็นพิษ</t>
        </is>
      </c>
      <c r="C131" s="18" t="inlineStr"/>
      <c r="D131" s="18"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31" s="18" t="inlineStr">
        <is>
          <t>Dapagliflozin 10 mg OD</t>
        </is>
      </c>
      <c r="F131" s="18" t="inlineStr">
        <is>
          <t>Semaglutide 0.5 mg SC weekly</t>
        </is>
      </c>
      <c r="G131" s="18" t="inlineStr">
        <is>
          <t>Metformin 500 mg BID</t>
        </is>
      </c>
      <c r="H131" s="18" t="inlineStr">
        <is>
          <t>Glipizide 5 mg OD</t>
        </is>
      </c>
      <c r="I131" s="15" t="inlineStr">
        <is>
          <t>1</t>
        </is>
      </c>
      <c r="J131" s="18"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1" s="18" t="inlineStr"/>
      <c r="L131" s="18" t="inlineStr">
        <is>
          <t>Diabetes mellitus</t>
        </is>
      </c>
      <c r="M131" s="18" t="inlineStr">
        <is>
          <t>Clinic</t>
        </is>
      </c>
      <c r="N131" s="18" t="inlineStr">
        <is>
          <t>ข้อ 4 (PLE_CC1_2554 SET2.md)</t>
        </is>
      </c>
      <c r="O131" s="18" t="inlineStr">
        <is>
          <t>ข้อสอบจริง</t>
        </is>
      </c>
      <c r="P131" s="18" t="inlineStr">
        <is>
          <t>ปี 2554</t>
        </is>
      </c>
    </row>
    <row r="132">
      <c r="A132" s="15" t="inlineStr">
        <is>
          <t>130</t>
        </is>
      </c>
      <c r="B132" s="18" t="inlineStr">
        <is>
          <t>ยาที่ใช้รักษา Hyperthyroidism คือยาใด</t>
        </is>
      </c>
      <c r="C132" s="18" t="inlineStr"/>
      <c r="D132" s="18" t="inlineStr">
        <is>
          <t>Propylthiouracil (PTU), Methimazole (MTZ or MMI), Carbimazole(CBZ) เพราะยาดังกล่าวเป็นยาAntithyroid drugs Ref: ชีทอ.วรนุช</t>
        </is>
      </c>
      <c r="E132" s="18" t="inlineStr">
        <is>
          <t>Glipizide 5 mg OD</t>
        </is>
      </c>
      <c r="F132" s="18" t="inlineStr">
        <is>
          <t>Empagliflozin 10 mg OD</t>
        </is>
      </c>
      <c r="G132" s="18" t="inlineStr">
        <is>
          <t>Sitagliptin 100 mg OD</t>
        </is>
      </c>
      <c r="H132" s="18" t="inlineStr">
        <is>
          <t>Liraglutide 1.2 mg SC OD</t>
        </is>
      </c>
      <c r="I132" s="15" t="inlineStr">
        <is>
          <t>1</t>
        </is>
      </c>
      <c r="J132" s="18"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2" s="18" t="inlineStr"/>
      <c r="L132" s="18" t="inlineStr">
        <is>
          <t>Diabetes mellitus</t>
        </is>
      </c>
      <c r="M132" s="18" t="inlineStr">
        <is>
          <t>Clinic</t>
        </is>
      </c>
      <c r="N132" s="18" t="inlineStr">
        <is>
          <t>ข้อ 5 (PLE_CC1_2554 SET2.md)</t>
        </is>
      </c>
      <c r="O132" s="18" t="inlineStr">
        <is>
          <t>ข้อสอบจริง</t>
        </is>
      </c>
      <c r="P132" s="18" t="inlineStr">
        <is>
          <t>ปี 2554</t>
        </is>
      </c>
    </row>
    <row r="133">
      <c r="A133" s="15" t="inlineStr">
        <is>
          <t>131</t>
        </is>
      </c>
      <c r="B133" s="18" t="inlineStr">
        <is>
          <t>หากผู้ป่วยรายนี้ได้รับยา methotrexate ซึ่งเป็นยากลุ่ม DMARDs ควรให้ยาใดเพิ่ม เพื่อลดผลข้างเคียงของยา methotrexate ?</t>
        </is>
      </c>
      <c r="C133" s="18" t="inlineStr"/>
      <c r="D133" s="18" t="inlineStr">
        <is>
          <t>omeprazole</t>
        </is>
      </c>
      <c r="E133" s="18" t="inlineStr">
        <is>
          <t>calcium carbonate</t>
        </is>
      </c>
      <c r="F133" s="18" t="inlineStr">
        <is>
          <t>folic acid</t>
        </is>
      </c>
      <c r="G133" s="18" t="inlineStr">
        <is>
          <t>vitamin K</t>
        </is>
      </c>
      <c r="H133" s="18" t="inlineStr">
        <is>
          <t>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t>
        </is>
      </c>
      <c r="I133" s="15" t="inlineStr">
        <is>
          <t>3</t>
        </is>
      </c>
      <c r="J133" s="18" t="inlineStr">
        <is>
          <t>✅ คำตอบที่ถูกต้อง: ข้อ ค. folic acid
💡 Background:
การบริบาลผู้ป่วยเบาหวานชนิดที่ 2 (T2DM) เน้นควบคุม HbA1c ควบคู่กับการเลือกยาที่มี cardiorenal protection ในผู้ป่วยที่มีโรคร่วม
🎯 ทำไมข้อนี้ถึงถูก:
folic acid การเลือก folic acid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(calcium carbonate): เป็น Phosphate binder สำหรับ CKD ต้องเคี้ยวพร้อมอาหารเพื่อจับฟอสเฟตในทางเดินอาหาร และทำหน้าที่เสริมแคลเซียม
• ข้อ ง. (vitamin K): ข้อนี้ไม่ใช่คำตอบที่ถูกต้องสำหรับภาวะ Diabetes mellitus เนื่องจากกลไกการออกฤทธิ์, efficacy หรือข้อบ่งใช้ไม่ตรงกับโจทย์ที่กำหนด
• ข้อ จ. (finasteride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 เป็น anchor csDMARD สำหรับ Rheumatoid arthritis ยับยั้ง dihydrofolate reductase ต้องให้ Folic acid เสริม และห้ามใช้ในหญิงตั้งครรภ์ (contraindication / teratogenic)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3" s="18" t="inlineStr"/>
      <c r="L133" s="18" t="inlineStr">
        <is>
          <t>Diabetes mellitus</t>
        </is>
      </c>
      <c r="M133" s="18" t="inlineStr">
        <is>
          <t>Clinic</t>
        </is>
      </c>
      <c r="N133" s="18" t="inlineStr">
        <is>
          <t>ข้อ 4 (PLE_CC1_2554 SET2.md)</t>
        </is>
      </c>
      <c r="O133" s="18" t="inlineStr">
        <is>
          <t>ข้อสอบจริง</t>
        </is>
      </c>
      <c r="P133" s="18" t="inlineStr">
        <is>
          <t>ปี 2554</t>
        </is>
      </c>
    </row>
    <row r="134">
      <c r="A134" s="15" t="inlineStr">
        <is>
          <t>132</t>
        </is>
      </c>
      <c r="B134" s="18" t="inlineStr">
        <is>
          <t>อาการจากต่อมไทรอยด์โต: ผู้ป่วยจะมาพบแพทย์ด้วยอาการมีก้อนที่คอหรือคอโตกว่าปกติ</t>
        </is>
      </c>
      <c r="C134" s="18" t="inlineStr"/>
      <c r="D134" s="18" t="inlineStr">
        <is>
          <t>Propylthiouracil 50 mg TID</t>
        </is>
      </c>
      <c r="E134" s="18" t="inlineStr">
        <is>
          <t>Methimazole 10 mg OD</t>
        </is>
      </c>
      <c r="F134" s="18" t="inlineStr">
        <is>
          <t>Pioglitazone 15 mg OD</t>
        </is>
      </c>
      <c r="G134" s="18" t="inlineStr">
        <is>
          <t>Insulin glargine 10 units SC HS</t>
        </is>
      </c>
      <c r="H134" s="18" t="inlineStr">
        <is>
          <t>Insulin lispro 4 units SC before meals</t>
        </is>
      </c>
      <c r="I134" s="15" t="inlineStr">
        <is>
          <t>1</t>
        </is>
      </c>
      <c r="J134" s="1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4" s="18" t="inlineStr"/>
      <c r="L134" s="18" t="inlineStr">
        <is>
          <t>Diabetes mellitus</t>
        </is>
      </c>
      <c r="M134" s="18" t="inlineStr">
        <is>
          <t>Clinic</t>
        </is>
      </c>
      <c r="N134" s="18" t="inlineStr">
        <is>
          <t>ข้อ 1 (PLE_CC1_2554 SET2.md)</t>
        </is>
      </c>
      <c r="O134" s="18" t="inlineStr">
        <is>
          <t>ข้อสอบจริง</t>
        </is>
      </c>
      <c r="P134" s="18" t="inlineStr">
        <is>
          <t>ปี 2554</t>
        </is>
      </c>
    </row>
    <row r="135">
      <c r="A135" s="15" t="inlineStr">
        <is>
          <t>133</t>
        </is>
      </c>
      <c r="B135" s="18"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 88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135" s="18" t="inlineStr"/>
      <c r="D135" s="18" t="inlineStr">
        <is>
          <t>Insulin glargine 10 units SC HS</t>
        </is>
      </c>
      <c r="E135" s="18" t="inlineStr">
        <is>
          <t>Insulin lispro 4 units SC before meals</t>
        </is>
      </c>
      <c r="F135" s="18" t="inlineStr">
        <is>
          <t>Dapagliflozin 10 mg OD</t>
        </is>
      </c>
      <c r="G135" s="18" t="inlineStr">
        <is>
          <t>Semaglutide 0.5 mg SC weekly</t>
        </is>
      </c>
      <c r="H135" s="18" t="inlineStr">
        <is>
          <t>Metformin 500 mg BID</t>
        </is>
      </c>
      <c r="I135" s="15" t="inlineStr">
        <is>
          <t>1</t>
        </is>
      </c>
      <c r="J135" s="1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18" t="inlineStr"/>
      <c r="L135" s="18" t="inlineStr">
        <is>
          <t>Diabetes mellitus</t>
        </is>
      </c>
      <c r="M135" s="18" t="inlineStr">
        <is>
          <t>Clinic</t>
        </is>
      </c>
      <c r="N135" s="18" t="inlineStr">
        <is>
          <t>ข้อ 6 (PLE_CC1_Practice_Exam.md)</t>
        </is>
      </c>
      <c r="O135" s="18" t="inlineStr">
        <is>
          <t>Mock</t>
        </is>
      </c>
      <c r="P135" s="18" t="inlineStr">
        <is>
          <t>Mock สภาเภสัชฯ Practice</t>
        </is>
      </c>
    </row>
    <row r="136">
      <c r="A136" s="15" t="inlineStr">
        <is>
          <t>134</t>
        </is>
      </c>
      <c r="B136" s="18" t="inlineStr">
        <is>
          <t>ยาใดต่อไปนี้สามารถใช้ในหญิง Hyperthyroidism ที่ตั้งครรภ์ได้</t>
        </is>
      </c>
      <c r="C136" s="18" t="inlineStr"/>
      <c r="D136" s="18" t="inlineStr">
        <is>
          <t>Propylthyouracil (PTU)</t>
        </is>
      </c>
      <c r="E136" s="18" t="inlineStr">
        <is>
          <t>Methimazole</t>
        </is>
      </c>
      <c r="F136" s="18" t="inlineStr">
        <is>
          <t>Levothyroxine</t>
        </is>
      </c>
      <c r="G136" s="18" t="inlineStr">
        <is>
          <t>ข้อ ก, ข ถูก</t>
        </is>
      </c>
      <c r="H136" s="18" t="inlineStr">
        <is>
          <t>ข้อ ก,ข,ค ถูก</t>
        </is>
      </c>
      <c r="I136" s="15" t="inlineStr">
        <is>
          <t>1</t>
        </is>
      </c>
      <c r="J136" s="18"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(ข้อ ก, ข ถูก): ข้อนี้ไม่ใช่คำตอบที่ถูกต้องสำหรับภาวะ Diabetes mellitus เนื่องจากกลไกการออกฤทธิ์, efficacy หรือข้อบ่งใช้ไม่ตรงกับโจทย์ที่กำหนด
• ข้อ จ. (ข้อ ก,ข,ค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6" s="18" t="inlineStr"/>
      <c r="L136" s="18" t="inlineStr">
        <is>
          <t>Diabetes mellitus</t>
        </is>
      </c>
      <c r="M136" s="18" t="inlineStr">
        <is>
          <t>Clinic</t>
        </is>
      </c>
      <c r="N136" s="18" t="inlineStr">
        <is>
          <t>ข้อ 24 (PLE_CC1_Practice_Exam.md)</t>
        </is>
      </c>
      <c r="O136" s="18" t="inlineStr">
        <is>
          <t>Mock</t>
        </is>
      </c>
      <c r="P136" s="18" t="inlineStr">
        <is>
          <t>Mock สภาเภสัชฯ Practice</t>
        </is>
      </c>
    </row>
    <row r="137">
      <c r="A137" s="15" t="inlineStr">
        <is>
          <t>135</t>
        </is>
      </c>
      <c r="B137" s="18" t="inlineStr">
        <is>
          <t>ข้อใดไม่ใช่อาการข้างเคียงที่เกิดขึ้นถ้าผู้ป่วยที่มีภาวะขาดไทรอยด์ ได้รับยา Levothyroxine ที่มีขนาดสูง เกินไป</t>
        </is>
      </c>
      <c r="C137" s="18" t="inlineStr"/>
      <c r="D137" s="18" t="inlineStr">
        <is>
          <t>น้ำหนักตัวเพิ่ม</t>
        </is>
      </c>
      <c r="E137" s="18" t="inlineStr">
        <is>
          <t>ทนร้อนไม่ได้</t>
        </is>
      </c>
      <c r="F137" s="18" t="inlineStr">
        <is>
          <t>หัวใจเต้นเร็ว</t>
        </is>
      </c>
      <c r="G137" s="18" t="inlineStr">
        <is>
          <t>กระดูกบาง</t>
        </is>
      </c>
      <c r="H137" s="18" t="inlineStr">
        <is>
          <t>ชัก</t>
        </is>
      </c>
      <c r="I137" s="15" t="inlineStr">
        <is>
          <t>1</t>
        </is>
      </c>
      <c r="J137" s="18"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ข้อนี้ไม่ใช่คำตอบที่ถูกต้องสำหรับภาวะ Diabetes mellitus เนื่องจากกลไกการออกฤทธิ์, efficacy หรือข้อบ่งใช้ไม่ตรงกับโจทย์ที่กำหนด
• ข้อ ค. (หัวใจเต้นเร็ว): ข้อนี้ไม่ใช่คำตอบที่ถูกต้องสำหรับภาวะ Diabetes mellitus เนื่องจากกลไกการออกฤทธิ์, efficacy หรือข้อบ่งใช้ไม่ตรงกับโจทย์ที่กำหนด
• ข้อ ง. (กระดูกบาง): ข้อนี้ไม่ใช่คำตอบที่ถูกต้องสำหรับภาวะ Diabetes mellitus เนื่องจากกลไกการออกฤทธิ์, efficacy หรือข้อบ่งใช้ไม่ตรงกับโจทย์ที่กำหนด
• ข้อ จ. (ชัก):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7" s="18" t="inlineStr"/>
      <c r="L137" s="18" t="inlineStr">
        <is>
          <t>Diabetes mellitus</t>
        </is>
      </c>
      <c r="M137" s="18" t="inlineStr">
        <is>
          <t>Clinic</t>
        </is>
      </c>
      <c r="N137" s="18" t="inlineStr">
        <is>
          <t>ข้อ 25 (PLE_CC1_Practice_Exam.md)</t>
        </is>
      </c>
      <c r="O137" s="18" t="inlineStr">
        <is>
          <t>Mock</t>
        </is>
      </c>
      <c r="P137" s="18" t="inlineStr">
        <is>
          <t>Mock สภาเภสัชฯ Practice</t>
        </is>
      </c>
    </row>
    <row r="138">
      <c r="A138" s="15" t="inlineStr">
        <is>
          <t>136</t>
        </is>
      </c>
      <c r="B138" s="18" t="inlineStr">
        <is>
          <t>ข้อใดไม่ใช่อาการหรืออาการแสดงของภาวะ Hypothyroidism</t>
        </is>
      </c>
      <c r="C138" s="18" t="inlineStr"/>
      <c r="D138" s="18" t="inlineStr">
        <is>
          <t>Bradycardia</t>
        </is>
      </c>
      <c r="E138" s="18" t="inlineStr">
        <is>
          <t>ทนต่อความเย็นไม่ได้</t>
        </is>
      </c>
      <c r="F138" s="18" t="inlineStr">
        <is>
          <t>ซึมเศร้า อ่อนเพลีย</t>
        </is>
      </c>
      <c r="G138" s="18" t="inlineStr">
        <is>
          <t>ผิวหนังแห้ง</t>
        </is>
      </c>
      <c r="H138" s="18" t="inlineStr">
        <is>
          <t>น้ำหนักลด</t>
        </is>
      </c>
      <c r="I138" s="15" t="inlineStr">
        <is>
          <t>1</t>
        </is>
      </c>
      <c r="J138" s="18"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ข้อนี้ไม่ใช่คำตอบที่ถูกต้องสำหรับภาวะ Diabetes mellitus เนื่องจากกลไกการออกฤทธิ์, efficacy หรือข้อบ่งใช้ไม่ตรงกับโจทย์ที่กำหนด
• ข้อ ค. (ซึมเศร้า อ่อนเพลีย): ข้อนี้ไม่ใช่คำตอบที่ถูกต้องสำหรับภาวะ Diabetes mellitus เนื่องจากกลไกการออกฤทธิ์, efficacy หรือข้อบ่งใช้ไม่ตรงกับโจทย์ที่กำหนด
• ข้อ ง. (ผิวหนังแห้ง): ข้อนี้ไม่ใช่คำตอบที่ถูกต้องสำหรับภาวะ Diabetes mellitus เนื่องจากกลไกการออกฤทธิ์, efficacy หรือข้อบ่งใช้ไม่ตรงกับโจทย์ที่กำหนด
• ข้อ จ. (น้ำหนักลด):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8" s="18" t="inlineStr"/>
      <c r="L138" s="18" t="inlineStr">
        <is>
          <t>Diabetes mellitus</t>
        </is>
      </c>
      <c r="M138" s="18" t="inlineStr">
        <is>
          <t>Clinic</t>
        </is>
      </c>
      <c r="N138" s="18" t="inlineStr">
        <is>
          <t>ข้อ 26 (PLE_CC1_Practice_Exam.md)</t>
        </is>
      </c>
      <c r="O138" s="18" t="inlineStr">
        <is>
          <t>Mock</t>
        </is>
      </c>
      <c r="P138" s="18" t="inlineStr">
        <is>
          <t>Mock สภาเภสัชฯ Practice</t>
        </is>
      </c>
    </row>
    <row r="139">
      <c r="A139" s="15" t="inlineStr">
        <is>
          <t>137</t>
        </is>
      </c>
      <c r="B139" s="18"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9" s="18" t="inlineStr"/>
      <c r="D139" s="18" t="inlineStr">
        <is>
          <t>Ferrous sulfate</t>
        </is>
      </c>
      <c r="E139" s="18" t="inlineStr">
        <is>
          <t>Sucralfate</t>
        </is>
      </c>
      <c r="F139" s="18" t="inlineStr">
        <is>
          <t>Phenytoin</t>
        </is>
      </c>
      <c r="G139" s="18" t="inlineStr">
        <is>
          <t>Cholestyramine</t>
        </is>
      </c>
      <c r="H139" s="18" t="inlineStr">
        <is>
          <t>Sodium polystyrene sulfonate</t>
        </is>
      </c>
      <c r="I139" s="15" t="inlineStr">
        <is>
          <t>1</t>
        </is>
      </c>
      <c r="J139" s="18"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ง. (Cholestyramine): ข้อนี้ไม่ใช่คำตอบที่ถูกต้องสำหรับภาวะ Diabetes mellitus เนื่องจากกลไกการออกฤทธิ์, efficacy หรือข้อบ่งใช้ไม่ตรงกับโจทย์ที่กำหนด
• ข้อ จ. (Sodium polystyrene sulfonate):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9" s="18" t="inlineStr"/>
      <c r="L139" s="18" t="inlineStr">
        <is>
          <t>Diabetes mellitus</t>
        </is>
      </c>
      <c r="M139" s="18" t="inlineStr">
        <is>
          <t>Clinic</t>
        </is>
      </c>
      <c r="N139" s="18" t="inlineStr">
        <is>
          <t>ข้อ 27 (PLE_CC1_Practice_Exam.md)</t>
        </is>
      </c>
      <c r="O139" s="18" t="inlineStr">
        <is>
          <t>Mock</t>
        </is>
      </c>
      <c r="P139" s="18" t="inlineStr">
        <is>
          <t>Mock สภาเภสัชฯ Practice</t>
        </is>
      </c>
    </row>
    <row r="140">
      <c r="A140" s="15" t="inlineStr">
        <is>
          <t>138</t>
        </is>
      </c>
      <c r="B140" s="18" t="inlineStr">
        <is>
          <t>ข้อใดควรให้ก่อนผ่าตัดต่อมไทรอยด์เพื่อลดเลือดที่มาเลี้ยงต่อมไทรอยด์</t>
        </is>
      </c>
      <c r="C140" s="18" t="inlineStr"/>
      <c r="D140" s="18" t="inlineStr">
        <is>
          <t>Propylthiouracil</t>
        </is>
      </c>
      <c r="E140" s="18" t="inlineStr">
        <is>
          <t>Methimazole</t>
        </is>
      </c>
      <c r="F140" s="18" t="inlineStr">
        <is>
          <t>KI solution</t>
        </is>
      </c>
      <c r="G140" s="18" t="inlineStr">
        <is>
          <t>Propranolol</t>
        </is>
      </c>
      <c r="H140" s="18" t="inlineStr">
        <is>
          <t>Radioactive iodine</t>
        </is>
      </c>
      <c r="I140" s="15" t="inlineStr">
        <is>
          <t>1</t>
        </is>
      </c>
      <c r="J140" s="18"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(KI solution): ข้อนี้ไม่ใช่คำตอบที่ถูกต้องสำหรับภาวะ Diabetes mellitus เนื่องจากกลไกการออกฤทธิ์, efficacy หรือข้อบ่งใช้ไม่ตรงกับโจทย์ที่กำหนด
• ข้อ ง. (Propranolol): เป็น non-selective beta-blocker ข้าม blood-brain barrier ได้ดี เหมาะสำหรับ performance anxiety, essential tremor, migraine prophylaxis และ thyroid storm แต่ contraindication ใน asthma
• ข้อ จ. (Radioactive iodine):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0" s="18" t="inlineStr"/>
      <c r="L140" s="18" t="inlineStr">
        <is>
          <t>Diabetes mellitus</t>
        </is>
      </c>
      <c r="M140" s="18" t="inlineStr">
        <is>
          <t>Clinic</t>
        </is>
      </c>
      <c r="N140" s="18" t="inlineStr">
        <is>
          <t>ข้อ 31 (PLE_CC1_Practice_Exam.md)</t>
        </is>
      </c>
      <c r="O140" s="18" t="inlineStr">
        <is>
          <t>Mock</t>
        </is>
      </c>
      <c r="P140" s="18" t="inlineStr">
        <is>
          <t>Mock สภาเภสัชฯ Practice</t>
        </is>
      </c>
    </row>
    <row r="141">
      <c r="A141" s="15" t="inlineStr">
        <is>
          <t>139</t>
        </is>
      </c>
      <c r="B141" s="18" t="inlineStr">
        <is>
          <t>ยาในข้อใดควรใช้รักษาใน ผู้ป่วยหญิงให้นมบุตรที่เป็นไทรอยด์พิษ</t>
        </is>
      </c>
      <c r="C141" s="18" t="inlineStr"/>
      <c r="D141" s="18" t="inlineStr">
        <is>
          <t>Methimazole</t>
        </is>
      </c>
      <c r="E141" s="18" t="inlineStr">
        <is>
          <t>Propylthiouracil</t>
        </is>
      </c>
      <c r="F141" s="18" t="inlineStr">
        <is>
          <t>Radioactive iodine</t>
        </is>
      </c>
      <c r="G141" s="18" t="inlineStr">
        <is>
          <t>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41" s="18" t="inlineStr">
        <is>
          <t>ยาทุกข้อสามารถใช้ได้</t>
        </is>
      </c>
      <c r="I141" s="15" t="inlineStr">
        <is>
          <t>1</t>
        </is>
      </c>
      <c r="J141" s="18" t="inlineStr">
        <is>
          <t>✅ คำตอบที่ถูกต้อง: ข้อ ก. Methimazole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(Radioactive iodine): ข้อนี้ไม่ใช่คำตอบที่ถูกต้องสำหรับภาวะ Diabetes mellitus เนื่องจากกลไกการออกฤทธิ์, efficacy หรือข้อบ่งใช้ไม่ตรงกับโจทย์ที่กำหนด
• ข้อ ง. (ข้อ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Diabetes mellitus เนื่องจากกลไกการออกฤทธิ์, efficacy หรือข้อบ่งใช้ไม่ตรงกับโจทย์ที่กำหนด
• ข้อ จ. (ยาทุกข้อสามารถใช้ได้):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1" s="18" t="inlineStr"/>
      <c r="L141" s="18" t="inlineStr">
        <is>
          <t>Diabetes mellitus</t>
        </is>
      </c>
      <c r="M141" s="18" t="inlineStr">
        <is>
          <t>Clinic</t>
        </is>
      </c>
      <c r="N141" s="18" t="inlineStr">
        <is>
          <t>ข้อ 32 (PLE_CC1_Practice_Exam.md)</t>
        </is>
      </c>
      <c r="O141" s="18" t="inlineStr">
        <is>
          <t>Mock</t>
        </is>
      </c>
      <c r="P141" s="18" t="inlineStr">
        <is>
          <t>Mock สภาเภสัชฯ Practice</t>
        </is>
      </c>
    </row>
    <row r="142">
      <c r="A142" s="15" t="inlineStr">
        <is>
          <t>140</t>
        </is>
      </c>
      <c r="B142" s="18"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42" s="18" t="inlineStr"/>
      <c r="D142" s="18" t="inlineStr">
        <is>
          <t>Liraglutide 1.2 mg SC OD</t>
        </is>
      </c>
      <c r="E142" s="18" t="inlineStr">
        <is>
          <t>Levothyroxine 50 mcg OD</t>
        </is>
      </c>
      <c r="F142" s="18" t="inlineStr">
        <is>
          <t>Propylthiouracil 50 mg TID</t>
        </is>
      </c>
      <c r="G142" s="18" t="inlineStr">
        <is>
          <t>Methimazole 10 mg OD</t>
        </is>
      </c>
      <c r="H142" s="18" t="inlineStr">
        <is>
          <t>Pioglitazone 15 mg OD</t>
        </is>
      </c>
      <c r="I142" s="15" t="inlineStr">
        <is>
          <t>1</t>
        </is>
      </c>
      <c r="J142" s="1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42" s="18" t="inlineStr"/>
      <c r="L142" s="18" t="inlineStr">
        <is>
          <t>Diabetes mellitus</t>
        </is>
      </c>
      <c r="M142" s="18" t="inlineStr">
        <is>
          <t>Clinic</t>
        </is>
      </c>
      <c r="N142" s="18" t="inlineStr">
        <is>
          <t>ข้อ 1 (PLE_CC1_Practice_Exam.md)</t>
        </is>
      </c>
      <c r="O142" s="18" t="inlineStr">
        <is>
          <t>Mock</t>
        </is>
      </c>
      <c r="P142" s="18" t="inlineStr">
        <is>
          <t>Mock สภาเภสัชฯ Practice</t>
        </is>
      </c>
    </row>
    <row r="143">
      <c r="A143" s="15" t="inlineStr">
        <is>
          <t>141</t>
        </is>
      </c>
      <c r="B143" s="18"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3" s="18" t="inlineStr"/>
      <c r="D143" s="18" t="inlineStr">
        <is>
          <t>Methimazole 10 mg OD</t>
        </is>
      </c>
      <c r="E143" s="18" t="inlineStr">
        <is>
          <t>Pioglitazone 15 mg OD</t>
        </is>
      </c>
      <c r="F143" s="18" t="inlineStr">
        <is>
          <t>Insulin glargine 10 units SC HS</t>
        </is>
      </c>
      <c r="G143" s="18" t="inlineStr">
        <is>
          <t>Insulin lispro 4 units SC before meals</t>
        </is>
      </c>
      <c r="H143" s="18" t="inlineStr">
        <is>
          <t>Dapagliflozin 10 mg OD</t>
        </is>
      </c>
      <c r="I143" s="15" t="inlineStr">
        <is>
          <t>1</t>
        </is>
      </c>
      <c r="J143" s="1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3" s="18" t="inlineStr"/>
      <c r="L143" s="18" t="inlineStr">
        <is>
          <t>Diabetes mellitus</t>
        </is>
      </c>
      <c r="M143" s="18" t="inlineStr">
        <is>
          <t>Clinic</t>
        </is>
      </c>
      <c r="N143" s="18" t="inlineStr">
        <is>
          <t>ข้อ 17 (PLE_CC1_Practice_Exam.md)</t>
        </is>
      </c>
      <c r="O143" s="18" t="inlineStr">
        <is>
          <t>Mock</t>
        </is>
      </c>
      <c r="P143" s="18" t="inlineStr">
        <is>
          <t>Mock สภาเภสัชฯ Practice</t>
        </is>
      </c>
    </row>
    <row r="144">
      <c r="A144" s="15" t="inlineStr">
        <is>
          <t>142</t>
        </is>
      </c>
      <c r="B144" s="18" t="inlineStr">
        <is>
          <t>ตอบ ข. มีอาการท้องเสีย หงุดหงิดง่าย เหงื่อออกมาก เนื่องจาก เป็นอาการของ Hyperthyroid</t>
        </is>
      </c>
      <c r="C144" s="18" t="inlineStr"/>
      <c r="D144" s="18" t="inlineStr">
        <is>
          <t>ผิดตรงน้ำหนักเพิ่ม</t>
        </is>
      </c>
      <c r="E144" s="18" t="inlineStr">
        <is>
          <t>และง.ผิด Graves’ disease คือ สาเหตุหลัก ส่วน Hashimoto’s thyroiditis คือสาเหตุหลักของ hypothyroidism</t>
        </is>
      </c>
      <c r="F144" s="18" t="inlineStr">
        <is>
          <t>ผิดพบในเพศหญิงมากกว่าเพศชาย</t>
        </is>
      </c>
      <c r="G144" s="18" t="inlineStr">
        <is>
          <t>Metformin 500 mg BID</t>
        </is>
      </c>
      <c r="H144" s="18" t="inlineStr">
        <is>
          <t>Glipizide 5 mg OD</t>
        </is>
      </c>
      <c r="I144" s="15" t="inlineStr">
        <is>
          <t>1</t>
        </is>
      </c>
      <c r="J144" s="18"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ข้อนี้ไม่ใช่คำตอบที่ถูกต้องสำหรับภาวะ Diabetes mellitus เนื่องจากกลไกการออกฤทธิ์, efficacy หรือข้อบ่งใช้ไม่ตรงกับโจทย์ที่กำหนด
• ข้อ ค. (ผิดพบในเพศหญิงมากกว่าเพศชาย): ข้อนี้ไม่ใช่คำตอบที่ถูกต้องสำหรับภาวะ Diabetes mellitus เนื่องจากกลไกการออกฤทธิ์, efficacy หรือข้อบ่งใช้ไม่ตรงกับโจทย์ที่กำหนด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4" s="18" t="inlineStr"/>
      <c r="L144" s="18" t="inlineStr">
        <is>
          <t>Diabetes mellitus</t>
        </is>
      </c>
      <c r="M144" s="18" t="inlineStr">
        <is>
          <t>Clinic</t>
        </is>
      </c>
      <c r="N144" s="18" t="inlineStr">
        <is>
          <t>ข้อ 21 (PLE_CC1_Practice_Exam.md)</t>
        </is>
      </c>
      <c r="O144" s="18" t="inlineStr">
        <is>
          <t>Mock</t>
        </is>
      </c>
      <c r="P144" s="18" t="inlineStr">
        <is>
          <t>Mock สภาเภสัชฯ Practice</t>
        </is>
      </c>
    </row>
    <row r="145">
      <c r="A145" s="15" t="inlineStr">
        <is>
          <t>143</t>
        </is>
      </c>
      <c r="B145" s="18"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5" s="18" t="inlineStr"/>
      <c r="D145" s="18" t="inlineStr">
        <is>
          <t>Metformin 500 mg BID</t>
        </is>
      </c>
      <c r="E145" s="18" t="inlineStr">
        <is>
          <t>Glipizide 5 mg OD</t>
        </is>
      </c>
      <c r="F145" s="18" t="inlineStr">
        <is>
          <t>Empagliflozin 10 mg OD</t>
        </is>
      </c>
      <c r="G145" s="18" t="inlineStr">
        <is>
          <t>Sitagliptin 100 mg OD</t>
        </is>
      </c>
      <c r="H145" s="18" t="inlineStr">
        <is>
          <t>Liraglutide 1.2 mg SC OD</t>
        </is>
      </c>
      <c r="I145" s="15" t="inlineStr">
        <is>
          <t>1</t>
        </is>
      </c>
      <c r="J145" s="1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5" s="18" t="inlineStr"/>
      <c r="L145" s="18" t="inlineStr">
        <is>
          <t>Diabetes mellitus</t>
        </is>
      </c>
      <c r="M145" s="18" t="inlineStr">
        <is>
          <t>Clinic</t>
        </is>
      </c>
      <c r="N145" s="18" t="inlineStr">
        <is>
          <t>ข้อ 26 (PLE_CC1_Practice_Exam.md)</t>
        </is>
      </c>
      <c r="O145" s="18" t="inlineStr">
        <is>
          <t>Mock</t>
        </is>
      </c>
      <c r="P145" s="18" t="inlineStr">
        <is>
          <t>Mock สภาเภสัชฯ Practice</t>
        </is>
      </c>
    </row>
    <row r="146">
      <c r="A146" s="15" t="inlineStr">
        <is>
          <t>144</t>
        </is>
      </c>
      <c r="B146" s="18" t="inlineStr">
        <is>
          <t>ตอบ ค. Myxedema พัฒนาขึ้นเฉพาะในคนที่เป็นโรค Hypothyroidism ซึ่งเกิดจากต่อมไทรอยด์ทำงานน้อยผิดปกติ</t>
        </is>
      </c>
      <c r="C146" s="18" t="inlineStr"/>
      <c r="D146" s="18" t="inlineStr">
        <is>
          <t>Sitagliptin 100 mg OD</t>
        </is>
      </c>
      <c r="E146" s="18" t="inlineStr">
        <is>
          <t>Liraglutide 1.2 mg SC OD</t>
        </is>
      </c>
      <c r="F146" s="18" t="inlineStr">
        <is>
          <t>Levothyroxine 50 mcg OD</t>
        </is>
      </c>
      <c r="G146" s="18" t="inlineStr">
        <is>
          <t>Propylthiouracil 50 mg TID</t>
        </is>
      </c>
      <c r="H146" s="18" t="inlineStr">
        <is>
          <t>Methimazole 10 mg OD</t>
        </is>
      </c>
      <c r="I146" s="15" t="inlineStr">
        <is>
          <t>1</t>
        </is>
      </c>
      <c r="J146" s="18"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6" s="18" t="inlineStr"/>
      <c r="L146" s="18" t="inlineStr">
        <is>
          <t>Diabetes mellitus</t>
        </is>
      </c>
      <c r="M146" s="18" t="inlineStr">
        <is>
          <t>Clinic</t>
        </is>
      </c>
      <c r="N146" s="18" t="inlineStr">
        <is>
          <t>ข้อ 28 (PLE_CC1_Practice_Exam.md)</t>
        </is>
      </c>
      <c r="O146" s="18" t="inlineStr">
        <is>
          <t>Mock</t>
        </is>
      </c>
      <c r="P146" s="18" t="inlineStr">
        <is>
          <t>Mock สภาเภสัชฯ Practice</t>
        </is>
      </c>
    </row>
    <row r="147">
      <c r="A147" s="15" t="inlineStr">
        <is>
          <t>145</t>
        </is>
      </c>
      <c r="B147" s="18"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7" s="18" t="inlineStr"/>
      <c r="D147" s="18" t="inlineStr">
        <is>
          <t>Propylthiouracil 50 mg TID</t>
        </is>
      </c>
      <c r="E147" s="18" t="inlineStr">
        <is>
          <t>Methimazole 10 mg OD</t>
        </is>
      </c>
      <c r="F147" s="18" t="inlineStr">
        <is>
          <t>Pioglitazone 15 mg OD</t>
        </is>
      </c>
      <c r="G147" s="18" t="inlineStr">
        <is>
          <t>Insulin glargine 10 units SC HS</t>
        </is>
      </c>
      <c r="H147" s="18" t="inlineStr">
        <is>
          <t>Insulin lispro 4 units SC before meals</t>
        </is>
      </c>
      <c r="I147" s="15" t="inlineStr">
        <is>
          <t>1</t>
        </is>
      </c>
      <c r="J147" s="1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7" s="18" t="inlineStr"/>
      <c r="L147" s="18" t="inlineStr">
        <is>
          <t>Diabetes mellitus</t>
        </is>
      </c>
      <c r="M147" s="18" t="inlineStr">
        <is>
          <t>Clinic</t>
        </is>
      </c>
      <c r="N147" s="18" t="inlineStr">
        <is>
          <t>ข้อ 29 (PLE_CC1_Practice_Exam.md)</t>
        </is>
      </c>
      <c r="O147" s="18" t="inlineStr">
        <is>
          <t>Mock</t>
        </is>
      </c>
      <c r="P147" s="18" t="inlineStr">
        <is>
          <t>Mock สภาเภสัชฯ Practice</t>
        </is>
      </c>
    </row>
    <row r="148">
      <c r="A148" s="15" t="inlineStr">
        <is>
          <t>146</t>
        </is>
      </c>
      <c r="B148" s="18"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8" s="18" t="inlineStr"/>
      <c r="D148" s="18" t="inlineStr">
        <is>
          <t>Insulin glargine 10 units SC HS</t>
        </is>
      </c>
      <c r="E148" s="18" t="inlineStr">
        <is>
          <t>Insulin lispro 4 units SC before meals</t>
        </is>
      </c>
      <c r="F148" s="18" t="inlineStr">
        <is>
          <t>Dapagliflozin 10 mg OD</t>
        </is>
      </c>
      <c r="G148" s="18" t="inlineStr">
        <is>
          <t>Semaglutide 0.5 mg SC weekly</t>
        </is>
      </c>
      <c r="H148" s="18" t="inlineStr">
        <is>
          <t>Metformin 500 mg BID</t>
        </is>
      </c>
      <c r="I148" s="15" t="inlineStr">
        <is>
          <t>1</t>
        </is>
      </c>
      <c r="J148" s="1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8" s="18" t="inlineStr"/>
      <c r="L148" s="18" t="inlineStr">
        <is>
          <t>Diabetes mellitus</t>
        </is>
      </c>
      <c r="M148" s="18" t="inlineStr">
        <is>
          <t>Clinic</t>
        </is>
      </c>
      <c r="N148" s="18" t="inlineStr">
        <is>
          <t>ข้อ 8 (PLE_CC1_Practice_Exam.md)</t>
        </is>
      </c>
      <c r="O148" s="18" t="inlineStr">
        <is>
          <t>Mock</t>
        </is>
      </c>
      <c r="P148" s="18" t="inlineStr">
        <is>
          <t>Mock สภาเภสัชฯ Practice</t>
        </is>
      </c>
    </row>
    <row r="149">
      <c r="A149" s="15" t="inlineStr">
        <is>
          <t>147</t>
        </is>
      </c>
      <c r="B149" s="18"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9" s="18" t="inlineStr"/>
      <c r="D149" s="18" t="inlineStr">
        <is>
          <t>Timolol</t>
        </is>
      </c>
      <c r="E149" s="18" t="inlineStr">
        <is>
          <t>Pilocarpine</t>
        </is>
      </c>
      <c r="F149" s="18" t="inlineStr">
        <is>
          <t>Acetazolamide</t>
        </is>
      </c>
      <c r="G149" s="18" t="inlineStr">
        <is>
          <t>Betaxolol</t>
        </is>
      </c>
      <c r="H149" s="18" t="inlineStr">
        <is>
          <t>Brimonidine</t>
        </is>
      </c>
      <c r="I149" s="15" t="inlineStr">
        <is>
          <t>1</t>
        </is>
      </c>
      <c r="J149" s="18"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ข้อนี้ไม่ใช่คำตอบที่ถูกต้องสำหรับภาวะ Diabetes mellitus เนื่องจากกลไกการออกฤทธิ์, efficacy หรือข้อบ่งใช้ไม่ตรงกับโจทย์ที่กำหนด
• ข้อ ค. (Acetazolamide): ข้อนี้ไม่ใช่คำตอบที่ถูกต้องสำหรับภาวะ Diabetes mellitus เนื่องจากกลไกการออกฤทธิ์, efficacy หรือข้อบ่งใช้ไม่ตรงกับโจทย์ที่กำหนด
• ข้อ ง. (Betaxolol): ข้อนี้ไม่ใช่คำตอบที่ถูกต้องสำหรับภาวะ Diabetes mellitus เนื่องจากกลไกการออกฤทธิ์, efficacy หรือข้อบ่งใช้ไม่ตรงกับโจทย์ที่กำหนด
• ข้อ จ. (Brimonidine):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18" t="inlineStr"/>
      <c r="L149" s="18" t="inlineStr">
        <is>
          <t>Diabetes mellitus</t>
        </is>
      </c>
      <c r="M149" s="18" t="inlineStr">
        <is>
          <t>Clinic</t>
        </is>
      </c>
      <c r="N149" s="18" t="inlineStr">
        <is>
          <t>ข้อ 2 (PLE_CC1_Practice_Exam.md)</t>
        </is>
      </c>
      <c r="O149" s="18" t="inlineStr">
        <is>
          <t>Mock</t>
        </is>
      </c>
      <c r="P149" s="18" t="inlineStr">
        <is>
          <t>Mock สภาเภสัชฯ Practice</t>
        </is>
      </c>
    </row>
    <row r="150">
      <c r="A150" s="15" t="inlineStr">
        <is>
          <t>148</t>
        </is>
      </c>
      <c r="B150" s="18" t="inlineStr">
        <is>
          <t>ผู้ป่วยที่มีประวัติโรคเบาหวาน</t>
        </is>
      </c>
      <c r="C150" s="18" t="inlineStr"/>
      <c r="D150" s="18" t="inlineStr">
        <is>
          <t>Empagliflozin 10 mg OD</t>
        </is>
      </c>
      <c r="E150" s="18" t="inlineStr">
        <is>
          <t>Sitagliptin 100 mg OD</t>
        </is>
      </c>
      <c r="F150" s="18" t="inlineStr">
        <is>
          <t>Liraglutide 1.2 mg SC OD</t>
        </is>
      </c>
      <c r="G150" s="18" t="inlineStr">
        <is>
          <t>Levothyroxine 50 mcg OD</t>
        </is>
      </c>
      <c r="H150" s="18" t="inlineStr">
        <is>
          <t>Propylthiouracil 50 mg TID</t>
        </is>
      </c>
      <c r="I150" s="15" t="inlineStr">
        <is>
          <t>1</t>
        </is>
      </c>
      <c r="J150" s="18"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50" s="18" t="inlineStr"/>
      <c r="L150" s="18" t="inlineStr">
        <is>
          <t>Diabetes mellitus</t>
        </is>
      </c>
      <c r="M150" s="18" t="inlineStr">
        <is>
          <t>Clinic</t>
        </is>
      </c>
      <c r="N150" s="18" t="inlineStr">
        <is>
          <t>ข้อ 3 (PLE_CC1_Practice_Exam.md)</t>
        </is>
      </c>
      <c r="O150" s="18" t="inlineStr">
        <is>
          <t>Mock</t>
        </is>
      </c>
      <c r="P150" s="18" t="inlineStr">
        <is>
          <t>Mock สภาเภสัชฯ Practice</t>
        </is>
      </c>
    </row>
    <row r="151">
      <c r="A151" s="15" t="inlineStr">
        <is>
          <t>149</t>
        </is>
      </c>
      <c r="B151" s="18" t="inlineStr">
        <is>
          <t>กระตุ้นการหลั่ง insulin จาก pancreatic beta cells</t>
        </is>
      </c>
      <c r="C151" s="18" t="inlineStr"/>
      <c r="D151" s="18" t="inlineStr">
        <is>
          <t>Levothyroxine 50 mcg OD</t>
        </is>
      </c>
      <c r="E151" s="18" t="inlineStr">
        <is>
          <t>Propylthiouracil 50 mg TID</t>
        </is>
      </c>
      <c r="F151" s="18" t="inlineStr">
        <is>
          <t>Methimazole 10 mg OD</t>
        </is>
      </c>
      <c r="G151" s="18" t="inlineStr">
        <is>
          <t>Pioglitazone 15 mg OD</t>
        </is>
      </c>
      <c r="H151" s="18" t="inlineStr">
        <is>
          <t>Insulin glargine 10 units SC HS</t>
        </is>
      </c>
      <c r="I151" s="15" t="inlineStr">
        <is>
          <t>1</t>
        </is>
      </c>
      <c r="J151" s="1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18" t="inlineStr"/>
      <c r="L151" s="18" t="inlineStr">
        <is>
          <t>Diabetes mellitus</t>
        </is>
      </c>
      <c r="M151" s="18" t="inlineStr">
        <is>
          <t>Clinic</t>
        </is>
      </c>
      <c r="N151" s="18" t="inlineStr">
        <is>
          <t>ข้อ 3 (PLE_CC1_Key_Rx20_UBU.md)</t>
        </is>
      </c>
      <c r="O151" s="18" t="inlineStr">
        <is>
          <t>Mock</t>
        </is>
      </c>
      <c r="P151" s="18" t="inlineStr">
        <is>
          <t>Mock Rx20 UBU</t>
        </is>
      </c>
    </row>
    <row r="152">
      <c r="A152" s="15" t="inlineStr">
        <is>
          <t>150</t>
        </is>
      </c>
      <c r="B152" s="18" t="inlineStr">
        <is>
          <t>ข้อใดไม่ใช่อาการแทรกซ้อนของโรคเบาหวาน เ%นHlme Metformm AวยลดMหNกOวใด</t>
        </is>
      </c>
      <c r="C152" s="18" t="inlineStr"/>
      <c r="D152" s="18" t="inlineStr">
        <is>
          <t>- - sulfonyl Ohea กระPนการหQง lhsulmi หกbeta - all ในOบRอน</t>
        </is>
      </c>
      <c r="E152" s="18" t="inlineStr">
        <is>
          <t>Insulin glargine 10 units SC HS</t>
        </is>
      </c>
      <c r="F152" s="18" t="inlineStr">
        <is>
          <t>Insulin lispro 4 units SC before meals</t>
        </is>
      </c>
      <c r="G152" s="18" t="inlineStr">
        <is>
          <t>Dapagliflozin 10 mg OD</t>
        </is>
      </c>
      <c r="H152" s="18" t="inlineStr">
        <is>
          <t>Semaglutide 0.5 mg SC weekly</t>
        </is>
      </c>
      <c r="I152" s="15" t="inlineStr">
        <is>
          <t>1</t>
        </is>
      </c>
      <c r="J152" s="18"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(Dapagliflozin 10 mg OD): เป็น SGLT2 inhibitor ได้รับการรับรองใน HFrEF, CKD และ T2DM เด่นชัดในด้าน renal &amp; cardiovascular protective efficacy
• ข้อ จ.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2" s="18" t="inlineStr"/>
      <c r="L152" s="18" t="inlineStr">
        <is>
          <t>Diabetes mellitus</t>
        </is>
      </c>
      <c r="M152" s="18" t="inlineStr">
        <is>
          <t>Clinic</t>
        </is>
      </c>
      <c r="N152" s="18" t="inlineStr">
        <is>
          <t>ข้อ 48 (PLE_CC1_Key_Rx20_UBU.md)</t>
        </is>
      </c>
      <c r="O152" s="18" t="inlineStr">
        <is>
          <t>Mock</t>
        </is>
      </c>
      <c r="P152" s="18" t="inlineStr">
        <is>
          <t>Mock Rx20 UBU</t>
        </is>
      </c>
    </row>
    <row r="153">
      <c r="A153" s="15" t="inlineStr">
        <is>
          <t>151</t>
        </is>
      </c>
      <c r="B153" s="18" t="inlineStr">
        <is>
          <t>ทำ DMSO เมื่อมีอาการปวดเป็นเวลา 7 วัน</t>
        </is>
      </c>
      <c r="C153" s="18" t="inlineStr"/>
      <c r="D153" s="18" t="inlineStr">
        <is>
          <t>Dapagliflozin 10 mg OD</t>
        </is>
      </c>
      <c r="E153" s="18" t="inlineStr">
        <is>
          <t>Semaglutide 0.5 mg SC weekly</t>
        </is>
      </c>
      <c r="F153" s="18" t="inlineStr">
        <is>
          <t>Metformin 500 mg BID</t>
        </is>
      </c>
      <c r="G153" s="18" t="inlineStr">
        <is>
          <t>Glipizide 5 mg OD</t>
        </is>
      </c>
      <c r="H153" s="18" t="inlineStr">
        <is>
          <t>Empagliflozin 10 mg OD</t>
        </is>
      </c>
      <c r="I153" s="15" t="inlineStr">
        <is>
          <t>1</t>
        </is>
      </c>
      <c r="J153" s="1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3" s="18" t="inlineStr"/>
      <c r="L153" s="18" t="inlineStr">
        <is>
          <t>Diabetes mellitus</t>
        </is>
      </c>
      <c r="M153" s="18" t="inlineStr">
        <is>
          <t>Clinic</t>
        </is>
      </c>
      <c r="N153" s="18" t="inlineStr">
        <is>
          <t>ข้อ 4 (PLE_CC1_Key_Rx20_UBU.md)</t>
        </is>
      </c>
      <c r="O153" s="18" t="inlineStr">
        <is>
          <t>Mock</t>
        </is>
      </c>
      <c r="P153" s="18" t="inlineStr">
        <is>
          <t>Mock Rx20 UBU</t>
        </is>
      </c>
    </row>
    <row r="154">
      <c r="A154" s="15" t="inlineStr">
        <is>
          <t>152</t>
        </is>
      </c>
      <c r="B154" s="18" t="inlineStr">
        <is>
          <t>Insulin ควรใช้เป็นลำดับแแรกในการเริ่มรักษาผู้ป่วยเบาหวานชนิดที่ 2 หากไม่มีข้อห้ามใช้</t>
        </is>
      </c>
      <c r="C154" s="18" t="inlineStr"/>
      <c r="D154" s="18" t="inlineStr">
        <is>
          <t>Glipizide 5 mg OD</t>
        </is>
      </c>
      <c r="E154" s="18" t="inlineStr">
        <is>
          <t>Empagliflozin 10 mg OD</t>
        </is>
      </c>
      <c r="F154" s="18" t="inlineStr">
        <is>
          <t>Sitagliptin 100 mg OD</t>
        </is>
      </c>
      <c r="G154" s="18" t="inlineStr">
        <is>
          <t>Liraglutide 1.2 mg SC OD</t>
        </is>
      </c>
      <c r="H154" s="18" t="inlineStr">
        <is>
          <t>Levothyroxine 50 mcg OD</t>
        </is>
      </c>
      <c r="I154" s="15" t="inlineStr">
        <is>
          <t>5</t>
        </is>
      </c>
      <c r="J154" s="18"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4" s="18" t="inlineStr"/>
      <c r="L154" s="18" t="inlineStr">
        <is>
          <t>Diabetes mellitus</t>
        </is>
      </c>
      <c r="M154" s="18" t="inlineStr">
        <is>
          <t>Clinic</t>
        </is>
      </c>
      <c r="N154" s="18" t="inlineStr">
        <is>
          <t>ข้อ 4 (PLE_CC1_Key_Rx20_UBU.md)</t>
        </is>
      </c>
      <c r="O154" s="18" t="inlineStr">
        <is>
          <t>Mock</t>
        </is>
      </c>
      <c r="P154" s="18" t="inlineStr">
        <is>
          <t>Mock Rx20 UBU</t>
        </is>
      </c>
    </row>
    <row r="155">
      <c r="A155" s="15" t="inlineStr">
        <is>
          <t>153</t>
        </is>
      </c>
      <c r="B155" s="18" t="inlineStr">
        <is>
          <t>ต่อมาผู้ป่วยมีผลตรวจร่างกายดังนี้ FBS 164 mg/dl, HbA1c 9.5 %, BUN 12, Scr 0.8, AST 210, ALT 250 ยาในข้อใดสามารถใช้ได้ปลอดภัยในผู้ป่วยรายนี้</t>
        </is>
      </c>
      <c r="C155" s="18" t="inlineStr"/>
      <c r="D155" s="18" t="inlineStr">
        <is>
          <t>Liraglutide 1.2 mg SC OD</t>
        </is>
      </c>
      <c r="E155" s="18" t="inlineStr">
        <is>
          <t>Levothyroxine 50 mcg OD</t>
        </is>
      </c>
      <c r="F155" s="18" t="inlineStr">
        <is>
          <t>Propylthiouracil 50 mg TID</t>
        </is>
      </c>
      <c r="G155" s="18" t="inlineStr">
        <is>
          <t>Methimazole 10 mg OD</t>
        </is>
      </c>
      <c r="H155" s="18" t="inlineStr">
        <is>
          <t>Pioglitazone 15 mg OD</t>
        </is>
      </c>
      <c r="I155" s="15" t="inlineStr">
        <is>
          <t>1</t>
        </is>
      </c>
      <c r="J155" s="1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5" s="18" t="inlineStr"/>
      <c r="L155" s="18" t="inlineStr">
        <is>
          <t>Diabetes mellitus</t>
        </is>
      </c>
      <c r="M155" s="18" t="inlineStr">
        <is>
          <t>Clinic</t>
        </is>
      </c>
      <c r="N155" s="18" t="inlineStr">
        <is>
          <t>ข้อ 6 (PLE_CC1_Key_Rx20_UBU.md)</t>
        </is>
      </c>
      <c r="O155" s="18" t="inlineStr">
        <is>
          <t>Mock</t>
        </is>
      </c>
      <c r="P155" s="18" t="inlineStr">
        <is>
          <t>Mock Rx20 UBU</t>
        </is>
      </c>
    </row>
    <row r="156">
      <c r="A156" s="15" t="inlineStr">
        <is>
          <t>154</t>
        </is>
      </c>
      <c r="B156" s="18" t="inlineStr">
        <is>
          <t>จัดเป็น intermediate insulin</t>
        </is>
      </c>
      <c r="C156" s="18" t="inlineStr"/>
      <c r="D156" s="18" t="inlineStr">
        <is>
          <t>Methimazole 10 mg OD</t>
        </is>
      </c>
      <c r="E156" s="18" t="inlineStr">
        <is>
          <t>Pioglitazone 15 mg OD</t>
        </is>
      </c>
      <c r="F156" s="18" t="inlineStr">
        <is>
          <t>Insulin glargine 10 units SC HS</t>
        </is>
      </c>
      <c r="G156" s="18" t="inlineStr">
        <is>
          <t>Insulin lispro 4 units SC before meals</t>
        </is>
      </c>
      <c r="H156" s="18" t="inlineStr">
        <is>
          <t>Dapagliflozin 10 mg OD</t>
        </is>
      </c>
      <c r="I156" s="15" t="inlineStr">
        <is>
          <t>1</t>
        </is>
      </c>
      <c r="J156" s="1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6" s="18" t="inlineStr"/>
      <c r="L156" s="18" t="inlineStr">
        <is>
          <t>Diabetes mellitus</t>
        </is>
      </c>
      <c r="M156" s="18" t="inlineStr">
        <is>
          <t>Clinic</t>
        </is>
      </c>
      <c r="N156" s="18" t="inlineStr">
        <is>
          <t>ข้อ 3 (PLE_CC1_Key_Rx20_UBU.md)</t>
        </is>
      </c>
      <c r="O156" s="18" t="inlineStr">
        <is>
          <t>Mock</t>
        </is>
      </c>
      <c r="P156" s="18" t="inlineStr">
        <is>
          <t>Mock Rx20 UBU</t>
        </is>
      </c>
    </row>
    <row r="157">
      <c r="A157" s="15" t="inlineStr">
        <is>
          <t>155</t>
        </is>
      </c>
      <c r="B157" s="18"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7" s="18" t="inlineStr"/>
      <c r="D157" s="18" t="inlineStr">
        <is>
          <t>Insulin lispro 4 units SC before meals</t>
        </is>
      </c>
      <c r="E157" s="18" t="inlineStr">
        <is>
          <t>Dapagliflozin 10 mg OD</t>
        </is>
      </c>
      <c r="F157" s="18" t="inlineStr">
        <is>
          <t>Semaglutide 0.5 mg SC weekly</t>
        </is>
      </c>
      <c r="G157" s="18" t="inlineStr">
        <is>
          <t>Metformin 500 mg BID</t>
        </is>
      </c>
      <c r="H157" s="18" t="inlineStr">
        <is>
          <t>Glipizide 5 mg OD</t>
        </is>
      </c>
      <c r="I157" s="15" t="inlineStr">
        <is>
          <t>1</t>
        </is>
      </c>
      <c r="J157" s="18"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7" s="18" t="inlineStr"/>
      <c r="L157" s="18" t="inlineStr">
        <is>
          <t>Diabetes mellitus</t>
        </is>
      </c>
      <c r="M157" s="18" t="inlineStr">
        <is>
          <t>Clinic</t>
        </is>
      </c>
      <c r="N157" s="18" t="inlineStr">
        <is>
          <t>ข้อ 5 (PLE_CC1_Key_Rx20_UBU.md)</t>
        </is>
      </c>
      <c r="O157" s="18" t="inlineStr">
        <is>
          <t>Mock</t>
        </is>
      </c>
      <c r="P157" s="18" t="inlineStr">
        <is>
          <t>Mock Rx20 UBU</t>
        </is>
      </c>
    </row>
    <row r="158">
      <c r="A158" s="15" t="inlineStr">
        <is>
          <t>156</t>
        </is>
      </c>
      <c r="B158" s="18"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8" s="18" t="inlineStr"/>
      <c r="D158" s="18" t="inlineStr">
        <is>
          <t>Metformin 500 mg BID</t>
        </is>
      </c>
      <c r="E158" s="18" t="inlineStr">
        <is>
          <t>Glipizide 5 mg OD</t>
        </is>
      </c>
      <c r="F158" s="18" t="inlineStr">
        <is>
          <t>Empagliflozin 10 mg OD</t>
        </is>
      </c>
      <c r="G158" s="18" t="inlineStr">
        <is>
          <t>Sitagliptin 100 mg OD</t>
        </is>
      </c>
      <c r="H158" s="18" t="inlineStr">
        <is>
          <t>Liraglutide 1.2 mg SC OD</t>
        </is>
      </c>
      <c r="I158" s="15" t="inlineStr">
        <is>
          <t>1</t>
        </is>
      </c>
      <c r="J158" s="1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8" s="18" t="inlineStr"/>
      <c r="L158" s="18" t="inlineStr">
        <is>
          <t>Diabetes mellitus</t>
        </is>
      </c>
      <c r="M158" s="18" t="inlineStr">
        <is>
          <t>Clinic</t>
        </is>
      </c>
      <c r="N158" s="18" t="inlineStr">
        <is>
          <t>ข้อ 2 (PLE_CC1_Key_Rx20_UBU.md)</t>
        </is>
      </c>
      <c r="O158" s="18" t="inlineStr">
        <is>
          <t>Mock</t>
        </is>
      </c>
      <c r="P158" s="18" t="inlineStr">
        <is>
          <t>Mock Rx20 UBU</t>
        </is>
      </c>
    </row>
    <row r="159">
      <c r="A159" s="15" t="inlineStr">
        <is>
          <t>157</t>
        </is>
      </c>
      <c r="B159" s="18" t="inlineStr">
        <is>
          <t>การพัฒนายา Insulin ให$อยูGในรูปสารประกอบเชิงซ$อน สามารถใช$สารใด</t>
        </is>
      </c>
      <c r="C159" s="18" t="inlineStr"/>
      <c r="D159" s="18" t="inlineStr">
        <is>
          <t>Protamine sulfate</t>
        </is>
      </c>
      <c r="E159" s="18" t="inlineStr">
        <is>
          <t>Calcium carbonate</t>
        </is>
      </c>
      <c r="F159" s="18" t="inlineStr">
        <is>
          <t>Triethanolamine</t>
        </is>
      </c>
      <c r="G159" s="18" t="inlineStr">
        <is>
          <t>Sodium chloride</t>
        </is>
      </c>
      <c r="H159" s="18" t="inlineStr">
        <is>
          <t>Dextrose</t>
        </is>
      </c>
      <c r="I159" s="15" t="inlineStr">
        <is>
          <t>1</t>
        </is>
      </c>
      <c r="J159" s="18"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เป็น Phosphate binder สำหรับ CKD ต้องเคี้ยวพร้อมอาหารเพื่อจับฟอสเฟตในทางเดินอาหาร และทำหน้าที่เสริมแคลเซียม
• ข้อ ค. (Triethanolamine): ข้อนี้ไม่ใช่คำตอบที่ถูกต้องสำหรับภาวะ Diabetes mellitus เนื่องจากกลไกการออกฤทธิ์, efficacy หรือข้อบ่งใช้ไม่ตรงกับโจทย์ที่กำหนด
• ข้อ ง. (Sodium chloride): ข้อนี้ไม่ใช่คำตอบที่ถูกต้องสำหรับภาวะ Diabetes mellitus เนื่องจากกลไกการออกฤทธิ์, efficacy หรือข้อบ่งใช้ไม่ตรงกับโจทย์ที่กำหนด
• ข้อ จ. (Dextrose):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9" s="18" t="inlineStr"/>
      <c r="L159" s="18" t="inlineStr">
        <is>
          <t>Diabetes mellitus</t>
        </is>
      </c>
      <c r="M159" s="18" t="inlineStr">
        <is>
          <t>Clinic</t>
        </is>
      </c>
      <c r="N159" s="18" t="inlineStr">
        <is>
          <t>ข้อ 13 (PLE_CC1_Key_Rx20_UBU.md)</t>
        </is>
      </c>
      <c r="O159" s="18" t="inlineStr">
        <is>
          <t>Mock</t>
        </is>
      </c>
      <c r="P159" s="18" t="inlineStr">
        <is>
          <t>Mock Rx20 UBU</t>
        </is>
      </c>
    </row>
    <row r="160">
      <c r="A160" s="15" t="inlineStr">
        <is>
          <t>158</t>
        </is>
      </c>
      <c r="B160" s="18" t="inlineStr">
        <is>
          <t>NPH Insulin มีจำหนGายที่ใด</t>
        </is>
      </c>
      <c r="C160" s="18" t="inlineStr"/>
      <c r="D160" s="18" t="inlineStr">
        <is>
          <t>ร$านขายยาแผนป[จจุบัน</t>
        </is>
      </c>
      <c r="E160" s="18" t="inlineStr">
        <is>
          <t>ร$านขายยาอันตรายและยาควบคุมพิเศษ</t>
        </is>
      </c>
      <c r="F160" s="18" t="inlineStr">
        <is>
          <t>สถานพยาบาลของแพทยเ_วชปฏิบัติทั่วไป</t>
        </is>
      </c>
      <c r="G160" s="18" t="inlineStr">
        <is>
          <t>สถานพยาบาลที่รับผู$ป&amp;วยไว$ค$างคืน</t>
        </is>
      </c>
      <c r="H160" s="18" t="inlineStr">
        <is>
          <t>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t>
        </is>
      </c>
      <c r="I160" s="15" t="inlineStr">
        <is>
          <t>2</t>
        </is>
      </c>
      <c r="J160" s="18" t="inlineStr">
        <is>
          <t>✅ คำตอบที่ถูกต้อง: ข้อ ข. ร$านขายยาอันตรายและยาควบคุมพิเศษ
💡 Background:
การบริบาลผู้ป่วยเบาหวานชนิดที่ 2 (T2DM) เน้นควบคุม HbA1c ควบคู่กับการเลือกยาที่มี cardiorenal protection ในผู้ป่วยที่มีโรคร่วม
🎯 ทำไมข้อนี้ถึงถูก:
ร$านขายยาอันตรายและยาควบคุมพิเศษ การเลือก ร$านขายยาอันตรายและยาควบคุมพิเศษ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(ร$านขายยาแผนป[จจุบัน): ข้อนี้ไม่ใช่คำตอบที่ถูกต้องสำหรับภาวะ Diabetes mellitus เนื่องจากกลไกการออกฤทธิ์, efficacy หรือข้อบ่งใช้ไม่ตรงกับโจทย์ที่กำหนด
• ข้อ ค. (สถานพยาบาลของแพทยเ_วชปฏิบัติทั่วไป): ข้อนี้ไม่ใช่คำตอบที่ถูกต้องสำหรับภาวะ Diabetes mellitus เนื่องจากกลไกการออกฤทธิ์, efficacy หรือข้อบ่งใช้ไม่ตรงกับโจทย์ที่กำหนด
• ข้อ ง. (สถานพยาบาลที่รับผู$ป&amp;วยไว$ค$างคืน): ข้อนี้ไม่ใช่คำตอบที่ถูกต้องสำหรับภาวะ Diabetes mellitus เนื่องจากกลไกการออกฤทธิ์, efficacy หรือข้อบ่งใช้ไม่ตรงกับโจทย์ที่กำหนด
• ข้อ จ. (ร$านขายของชำทั่วไป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0" s="18" t="inlineStr"/>
      <c r="L160" s="18" t="inlineStr">
        <is>
          <t>Diabetes mellitus</t>
        </is>
      </c>
      <c r="M160" s="18" t="inlineStr">
        <is>
          <t>Clinic</t>
        </is>
      </c>
      <c r="N160" s="18" t="inlineStr">
        <is>
          <t>ข้อ 19 (PLE_CC1_Key_Rx20_UBU.md)</t>
        </is>
      </c>
      <c r="O160" s="18" t="inlineStr">
        <is>
          <t>Mock</t>
        </is>
      </c>
      <c r="P160" s="18" t="inlineStr">
        <is>
          <t>Mock Rx20 UBU</t>
        </is>
      </c>
    </row>
    <row r="161">
      <c r="A161" s="15" t="inlineStr">
        <is>
          <t>159</t>
        </is>
      </c>
      <c r="B161" s="18" t="inlineStr">
        <is>
          <t>มีประวัติเปญนเบาหวานขณะตั้งครรภ_</t>
        </is>
      </c>
      <c r="C161" s="18" t="inlineStr"/>
      <c r="D161" s="18" t="inlineStr">
        <is>
          <t>Insulin glargine 10 units SC HS</t>
        </is>
      </c>
      <c r="E161" s="18" t="inlineStr">
        <is>
          <t>Insulin lispro 4 units SC before meals</t>
        </is>
      </c>
      <c r="F161" s="18" t="inlineStr">
        <is>
          <t>Dapagliflozin 10 mg OD</t>
        </is>
      </c>
      <c r="G161" s="18" t="inlineStr">
        <is>
          <t>Semaglutide 0.5 mg SC weekly</t>
        </is>
      </c>
      <c r="H161" s="18" t="inlineStr">
        <is>
          <t>Metformin 500 mg BID</t>
        </is>
      </c>
      <c r="I161" s="15" t="inlineStr">
        <is>
          <t>1</t>
        </is>
      </c>
      <c r="J161" s="1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1" s="18" t="inlineStr"/>
      <c r="L161" s="18" t="inlineStr">
        <is>
          <t>Diabetes mellitus</t>
        </is>
      </c>
      <c r="M161" s="18" t="inlineStr">
        <is>
          <t>Clinic</t>
        </is>
      </c>
      <c r="N161" s="18" t="inlineStr">
        <is>
          <t>ข้อ 3 (PLE_CC1_Key_Rx20_UBU.md)</t>
        </is>
      </c>
      <c r="O161" s="18" t="inlineStr">
        <is>
          <t>Mock</t>
        </is>
      </c>
      <c r="P161" s="18" t="inlineStr">
        <is>
          <t>Mock Rx20 UBU</t>
        </is>
      </c>
    </row>
    <row r="162">
      <c r="A162" s="15" t="inlineStr">
        <is>
          <t>160</t>
        </is>
      </c>
      <c r="B162" s="18" t="inlineStr">
        <is>
          <t>......ให$ประโยคมาเกี่ยวกับอุบัติการณ_การเกิดโรคเบาหวาน ถามวGา คำวGา “อุบัติการณ_” หมายความวGาอยGางไร</t>
        </is>
      </c>
      <c r="C162" s="18" t="inlineStr"/>
      <c r="D162" s="18" t="inlineStr">
        <is>
          <t>Semaglutide 0.5 mg SC weekly</t>
        </is>
      </c>
      <c r="E162" s="18" t="inlineStr">
        <is>
          <t>Metformin 500 mg BID</t>
        </is>
      </c>
      <c r="F162" s="18" t="inlineStr">
        <is>
          <t>Glipizide 5 mg OD</t>
        </is>
      </c>
      <c r="G162" s="18" t="inlineStr">
        <is>
          <t>Empagliflozin 10 mg OD</t>
        </is>
      </c>
      <c r="H162" s="18" t="inlineStr">
        <is>
          <t>Sitagliptin 100 mg OD</t>
        </is>
      </c>
      <c r="I162" s="15" t="inlineStr">
        <is>
          <t>1</t>
        </is>
      </c>
      <c r="J162" s="1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62" s="18" t="inlineStr"/>
      <c r="L162" s="18" t="inlineStr">
        <is>
          <t>Diabetes mellitus</t>
        </is>
      </c>
      <c r="M162" s="18" t="inlineStr">
        <is>
          <t>Clinic</t>
        </is>
      </c>
      <c r="N162" s="18" t="inlineStr">
        <is>
          <t>ข้อ 106 (PLE_CC1_Key_Rx20_UBU.md)</t>
        </is>
      </c>
      <c r="O162" s="18" t="inlineStr">
        <is>
          <t>Mock</t>
        </is>
      </c>
      <c r="P162" s="18" t="inlineStr">
        <is>
          <t>Mock Rx20 UBU</t>
        </is>
      </c>
    </row>
    <row r="163">
      <c r="A163" s="15" t="inlineStr">
        <is>
          <t>161</t>
        </is>
      </c>
      <c r="B163" s="18" t="inlineStr">
        <is>
          <t>จำนวนผู$ป&amp;วยโรคเบาหวานรายใหมGจำนวนประชากรทั้งหมด ในพื้นที่ ในชGวงเวลาหนึ่ง</t>
        </is>
      </c>
      <c r="C163" s="18" t="inlineStr"/>
      <c r="D163" s="18" t="inlineStr">
        <is>
          <t>Empagliflozin 10 mg OD</t>
        </is>
      </c>
      <c r="E163" s="18" t="inlineStr">
        <is>
          <t>Sitagliptin 100 mg OD</t>
        </is>
      </c>
      <c r="F163" s="18" t="inlineStr">
        <is>
          <t>Liraglutide 1.2 mg SC OD</t>
        </is>
      </c>
      <c r="G163" s="18" t="inlineStr">
        <is>
          <t>Levothyroxine 50 mcg OD</t>
        </is>
      </c>
      <c r="H163" s="18" t="inlineStr">
        <is>
          <t>Propylthiouracil 50 mg TID</t>
        </is>
      </c>
      <c r="I163" s="15" t="inlineStr">
        <is>
          <t>1</t>
        </is>
      </c>
      <c r="J163" s="18"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3" s="18" t="inlineStr"/>
      <c r="L163" s="18" t="inlineStr">
        <is>
          <t>Diabetes mellitus</t>
        </is>
      </c>
      <c r="M163" s="18" t="inlineStr">
        <is>
          <t>Clinic</t>
        </is>
      </c>
      <c r="N163" s="18" t="inlineStr">
        <is>
          <t>ข้อ 1 (PLE_CC1_Key_Rx20_UBU.md)</t>
        </is>
      </c>
      <c r="O163" s="18" t="inlineStr">
        <is>
          <t>Mock</t>
        </is>
      </c>
      <c r="P163" s="18" t="inlineStr">
        <is>
          <t>Mock Rx20 UBU</t>
        </is>
      </c>
    </row>
    <row r="164">
      <c r="A164" s="15" t="inlineStr">
        <is>
          <t>162</t>
        </is>
      </c>
      <c r="B164" s="18" t="inlineStr">
        <is>
          <t>จำนวนผู$ป&amp;วยโรคเบาหวานรายใหมGตGอจำนวนประชากรที่มีความเสี่ยงที่จะเกิดโรคเบาห วาน</t>
        </is>
      </c>
      <c r="C164" s="18" t="inlineStr"/>
      <c r="D164" s="18" t="inlineStr">
        <is>
          <t>Levothyroxine 50 mcg OD</t>
        </is>
      </c>
      <c r="E164" s="18" t="inlineStr">
        <is>
          <t>Propylthiouracil 50 mg TID</t>
        </is>
      </c>
      <c r="F164" s="18" t="inlineStr">
        <is>
          <t>Methimazole 10 mg OD</t>
        </is>
      </c>
      <c r="G164" s="18" t="inlineStr">
        <is>
          <t>Pioglitazone 15 mg OD</t>
        </is>
      </c>
      <c r="H164" s="18" t="inlineStr">
        <is>
          <t>Insulin glargine 10 units SC HS</t>
        </is>
      </c>
      <c r="I164" s="15" t="inlineStr">
        <is>
          <t>1</t>
        </is>
      </c>
      <c r="J164" s="1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4" s="18" t="inlineStr"/>
      <c r="L164" s="18" t="inlineStr">
        <is>
          <t>Diabetes mellitus</t>
        </is>
      </c>
      <c r="M164" s="18" t="inlineStr">
        <is>
          <t>Clinic</t>
        </is>
      </c>
      <c r="N164" s="18" t="inlineStr">
        <is>
          <t>ข้อ 2 (PLE_CC1_Key_Rx20_UBU.md)</t>
        </is>
      </c>
      <c r="O164" s="18" t="inlineStr">
        <is>
          <t>Mock</t>
        </is>
      </c>
      <c r="P164" s="18" t="inlineStr">
        <is>
          <t>Mock Rx20 UBU</t>
        </is>
      </c>
    </row>
    <row r="165">
      <c r="A165" s="15" t="inlineStr">
        <is>
          <t>163</t>
        </is>
      </c>
      <c r="B165" s="18" t="inlineStr">
        <is>
          <t>จำนวนผู$ป&amp;วยโรคเบาหวานตGอจำนวนประชากรที่มีความเสี่ยงที่จะเกิดโรคเบาหวาน ณ จุดเวลาใดเวลาหนึ่ง</t>
        </is>
      </c>
      <c r="C165" s="18" t="inlineStr"/>
      <c r="D165" s="18" t="inlineStr">
        <is>
          <t>Pioglitazone 15 mg OD</t>
        </is>
      </c>
      <c r="E165" s="18" t="inlineStr">
        <is>
          <t>Insulin glargine 10 units SC HS</t>
        </is>
      </c>
      <c r="F165" s="18" t="inlineStr">
        <is>
          <t>Insulin lispro 4 units SC before meals</t>
        </is>
      </c>
      <c r="G165" s="18" t="inlineStr">
        <is>
          <t>Dapagliflozin 10 mg OD</t>
        </is>
      </c>
      <c r="H165" s="18" t="inlineStr">
        <is>
          <t>Semaglutide 0.5 mg SC weekly</t>
        </is>
      </c>
      <c r="I165" s="15" t="inlineStr">
        <is>
          <t>1</t>
        </is>
      </c>
      <c r="J165" s="18"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(Dapagliflozin 10 mg OD): เป็น SGLT2 inhibitor ได้รับการรับรองใน HFrEF, CKD และ T2DM เด่นชัดในด้าน renal &amp; cardiovascular protective efficacy
• ข้อ จ.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5" s="18" t="inlineStr"/>
      <c r="L165" s="18" t="inlineStr">
        <is>
          <t>Diabetes mellitus</t>
        </is>
      </c>
      <c r="M165" s="18" t="inlineStr">
        <is>
          <t>Clinic</t>
        </is>
      </c>
      <c r="N165" s="18" t="inlineStr">
        <is>
          <t>ข้อ 4 (PLE_CC1_Key_Rx20_UBU.md)</t>
        </is>
      </c>
      <c r="O165" s="18" t="inlineStr">
        <is>
          <t>Mock</t>
        </is>
      </c>
      <c r="P165" s="18" t="inlineStr">
        <is>
          <t>Mock Rx20 UBU</t>
        </is>
      </c>
    </row>
    <row r="166">
      <c r="A166" s="15" t="inlineStr">
        <is>
          <t>164</t>
        </is>
      </c>
      <c r="B166" s="18"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6" s="18" t="inlineStr"/>
      <c r="D166" s="18" t="inlineStr">
        <is>
          <t>Dapagliflozin 10 mg OD</t>
        </is>
      </c>
      <c r="E166" s="18" t="inlineStr">
        <is>
          <t>Semaglutide 0.5 mg SC weekly</t>
        </is>
      </c>
      <c r="F166" s="18" t="inlineStr">
        <is>
          <t>Metformin 500 mg BID</t>
        </is>
      </c>
      <c r="G166" s="18" t="inlineStr">
        <is>
          <t>Glipizide 5 mg OD</t>
        </is>
      </c>
      <c r="H166" s="18" t="inlineStr">
        <is>
          <t>Empagliflozin 10 mg OD</t>
        </is>
      </c>
      <c r="I166" s="15" t="inlineStr">
        <is>
          <t>1</t>
        </is>
      </c>
      <c r="J166" s="1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6" s="18" t="inlineStr"/>
      <c r="L166" s="18" t="inlineStr">
        <is>
          <t>Diabetes mellitus</t>
        </is>
      </c>
      <c r="M166" s="18" t="inlineStr">
        <is>
          <t>Clinic</t>
        </is>
      </c>
      <c r="N166" s="18" t="inlineStr">
        <is>
          <t>ข้อ 5 (PLE_CC1_Key_Rx20_UBU.md)</t>
        </is>
      </c>
      <c r="O166" s="18" t="inlineStr">
        <is>
          <t>Mock</t>
        </is>
      </c>
      <c r="P166" s="18" t="inlineStr">
        <is>
          <t>Mock Rx20 UBU</t>
        </is>
      </c>
    </row>
    <row r="167">
      <c r="A167" s="15" t="inlineStr">
        <is>
          <t>165</t>
        </is>
      </c>
      <c r="B167" s="18" t="inlineStr">
        <is>
          <t>สุ่ม 30 เม็ด หาน้ำหนักทีละเม็ดจำนวน 10 เม็ดแล้วหาปริมาณตัวยาสำคัญโดยเทียบจากน้ำหนักแล้วเทียบกับ assay เม็ดแล้วหาปริมาณตัวยาสำคัญโดยเทียบจากน้ำหนักแล้วเทียบกับ assay Case 8: เบาหวาน ผู้ป่วยเพศหญิง น้ำหนัก 85 กิโลกรัม ส่วนสูง 160 เซนติเมตร มาหาหมอ มีอาการบลาๆ ผลตรวจ FBS 160 mg/dl HbA1C 8 Scr 1.1 mg/dL</t>
        </is>
      </c>
      <c r="C167" s="18" t="inlineStr"/>
      <c r="D167" s="18" t="inlineStr">
        <is>
          <t>Glipizide 5 mg OD</t>
        </is>
      </c>
      <c r="E167" s="18" t="inlineStr">
        <is>
          <t>Empagliflozin 10 mg OD</t>
        </is>
      </c>
      <c r="F167" s="18" t="inlineStr">
        <is>
          <t>Sitagliptin 100 mg OD</t>
        </is>
      </c>
      <c r="G167" s="18" t="inlineStr">
        <is>
          <t>Liraglutide 1.2 mg SC OD</t>
        </is>
      </c>
      <c r="H167" s="18" t="inlineStr">
        <is>
          <t>Levothyroxine 50 mcg OD</t>
        </is>
      </c>
      <c r="I167" s="15" t="inlineStr">
        <is>
          <t>1</t>
        </is>
      </c>
      <c r="J167" s="1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67" s="18" t="inlineStr"/>
      <c r="L167" s="18" t="inlineStr">
        <is>
          <t>Diabetes mellitus</t>
        </is>
      </c>
      <c r="M167" s="18" t="inlineStr">
        <is>
          <t>Clinic</t>
        </is>
      </c>
      <c r="N167" s="18" t="inlineStr">
        <is>
          <t>ข้อ 5 (PLE_CC1_Key_Rx20_UBU.md)</t>
        </is>
      </c>
      <c r="O167" s="18" t="inlineStr">
        <is>
          <t>Mock</t>
        </is>
      </c>
      <c r="P167" s="18" t="inlineStr">
        <is>
          <t>Mock Rx20 UBU</t>
        </is>
      </c>
    </row>
    <row r="168">
      <c r="A168" s="15" t="inlineStr">
        <is>
          <t>166</t>
        </is>
      </c>
      <c r="B168" s="18" t="inlineStr">
        <is>
          <t>ยาเบาหวานที่ผู้ป่วยควรได้รับ</t>
        </is>
      </c>
      <c r="C168" s="18" t="inlineStr"/>
      <c r="D168" s="18" t="inlineStr">
        <is>
          <t>Metformin</t>
        </is>
      </c>
      <c r="E168" s="18" t="inlineStr">
        <is>
          <t>RI</t>
        </is>
      </c>
      <c r="F168" s="18" t="inlineStr">
        <is>
          <t>Repaglinide</t>
        </is>
      </c>
      <c r="G168" s="18" t="inlineStr">
        <is>
          <t>Glibenclamide</t>
        </is>
      </c>
      <c r="H168" s="18"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8" s="15" t="inlineStr">
        <is>
          <t>1</t>
        </is>
      </c>
      <c r="J168" s="18"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ข้อนี้ไม่ใช่คำตอบที่ถูกต้องสำหรับภาวะ Diabetes mellitus เนื่องจากกลไกการออกฤทธิ์, efficacy หรือข้อบ่งใช้ไม่ตรงกับโจทย์ที่กำหนด
• ข้อ ค. (Repaglinide): ข้อนี้ไม่ใช่คำตอบที่ถูกต้องสำหรับภาวะ Diabetes mellitus เนื่องจากกลไกการออกฤทธิ์, efficacy หรือข้อบ่งใช้ไม่ตรงกับโจทย์ที่กำหนด
• ข้อ ง. (Glibenclamide): มี active metabolites ขับออกทางไต เสี่ยงต่อ prolonged severe hypoglycemia ในผู้สูงอายุและผู้ป่วย renal impairment จึงควรหลีกเลี่ยงตาม Beers Criteria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8" s="18" t="inlineStr"/>
      <c r="L168" s="18" t="inlineStr">
        <is>
          <t>Diabetes mellitus</t>
        </is>
      </c>
      <c r="M168" s="18" t="inlineStr">
        <is>
          <t>Clinic</t>
        </is>
      </c>
      <c r="N168" s="18" t="inlineStr">
        <is>
          <t>ข้อ 2 (PLE_CC1_Key_Rx20_UBU.md)</t>
        </is>
      </c>
      <c r="O168" s="18" t="inlineStr">
        <is>
          <t>Mock</t>
        </is>
      </c>
      <c r="P168" s="18" t="inlineStr">
        <is>
          <t>Mock Rx20 UBU</t>
        </is>
      </c>
    </row>
    <row r="169">
      <c r="A169" s="15" t="inlineStr">
        <is>
          <t>167</t>
        </is>
      </c>
      <c r="B169" s="18" t="inlineStr">
        <is>
          <t>ใช้ยามานานคุมน้ำตาลดี แต่อยู่ดีๆ FBS กับ HBA1C เกิน (อยู่ที่ประมาณ 9 กว่าๆ) เกิดจากอะไร</t>
        </is>
      </c>
      <c r="C169" s="18" t="inlineStr"/>
      <c r="D169" s="18" t="inlineStr">
        <is>
          <t>Methimazole 10 mg OD</t>
        </is>
      </c>
      <c r="E169" s="18" t="inlineStr">
        <is>
          <t>Pioglitazone 15 mg OD</t>
        </is>
      </c>
      <c r="F169" s="18" t="inlineStr">
        <is>
          <t>Insulin glargine 10 units SC HS</t>
        </is>
      </c>
      <c r="G169" s="18" t="inlineStr">
        <is>
          <t>Insulin lispro 4 units SC before meals</t>
        </is>
      </c>
      <c r="H169" s="18" t="inlineStr">
        <is>
          <t>Dapagliflozin 10 mg OD</t>
        </is>
      </c>
      <c r="I169" s="15" t="inlineStr">
        <is>
          <t>1</t>
        </is>
      </c>
      <c r="J169" s="1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9" s="18" t="inlineStr"/>
      <c r="L169" s="18" t="inlineStr">
        <is>
          <t>Diabetes mellitus</t>
        </is>
      </c>
      <c r="M169" s="18" t="inlineStr">
        <is>
          <t>Clinic</t>
        </is>
      </c>
      <c r="N169" s="18" t="inlineStr">
        <is>
          <t>ข้อ 2 (PLE_CC1_Key_Rx20_UBU.md)</t>
        </is>
      </c>
      <c r="O169" s="18" t="inlineStr">
        <is>
          <t>Mock</t>
        </is>
      </c>
      <c r="P169" s="18" t="inlineStr">
        <is>
          <t>Mock Rx20 UBU</t>
        </is>
      </c>
    </row>
    <row r="170">
      <c r="A170" s="15" t="inlineStr">
        <is>
          <t>168</t>
        </is>
      </c>
      <c r="B170" s="18" t="inlineStr">
        <is>
          <t>เป็น insulin sensitizer</t>
        </is>
      </c>
      <c r="C170" s="18" t="inlineStr"/>
      <c r="D170" s="18" t="inlineStr">
        <is>
          <t>Insulin lispro 4 units SC before meals</t>
        </is>
      </c>
      <c r="E170" s="18" t="inlineStr">
        <is>
          <t>Dapagliflozin 10 mg OD</t>
        </is>
      </c>
      <c r="F170" s="18" t="inlineStr">
        <is>
          <t>Semaglutide 0.5 mg SC weekly</t>
        </is>
      </c>
      <c r="G170" s="18" t="inlineStr">
        <is>
          <t>Metformin 500 mg BID</t>
        </is>
      </c>
      <c r="H170" s="18" t="inlineStr">
        <is>
          <t>Glipizide 5 mg OD</t>
        </is>
      </c>
      <c r="I170" s="15" t="inlineStr">
        <is>
          <t>1</t>
        </is>
      </c>
      <c r="J170" s="18"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0" s="18" t="inlineStr"/>
      <c r="L170" s="18" t="inlineStr">
        <is>
          <t>Diabetes mellitus</t>
        </is>
      </c>
      <c r="M170" s="18" t="inlineStr">
        <is>
          <t>Clinic</t>
        </is>
      </c>
      <c r="N170" s="18" t="inlineStr">
        <is>
          <t>ข้อ 1 (PLE_CC1_Key_Rx20_UBU.md)</t>
        </is>
      </c>
      <c r="O170" s="18" t="inlineStr">
        <is>
          <t>Mock</t>
        </is>
      </c>
      <c r="P170" s="18" t="inlineStr">
        <is>
          <t>Mock Rx20 UBU</t>
        </is>
      </c>
    </row>
    <row r="171">
      <c r="A171" s="15" t="inlineStr">
        <is>
          <t>169</t>
        </is>
      </c>
      <c r="B171" s="18" t="inlineStr">
        <is>
          <t>ไม่เลือกเป็นยาอันดับแรก เพราะลด HbA1Cไม่ดี</t>
        </is>
      </c>
      <c r="C171" s="18" t="inlineStr"/>
      <c r="D171" s="18" t="inlineStr">
        <is>
          <t>ผิด เพราะ เป็น insulin secretagogues</t>
        </is>
      </c>
      <c r="E171" s="18" t="inlineStr">
        <is>
          <t>Glipizide 5 mg OD</t>
        </is>
      </c>
      <c r="F171" s="18" t="inlineStr">
        <is>
          <t>Empagliflozin 10 mg OD</t>
        </is>
      </c>
      <c r="G171" s="18" t="inlineStr">
        <is>
          <t>Sitagliptin 100 mg OD</t>
        </is>
      </c>
      <c r="H171" s="18" t="inlineStr">
        <is>
          <t>Liraglutide 1.2 mg SC OD</t>
        </is>
      </c>
      <c r="I171" s="15" t="inlineStr">
        <is>
          <t>3</t>
        </is>
      </c>
      <c r="J171" s="18"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ข้อนี้ไม่ใช่คำตอบที่ถูกต้องสำหรับภาวะ Diabetes mellitus เนื่องจากกลไกการออกฤทธิ์, efficacy หรือข้อบ่งใช้ไม่ตรงกับโจทย์ที่กำหนด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71" s="18" t="inlineStr"/>
      <c r="L171" s="18" t="inlineStr">
        <is>
          <t>Diabetes mellitus</t>
        </is>
      </c>
      <c r="M171" s="18" t="inlineStr">
        <is>
          <t>Clinic</t>
        </is>
      </c>
      <c r="N171" s="18" t="inlineStr">
        <is>
          <t>ข้อ 4 (PLE_CC1_Key_Rx20_UBU.md)</t>
        </is>
      </c>
      <c r="O171" s="18" t="inlineStr">
        <is>
          <t>Mock</t>
        </is>
      </c>
      <c r="P171" s="18" t="inlineStr">
        <is>
          <t>Mock Rx20 UBU</t>
        </is>
      </c>
    </row>
    <row r="172">
      <c r="A172" s="15" t="inlineStr">
        <is>
          <t>170</t>
        </is>
      </c>
      <c r="B172" s="18" t="inlineStr">
        <is>
          <t>ผิด เพราะ สามารถเลือกเป็นยาอันดับแรก และลด HbA1C ได้</t>
        </is>
      </c>
      <c r="C172" s="18" t="inlineStr"/>
      <c r="D172" s="18" t="inlineStr">
        <is>
          <t>Sitagliptin 100 mg OD</t>
        </is>
      </c>
      <c r="E172" s="18" t="inlineStr">
        <is>
          <t>Liraglutide 1.2 mg SC OD</t>
        </is>
      </c>
      <c r="F172" s="18" t="inlineStr">
        <is>
          <t>Levothyroxine 50 mcg OD</t>
        </is>
      </c>
      <c r="G172" s="18" t="inlineStr">
        <is>
          <t>Propylthiouracil 50 mg TID</t>
        </is>
      </c>
      <c r="H172" s="18" t="inlineStr">
        <is>
          <t>Methimazole 10 mg OD</t>
        </is>
      </c>
      <c r="I172" s="15" t="inlineStr">
        <is>
          <t>1</t>
        </is>
      </c>
      <c r="J172" s="18"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72" s="18" t="inlineStr"/>
      <c r="L172" s="18" t="inlineStr">
        <is>
          <t>Diabetes mellitus</t>
        </is>
      </c>
      <c r="M172" s="18" t="inlineStr">
        <is>
          <t>Clinic</t>
        </is>
      </c>
      <c r="N172" s="18" t="inlineStr">
        <is>
          <t>ข้อ 4 (PLE_CC1_Key_Rx20_UBU.md)</t>
        </is>
      </c>
      <c r="O172" s="18" t="inlineStr">
        <is>
          <t>Mock</t>
        </is>
      </c>
      <c r="P172" s="18" t="inlineStr">
        <is>
          <t>Mock Rx20 UBU</t>
        </is>
      </c>
    </row>
    <row r="173">
      <c r="A173" s="15" t="inlineStr">
        <is>
          <t>171</t>
        </is>
      </c>
      <c r="B173" s="18" t="inlineStr">
        <is>
          <t>Insulin NPH ก่อนนอน</t>
        </is>
      </c>
      <c r="C173" s="18" t="inlineStr"/>
      <c r="D173" s="18" t="inlineStr">
        <is>
          <t>Propylthiouracil 50 mg TID</t>
        </is>
      </c>
      <c r="E173" s="18" t="inlineStr">
        <is>
          <t>Methimazole 10 mg OD</t>
        </is>
      </c>
      <c r="F173" s="18" t="inlineStr">
        <is>
          <t>Pioglitazone 15 mg OD</t>
        </is>
      </c>
      <c r="G173" s="18" t="inlineStr">
        <is>
          <t>Insulin glargine 10 units SC HS</t>
        </is>
      </c>
      <c r="H173" s="18" t="inlineStr">
        <is>
          <t>Insulin lispro 4 units SC before meals</t>
        </is>
      </c>
      <c r="I173" s="15" t="inlineStr">
        <is>
          <t>1</t>
        </is>
      </c>
      <c r="J173" s="1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3" s="18" t="inlineStr"/>
      <c r="L173" s="18" t="inlineStr">
        <is>
          <t>Diabetes mellitus</t>
        </is>
      </c>
      <c r="M173" s="18" t="inlineStr">
        <is>
          <t>Clinic</t>
        </is>
      </c>
      <c r="N173" s="18" t="inlineStr">
        <is>
          <t>ข้อ 2 (PLE_CC1_Key_Rx20_UBU.md)</t>
        </is>
      </c>
      <c r="O173" s="18" t="inlineStr">
        <is>
          <t>Mock</t>
        </is>
      </c>
      <c r="P173" s="18" t="inlineStr">
        <is>
          <t>Mock Rx20 UBU</t>
        </is>
      </c>
    </row>
    <row r="174">
      <c r="A174" s="15" t="inlineStr">
        <is>
          <t>172</t>
        </is>
      </c>
      <c r="B174" s="18" t="inlineStr">
        <is>
          <t>Insulin Aspart ก่อนอาหาร เช้า-กลางวัน-เย็น</t>
        </is>
      </c>
      <c r="C174" s="18" t="inlineStr"/>
      <c r="D174" s="18" t="inlineStr">
        <is>
          <t>Insulin glargine 10 units SC HS</t>
        </is>
      </c>
      <c r="E174" s="18" t="inlineStr">
        <is>
          <t>Insulin lispro 4 units SC before meals</t>
        </is>
      </c>
      <c r="F174" s="18" t="inlineStr">
        <is>
          <t>Dapagliflozin 10 mg OD</t>
        </is>
      </c>
      <c r="G174" s="18" t="inlineStr">
        <is>
          <t>Semaglutide 0.5 mg SC weekly</t>
        </is>
      </c>
      <c r="H174" s="18" t="inlineStr">
        <is>
          <t>Metformin 500 mg BID</t>
        </is>
      </c>
      <c r="I174" s="15" t="inlineStr">
        <is>
          <t>1</t>
        </is>
      </c>
      <c r="J174" s="1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4" s="18" t="inlineStr"/>
      <c r="L174" s="18" t="inlineStr">
        <is>
          <t>Diabetes mellitus</t>
        </is>
      </c>
      <c r="M174" s="18" t="inlineStr">
        <is>
          <t>Clinic</t>
        </is>
      </c>
      <c r="N174" s="18" t="inlineStr">
        <is>
          <t>ข้อ 3 (PLE_CC1_Key_Rx20_UBU.md)</t>
        </is>
      </c>
      <c r="O174" s="18" t="inlineStr">
        <is>
          <t>Mock</t>
        </is>
      </c>
      <c r="P174" s="18" t="inlineStr">
        <is>
          <t>Mock Rx20 UBU</t>
        </is>
      </c>
    </row>
    <row r="175">
      <c r="A175" s="15" t="inlineStr">
        <is>
          <t>173</t>
        </is>
      </c>
      <c r="B175" s="18" t="inlineStr">
        <is>
          <t>Insulin Glargine เช้า - เย็น</t>
        </is>
      </c>
      <c r="C175" s="18" t="inlineStr"/>
      <c r="D175" s="18" t="inlineStr">
        <is>
          <t>Semaglutide 0.5 mg SC weekly</t>
        </is>
      </c>
      <c r="E175" s="18" t="inlineStr">
        <is>
          <t>Metformin 500 mg BID</t>
        </is>
      </c>
      <c r="F175" s="18" t="inlineStr">
        <is>
          <t>Glipizide 5 mg OD</t>
        </is>
      </c>
      <c r="G175" s="18" t="inlineStr">
        <is>
          <t>Empagliflozin 10 mg OD</t>
        </is>
      </c>
      <c r="H175" s="18" t="inlineStr">
        <is>
          <t>Sitagliptin 100 mg OD</t>
        </is>
      </c>
      <c r="I175" s="15" t="inlineStr">
        <is>
          <t>1</t>
        </is>
      </c>
      <c r="J175" s="1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5" s="18" t="inlineStr"/>
      <c r="L175" s="18" t="inlineStr">
        <is>
          <t>Diabetes mellitus</t>
        </is>
      </c>
      <c r="M175" s="18" t="inlineStr">
        <is>
          <t>Clinic</t>
        </is>
      </c>
      <c r="N175" s="18" t="inlineStr">
        <is>
          <t>ข้อ 4 (PLE_CC1_Key_Rx20_UBU.md)</t>
        </is>
      </c>
      <c r="O175" s="18" t="inlineStr">
        <is>
          <t>Mock</t>
        </is>
      </c>
      <c r="P175" s="18" t="inlineStr">
        <is>
          <t>Mock Rx20 UBU</t>
        </is>
      </c>
    </row>
    <row r="176">
      <c r="A176" s="15" t="inlineStr">
        <is>
          <t>174</t>
        </is>
      </c>
      <c r="B176" s="18" t="inlineStr">
        <is>
          <t>ยาเบาหวานใด ไม่ต้องปรับขนาดยาในผู้ป่วยโรคไต</t>
        </is>
      </c>
      <c r="C176" s="18" t="inlineStr"/>
      <c r="D176" s="18" t="inlineStr">
        <is>
          <t>Pioglitazone</t>
        </is>
      </c>
      <c r="E176" s="18" t="inlineStr">
        <is>
          <t>Acarbose</t>
        </is>
      </c>
      <c r="F176" s="18" t="inlineStr">
        <is>
          <t>Sitagliptin</t>
        </is>
      </c>
      <c r="G176" s="18" t="inlineStr">
        <is>
          <t>Empaglifloxin</t>
        </is>
      </c>
      <c r="H176" s="18" t="inlineStr">
        <is>
          <t>Glibenclamide</t>
        </is>
      </c>
      <c r="I176" s="15" t="inlineStr">
        <is>
          <t>1</t>
        </is>
      </c>
      <c r="J176" s="18"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ค. (Sitagliptin): เป็น DPP-4 inhibitor เพิ่ม active GLP-1 แบบ glucose-dependent มี neutral effect ต่อน้ำหนักตัว และความเสี่ยงต่อ hypoglycemia ต่ำมาก แต่ต้องปรับ dose ตาม CrCl
• ข้อ ง. (Empaglifloxin): ข้อนี้ไม่ใช่คำตอบที่ถูกต้องสำหรับภาวะ Diabetes mellitus เนื่องจากกลไกการออกฤทธิ์, efficacy หรือข้อบ่งใช้ไม่ตรงกับโจทย์ที่กำหนด
• ข้อ จ.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6" s="18" t="inlineStr"/>
      <c r="L176" s="18" t="inlineStr">
        <is>
          <t>Diabetes mellitus</t>
        </is>
      </c>
      <c r="M176" s="18" t="inlineStr">
        <is>
          <t>Clinic</t>
        </is>
      </c>
      <c r="N176" s="18" t="inlineStr">
        <is>
          <t>ข้อ 24 (PLE_CC1_Key_Rx20_UBU.md)</t>
        </is>
      </c>
      <c r="O176" s="18" t="inlineStr">
        <is>
          <t>Mock</t>
        </is>
      </c>
      <c r="P176" s="18" t="inlineStr">
        <is>
          <t>Mock Rx20 UBU</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61"/>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1</t>
        </is>
      </c>
      <c r="B3" s="18" t="inlineStr">
        <is>
          <t>การใช้ยาลดกรดในข้อใดต่อไปนี้ในขนาดสูงติดต่อกันเป็นเวลานาน จะทำให้เกิด acid rebound</t>
        </is>
      </c>
      <c r="C3" s="18" t="inlineStr"/>
      <c r="D3" s="18" t="inlineStr">
        <is>
          <t>Aluminium hydroxide</t>
        </is>
      </c>
      <c r="E3" s="18" t="inlineStr">
        <is>
          <t>Sodium bicarbonate</t>
        </is>
      </c>
      <c r="F3" s="18" t="inlineStr">
        <is>
          <t>Calcium carbonate</t>
        </is>
      </c>
      <c r="G3" s="18" t="inlineStr">
        <is>
          <t>Hydrogen peroxide</t>
        </is>
      </c>
      <c r="H3" s="18" t="inlineStr">
        <is>
          <t>Sodium chloride</t>
        </is>
      </c>
      <c r="I3" s="15" t="inlineStr">
        <is>
          <t>3</t>
        </is>
      </c>
      <c r="J3" s="18"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ข้อนี้ไม่ใช่คำตอบที่ถูกต้องสำหรับภาวะ GERD เนื่องจากกลไกการออกฤทธิ์, efficacy หรือข้อบ่งใช้ไม่ตรงกับโจทย์ที่กำหนด
• ข้อ ข. (Sodium bicarbonate): ข้อนี้ไม่ใช่คำตอบที่ถูกต้องสำหรับภาวะ GERD เนื่องจากกลไกการออกฤทธิ์, efficacy หรือข้อบ่งใช้ไม่ตรงกับโจทย์ที่กำหนด
• ข้อ ง. (Hydrogen peroxide): ข้อนี้ไม่ใช่คำตอบที่ถูกต้องสำหรับภาวะ GERD เนื่องจากกลไกการออกฤทธิ์, efficacy หรือข้อบ่งใช้ไม่ตรงกับโจทย์ที่กำหนด
• ข้อ จ. (Sodium chloride):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8" t="inlineStr"/>
      <c r="L3" s="18" t="inlineStr">
        <is>
          <t>GERD</t>
        </is>
      </c>
      <c r="M3" s="18" t="inlineStr">
        <is>
          <t>Clinic</t>
        </is>
      </c>
      <c r="N3" s="18" t="inlineStr">
        <is>
          <t>ข้อ 1 ชุด 1 (เฉลยข้อ ค)</t>
        </is>
      </c>
      <c r="O3" s="18" t="inlineStr">
        <is>
          <t>Mock</t>
        </is>
      </c>
      <c r="P3" s="18" t="inlineStr">
        <is>
          <t>ชุด 1</t>
        </is>
      </c>
    </row>
    <row r="4">
      <c r="A4" s="15" t="inlineStr">
        <is>
          <t>2</t>
        </is>
      </c>
      <c r="B4" s="18" t="inlineStr">
        <is>
          <t>ข้อใดผิดเกี่ยวกับการใช้ยา bisacodyl</t>
        </is>
      </c>
      <c r="C4" s="18" t="inlineStr"/>
      <c r="D4" s="18" t="inlineStr">
        <is>
          <t>ห้ามใช้ในหญิงตั้งครรภ์</t>
        </is>
      </c>
      <c r="E4" s="18" t="inlineStr">
        <is>
          <t>ห้ามใช้กับยาลดกรด</t>
        </is>
      </c>
      <c r="F4" s="18" t="inlineStr">
        <is>
          <t>ใช้เตรียมผู้ป่วยก่อนการผ่าตัด</t>
        </is>
      </c>
      <c r="G4" s="18" t="inlineStr">
        <is>
          <t>มีผลกดระบบประสาทส่วนกลาง</t>
        </is>
      </c>
      <c r="H4" s="18" t="inlineStr">
        <is>
          <t>เป็น stimulant laxative</t>
        </is>
      </c>
      <c r="I4" s="15" t="inlineStr">
        <is>
          <t>1</t>
        </is>
      </c>
      <c r="J4" s="18" t="inlineStr">
        <is>
          <t>✅ คำตอบที่ถูกต้อง: ข้อ ก. ห้ามใช้ในหญิงตั้งครรภ์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ห้ามใช้ในหญิงตั้งครรภ์ Bisacodyl เป็นยาในกลุ่ม stimulant laxative ใช้เตรียมลำไส้ก่อนผ่าตัด และไม่ควรรับประทานพร้อมกับยาลดกรดหรือนมเนื่องจากจะทำให้ยาแตกตัวเร็วกว่ากำหนด แต่ตัวยาไม่ได้มีฤทธิ์กดระบบประสาทส่วนกลาง
🔍 ข้ออื่นผิดเพราะอะไร:
• ข้อ ข. (ห้ามใช้กับยาลดกรด): ข้อนี้ไม่ใช่คำตอบที่ถูกต้องสำหรับภาวะ Diarrhea &amp; Constipation เนื่องจากกลไกการออกฤทธิ์, efficacy หรือข้อบ่งใช้ไม่ตรงกับโจทย์ที่กำหนด
• ข้อ ค. (ใช้เตรียมผู้ป่วยก่อนการผ่าตัด): ข้อนี้ไม่ใช่คำตอบที่ถูกต้องสำหรับภาวะ Diarrhea &amp; Constipation เนื่องจากกลไกการออกฤทธิ์, efficacy หรือข้อบ่งใช้ไม่ตรงกับโจทย์ที่กำหนด
• ข้อ ง. (มีผลกดระบบประสาทส่วนกลาง): ข้อนี้ไม่ใช่คำตอบที่ถูกต้องสำหรับภาวะ Diarrhea &amp; Constipation เนื่องจากกลไกการออกฤทธิ์, efficacy หรือข้อบ่งใช้ไม่ตรงกับโจทย์ที่กำหนด
• ข้อ จ. (เป็น stimulant laxative):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8" t="inlineStr"/>
      <c r="L4" s="18" t="inlineStr">
        <is>
          <t>Diarrhea &amp; Constipation</t>
        </is>
      </c>
      <c r="M4" s="18" t="inlineStr">
        <is>
          <t>Clinic</t>
        </is>
      </c>
      <c r="N4" s="18" t="inlineStr">
        <is>
          <t>ข้อ 2 ชุด 1 (เฉลยข้อ ก ง)</t>
        </is>
      </c>
      <c r="O4" s="18" t="inlineStr">
        <is>
          <t>Mock</t>
        </is>
      </c>
      <c r="P4" s="18" t="inlineStr">
        <is>
          <t>ชุด 1</t>
        </is>
      </c>
    </row>
    <row r="5">
      <c r="A5" s="15" t="inlineStr">
        <is>
          <t>3</t>
        </is>
      </c>
      <c r="B5" s="18" t="inlineStr">
        <is>
          <t>ถ้าต้องการใช้ยาระบายเพื่อออกฤทธิ์ทันที ควรใช้ข้อใด</t>
        </is>
      </c>
      <c r="C5" s="18" t="inlineStr"/>
      <c r="D5" s="18" t="inlineStr">
        <is>
          <t>Psyllium</t>
        </is>
      </c>
      <c r="E5" s="18" t="inlineStr">
        <is>
          <t>Senna</t>
        </is>
      </c>
      <c r="F5" s="18" t="inlineStr">
        <is>
          <t>Bisacodyl</t>
        </is>
      </c>
      <c r="G5" s="18" t="inlineStr">
        <is>
          <t>Enema</t>
        </is>
      </c>
      <c r="H5" s="18" t="inlineStr">
        <is>
          <t>Mucilin</t>
        </is>
      </c>
      <c r="I5" s="15" t="inlineStr">
        <is>
          <t>4</t>
        </is>
      </c>
      <c r="J5" s="18"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ข้อนี้ไม่ใช่คำตอบที่ถูกต้องสำหรับภาวะ GERD เนื่องจากกลไกการออกฤทธิ์, efficacy หรือข้อบ่งใช้ไม่ตรงกับโจทย์ที่กำหนด
• ข้อ ข. (Senna): เป็น Anthraquinone stimulant laxative กระตุ้น myenteric plexus แต่การใช้ระยะยาวอาจทำให้เกิด melanosis coli และ bowel dependence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(Mucilin):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18" t="inlineStr"/>
      <c r="L5" s="18" t="inlineStr">
        <is>
          <t>GERD</t>
        </is>
      </c>
      <c r="M5" s="18" t="inlineStr">
        <is>
          <t>Clinic</t>
        </is>
      </c>
      <c r="N5" s="18" t="inlineStr">
        <is>
          <t>ข้อ 3 ชุด 1 (เฉลยข้อ ง)</t>
        </is>
      </c>
      <c r="O5" s="18" t="inlineStr">
        <is>
          <t>Mock</t>
        </is>
      </c>
      <c r="P5" s="18" t="inlineStr">
        <is>
          <t>ชุด 1</t>
        </is>
      </c>
    </row>
    <row r="6">
      <c r="A6" s="15" t="inlineStr">
        <is>
          <t>4</t>
        </is>
      </c>
      <c r="B6" s="18" t="inlineStr">
        <is>
          <t>สารอนินทรีย์ใดมีคุณสมบัติเป็นยาถ่ายหรือยาระบาย ซึ่งสามารถให้หลังจากที่ได้รับยา niclosamide แล้ว</t>
        </is>
      </c>
      <c r="C6" s="18" t="inlineStr"/>
      <c r="D6" s="18" t="inlineStr">
        <is>
          <t>Mg(OH)2</t>
        </is>
      </c>
      <c r="E6" s="18" t="inlineStr">
        <is>
          <t>Al(OH)3</t>
        </is>
      </c>
      <c r="F6" s="18" t="inlineStr">
        <is>
          <t>Na2SO4</t>
        </is>
      </c>
      <c r="G6" s="18" t="inlineStr">
        <is>
          <t>Na2CO3</t>
        </is>
      </c>
      <c r="H6" s="18" t="inlineStr">
        <is>
          <t>NaCl</t>
        </is>
      </c>
      <c r="I6" s="15" t="inlineStr">
        <is>
          <t>1</t>
        </is>
      </c>
      <c r="J6" s="18"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ข้อนี้ไม่ใช่คำตอบที่ถูกต้องสำหรับภาวะ GERD เนื่องจากกลไกการออกฤทธิ์, efficacy หรือข้อบ่งใช้ไม่ตรงกับโจทย์ที่กำหนด
• ข้อ ค. (Na2SO4): ข้อนี้ไม่ใช่คำตอบที่ถูกต้องสำหรับภาวะ GERD เนื่องจากกลไกการออกฤทธิ์, efficacy หรือข้อบ่งใช้ไม่ตรงกับโจทย์ที่กำหนด
• ข้อ ง. (Na2CO3): ข้อนี้ไม่ใช่คำตอบที่ถูกต้องสำหรับภาวะ GERD เนื่องจากกลไกการออกฤทธิ์, efficacy หรือข้อบ่งใช้ไม่ตรงกับโจทย์ที่กำหนด
• ข้อ จ. (NaCl):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18" t="inlineStr"/>
      <c r="L6" s="18" t="inlineStr">
        <is>
          <t>GERD</t>
        </is>
      </c>
      <c r="M6" s="18" t="inlineStr">
        <is>
          <t>Clinic</t>
        </is>
      </c>
      <c r="N6" s="18" t="inlineStr">
        <is>
          <t>ข้อ 4 ชุด 1 (เฉลยข้อ ก จ)</t>
        </is>
      </c>
      <c r="O6" s="18" t="inlineStr">
        <is>
          <t>Mock</t>
        </is>
      </c>
      <c r="P6" s="18" t="inlineStr">
        <is>
          <t>ชุด 1</t>
        </is>
      </c>
    </row>
    <row r="7">
      <c r="A7" s="15" t="inlineStr">
        <is>
          <t>5</t>
        </is>
      </c>
      <c r="B7" s="18" t="inlineStr">
        <is>
          <t>ผลิตภัณฑ์ยาในข้อใดมีข้อบ่งใช้เกี่ยวข้องกับโรคริดสีดวงทวารน้อยที่สุด</t>
        </is>
      </c>
      <c r="C7" s="18" t="inlineStr"/>
      <c r="D7" s="18" t="inlineStr">
        <is>
          <t>Proctosedyl</t>
        </is>
      </c>
      <c r="E7" s="18" t="inlineStr">
        <is>
          <t>Anusal</t>
        </is>
      </c>
      <c r="F7" s="18" t="inlineStr">
        <is>
          <t>Bactroban</t>
        </is>
      </c>
      <c r="G7" s="18" t="inlineStr">
        <is>
          <t>Essaven</t>
        </is>
      </c>
      <c r="H7" s="18" t="inlineStr">
        <is>
          <t>Siduol</t>
        </is>
      </c>
      <c r="I7" s="15" t="inlineStr">
        <is>
          <t>3</t>
        </is>
      </c>
      <c r="J7" s="18"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ข้อนี้ไม่ใช่คำตอบที่ถูกต้องสำหรับภาวะ GERD เนื่องจากกลไกการออกฤทธิ์, efficacy หรือข้อบ่งใช้ไม่ตรงกับโจทย์ที่กำหนด
• ข้อ ข. (Anusal): ข้อนี้ไม่ใช่คำตอบที่ถูกต้องสำหรับภาวะ GERD เนื่องจากกลไกการออกฤทธิ์, efficacy หรือข้อบ่งใช้ไม่ตรงกับโจทย์ที่กำหนด
• ข้อ ง. (Essaven): ข้อนี้ไม่ใช่คำตอบที่ถูกต้องสำหรับภาวะ GERD เนื่องจากกลไกการออกฤทธิ์, efficacy หรือข้อบ่งใช้ไม่ตรงกับโจทย์ที่กำหนด
• ข้อ จ. (Siduol):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18" t="inlineStr"/>
      <c r="L7" s="18" t="inlineStr">
        <is>
          <t>GERD</t>
        </is>
      </c>
      <c r="M7" s="18" t="inlineStr">
        <is>
          <t>Clinic</t>
        </is>
      </c>
      <c r="N7" s="18" t="inlineStr">
        <is>
          <t>ข้อ 5 ชุด 1 (เฉลยข้อ ค)</t>
        </is>
      </c>
      <c r="O7" s="18" t="inlineStr">
        <is>
          <t>Mock</t>
        </is>
      </c>
      <c r="P7" s="18" t="inlineStr">
        <is>
          <t>ชุด 1</t>
        </is>
      </c>
    </row>
    <row r="8">
      <c r="A8" s="15" t="inlineStr">
        <is>
          <t>6</t>
        </is>
      </c>
      <c r="B8" s="18"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18" t="inlineStr"/>
      <c r="D8" s="18" t="inlineStr">
        <is>
          <t>มักมีถ่ายอุจจาระเป็นเลือดสีคล้ำดำ</t>
        </is>
      </c>
      <c r="E8" s="18" t="inlineStr">
        <is>
          <t>ริดสีดวงแบ่งเป็น 2 ประเภท คือริดสีดวงภายในและริดสีดวงภายนอก</t>
        </is>
      </c>
      <c r="F8" s="18"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18" t="inlineStr">
        <is>
          <t>ริดสีดวงภายนอก คือ เนื้อเยื่อที่อยู่ใต้ dentate line ยื่นออกเป็นติ่งเนื้อ</t>
        </is>
      </c>
      <c r="H8" s="18"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15" t="inlineStr">
        <is>
          <t>1</t>
        </is>
      </c>
      <c r="J8" s="18"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ข้อนี้ไม่ใช่คำตอบที่ถูกต้องสำหรับภาวะ GERD เนื่องจากกลไกการออกฤทธิ์, efficacy หรือข้อบ่งใช้ไม่ตรงกับโจทย์ที่กำหนด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ข้อนี้ไม่ใช่คำตอบที่ถูกต้องสำหรับภาวะ GERD เนื่องจากกลไกการออกฤทธิ์, efficacy หรือข้อบ่งใช้ไม่ตรงกับโจทย์ที่กำหนด
• ข้อ ง. (ริดสีดวงภายนอก คือ เนื้อเยื่อที่อยู่ใต้ dentate line ยื่นออกเป็นติ่งเนื้อ): ข้อนี้ไม่ใช่คำตอบที่ถูกต้องสำหรับภาวะ GERD เนื่องจากกลไกการออกฤทธิ์, efficacy หรือข้อบ่งใช้ไม่ตรงกับโจทย์ที่กำหนด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8" t="inlineStr"/>
      <c r="L8" s="18" t="inlineStr">
        <is>
          <t>GERD</t>
        </is>
      </c>
      <c r="M8" s="18" t="inlineStr">
        <is>
          <t>Clinic</t>
        </is>
      </c>
      <c r="N8" s="18" t="inlineStr">
        <is>
          <t>ข้อ 6 ชุด 1 (เฉลยข้อ ก)</t>
        </is>
      </c>
      <c r="O8" s="18" t="inlineStr">
        <is>
          <t>Mock</t>
        </is>
      </c>
      <c r="P8" s="18" t="inlineStr">
        <is>
          <t>ชุด 1</t>
        </is>
      </c>
    </row>
    <row r="9">
      <c r="A9" s="15" t="inlineStr">
        <is>
          <t>7</t>
        </is>
      </c>
      <c r="B9" s="18" t="inlineStr">
        <is>
          <t>ข้อใดเป็นขนาดใช้ของยา daflon 500 mg ในระยะเกิด hemorrhoidal attacks</t>
        </is>
      </c>
      <c r="C9" s="18" t="inlineStr"/>
      <c r="D9" s="18" t="inlineStr">
        <is>
          <t>2 tablets daily</t>
        </is>
      </c>
      <c r="E9" s="18" t="inlineStr">
        <is>
          <t>6 tablets daily for 4 days followed by 4 tablets daily for 3 days</t>
        </is>
      </c>
      <c r="F9" s="18" t="inlineStr">
        <is>
          <t>4 tablets daily for 4 days followed by 3 tablets daily for 3 days</t>
        </is>
      </c>
      <c r="G9" s="18" t="inlineStr">
        <is>
          <t>1-tab tid pc for 5 days</t>
        </is>
      </c>
      <c r="H9" s="18" t="inlineStr">
        <is>
          <t>1-tab OD</t>
        </is>
      </c>
      <c r="I9" s="15" t="inlineStr">
        <is>
          <t>2</t>
        </is>
      </c>
      <c r="J9" s="18"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ข้อนี้ไม่ใช่คำตอบที่ถูกต้องสำหรับภาวะ GERD เนื่องจากกลไกการออกฤทธิ์, efficacy หรือข้อบ่งใช้ไม่ตรงกับโจทย์ที่กำหนด
• ข้อ ค. (4 tablets daily for 4 days followed by 3 tablets daily for 3 days): ข้อนี้ไม่ใช่คำตอบที่ถูกต้องสำหรับภาวะ GERD เนื่องจากกลไกการออกฤทธิ์, efficacy หรือข้อบ่งใช้ไม่ตรงกับโจทย์ที่กำหนด
• ข้อ ง. (1-tab tid pc for 5 days): ข้อนี้ไม่ใช่คำตอบที่ถูกต้องสำหรับภาวะ GERD เนื่องจากกลไกการออกฤทธิ์, efficacy หรือข้อบ่งใช้ไม่ตรงกับโจทย์ที่กำหนด
• ข้อ จ. (1-tab OD):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18" t="inlineStr"/>
      <c r="L9" s="18" t="inlineStr">
        <is>
          <t>GERD</t>
        </is>
      </c>
      <c r="M9" s="18" t="inlineStr">
        <is>
          <t>Clinic</t>
        </is>
      </c>
      <c r="N9" s="18" t="inlineStr">
        <is>
          <t>ข้อ 7 ชุด 1 (เฉลยข้อ ข)</t>
        </is>
      </c>
      <c r="O9" s="18" t="inlineStr">
        <is>
          <t>Mock</t>
        </is>
      </c>
      <c r="P9" s="18" t="inlineStr">
        <is>
          <t>ชุด 1</t>
        </is>
      </c>
    </row>
    <row r="10">
      <c r="A10" s="15" t="inlineStr">
        <is>
          <t>8</t>
        </is>
      </c>
      <c r="B10" s="18"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18" t="inlineStr"/>
      <c r="D10" s="18" t="inlineStr">
        <is>
          <t>ไทพอยด์ จำเป็นต้องใช้ยาปฏิชีวนะ</t>
        </is>
      </c>
      <c r="E10" s="18" t="inlineStr">
        <is>
          <t>บิดมีตัว จำเป็นต้องใช้ยาปฏิชีวนะ</t>
        </is>
      </c>
      <c r="F10" s="18" t="inlineStr">
        <is>
          <t>บิดไม่มีตัว ไม่จำเป็นต้องใช้ยาปฏิชีวนะ</t>
        </is>
      </c>
      <c r="G10" s="18" t="inlineStr">
        <is>
          <t>อหิวาต์ จำเป็นต้องใช้ยาปฏิชีวนะ</t>
        </is>
      </c>
      <c r="H10" s="18" t="inlineStr">
        <is>
          <t>อาหารเป็นพิษ ไม่จำเป็นต้องใช้ยาปฏิชีวนะ</t>
        </is>
      </c>
      <c r="I10" s="15" t="inlineStr">
        <is>
          <t>4</t>
        </is>
      </c>
      <c r="J10" s="18" t="inlineStr">
        <is>
          <t>✅ คำตอบที่ถูกต้อง: ข้อ ง. อหิวาต์ จำเป็นต้องใช้ยาปฏิชีวนะ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อหิวาต์ จำเป็นต้องใช้ยาปฏิชีวนะ อาการท้องเสียถ่ายเป็นน้ำ ไม่มีไข้ มักเกิดจากเชื้อไวรัสหรือสารพิษจากแบคทีเรีย (อาหารเป็นพิษ) ซึ่งส่วนใหญ่หายได้เอง การรักษาหลักคือการให้สารน้ำเกลือแร่ (ORS) ไม่มีความจำเป็นต้องใช้ยาปฏิชีวนะ ยกเว้นในรายที่มีการติดเชื้อแบคทีเรียรุนแรงหรือมีไข้สูง
🔍 ข้ออื่นผิดเพราะอะไร:
• ข้อ ก. (ไทพอยด์ 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ข. (บิดมีตัว 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ค. (บิดไม่มีตัว ไม่จำเป็นต้องใช้ยาปฏิชีวนะ):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จ. (อาหารเป็นพิษ ไม่จำเป็นต้องใช้ยาปฏิชีวนะ):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0" s="18" t="inlineStr"/>
      <c r="L10" s="18" t="inlineStr">
        <is>
          <t>Diarrhea &amp; Constipation</t>
        </is>
      </c>
      <c r="M10" s="18" t="inlineStr">
        <is>
          <t>Clinic</t>
        </is>
      </c>
      <c r="N10" s="18" t="inlineStr">
        <is>
          <t>ข้อ 8 ชุด 1 (เฉลยข้อ ง)</t>
        </is>
      </c>
      <c r="O10" s="18" t="inlineStr">
        <is>
          <t>Mock</t>
        </is>
      </c>
      <c r="P10" s="18" t="inlineStr">
        <is>
          <t>ชุด 1</t>
        </is>
      </c>
    </row>
    <row r="11">
      <c r="A11" s="15" t="inlineStr">
        <is>
          <t>9</t>
        </is>
      </c>
      <c r="B11" s="18" t="inlineStr">
        <is>
          <t>คำแนะนำในข้อใดไม่ถูกต้อง</t>
        </is>
      </c>
      <c r="C11" s="18" t="inlineStr"/>
      <c r="D11" s="18" t="inlineStr">
        <is>
          <t>สามารถเตรียมผงน้ำตาลเกลือแร่เองได้ โดยใช้น้ำตาลทรายผสมกับเกลือแกง</t>
        </is>
      </c>
      <c r="E11" s="18" t="inlineStr">
        <is>
          <t>เมื่อละลายผงน้ำตาลเกลือแร่แล้ว ควรใช้ภายใน 24 ชั่วโมง</t>
        </is>
      </c>
      <c r="F11" s="18" t="inlineStr">
        <is>
          <t>ควรให้ดื่มนมที่ชงเข้มข้นกว่าปกติเพื่อชดเชยน้ำที่สูญเสียไป</t>
        </is>
      </c>
      <c r="G11" s="18" t="inlineStr">
        <is>
          <t>ล้างมือด้วยน้ำกับสบู่ทุกครั้งก่อนรับประทานอาหาร</t>
        </is>
      </c>
      <c r="H11" s="18" t="inlineStr">
        <is>
          <t>กินอาหารสุก ไม่มีแมลงวันตอม</t>
        </is>
      </c>
      <c r="I11" s="15" t="inlineStr">
        <is>
          <t>3</t>
        </is>
      </c>
      <c r="J11" s="18" t="inlineStr">
        <is>
          <t>✅ คำตอบที่ถูกต้อง: ข้อ ค. ควรให้ดื่มนมที่ชงเข้มข้นกว่าปกติเพื่อชดเชยน้ำที่สูญเสียไป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ควรให้ดื่มนมที่ชงเข้มข้นกว่าปกติเพื่อชดเชยน้ำที่สูญเสียไป การชงนมให้เข้มข้นกว่าปกติในเด็กท้องเสียจะทำให้เกิดภาวะ hypertonic ส่งผลให้อุจจาระเหลวมากขึ้นและดึงน้ำเข้าสู่ลำไส้เพิ่มขึ้น (hyperosmolar diarrhea) จึงเป็นคำแนะนำที่ไม่ถูกต้อง ส่วนการผสมเกลือแร่เองไม่แนะนำให้ทำเนื่องจากสัดส่วนอาจคลาดเคลื่อนและอันตราย
🔍 ข้ออื่นผิดเพราะอะไร:
• ข้อ ก. (สามารถเตรียมผงน้ำตาลเกลือแร่เองได้ โดยใช้น้ำตาลทรายผสมกับเกลือแกง): ข้อนี้ไม่ใช่คำตอบที่ถูกต้องสำหรับภาวะ Diarrhea &amp; Constipation เนื่องจากกลไกการออกฤทธิ์, efficacy หรือข้อบ่งใช้ไม่ตรงกับโจทย์ที่กำหนด
• ข้อ ข. (เมื่อละลายผงน้ำตาลเกลือแร่แล้ว ควรใช้ภายใน 24 ชั่วโมง): ข้อนี้ไม่ใช่คำตอบที่ถูกต้องสำหรับภาวะ Diarrhea &amp; Constipation เนื่องจากกลไกการออกฤทธิ์, efficacy หรือข้อบ่งใช้ไม่ตรงกับโจทย์ที่กำหนด
• ข้อ ง. (ล้างมือด้วยน้ำกับสบู่ทุกครั้งก่อนรับประทานอาหาร): ข้อนี้ไม่ใช่คำตอบที่ถูกต้องสำหรับภาวะ Diarrhea &amp; Constipation เนื่องจากกลไกการออกฤทธิ์, efficacy หรือข้อบ่งใช้ไม่ตรงกับโจทย์ที่กำหนด
• ข้อ จ. (กินอาหารสุก ไม่มีแมลงวันตอม):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8" t="inlineStr"/>
      <c r="L11" s="18" t="inlineStr">
        <is>
          <t>Diarrhea &amp; Constipation</t>
        </is>
      </c>
      <c r="M11" s="18" t="inlineStr">
        <is>
          <t>Clinic</t>
        </is>
      </c>
      <c r="N11" s="18" t="inlineStr">
        <is>
          <t>ข้อ 9 ชุด 1 (เฉลยข้อ ค)</t>
        </is>
      </c>
      <c r="O11" s="18" t="inlineStr">
        <is>
          <t>Mock</t>
        </is>
      </c>
      <c r="P11" s="18" t="inlineStr">
        <is>
          <t>ชุด 1</t>
        </is>
      </c>
    </row>
    <row r="12">
      <c r="A12" s="15" t="inlineStr">
        <is>
          <t>10</t>
        </is>
      </c>
      <c r="B12" s="18" t="inlineStr">
        <is>
          <t>การให้ Kaolin - Pectin แก่ผู้ป่วยเพื่อ</t>
        </is>
      </c>
      <c r="C12" s="18" t="inlineStr"/>
      <c r="D12" s="18" t="inlineStr">
        <is>
          <t>ดูดซับสารพิษ</t>
        </is>
      </c>
      <c r="E12" s="18" t="inlineStr">
        <is>
          <t>บรรเทาการสูญเสียน้ำและเกลือแร่จากร่างกาย</t>
        </is>
      </c>
      <c r="F12" s="18" t="inlineStr">
        <is>
          <t>มีคุณสมบัติเป็นประจุบวก</t>
        </is>
      </c>
      <c r="G12" s="18" t="inlineStr">
        <is>
          <t>ดูดน้ำเข้าหาตัว</t>
        </is>
      </c>
      <c r="H12" s="18" t="inlineStr">
        <is>
          <t>เพิ่มการดูดกลับน้ำและอิเลคโทรไลต์</t>
        </is>
      </c>
      <c r="I12" s="15" t="inlineStr">
        <is>
          <t>1</t>
        </is>
      </c>
      <c r="J12" s="18"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ข้อนี้ไม่ใช่คำตอบที่ถูกต้องสำหรับภาวะ GERD เนื่องจากกลไกการออกฤทธิ์, efficacy หรือข้อบ่งใช้ไม่ตรงกับโจทย์ที่กำหนด
• ข้อ ค. (มีคุณสมบัติเป็นประจุบวก): ข้อนี้ไม่ใช่คำตอบที่ถูกต้องสำหรับภาวะ GERD เนื่องจากกลไกการออกฤทธิ์, efficacy หรือข้อบ่งใช้ไม่ตรงกับโจทย์ที่กำหนด
• ข้อ ง. (ดูดน้ำเข้าหาตัว): ข้อนี้ไม่ใช่คำตอบที่ถูกต้องสำหรับภาวะ GERD เนื่องจากกลไกการออกฤทธิ์, efficacy หรือข้อบ่งใช้ไม่ตรงกับโจทย์ที่กำหนด
• ข้อ จ. (เพิ่มการดูดกลับน้ำและอิเลคโทรไลต์):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18" t="inlineStr"/>
      <c r="L12" s="18" t="inlineStr">
        <is>
          <t>GERD</t>
        </is>
      </c>
      <c r="M12" s="18" t="inlineStr">
        <is>
          <t>Clinic</t>
        </is>
      </c>
      <c r="N12" s="18" t="inlineStr">
        <is>
          <t>ข้อ 10 ชุด 1 (เฉลยข้อ ก)</t>
        </is>
      </c>
      <c r="O12" s="18" t="inlineStr">
        <is>
          <t>Mock</t>
        </is>
      </c>
      <c r="P12" s="18" t="inlineStr">
        <is>
          <t>ชุด 1</t>
        </is>
      </c>
    </row>
    <row r="13">
      <c r="A13" s="15" t="inlineStr">
        <is>
          <t>11</t>
        </is>
      </c>
      <c r="B13" s="18" t="inlineStr">
        <is>
          <t>เพราะเหตุใดจึงห้ามใช้ norfloxacin ในเด็กอายุต่ำกว่า 12 ปี</t>
        </is>
      </c>
      <c r="C13" s="18" t="inlineStr"/>
      <c r="D13" s="18" t="inlineStr">
        <is>
          <t>ทำให้คลื่นไส้</t>
        </is>
      </c>
      <c r="E13" s="18" t="inlineStr">
        <is>
          <t>ทำให้ปวดศีรษะ</t>
        </is>
      </c>
      <c r="F13" s="18" t="inlineStr">
        <is>
          <t>ทำให้เกิดความผิดปกติในการเจริญเติบโตของข้อกระดูก เส้นเอ็น</t>
        </is>
      </c>
      <c r="G13" s="18" t="inlineStr">
        <is>
          <t>ทำให้เกิดความผิดปกติในการทำงานของตับและไต</t>
        </is>
      </c>
      <c r="H13" s="18" t="inlineStr">
        <is>
          <t>ทำให้เกิดภาวะช็อก</t>
        </is>
      </c>
      <c r="I13" s="15" t="inlineStr">
        <is>
          <t>3</t>
        </is>
      </c>
      <c r="J13" s="18"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ข้อนี้ไม่ใช่คำตอบที่ถูกต้องสำหรับภาวะ GERD เนื่องจากกลไกการออกฤทธิ์, efficacy หรือข้อบ่งใช้ไม่ตรงกับโจทย์ที่กำหนด
• ข้อ ข. (ทำให้ปวดศีรษะ): ข้อนี้ไม่ใช่คำตอบที่ถูกต้องสำหรับภาวะ GERD เนื่องจากกลไกการออกฤทธิ์, efficacy หรือข้อบ่งใช้ไม่ตรงกับโจทย์ที่กำหนด
• ข้อ ง. (ทำให้เกิดความผิดปกติในการทำงานของตับและไต): ข้อนี้ไม่ใช่คำตอบที่ถูกต้องสำหรับภาวะ GERD เนื่องจากกลไกการออกฤทธิ์, efficacy หรือข้อบ่งใช้ไม่ตรงกับโจทย์ที่กำหนด
• ข้อ จ. (ทำให้เกิดภาวะช็อก):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18" t="inlineStr"/>
      <c r="L13" s="18" t="inlineStr">
        <is>
          <t>GERD</t>
        </is>
      </c>
      <c r="M13" s="18" t="inlineStr">
        <is>
          <t>Clinic</t>
        </is>
      </c>
      <c r="N13" s="18" t="inlineStr">
        <is>
          <t>ข้อ 11 ชุด 1 (เฉลยข้อ ค)</t>
        </is>
      </c>
      <c r="O13" s="18" t="inlineStr">
        <is>
          <t>Mock</t>
        </is>
      </c>
      <c r="P13" s="18" t="inlineStr">
        <is>
          <t>ชุด 1</t>
        </is>
      </c>
    </row>
    <row r="14">
      <c r="A14" s="15" t="inlineStr">
        <is>
          <t>12</t>
        </is>
      </c>
      <c r="B14" s="18"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18" t="inlineStr"/>
      <c r="D14" s="18" t="inlineStr">
        <is>
          <t>ให้ยาทั้งสองแตกตัวได้ดียิ่งขึ้น</t>
        </is>
      </c>
      <c r="E14" s="18" t="inlineStr">
        <is>
          <t>ลดผลข้างเคียงซึ่งกันและกัน เนื่องจาก Al(OH)3 ทำให้เกิดอาการท้องผูก</t>
        </is>
      </c>
      <c r="F14" s="18" t="inlineStr">
        <is>
          <t>ลดผลข้างเคียงซึ่งกันและกัน เนื่องจาก Al(OH)3 ทำให้เกิดอาการท้องเสีย</t>
        </is>
      </c>
      <c r="G14" s="18" t="inlineStr">
        <is>
          <t>เพิ่มความคงตัวของตำรับ</t>
        </is>
      </c>
      <c r="H14" s="18" t="inlineStr">
        <is>
          <t>ลดอาการคลื่นไส้อาเจียน เมื่อใช้ยาลดกรดตัวเดียว</t>
        </is>
      </c>
      <c r="I14" s="15" t="inlineStr">
        <is>
          <t>2</t>
        </is>
      </c>
      <c r="J14" s="18"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ข้อนี้ไม่ใช่คำตอบที่ถูกต้องสำหรับภาวะ GERD เนื่องจากกลไกการออกฤทธิ์, efficacy หรือข้อบ่งใช้ไม่ตรงกับโจทย์ที่กำหนด
• ข้อ ค. (ลดผลข้างเคียงซึ่งกันและกัน เนื่องจาก Al(OH)3 ทำให้เกิดอาการท้องเสีย): ข้อนี้ไม่ใช่คำตอบที่ถูกต้องสำหรับภาวะ GERD เนื่องจากกลไกการออกฤทธิ์, efficacy หรือข้อบ่งใช้ไม่ตรงกับโจทย์ที่กำหนด
• ข้อ ง. (เพิ่มความคงตัวของตำรับ): ข้อนี้ไม่ใช่คำตอบที่ถูกต้องสำหรับภาวะ GERD เนื่องจากกลไกการออกฤทธิ์, efficacy หรือข้อบ่งใช้ไม่ตรงกับโจทย์ที่กำหนด
• ข้อ จ. (ลดอาการคลื่นไส้อาเจียน เมื่อใช้ยาลดกรดตัวเดียว):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18" t="inlineStr"/>
      <c r="L14" s="18" t="inlineStr">
        <is>
          <t>GERD</t>
        </is>
      </c>
      <c r="M14" s="18" t="inlineStr">
        <is>
          <t>Clinic</t>
        </is>
      </c>
      <c r="N14" s="18" t="inlineStr">
        <is>
          <t>ข้อ 12 ชุด 1 (เฉลยข้อ ข)</t>
        </is>
      </c>
      <c r="O14" s="18" t="inlineStr">
        <is>
          <t>Mock</t>
        </is>
      </c>
      <c r="P14" s="18" t="inlineStr">
        <is>
          <t>ชุด 1</t>
        </is>
      </c>
    </row>
    <row r="15">
      <c r="A15" s="15" t="inlineStr">
        <is>
          <t>13</t>
        </is>
      </c>
      <c r="B15" s="18"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18" t="inlineStr"/>
      <c r="D15" s="18" t="inlineStr">
        <is>
          <t>Dyspepsia</t>
        </is>
      </c>
      <c r="E15" s="18" t="inlineStr">
        <is>
          <t>Peptic ulcer</t>
        </is>
      </c>
      <c r="F15" s="18" t="inlineStr">
        <is>
          <t>Heart burn</t>
        </is>
      </c>
      <c r="G15" s="18" t="inlineStr">
        <is>
          <t>Constipation</t>
        </is>
      </c>
      <c r="H15" s="18" t="inlineStr">
        <is>
          <t>Malignancy in stomach</t>
        </is>
      </c>
      <c r="I15" s="15" t="inlineStr">
        <is>
          <t>2</t>
        </is>
      </c>
      <c r="J15" s="18"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ข้อนี้ไม่ใช่คำตอบที่ถูกต้องสำหรับภาวะ GERD เนื่องจากกลไกการออกฤทธิ์, efficacy หรือข้อบ่งใช้ไม่ตรงกับโจทย์ที่กำหนด
• ข้อ ค. (Heart burn): ข้อนี้ไม่ใช่คำตอบที่ถูกต้องสำหรับภาวะ GERD เนื่องจากกลไกการออกฤทธิ์, efficacy หรือข้อบ่งใช้ไม่ตรงกับโจทย์ที่กำหนด
• ข้อ ง. (Constipation): ข้อนี้ไม่ใช่คำตอบที่ถูกต้องสำหรับภาวะ GERD เนื่องจากกลไกการออกฤทธิ์, efficacy หรือข้อบ่งใช้ไม่ตรงกับโจทย์ที่กำหนด
• ข้อ จ. (Malignancy in stomach):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18" t="inlineStr"/>
      <c r="L15" s="18" t="inlineStr">
        <is>
          <t>GERD</t>
        </is>
      </c>
      <c r="M15" s="18" t="inlineStr">
        <is>
          <t>Clinic</t>
        </is>
      </c>
      <c r="N15" s="18" t="inlineStr">
        <is>
          <t>ข้อ 13 ชุด 1 (เฉลยข้อ ข)</t>
        </is>
      </c>
      <c r="O15" s="18" t="inlineStr">
        <is>
          <t>Mock</t>
        </is>
      </c>
      <c r="P15" s="18" t="inlineStr">
        <is>
          <t>ชุด 1</t>
        </is>
      </c>
    </row>
    <row r="16">
      <c r="A16" s="15" t="inlineStr">
        <is>
          <t>14</t>
        </is>
      </c>
      <c r="B16" s="18" t="inlineStr">
        <is>
          <t>สาเหตุหลักของโรคดังกล่าวในข้อที่ 13 ที่ได้รับการวินิจฉัยจากแพทย์คือ</t>
        </is>
      </c>
      <c r="C16" s="18" t="inlineStr"/>
      <c r="D16" s="18" t="inlineStr">
        <is>
          <t>NSAIDs</t>
        </is>
      </c>
      <c r="E16" s="18" t="inlineStr">
        <is>
          <t>Zolinger Ellison syndrome</t>
        </is>
      </c>
      <c r="F16" s="18" t="inlineStr">
        <is>
          <t>Helicobacter Pylori</t>
        </is>
      </c>
      <c r="G16" s="18" t="inlineStr">
        <is>
          <t>Alcoholism</t>
        </is>
      </c>
      <c r="H16" s="18" t="inlineStr">
        <is>
          <t>Cigarette</t>
        </is>
      </c>
      <c r="I16" s="15" t="inlineStr">
        <is>
          <t>3</t>
        </is>
      </c>
      <c r="J16" s="18"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ข้อนี้ไม่ใช่คำตอบที่ถูกต้องสำหรับภาวะ Dyspepsia &amp; PUD เนื่องจากกลไกการออกฤทธิ์, efficacy หรือข้อบ่งใช้ไม่ตรงกับโจทย์ที่กำหนด
• ข้อ ข. (Zolinger Ellison syndrome): ข้อนี้ไม่ใช่คำตอบที่ถูกต้องสำหรับภาวะ Dyspepsia &amp; PUD เนื่องจากกลไกการออกฤทธิ์, efficacy หรือข้อบ่งใช้ไม่ตรงกับโจทย์ที่กำหนด
• ข้อ ง. (Alcoholism): ข้อนี้ไม่ใช่คำตอบที่ถูกต้องสำหรับภาวะ Dyspepsia &amp; PUD เนื่องจากกลไกการออกฤทธิ์, efficacy หรือข้อบ่งใช้ไม่ตรงกับโจทย์ที่กำหนด
• ข้อ จ. (Cigarette):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18" t="inlineStr"/>
      <c r="L16" s="18" t="inlineStr">
        <is>
          <t>Dyspepsia &amp; PUD</t>
        </is>
      </c>
      <c r="M16" s="18" t="inlineStr">
        <is>
          <t>Clinic</t>
        </is>
      </c>
      <c r="N16" s="18" t="inlineStr">
        <is>
          <t>ข้อ 14 ชุด 1 (เฉลยข้อ ค)</t>
        </is>
      </c>
      <c r="O16" s="18" t="inlineStr">
        <is>
          <t>Mock</t>
        </is>
      </c>
      <c r="P16" s="18" t="inlineStr">
        <is>
          <t>ชุด 1</t>
        </is>
      </c>
    </row>
    <row r="17">
      <c r="A17" s="15" t="inlineStr">
        <is>
          <t>15</t>
        </is>
      </c>
      <c r="B17" s="18"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18" t="inlineStr"/>
      <c r="D17" s="18" t="inlineStr">
        <is>
          <t>มังคุด - plaunotol</t>
        </is>
      </c>
      <c r="E17" s="18" t="inlineStr">
        <is>
          <t>มะขามแขก - sennoside</t>
        </is>
      </c>
      <c r="F17" s="18" t="inlineStr">
        <is>
          <t>ปลพน้อย - curcuminoids</t>
        </is>
      </c>
      <c r="G17" s="18" t="inlineStr">
        <is>
          <t>ขมิ้นชัน - curcuminoids</t>
        </is>
      </c>
      <c r="H17" s="18" t="inlineStr">
        <is>
          <t>ปลาน้อย - plaunotol</t>
        </is>
      </c>
      <c r="I17" s="15" t="inlineStr">
        <is>
          <t>5</t>
        </is>
      </c>
      <c r="J17" s="18"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ข้อนี้ไม่ใช่คำตอบที่ถูกต้องสำหรับภาวะ Dyspepsia &amp; PUD เนื่องจากกลไกการออกฤทธิ์, efficacy หรือข้อบ่งใช้ไม่ตรงกับโจทย์ที่กำหนด
• ข้อ ข. (มะขามแขก - sennoside): ข้อนี้ไม่ใช่คำตอบที่ถูกต้องสำหรับภาวะ Dyspepsia &amp; PUD เนื่องจากกลไกการออกฤทธิ์, efficacy หรือข้อบ่งใช้ไม่ตรงกับโจทย์ที่กำหนด
• ข้อ ค. (ปลพน้อย - curcuminoids): ข้อนี้ไม่ใช่คำตอบที่ถูกต้องสำหรับภาวะ Dyspepsia &amp; PUD เนื่องจากกลไกการออกฤทธิ์, efficacy หรือข้อบ่งใช้ไม่ตรงกับโจทย์ที่กำหนด
• ข้อ ง. (ขมิ้นชัน - curcuminoids):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18" t="inlineStr"/>
      <c r="L17" s="18" t="inlineStr">
        <is>
          <t>Dyspepsia &amp; PUD</t>
        </is>
      </c>
      <c r="M17" s="18" t="inlineStr">
        <is>
          <t>Clinic</t>
        </is>
      </c>
      <c r="N17" s="18" t="inlineStr">
        <is>
          <t>ข้อ 15 ชุด 1 (เฉลยข้อ จ)</t>
        </is>
      </c>
      <c r="O17" s="18" t="inlineStr">
        <is>
          <t>Mock</t>
        </is>
      </c>
      <c r="P17" s="18" t="inlineStr">
        <is>
          <t>ชุด 1</t>
        </is>
      </c>
    </row>
    <row r="18">
      <c r="A18" s="15" t="inlineStr">
        <is>
          <t>16</t>
        </is>
      </c>
      <c r="B18" s="18"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18" t="inlineStr"/>
      <c r="D18" s="18" t="inlineStr">
        <is>
          <t>Senna</t>
        </is>
      </c>
      <c r="E18" s="18" t="inlineStr">
        <is>
          <t>Castor oil</t>
        </is>
      </c>
      <c r="F18" s="18" t="inlineStr">
        <is>
          <t>Bisacodyl</t>
        </is>
      </c>
      <c r="G18" s="18" t="inlineStr">
        <is>
          <t>Mineral oil</t>
        </is>
      </c>
      <c r="H18" s="18" t="inlineStr">
        <is>
          <t>Psyllium seed</t>
        </is>
      </c>
      <c r="I18" s="15" t="inlineStr">
        <is>
          <t>5</t>
        </is>
      </c>
      <c r="J18" s="18"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ในผู้ป่วยริดสีดวงทวารร่วมกับท้องผูก การเพิ่มกากใยอาหาร (Bulk-forming laxative) เช่น Psyllium seed เป็นยา first-line ที่แนะนำเพื่อทำให้อุจจาระนุ่มและขับถ่ายง่ายโดยไม่ระคายเคือง
🔍 ข้ออื่นผิดเพราะอะไร:
• ข้อ ก. (Senna): เป็น Anthraquinone stimulant laxative กระตุ้น myenteric plexus แต่การใช้ระยะยาวอาจทำให้เกิด melanosis coli และ bowel dependence
• ข้อ ข. (Castor oil): ข้อนี้ไม่ใช่คำตอบที่ถูกต้องสำหรับภาวะ Diarrhea &amp; Constipation เนื่องจากกลไกการออกฤทธิ์, efficacy หรือข้อบ่งใช้ไม่ตรงกับโจทย์ที่กำหนด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(Mineral oil):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 s="18" t="inlineStr"/>
      <c r="L18" s="18" t="inlineStr">
        <is>
          <t>Diarrhea &amp; Constipation</t>
        </is>
      </c>
      <c r="M18" s="18" t="inlineStr">
        <is>
          <t>Clinic</t>
        </is>
      </c>
      <c r="N18" s="18" t="inlineStr">
        <is>
          <t>ข้อ 16 ชุด 1 (เฉลยข้อ จ)</t>
        </is>
      </c>
      <c r="O18" s="18" t="inlineStr">
        <is>
          <t>Mock</t>
        </is>
      </c>
      <c r="P18" s="18" t="inlineStr">
        <is>
          <t>ชุด 1</t>
        </is>
      </c>
    </row>
    <row r="19">
      <c r="A19" s="15" t="inlineStr">
        <is>
          <t>17</t>
        </is>
      </c>
      <c r="B19" s="18"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18" t="inlineStr"/>
      <c r="D19" s="18" t="inlineStr">
        <is>
          <t>ผู้ป่วยมักจะดื่มน้ำวันละ 6 แก้ว</t>
        </is>
      </c>
      <c r="E19" s="18" t="inlineStr">
        <is>
          <t>ผู้ป่วยมักจะออกกำลังกายสม่ำเสมอ</t>
        </is>
      </c>
      <c r="F19" s="18" t="inlineStr">
        <is>
          <t>ผู้ป่วยมักจะหลีกเลี่ยงการดื่มชา กาแฟ</t>
        </is>
      </c>
      <c r="G19" s="18" t="inlineStr">
        <is>
          <t>ผู้ป่วยมักจะดื่มนม 1 แก้วเป็นประจำทุกวัน</t>
        </is>
      </c>
      <c r="H19" s="18" t="inlineStr">
        <is>
          <t>ผู้ป่วยมักจะนั่งอ่านหนังสือในห้องน้ำเป็นเวลานาน</t>
        </is>
      </c>
      <c r="I19" s="15" t="inlineStr">
        <is>
          <t>5</t>
        </is>
      </c>
      <c r="J19" s="18" t="inlineStr">
        <is>
          <t>✅ คำตอบที่ถูกต้อง: ข้อ จ. ผู้ป่วยมักจะนั่งอ่านหนังสือในห้องน้ำเป็นเวลานาน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ผู้ป่วยมักจะนั่งอ่านหนังสือในห้องน้ำเป็นเวลานาน การนั่งเบ่งอุจจาระเป็นเวลานาน เช่น การนั่งอ่านหนังสือพิมพ์หรือโทรศัพท์มือถือในห้องน้ำ ทำให้เกิดความดันในช่องท้องและหลอดเลือดดำบริเวณทวารหนักสูงขึ้น เป็นสาเหตุสำคัญของริดสีดวงทวาร
🔍 ข้ออื่นผิดเพราะอะไร:
• ข้อ ก. (ผู้ป่วยมักจะดื่มน้ำวันละ 6 แก้ว): ข้อนี้ไม่ใช่คำตอบที่ถูกต้องสำหรับภาวะ Diarrhea &amp; Constipation เนื่องจากกลไกการออกฤทธิ์, efficacy หรือข้อบ่งใช้ไม่ตรงกับโจทย์ที่กำหนด
• ข้อ ข. (ผู้ป่วยมักจะออกกำลังกายสม่ำเสมอ): ข้อนี้ไม่ใช่คำตอบที่ถูกต้องสำหรับภาวะ Diarrhea &amp; Constipation เนื่องจากกลไกการออกฤทธิ์, efficacy หรือข้อบ่งใช้ไม่ตรงกับโจทย์ที่กำหนด
• ข้อ ค. (ผู้ป่วยมักจะหลีกเลี่ยงการดื่มชา กาแฟ): ข้อนี้ไม่ใช่คำตอบที่ถูกต้องสำหรับภาวะ Diarrhea &amp; Constipation เนื่องจากกลไกการออกฤทธิ์, efficacy หรือข้อบ่งใช้ไม่ตรงกับโจทย์ที่กำหนด
• ข้อ ง. (ผู้ป่วยมักจะดื่มนม 1 แก้วเป็นประจำทุกวัน):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8" t="inlineStr"/>
      <c r="L19" s="18" t="inlineStr">
        <is>
          <t>Diarrhea &amp; Constipation</t>
        </is>
      </c>
      <c r="M19" s="18" t="inlineStr">
        <is>
          <t>Clinic</t>
        </is>
      </c>
      <c r="N19" s="18" t="inlineStr">
        <is>
          <t>ข้อ 17 ชุด 1 (เฉลยข้อ จ)</t>
        </is>
      </c>
      <c r="O19" s="18" t="inlineStr">
        <is>
          <t>Mock</t>
        </is>
      </c>
      <c r="P19" s="18" t="inlineStr">
        <is>
          <t>ชุด 1</t>
        </is>
      </c>
    </row>
    <row r="20">
      <c r="A20" s="15" t="inlineStr">
        <is>
          <t>18</t>
        </is>
      </c>
      <c r="B20" s="18" t="inlineStr">
        <is>
          <t>ข้อใดไม่ใช่กลไกการออกฤทธิ์ของยาระบาย</t>
        </is>
      </c>
      <c r="C20" s="18" t="inlineStr"/>
      <c r="D20" s="18" t="inlineStr">
        <is>
          <t>ช่วยเหลือลื่นอุจจาระ</t>
        </is>
      </c>
      <c r="E20" s="18" t="inlineStr">
        <is>
          <t>ทำให้อุจจาระอ่อนนุ่ม</t>
        </is>
      </c>
      <c r="F20" s="18" t="inlineStr">
        <is>
          <t>เพิ่มแรงดันออสโมติกภายในลำไส้</t>
        </is>
      </c>
      <c r="G20" s="18" t="inlineStr">
        <is>
          <t>ทำให้อุจจาระจับตัวเป็นก้อน</t>
        </is>
      </c>
      <c r="H20" s="18" t="inlineStr">
        <is>
          <t>เพิ่มการเคลื่อนไหวของลำไส้เล็ก</t>
        </is>
      </c>
      <c r="I20" s="15" t="inlineStr">
        <is>
          <t>4</t>
        </is>
      </c>
      <c r="J20" s="18"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ข้อนี้ไม่ใช่คำตอบที่ถูกต้องสำหรับภาวะ GERD เนื่องจากกลไกการออกฤทธิ์, efficacy หรือข้อบ่งใช้ไม่ตรงกับโจทย์ที่กำหนด
• ข้อ ข. (ทำให้อุจจาระอ่อนนุ่ม): ข้อนี้ไม่ใช่คำตอบที่ถูกต้องสำหรับภาวะ GERD เนื่องจากกลไกการออกฤทธิ์, efficacy หรือข้อบ่งใช้ไม่ตรงกับโจทย์ที่กำหนด
• ข้อ ค. (เพิ่มแรงดันออสโมติกภายในลำไส้): ข้อนี้ไม่ใช่คำตอบที่ถูกต้องสำหรับภาวะ GERD เนื่องจากกลไกการออกฤทธิ์, efficacy หรือข้อบ่งใช้ไม่ตรงกับโจทย์ที่กำหนด
• ข้อ จ. (เพิ่มการเคลื่อนไหวของลำไส้เล็ก):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18" t="inlineStr"/>
      <c r="L20" s="18" t="inlineStr">
        <is>
          <t>GERD</t>
        </is>
      </c>
      <c r="M20" s="18" t="inlineStr">
        <is>
          <t>Clinic</t>
        </is>
      </c>
      <c r="N20" s="18" t="inlineStr">
        <is>
          <t>ข้อ 18 ชุด 1 (เฉลยข้อ ง)</t>
        </is>
      </c>
      <c r="O20" s="18" t="inlineStr">
        <is>
          <t>Mock</t>
        </is>
      </c>
      <c r="P20" s="18" t="inlineStr">
        <is>
          <t>ชุด 1</t>
        </is>
      </c>
    </row>
    <row r="21">
      <c r="A21" s="15" t="inlineStr">
        <is>
          <t>19</t>
        </is>
      </c>
      <c r="B21" s="18" t="inlineStr">
        <is>
          <t>หากผู้ป่วยมีประวัติลำไส้อุดตัน ไม่ควรให้ยาตัวใด</t>
        </is>
      </c>
      <c r="C21" s="18" t="inlineStr"/>
      <c r="D21" s="18" t="inlineStr">
        <is>
          <t>Senna</t>
        </is>
      </c>
      <c r="E21" s="18" t="inlineStr">
        <is>
          <t>Castor oil</t>
        </is>
      </c>
      <c r="F21" s="18" t="inlineStr">
        <is>
          <t>Bisacodyl</t>
        </is>
      </c>
      <c r="G21" s="18" t="inlineStr">
        <is>
          <t>Lactulose</t>
        </is>
      </c>
      <c r="H21" s="18" t="inlineStr">
        <is>
          <t>Psyllium seed</t>
        </is>
      </c>
      <c r="I21" s="15" t="inlineStr">
        <is>
          <t>5</t>
        </is>
      </c>
      <c r="J21" s="18"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เป็นยาระบายกลุ่มเพิ่มกากใย (Bulk-forming laxative) ซึ่งต้องดื่มน้ำตามมากเพื่อให้ยาพองตัว หากผู้ป่วยมีภาวะลำไส้อุดตัน การใช้ยาในกลุ่มนี้จะยิ่งทำให้เกิดการอุดตันมากขึ้นและเสี่ยงต่อลำไส้แตกได้ จึงเป็น contraindication เด็ดขาด
🔍 ข้ออื่นผิดเพราะอะไร:
• ข้อ ก. (Senna): เป็น Anthraquinone stimulant laxative กระตุ้น myenteric plexus แต่การใช้ระยะยาวอาจทำให้เกิด melanosis coli และ bowel dependence
• ข้อ ข. (Castor oil): ข้อนี้ไม่ใช่คำตอบที่ถูกต้องสำหรับภาวะ Diarrhea &amp; Constipation เนื่องจากกลไกการออกฤทธิ์, efficacy หรือข้อบ่งใช้ไม่ตรงกับโจทย์ที่กำหนด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8" t="inlineStr"/>
      <c r="L21" s="18" t="inlineStr">
        <is>
          <t>Diarrhea &amp; Constipation</t>
        </is>
      </c>
      <c r="M21" s="18" t="inlineStr">
        <is>
          <t>Clinic</t>
        </is>
      </c>
      <c r="N21" s="18" t="inlineStr">
        <is>
          <t>ข้อ 19 ชุด 1 (เฉลยข้อ จ)</t>
        </is>
      </c>
      <c r="O21" s="18" t="inlineStr">
        <is>
          <t>Mock</t>
        </is>
      </c>
      <c r="P21" s="18" t="inlineStr">
        <is>
          <t>ชุด 1</t>
        </is>
      </c>
    </row>
    <row r="22">
      <c r="A22" s="15" t="inlineStr">
        <is>
          <t>20</t>
        </is>
      </c>
      <c r="B22" s="18" t="inlineStr">
        <is>
          <t>ข้อใดไม่ใช่คำแนะนำที่ถูกต้องในการใช้ยาเหน็บทวาร</t>
        </is>
      </c>
      <c r="C22" s="18" t="inlineStr"/>
      <c r="D22" s="18" t="inlineStr">
        <is>
          <t>ฉีกซองพลาสติกก่อนใช้</t>
        </is>
      </c>
      <c r="E22" s="18" t="inlineStr">
        <is>
          <t>เก็บยาไว้ในตู้เย็นช่องแช่แข็ง</t>
        </is>
      </c>
      <c r="F22" s="18" t="inlineStr">
        <is>
          <t>ล้างมือให้สะอาดก่อนเหน็บยา</t>
        </is>
      </c>
      <c r="G22" s="18" t="inlineStr">
        <is>
          <t>ไม่ต้องนำยาเหน็บออกจากร่างกายหลังจากเหน็บ</t>
        </is>
      </c>
      <c r="H22" s="18" t="inlineStr">
        <is>
          <t>เหน็บยาแล้วให้นอนพักอย่างน้อย 15 นาทีก่อนลุก</t>
        </is>
      </c>
      <c r="I22" s="15" t="inlineStr">
        <is>
          <t>2</t>
        </is>
      </c>
      <c r="J22" s="18"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ข้อนี้ไม่ใช่คำตอบที่ถูกต้องสำหรับภาวะ GERD เนื่องจากกลไกการออกฤทธิ์, efficacy หรือข้อบ่งใช้ไม่ตรงกับโจทย์ที่กำหนด
• ข้อ ค. (ล้างมือให้สะอาดก่อนเหน็บยา): ข้อนี้ไม่ใช่คำตอบที่ถูกต้องสำหรับภาวะ GERD เนื่องจากกลไกการออกฤทธิ์, efficacy หรือข้อบ่งใช้ไม่ตรงกับโจทย์ที่กำหนด
• ข้อ ง. (ไม่ต้องนำยาเหน็บออกจากร่างกายหลังจากเหน็บ): ข้อนี้ไม่ใช่คำตอบที่ถูกต้องสำหรับภาวะ GERD เนื่องจากกลไกการออกฤทธิ์, efficacy หรือข้อบ่งใช้ไม่ตรงกับโจทย์ที่กำหนด
• ข้อ จ. (เหน็บยาแล้วให้นอนพักอย่างน้อย 15 นาทีก่อนลุก):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18" t="inlineStr"/>
      <c r="L22" s="18" t="inlineStr">
        <is>
          <t>GERD</t>
        </is>
      </c>
      <c r="M22" s="18" t="inlineStr">
        <is>
          <t>Clinic</t>
        </is>
      </c>
      <c r="N22" s="18" t="inlineStr">
        <is>
          <t>ข้อ 20 ชุด 1 (เฉลยข้อ ข)</t>
        </is>
      </c>
      <c r="O22" s="18" t="inlineStr">
        <is>
          <t>Mock</t>
        </is>
      </c>
      <c r="P22" s="18" t="inlineStr">
        <is>
          <t>ชุด 1</t>
        </is>
      </c>
    </row>
    <row r="23">
      <c r="A23" s="15" t="inlineStr">
        <is>
          <t>21</t>
        </is>
      </c>
      <c r="B23" s="18"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18" t="inlineStr"/>
      <c r="D23" s="18" t="inlineStr">
        <is>
          <t>ยาชนิดเม็ดส่วนใหญ่ต้องกลืนยาทั้งเม็ด ห้ามเคี้ยว</t>
        </is>
      </c>
      <c r="E23" s="18" t="inlineStr">
        <is>
          <t>ยาอาจทำให้ท้องเสีย เพราะมีตัวยาสำคัญคือ aluminium hydroxide</t>
        </is>
      </c>
      <c r="F23" s="18" t="inlineStr">
        <is>
          <t>ในผู้ป่วยที่เป็นโรคไตร่วมด้วย ควรให้ยาลดกรดที่มี Magnesium เป็นองค์ประกอบ</t>
        </is>
      </c>
      <c r="G23" s="18" t="inlineStr">
        <is>
          <t>ควรรับประทานยาก่อนอาหาร 1 ชม. และก่อนนอนเพื่อให้ยามีฤทธิ์อยู่ได้นาน</t>
        </is>
      </c>
      <c r="H23" s="18" t="inlineStr">
        <is>
          <t>ในผู้ป่วยที่มีอาการรุนแรงสามารถรับประทานได้ทุก 1 ชั่วโมง</t>
        </is>
      </c>
      <c r="I23" s="15" t="inlineStr">
        <is>
          <t>1</t>
        </is>
      </c>
      <c r="J23" s="18"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ข้อนี้ไม่ใช่คำตอบที่ถูกต้องสำหรับภาวะ Dyspepsia &amp; PUD เนื่องจากกลไกการออกฤทธิ์, efficacy หรือข้อบ่งใช้ไม่ตรงกับโจทย์ที่กำหนด
• ข้อ ค. (ในผู้ป่วยที่เป็นโรคไตร่วมด้วย ควรให้ยาลดกรดที่มี Magnesium เป็นองค์ประกอบ): ข้อนี้ไม่ใช่คำตอบที่ถูกต้องสำหรับภาวะ Dyspepsia &amp; PUD เนื่องจากกลไกการออกฤทธิ์, efficacy หรือข้อบ่งใช้ไม่ตรงกับโจทย์ที่กำหนด
• ข้อ ง. (ควรรับประทานยาก่อนอาหาร 1 ชม. และก่อนนอนเพื่อให้ยามีฤทธิ์อยู่ได้นาน): ข้อนี้ไม่ใช่คำตอบที่ถูกต้องสำหรับภาวะ Dyspepsia &amp; PUD เนื่องจากกลไกการออกฤทธิ์, efficacy หรือข้อบ่งใช้ไม่ตรงกับโจทย์ที่กำหนด
• ข้อ จ. (ในผู้ป่วยที่มีอาการรุนแรงสามารถรับประทานได้ทุก 1 ชั่วโมง):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18" t="inlineStr"/>
      <c r="L23" s="18" t="inlineStr">
        <is>
          <t>Dyspepsia &amp; PUD</t>
        </is>
      </c>
      <c r="M23" s="18" t="inlineStr">
        <is>
          <t>Clinic</t>
        </is>
      </c>
      <c r="N23" s="18" t="inlineStr">
        <is>
          <t>ข้อ 21 ชุด 1 (เฉลยข้อ )</t>
        </is>
      </c>
      <c r="O23" s="18" t="inlineStr">
        <is>
          <t>Mock</t>
        </is>
      </c>
      <c r="P23" s="18" t="inlineStr">
        <is>
          <t>ชุด 1</t>
        </is>
      </c>
    </row>
    <row r="24">
      <c r="A24" s="15" t="inlineStr">
        <is>
          <t>22</t>
        </is>
      </c>
      <c r="B24" s="18"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18" t="inlineStr"/>
      <c r="D24" s="18" t="inlineStr">
        <is>
          <t>โดยทั่วไประยะเวลาที่ใช้รักษา 8-12 สัปดาห์</t>
        </is>
      </c>
      <c r="E24" s="18" t="inlineStr">
        <is>
          <t>ระยะเวลาที่ใช้รักษา Duodenal ulcer ยาวกว่า gastric ulcer</t>
        </is>
      </c>
      <c r="F24" s="18" t="inlineStr">
        <is>
          <t>ยากลุ่มนี้สามารถยับยั้งการเจริญของเชื้อ H. pylori ได้</t>
        </is>
      </c>
      <c r="G24" s="18" t="inlineStr">
        <is>
          <t>สามารถให้ผู้ป่วยรับประทานยากลุ่มนี้ครั้งเดียวก่อนนอนได้</t>
        </is>
      </c>
      <c r="H24" s="18" t="inlineStr">
        <is>
          <t>ยาที่เป็น Prototype ของกลุ่มนี้เกิดปฏิกิริยากับยาน้อย</t>
        </is>
      </c>
      <c r="I24" s="15" t="inlineStr">
        <is>
          <t>1</t>
        </is>
      </c>
      <c r="J24" s="18"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ข้อนี้ไม่ใช่คำตอบที่ถูกต้องสำหรับภาวะ Dyspepsia &amp; PUD เนื่องจากกลไกการออกฤทธิ์, efficacy หรือข้อบ่งใช้ไม่ตรงกับโจทย์ที่กำหนด
• ข้อ ค. (ยากลุ่มนี้สามารถยับยั้งการเจริญของเชื้อ H. pylori ได้): ข้อนี้ไม่ใช่คำตอบที่ถูกต้องสำหรับภาวะ Dyspepsia &amp; PUD เนื่องจากกลไกการออกฤทธิ์, efficacy หรือข้อบ่งใช้ไม่ตรงกับโจทย์ที่กำหนด
• ข้อ ง. (สามารถให้ผู้ป่วยรับประทานยากลุ่มนี้ครั้งเดียวก่อนนอนได้): ข้อนี้ไม่ใช่คำตอบที่ถูกต้องสำหรับภาวะ Dyspepsia &amp; PUD เนื่องจากกลไกการออกฤทธิ์, efficacy หรือข้อบ่งใช้ไม่ตรงกับโจทย์ที่กำหนด
• ข้อ จ. (ยาที่เป็น Prototype ของกลุ่มนี้เกิดปฏิกิริยากับยาน้อย):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8" t="inlineStr"/>
      <c r="L24" s="18" t="inlineStr">
        <is>
          <t>Dyspepsia &amp; PUD</t>
        </is>
      </c>
      <c r="M24" s="18" t="inlineStr">
        <is>
          <t>Clinic</t>
        </is>
      </c>
      <c r="N24" s="18" t="inlineStr">
        <is>
          <t>ข้อ 22 ชุด 1 (เฉลยข้อ ก ง)</t>
        </is>
      </c>
      <c r="O24" s="18" t="inlineStr">
        <is>
          <t>Mock</t>
        </is>
      </c>
      <c r="P24" s="18" t="inlineStr">
        <is>
          <t>ชุด 1</t>
        </is>
      </c>
    </row>
    <row r="25">
      <c r="A25" s="15" t="inlineStr">
        <is>
          <t>23</t>
        </is>
      </c>
      <c r="B25" s="18" t="inlineStr">
        <is>
          <t>สารสำคัญของขมิ้นชันที่ออกฤทธิ์ในการกระตุ้นการหลั่ง</t>
        </is>
      </c>
      <c r="C25" s="18" t="inlineStr"/>
      <c r="D25" s="18" t="inlineStr">
        <is>
          <t>Lupeol</t>
        </is>
      </c>
      <c r="E25" s="18" t="inlineStr">
        <is>
          <t>Curcumin</t>
        </is>
      </c>
      <c r="F25" s="18" t="inlineStr">
        <is>
          <t>Stigmasterol</t>
        </is>
      </c>
      <c r="G25" s="18" t="inlineStr">
        <is>
          <t>Andrographolide</t>
        </is>
      </c>
      <c r="H25" s="18" t="inlineStr">
        <is>
          <t>Hydroxyanthracens</t>
        </is>
      </c>
      <c r="I25" s="15" t="inlineStr">
        <is>
          <t>2</t>
        </is>
      </c>
      <c r="J25" s="18"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ข้อนี้ไม่ใช่คำตอบที่ถูกต้องสำหรับภาวะ GERD เนื่องจากกลไกการออกฤทธิ์, efficacy หรือข้อบ่งใช้ไม่ตรงกับโจทย์ที่กำหนด
• ข้อ ค. (Stigmasterol): ข้อนี้ไม่ใช่คำตอบที่ถูกต้องสำหรับภาวะ GERD เนื่องจากกลไกการออกฤทธิ์, efficacy หรือข้อบ่งใช้ไม่ตรงกับโจทย์ที่กำหนด
• ข้อ ง. (Andrographolide): ข้อนี้ไม่ใช่คำตอบที่ถูกต้องสำหรับภาวะ GERD เนื่องจากกลไกการออกฤทธิ์, efficacy หรือข้อบ่งใช้ไม่ตรงกับโจทย์ที่กำหนด
• ข้อ จ. (Hydroxyanthracens):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18" t="inlineStr"/>
      <c r="L25" s="18" t="inlineStr">
        <is>
          <t>GERD</t>
        </is>
      </c>
      <c r="M25" s="18" t="inlineStr">
        <is>
          <t>Clinic</t>
        </is>
      </c>
      <c r="N25" s="18" t="inlineStr">
        <is>
          <t>ข้อ 23 ชุด 1 (เฉลยข้อ ข)</t>
        </is>
      </c>
      <c r="O25" s="18" t="inlineStr">
        <is>
          <t>Mock</t>
        </is>
      </c>
      <c r="P25" s="18" t="inlineStr">
        <is>
          <t>ชุด 1</t>
        </is>
      </c>
    </row>
    <row r="26">
      <c r="A26" s="15" t="inlineStr">
        <is>
          <t>24</t>
        </is>
      </c>
      <c r="B26" s="18"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18" t="inlineStr"/>
      <c r="D26" s="18" t="inlineStr">
        <is>
          <t>ผงน้ำตาลเกลือแร่</t>
        </is>
      </c>
      <c r="E26" s="18" t="inlineStr">
        <is>
          <t>Norfloxacin</t>
        </is>
      </c>
      <c r="F26" s="18" t="inlineStr">
        <is>
          <t>Loperamide</t>
        </is>
      </c>
      <c r="G26" s="18" t="inlineStr">
        <is>
          <t>Chlortetracycline</t>
        </is>
      </c>
      <c r="H26" s="18" t="inlineStr">
        <is>
          <t>Furazolidine</t>
        </is>
      </c>
      <c r="I26" s="15" t="inlineStr">
        <is>
          <t>3</t>
        </is>
      </c>
      <c r="J26" s="18"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ข้อนี้ไม่ใช่คำตอบที่ถูกต้องสำหรับภาวะ Diarrhea &amp; Constipation เนื่องจากกลไกการออกฤทธิ์, efficacy หรือข้อบ่งใช้ไม่ตรงกับโจทย์ที่กำหนด
• ข้อ ข. (Norfloxacin): ข้อนี้ไม่ใช่คำตอบที่ถูกต้องสำหรับภาวะ Diarrhea &amp; Constipation เนื่องจากกลไกการออกฤทธิ์, efficacy หรือข้อบ่งใช้ไม่ตรงกับโจทย์ที่กำหนด
• ข้อ ง. (Chlortetracycline): ข้อนี้ไม่ใช่คำตอบที่ถูกต้องสำหรับภาวะ Diarrhea &amp; Constipation เนื่องจากกลไกการออกฤทธิ์, efficacy หรือข้อบ่งใช้ไม่ตรงกับโจทย์ที่กำหนด
• ข้อ จ. (Furazolidine):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8" t="inlineStr"/>
      <c r="L26" s="18" t="inlineStr">
        <is>
          <t>Diarrhea &amp; Constipation</t>
        </is>
      </c>
      <c r="M26" s="18" t="inlineStr">
        <is>
          <t>Clinic</t>
        </is>
      </c>
      <c r="N26" s="18" t="inlineStr">
        <is>
          <t>ข้อ 24 ชุด 1 (เฉลยข้อ ค ง จ)</t>
        </is>
      </c>
      <c r="O26" s="18" t="inlineStr">
        <is>
          <t>Mock</t>
        </is>
      </c>
      <c r="P26" s="18" t="inlineStr">
        <is>
          <t>ชุด 1</t>
        </is>
      </c>
    </row>
    <row r="27">
      <c r="A27" s="15" t="inlineStr">
        <is>
          <t>25</t>
        </is>
      </c>
      <c r="B27" s="18" t="inlineStr">
        <is>
          <t>ในผู้ใหญ่ คนปกติ ถ้าพบว่า ผู้ป่วยท้องเสียจากเชื้อ Salmonella จะให้ยาต้านจุลชีพในข้อใด</t>
        </is>
      </c>
      <c r="C27" s="18" t="inlineStr"/>
      <c r="D27" s="18" t="inlineStr">
        <is>
          <t>Norfloxacin</t>
        </is>
      </c>
      <c r="E27" s="18" t="inlineStr">
        <is>
          <t>Ofloxacin</t>
        </is>
      </c>
      <c r="F27" s="18" t="inlineStr">
        <is>
          <t>Chloramphenicol</t>
        </is>
      </c>
      <c r="G27" s="18" t="inlineStr">
        <is>
          <t>Furazolidine</t>
        </is>
      </c>
      <c r="H27" s="18" t="inlineStr">
        <is>
          <t>ไม่ต้องให้ยาต้านจุลชีพ</t>
        </is>
      </c>
      <c r="I27" s="15" t="inlineStr">
        <is>
          <t>1</t>
        </is>
      </c>
      <c r="J27" s="18" t="inlineStr">
        <is>
          <t>✅ คำตอบที่ถูกต้อง: ข้อ ก.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ในผู้ป่วยผู้ใหญ่ที่มีภูมิคุ้มกันปกติและเป็น non-typhoidal Salmonella gastroenteritis อาการมักหายได้เอง (self-limiting) การให้ยาปฏิชีวนะไม่ช่วยให้อาการหายเร็วขึ้นและอาจเพิ่มระยะเวลาในการขับเชื้อผ่านทางอุจจาระ (prolonged carrier state) ยกเว้นในกลุ่มเสี่ยงสูง เช่น เด็กเล็ก ผู้สูงอายุ หรือผู้มีภูมิคุ้มกันบกพร่อง จึงมักแนะนำว่าไม่ต้องให้ยาต้านจุลชีพ
🔍 ข้ออื่นผิดเพราะอะไร:
• ข้อ ข. (Ofloxacin): ข้อนี้ไม่ใช่คำตอบที่ถูกต้องสำหรับภาวะ Diarrhea &amp; Constipation เนื่องจากกลไกการออกฤทธิ์, efficacy หรือข้อบ่งใช้ไม่ตรงกับโจทย์ที่กำหนด
• ข้อ ค. (Chloramphenicol): ข้อนี้ไม่ใช่คำตอบที่ถูกต้องสำหรับภาวะ Diarrhea &amp; Constipation เนื่องจากกลไกการออกฤทธิ์, efficacy หรือข้อบ่งใช้ไม่ตรงกับโจทย์ที่กำหนด
• ข้อ ง. (Furazolidine): ข้อนี้ไม่ใช่คำตอบที่ถูกต้องสำหรับภาวะ Diarrhea &amp; Constipation เนื่องจากกลไกการออกฤทธิ์, efficacy หรือข้อบ่งใช้ไม่ตรงกับโจทย์ที่กำหนด
• ข้อ จ. (ไม่ต้องให้ยาต้านจุลชีพ):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 s="18" t="inlineStr"/>
      <c r="L27" s="18" t="inlineStr">
        <is>
          <t>Diarrhea &amp; Constipation</t>
        </is>
      </c>
      <c r="M27" s="18" t="inlineStr">
        <is>
          <t>Clinic</t>
        </is>
      </c>
      <c r="N27" s="18" t="inlineStr">
        <is>
          <t>ข้อ 25 ชุด 1 (เฉลยข้อ ก)</t>
        </is>
      </c>
      <c r="O27" s="18" t="inlineStr">
        <is>
          <t>Mock</t>
        </is>
      </c>
      <c r="P27" s="18" t="inlineStr">
        <is>
          <t>ชุด 1</t>
        </is>
      </c>
    </row>
    <row r="28">
      <c r="A28" s="15" t="inlineStr">
        <is>
          <t>26</t>
        </is>
      </c>
      <c r="B28" s="18"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18" t="inlineStr"/>
      <c r="D28" s="18" t="inlineStr">
        <is>
          <t>Nicotinic receptor, ปากแห้ง ตาพร่า ท้องผูก</t>
        </is>
      </c>
      <c r="E28" s="18" t="inlineStr">
        <is>
          <t>Muscarinic receptor, ปากแห้ง ตาพร่า ท้องผูก</t>
        </is>
      </c>
      <c r="F28" s="18" t="inlineStr">
        <is>
          <t>Beta-2 receptor, หลอดลมตีบ</t>
        </is>
      </c>
      <c r="G28" s="18" t="inlineStr">
        <is>
          <t>Beta-1 receptor, หลอดลมตีบ</t>
        </is>
      </c>
      <c r="H28" s="18" t="inlineStr">
        <is>
          <t>Alpha 1 receptor, ปากแห้ง ตาพร่า ท้องผูก</t>
        </is>
      </c>
      <c r="I28" s="15" t="inlineStr">
        <is>
          <t>2</t>
        </is>
      </c>
      <c r="J28" s="18" t="inlineStr">
        <is>
          <t>✅ คำตอบที่ถูกต้อง: ข้อ ข. Muscarinic receptor, ปากแห้ง ตาพร่า ท้องผูก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Muscarinic receptor, ปากแห้ง ตาพร่า ท้องผูก Hyoscine เป็นยาคลายกล้ามเนื้อเรียบในทางเดินอาหาร (Antispasmodic) โดยออกฤทธิ์เป็น competitive antagonist ที่ Muscarinic acetylcholine receptors ผลข้างเคียงจากฤทธิ์ Anticholinergic ที่พบบ่อย ได้แก่ ปากแห้ง ตาพร่า ท้องผูก ปัสสาวะคั่ง และหัวใจเต้นเร็ว
🔍 ข้ออื่นผิดเพราะอะไร:
• ข้อ ก. (Nicotinic receptor, ปากแห้ง ตาพร่า ท้องผูก): ข้อนี้ไม่ใช่คำตอบที่ถูกต้องสำหรับภาวะ Diarrhea &amp; Constipation เนื่องจากกลไกการออกฤทธิ์, efficacy หรือข้อบ่งใช้ไม่ตรงกับโจทย์ที่กำหนด
• ข้อ ค. (Beta-2 receptor, หลอดลมตีบ): ข้อนี้ไม่ใช่คำตอบที่ถูกต้องสำหรับภาวะ Diarrhea &amp; Constipation เนื่องจากกลไกการออกฤทธิ์, efficacy หรือข้อบ่งใช้ไม่ตรงกับโจทย์ที่กำหนด
• ข้อ ง. (Beta-1 receptor, หลอดลมตีบ): ข้อนี้ไม่ใช่คำตอบที่ถูกต้องสำหรับภาวะ Diarrhea &amp; Constipation เนื่องจากกลไกการออกฤทธิ์, efficacy หรือข้อบ่งใช้ไม่ตรงกับโจทย์ที่กำหนด
• ข้อ จ. (Alpha 1 receptor, ปากแห้ง ตาพร่า ท้องผูก):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8" s="18" t="inlineStr"/>
      <c r="L28" s="18" t="inlineStr">
        <is>
          <t>Diarrhea &amp; Constipation</t>
        </is>
      </c>
      <c r="M28" s="18" t="inlineStr">
        <is>
          <t>Clinic</t>
        </is>
      </c>
      <c r="N28" s="18" t="inlineStr">
        <is>
          <t>ข้อ 26 ชุด 1 (เฉลยข้อ ข)</t>
        </is>
      </c>
      <c r="O28" s="18" t="inlineStr">
        <is>
          <t>Mock</t>
        </is>
      </c>
      <c r="P28" s="18" t="inlineStr">
        <is>
          <t>ชุด 1</t>
        </is>
      </c>
    </row>
    <row r="29">
      <c r="A29" s="15" t="inlineStr">
        <is>
          <t>27</t>
        </is>
      </c>
      <c r="B29" s="18"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18" t="inlineStr"/>
      <c r="D29" s="18" t="inlineStr">
        <is>
          <t>พยาธิปากขอ</t>
        </is>
      </c>
      <c r="E29" s="18" t="inlineStr">
        <is>
          <t>พยาธิเส้นด้าย</t>
        </is>
      </c>
      <c r="F29" s="18" t="inlineStr">
        <is>
          <t>พยาธิไส้เดือน</t>
        </is>
      </c>
      <c r="G29" s="18" t="inlineStr">
        <is>
          <t>พยาธิใบไม้ในตับ</t>
        </is>
      </c>
      <c r="H29" s="18" t="inlineStr">
        <is>
          <t>พยาธิตัวตืด</t>
        </is>
      </c>
      <c r="I29" s="15" t="inlineStr">
        <is>
          <t>5</t>
        </is>
      </c>
      <c r="J29" s="18"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ข้อนี้ไม่ใช่คำตอบที่ถูกต้องสำหรับภาวะ GERD เนื่องจากกลไกการออกฤทธิ์, efficacy หรือข้อบ่งใช้ไม่ตรงกับโจทย์ที่กำหนด
• ข้อ ข. (พยาธิเส้นด้าย): ข้อนี้ไม่ใช่คำตอบที่ถูกต้องสำหรับภาวะ GERD เนื่องจากกลไกการออกฤทธิ์, efficacy หรือข้อบ่งใช้ไม่ตรงกับโจทย์ที่กำหนด
• ข้อ ค. (พยาธิไส้เดือน): ข้อนี้ไม่ใช่คำตอบที่ถูกต้องสำหรับภาวะ GERD เนื่องจากกลไกการออกฤทธิ์, efficacy หรือข้อบ่งใช้ไม่ตรงกับโจทย์ที่กำหนด
• ข้อ ง. (พยาธิใบไม้ในตับ):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18" t="inlineStr"/>
      <c r="L29" s="18" t="inlineStr">
        <is>
          <t>GERD</t>
        </is>
      </c>
      <c r="M29" s="18" t="inlineStr">
        <is>
          <t>Clinic</t>
        </is>
      </c>
      <c r="N29" s="18" t="inlineStr">
        <is>
          <t>ข้อ 27 ชุด 1 (เฉลยข้อ จ)</t>
        </is>
      </c>
      <c r="O29" s="18" t="inlineStr">
        <is>
          <t>Mock</t>
        </is>
      </c>
      <c r="P29" s="18" t="inlineStr">
        <is>
          <t>ชุด 1</t>
        </is>
      </c>
    </row>
    <row r="30">
      <c r="A30" s="15" t="inlineStr">
        <is>
          <t>28</t>
        </is>
      </c>
      <c r="B30" s="18"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18" t="inlineStr"/>
      <c r="D30" s="18" t="inlineStr">
        <is>
          <t>วัว</t>
        </is>
      </c>
      <c r="E30" s="18" t="inlineStr">
        <is>
          <t>หมู</t>
        </is>
      </c>
      <c r="F30" s="18" t="inlineStr">
        <is>
          <t>ปลา</t>
        </is>
      </c>
      <c r="G30" s="18" t="inlineStr">
        <is>
          <t>ไก่</t>
        </is>
      </c>
      <c r="H30" s="18" t="inlineStr">
        <is>
          <t>หนู</t>
        </is>
      </c>
      <c r="I30" s="15" t="inlineStr">
        <is>
          <t>2</t>
        </is>
      </c>
      <c r="J30" s="18"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ข้อนี้ไม่ใช่คำตอบที่ถูกต้องสำหรับภาวะ GERD เนื่องจากกลไกการออกฤทธิ์, efficacy หรือข้อบ่งใช้ไม่ตรงกับโจทย์ที่กำหนด
• ข้อ ค. (ปลา): ข้อนี้ไม่ใช่คำตอบที่ถูกต้องสำหรับภาวะ GERD เนื่องจากกลไกการออกฤทธิ์, efficacy หรือข้อบ่งใช้ไม่ตรงกับโจทย์ที่กำหนด
• ข้อ ง. (ไก่): ข้อนี้ไม่ใช่คำตอบที่ถูกต้องสำหรับภาวะ GERD เนื่องจากกลไกการออกฤทธิ์, efficacy หรือข้อบ่งใช้ไม่ตรงกับโจทย์ที่กำหนด
• ข้อ จ. (หนู):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18" t="inlineStr"/>
      <c r="L30" s="18" t="inlineStr">
        <is>
          <t>GERD</t>
        </is>
      </c>
      <c r="M30" s="18" t="inlineStr">
        <is>
          <t>Clinic</t>
        </is>
      </c>
      <c r="N30" s="18" t="inlineStr">
        <is>
          <t>ข้อ 28 ชุด 1 (เฉลยข้อ ข)</t>
        </is>
      </c>
      <c r="O30" s="18" t="inlineStr">
        <is>
          <t>Mock</t>
        </is>
      </c>
      <c r="P30" s="18" t="inlineStr">
        <is>
          <t>ชุด 1</t>
        </is>
      </c>
    </row>
    <row r="31">
      <c r="A31" s="15" t="inlineStr">
        <is>
          <t>29</t>
        </is>
      </c>
      <c r="B31" s="18"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18" t="inlineStr"/>
      <c r="D31" s="18" t="inlineStr">
        <is>
          <t>1000 mg 1x3, 1 day</t>
        </is>
      </c>
      <c r="E31" s="18" t="inlineStr">
        <is>
          <t>1000 mg 1x3, 2 days</t>
        </is>
      </c>
      <c r="F31" s="18" t="inlineStr">
        <is>
          <t>600 mg 1x3, 14 days</t>
        </is>
      </c>
      <c r="G31" s="18" t="inlineStr">
        <is>
          <t>600 mg 2x1, 1 day</t>
        </is>
      </c>
      <c r="H31" s="18" t="inlineStr">
        <is>
          <t>600 mg 2x3, 1 day</t>
        </is>
      </c>
      <c r="I31" s="15" t="inlineStr">
        <is>
          <t>1</t>
        </is>
      </c>
      <c r="J31" s="18"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ข้อนี้ไม่ใช่คำตอบที่ถูกต้องสำหรับภาวะ GERD เนื่องจากกลไกการออกฤทธิ์, efficacy หรือข้อบ่งใช้ไม่ตรงกับโจทย์ที่กำหนด
• ข้อ ค. (600 mg 1x3, 14 days): ข้อนี้ไม่ใช่คำตอบที่ถูกต้องสำหรับภาวะ GERD เนื่องจากกลไกการออกฤทธิ์, efficacy หรือข้อบ่งใช้ไม่ตรงกับโจทย์ที่กำหนด
• ข้อ ง. (600 mg 2x1, 1 day): ข้อนี้ไม่ใช่คำตอบที่ถูกต้องสำหรับภาวะ GERD เนื่องจากกลไกการออกฤทธิ์, efficacy หรือข้อบ่งใช้ไม่ตรงกับโจทย์ที่กำหนด
• ข้อ จ. (600 mg 2x3, 1 day):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18" t="inlineStr"/>
      <c r="L31" s="18" t="inlineStr">
        <is>
          <t>GERD</t>
        </is>
      </c>
      <c r="M31" s="18" t="inlineStr">
        <is>
          <t>Clinic</t>
        </is>
      </c>
      <c r="N31" s="18" t="inlineStr">
        <is>
          <t>ข้อ 29 ชุด 1 (เฉลยข้อ )</t>
        </is>
      </c>
      <c r="O31" s="18" t="inlineStr">
        <is>
          <t>Mock</t>
        </is>
      </c>
      <c r="P31" s="18" t="inlineStr">
        <is>
          <t>ชุด 1</t>
        </is>
      </c>
    </row>
    <row r="32">
      <c r="A32" s="15" t="inlineStr">
        <is>
          <t>30</t>
        </is>
      </c>
      <c r="B32" s="18" t="inlineStr">
        <is>
          <t>สมุนไพรใดที่อาจแนะนำในผู้ป่วยรายนี้ คือ</t>
        </is>
      </c>
      <c r="C32" s="18" t="inlineStr"/>
      <c r="D32" s="18" t="inlineStr">
        <is>
          <t>เมล็ดฟักทอง</t>
        </is>
      </c>
      <c r="E32" s="18" t="inlineStr">
        <is>
          <t>เมล็ดทานตะวัน</t>
        </is>
      </c>
      <c r="F32" s="18" t="inlineStr">
        <is>
          <t>เปลือกมังคุด</t>
        </is>
      </c>
      <c r="G32" s="18" t="inlineStr">
        <is>
          <t>เปลือกทับทิม</t>
        </is>
      </c>
      <c r="H32" s="18" t="inlineStr">
        <is>
          <t>เปลือกส้มโอ</t>
        </is>
      </c>
      <c r="I32" s="15" t="inlineStr">
        <is>
          <t>1</t>
        </is>
      </c>
      <c r="J32" s="18"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ข้อนี้ไม่ใช่คำตอบที่ถูกต้องสำหรับภาวะ GERD เนื่องจากกลไกการออกฤทธิ์, efficacy หรือข้อบ่งใช้ไม่ตรงกับโจทย์ที่กำหนด
• ข้อ ค. (เปลือกมังคุด): ข้อนี้ไม่ใช่คำตอบที่ถูกต้องสำหรับภาวะ GERD เนื่องจากกลไกการออกฤทธิ์, efficacy หรือข้อบ่งใช้ไม่ตรงกับโจทย์ที่กำหนด
• ข้อ ง. (เปลือกทับทิม): ข้อนี้ไม่ใช่คำตอบที่ถูกต้องสำหรับภาวะ GERD เนื่องจากกลไกการออกฤทธิ์, efficacy หรือข้อบ่งใช้ไม่ตรงกับโจทย์ที่กำหนด
• ข้อ จ. (เปลือกส้มโอ):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18" t="inlineStr"/>
      <c r="L32" s="18" t="inlineStr">
        <is>
          <t>GERD</t>
        </is>
      </c>
      <c r="M32" s="18" t="inlineStr">
        <is>
          <t>Clinic</t>
        </is>
      </c>
      <c r="N32" s="18" t="inlineStr">
        <is>
          <t>ข้อ 30 ชุด 1 (เฉลยข้อ ก)</t>
        </is>
      </c>
      <c r="O32" s="18" t="inlineStr">
        <is>
          <t>Mock</t>
        </is>
      </c>
      <c r="P32" s="18" t="inlineStr">
        <is>
          <t>ชุด 1</t>
        </is>
      </c>
    </row>
    <row r="33">
      <c r="A33" s="15" t="inlineStr">
        <is>
          <t>31</t>
        </is>
      </c>
      <c r="B33" s="18" t="inlineStr">
        <is>
          <t>ข้อแนะนำการใช้ยาสำหรับผู้ป่วยให้นมบุตรคือข้อใด</t>
        </is>
      </c>
      <c r="C33" s="18" t="inlineStr"/>
      <c r="D33" s="18" t="inlineStr">
        <is>
          <t>สามารถใช้ได้เพราะไม่สามารถขับออกทางน้ำนม</t>
        </is>
      </c>
      <c r="E33" s="18" t="inlineStr">
        <is>
          <t>สามารถใช้ได้ไม่มีอาการข้างเคียงที่ร้ายแรง</t>
        </is>
      </c>
      <c r="F33" s="18" t="inlineStr">
        <is>
          <t>สามารถใช้ได้เพราะไม่เกิดเมตาบอไลต์ที่เป็นพิษ</t>
        </is>
      </c>
      <c r="G33" s="18" t="inlineStr">
        <is>
          <t>ไม่สามารถใช้ได้เพราะขับออกทางน้ำนม</t>
        </is>
      </c>
      <c r="H33" s="18" t="inlineStr">
        <is>
          <t>ไม่สามารถใช้ได้ขณะให้นมบุตร และหยุดใช้ยาอีก 2-3 วัน เพราะเมตาบอไลต์ช้า</t>
        </is>
      </c>
      <c r="I33" s="15" t="inlineStr">
        <is>
          <t>4</t>
        </is>
      </c>
      <c r="J33" s="18"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ข้อนี้ไม่ใช่คำตอบที่ถูกต้องสำหรับภาวะ GERD เนื่องจากกลไกการออกฤทธิ์, efficacy หรือข้อบ่งใช้ไม่ตรงกับโจทย์ที่กำหนด
• ข้อ ข. (สามารถใช้ได้ไม่มีอาการข้างเคียงที่ร้ายแรง): ข้อนี้ไม่ใช่คำตอบที่ถูกต้องสำหรับภาวะ GERD เนื่องจากกลไกการออกฤทธิ์, efficacy หรือข้อบ่งใช้ไม่ตรงกับโจทย์ที่กำหนด
• ข้อ ค. (สามารถใช้ได้เพราะไม่เกิดเมตาบอไลต์ที่เป็นพิษ): ข้อนี้ไม่ใช่คำตอบที่ถูกต้องสำหรับภาวะ GERD เนื่องจากกลไกการออกฤทธิ์, efficacy หรือข้อบ่งใช้ไม่ตรงกับโจทย์ที่กำหนด
• ข้อ จ. (ไม่สามารถใช้ได้ขณะให้นมบุตร และหยุดใช้ยาอีก 2-3 วัน เพราะเมตาบอไลต์ช้า):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8" t="inlineStr"/>
      <c r="L33" s="18" t="inlineStr">
        <is>
          <t>GERD</t>
        </is>
      </c>
      <c r="M33" s="18" t="inlineStr">
        <is>
          <t>Clinic</t>
        </is>
      </c>
      <c r="N33" s="18" t="inlineStr">
        <is>
          <t>ข้อ 31 ชุด 1 (เฉลยข้อ ง)</t>
        </is>
      </c>
      <c r="O33" s="18" t="inlineStr">
        <is>
          <t>Mock</t>
        </is>
      </c>
      <c r="P33" s="18" t="inlineStr">
        <is>
          <t>ชุด 1</t>
        </is>
      </c>
    </row>
    <row r="34">
      <c r="A34" s="15" t="inlineStr">
        <is>
          <t>32</t>
        </is>
      </c>
      <c r="B34" s="18"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18" t="inlineStr"/>
      <c r="D34" s="18" t="inlineStr">
        <is>
          <t>GERD</t>
        </is>
      </c>
      <c r="E34" s="18" t="inlineStr">
        <is>
          <t>GU</t>
        </is>
      </c>
      <c r="F34" s="18" t="inlineStr">
        <is>
          <t>DU</t>
        </is>
      </c>
      <c r="G34" s="18" t="inlineStr">
        <is>
          <t>Gastroparesis</t>
        </is>
      </c>
      <c r="H34" s="18" t="inlineStr">
        <is>
          <t>IBS</t>
        </is>
      </c>
      <c r="I34" s="15" t="inlineStr">
        <is>
          <t>1</t>
        </is>
      </c>
      <c r="J34" s="18"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ข้อนี้ไม่ใช่คำตอบที่ถูกต้องสำหรับภาวะ GERD เนื่องจากกลไกการออกฤทธิ์, efficacy หรือข้อบ่งใช้ไม่ตรงกับโจทย์ที่กำหนด
• ข้อ ค. (DU): ข้อนี้ไม่ใช่คำตอบที่ถูกต้องสำหรับภาวะ GERD เนื่องจากกลไกการออกฤทธิ์, efficacy หรือข้อบ่งใช้ไม่ตรงกับโจทย์ที่กำหนด
• ข้อ ง. (Gastroparesis): ข้อนี้ไม่ใช่คำตอบที่ถูกต้องสำหรับภาวะ GERD เนื่องจากกลไกการออกฤทธิ์, efficacy หรือข้อบ่งใช้ไม่ตรงกับโจทย์ที่กำหนด
• ข้อ จ. (IBS):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18" t="inlineStr"/>
      <c r="L34" s="18" t="inlineStr">
        <is>
          <t>GERD</t>
        </is>
      </c>
      <c r="M34" s="18" t="inlineStr">
        <is>
          <t>Clinic</t>
        </is>
      </c>
      <c r="N34" s="18" t="inlineStr">
        <is>
          <t>ข้อ 32 ชุด 1 (เฉลยข้อ ก)</t>
        </is>
      </c>
      <c r="O34" s="18" t="inlineStr">
        <is>
          <t>Mock</t>
        </is>
      </c>
      <c r="P34" s="18" t="inlineStr">
        <is>
          <t>ชุด 1</t>
        </is>
      </c>
    </row>
    <row r="35">
      <c r="A35" s="15" t="inlineStr">
        <is>
          <t>33</t>
        </is>
      </c>
      <c r="B35" s="18"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18" t="inlineStr"/>
      <c r="D35" s="18" t="inlineStr">
        <is>
          <t>Sucralfate 1 g bid</t>
        </is>
      </c>
      <c r="E35" s="18" t="inlineStr">
        <is>
          <t>Famotidine 10 mg OD</t>
        </is>
      </c>
      <c r="F35" s="18" t="inlineStr">
        <is>
          <t>Domperidone 10 mg tid</t>
        </is>
      </c>
      <c r="G35" s="18" t="inlineStr">
        <is>
          <t>Magnesium-aluminium hydroxide 30 ml</t>
        </is>
      </c>
      <c r="H35" s="18" t="inlineStr">
        <is>
          <t>Omeprazole 20 mg OD</t>
        </is>
      </c>
      <c r="I35" s="15" t="inlineStr">
        <is>
          <t>5</t>
        </is>
      </c>
      <c r="J35" s="18"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(Famotidine 10 mg OD): ข้อนี้ไม่ใช่คำตอบที่ถูกต้องสำหรับภาวะ GERD เนื่องจากกลไกการออกฤทธิ์, efficacy หรือข้อบ่งใช้ไม่ตรงกับโจทย์ที่กำหนด
• ข้อ ค. (Domperidone 10 mg tid): เป็น peripheral D2 receptor antagonist เพิ่ม GI motility ไม่ผ่าน BBB จึงไม่ทำให้เกิด EPS เด่นชัด แต่ต้องระวัง QT prolongation ในขนาดสูง (&gt; 30 mg/day)
• ข้อ ง. (Magnesium-aluminium hydroxide 30 ml):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8" t="inlineStr"/>
      <c r="L35" s="18" t="inlineStr">
        <is>
          <t>GERD</t>
        </is>
      </c>
      <c r="M35" s="18" t="inlineStr">
        <is>
          <t>Clinic</t>
        </is>
      </c>
      <c r="N35" s="18" t="inlineStr">
        <is>
          <t>ข้อ 33 ชุด 1 (เฉลยข้อ จ)</t>
        </is>
      </c>
      <c r="O35" s="18" t="inlineStr">
        <is>
          <t>Mock</t>
        </is>
      </c>
      <c r="P35" s="18" t="inlineStr">
        <is>
          <t>ชุด 1</t>
        </is>
      </c>
    </row>
    <row r="36">
      <c r="A36" s="15" t="inlineStr">
        <is>
          <t>34</t>
        </is>
      </c>
      <c r="B36" s="18" t="inlineStr">
        <is>
          <t>Domperidone ออกฤทธิ์ผ่าน receptor ใด</t>
        </is>
      </c>
      <c r="C36" s="18" t="inlineStr"/>
      <c r="D36" s="18" t="inlineStr">
        <is>
          <t>D2 receptor</t>
        </is>
      </c>
      <c r="E36" s="18" t="inlineStr">
        <is>
          <t>M3 muscarinic receptor</t>
        </is>
      </c>
      <c r="F36" s="18" t="inlineStr">
        <is>
          <t>5-HT3 receptor</t>
        </is>
      </c>
      <c r="G36" s="18" t="inlineStr">
        <is>
          <t>5-HT4 receptor</t>
        </is>
      </c>
      <c r="H36" s="18" t="inlineStr">
        <is>
          <t>Alpha-1 adrenergic receptor</t>
        </is>
      </c>
      <c r="I36" s="15" t="inlineStr">
        <is>
          <t>1</t>
        </is>
      </c>
      <c r="J36" s="18" t="inlineStr">
        <is>
          <t>✅ คำตอบที่ถูกต้อง: ข้อ ก. D2 receptor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D2 receptor Domperidone เป็นยาต้านอาเจียนและกระตุ้นการบีบตัวของทางเดินอาหาร (Prokinetic agent) โดยการออกฤทธิ์เป็น dopamine antagonist ที่ D2 receptor บริเวณ Chemoreceptor trigger zone (CTZ) และทางเดินอาหาร
🔍 ข้ออื่นผิดเพราะอะไร:
• ข้อ ข. (M3 muscarinic receptor): ข้อนี้ไม่ใช่คำตอบที่ถูกต้องสำหรับภาวะ Nausea and vomiting เนื่องจากกลไกการออกฤทธิ์, efficacy หรือข้อบ่งใช้ไม่ตรงกับโจทย์ที่กำหนด
• ข้อ ค. (5-HT3 receptor): ข้อนี้ไม่ใช่คำตอบที่ถูกต้องสำหรับภาวะ Nausea and vomiting เนื่องจากกลไกการออกฤทธิ์, efficacy หรือข้อบ่งใช้ไม่ตรงกับโจทย์ที่กำหนด
• ข้อ ง. (5-HT4 receptor): ข้อนี้ไม่ใช่คำตอบที่ถูกต้องสำหรับภาวะ Nausea and vomiting เนื่องจากกลไกการออกฤทธิ์, efficacy หรือข้อบ่งใช้ไม่ตรงกับโจทย์ที่กำหนด
• ข้อ จ. (Alpha-1 adrenergic receptor): ข้อนี้ไม่ใช่คำตอบที่ถูกต้องสำหรับภาวะ Nausea and vomiting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8" t="inlineStr"/>
      <c r="L36" s="18" t="inlineStr">
        <is>
          <t>Nausea and vomiting</t>
        </is>
      </c>
      <c r="M36" s="18" t="inlineStr">
        <is>
          <t>Clinic</t>
        </is>
      </c>
      <c r="N36" s="18" t="inlineStr">
        <is>
          <t>ข้อ 34 ชุด 1 (เฉลยข้อ ก)</t>
        </is>
      </c>
      <c r="O36" s="18" t="inlineStr">
        <is>
          <t>Mock</t>
        </is>
      </c>
      <c r="P36" s="18" t="inlineStr">
        <is>
          <t>ชุด 1</t>
        </is>
      </c>
    </row>
    <row r="37">
      <c r="A37" s="15" t="inlineStr">
        <is>
          <t>35</t>
        </is>
      </c>
      <c r="B37" s="18" t="inlineStr">
        <is>
          <t>ยาใดห้ามบดในสายยาง</t>
        </is>
      </c>
      <c r="C37" s="18" t="inlineStr"/>
      <c r="D37" s="18" t="inlineStr">
        <is>
          <t>HCTZ</t>
        </is>
      </c>
      <c r="E37" s="18" t="inlineStr">
        <is>
          <t>Famotidine</t>
        </is>
      </c>
      <c r="F37" s="18" t="inlineStr">
        <is>
          <t>Domperidone</t>
        </is>
      </c>
      <c r="G37" s="18" t="inlineStr">
        <is>
          <t>Al3+ + Mg2+</t>
        </is>
      </c>
      <c r="H37" s="18" t="inlineStr">
        <is>
          <t>Omeprazole</t>
        </is>
      </c>
      <c r="I37" s="15" t="inlineStr">
        <is>
          <t>5</t>
        </is>
      </c>
      <c r="J37" s="18"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ข้อนี้ไม่ใช่คำตอบที่ถูกต้องสำหรับภาวะ GERD เนื่องจากกลไกการออกฤทธิ์, efficacy หรือข้อบ่งใช้ไม่ตรงกับโจทย์ที่กำหนด
• ข้อ ข. (Famotidine): ข้อนี้ไม่ใช่คำตอบที่ถูกต้องสำหรับภาวะ GERD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ง. (Al3+ + Mg2+):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18" t="inlineStr"/>
      <c r="L37" s="18" t="inlineStr">
        <is>
          <t>GERD</t>
        </is>
      </c>
      <c r="M37" s="18" t="inlineStr">
        <is>
          <t>Clinic</t>
        </is>
      </c>
      <c r="N37" s="18" t="inlineStr">
        <is>
          <t>ข้อ 35 ชุด 1 (เฉลยข้อ จ)</t>
        </is>
      </c>
      <c r="O37" s="18" t="inlineStr">
        <is>
          <t>Mock</t>
        </is>
      </c>
      <c r="P37" s="18" t="inlineStr">
        <is>
          <t>ชุด 1</t>
        </is>
      </c>
    </row>
    <row r="38">
      <c r="A38" s="15" t="inlineStr">
        <is>
          <t>36</t>
        </is>
      </c>
      <c r="B38" s="18" t="inlineStr">
        <is>
          <t>ยาใดที่เป็นยาสามัญประจำบ้าน</t>
        </is>
      </c>
      <c r="C38" s="18" t="inlineStr"/>
      <c r="D38" s="18" t="inlineStr">
        <is>
          <t>HCTZ</t>
        </is>
      </c>
      <c r="E38" s="18" t="inlineStr">
        <is>
          <t>Famotidine</t>
        </is>
      </c>
      <c r="F38" s="18" t="inlineStr">
        <is>
          <t>Domperidone</t>
        </is>
      </c>
      <c r="G38" s="18" t="inlineStr">
        <is>
          <t>Al3+ + Mg2+ (alum milk)</t>
        </is>
      </c>
      <c r="H38" s="18" t="inlineStr">
        <is>
          <t>Cimetidine</t>
        </is>
      </c>
      <c r="I38" s="15" t="inlineStr">
        <is>
          <t>4</t>
        </is>
      </c>
      <c r="J38" s="18"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ข้อนี้ไม่ใช่คำตอบที่ถูกต้องสำหรับภาวะ GERD เนื่องจากกลไกการออกฤทธิ์, efficacy หรือข้อบ่งใช้ไม่ตรงกับโจทย์ที่กำหนด
• ข้อ ข. (Famotidine): ข้อนี้ไม่ใช่คำตอบที่ถูกต้องสำหรับภาวะ GERD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จ. (Cimetidine):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8" t="inlineStr"/>
      <c r="L38" s="18" t="inlineStr">
        <is>
          <t>GERD</t>
        </is>
      </c>
      <c r="M38" s="18" t="inlineStr">
        <is>
          <t>Clinic</t>
        </is>
      </c>
      <c r="N38" s="18" t="inlineStr">
        <is>
          <t>ข้อ 36 ชุด 1 (เฉลยข้อ ง)</t>
        </is>
      </c>
      <c r="O38" s="18" t="inlineStr">
        <is>
          <t>Mock</t>
        </is>
      </c>
      <c r="P38" s="18" t="inlineStr">
        <is>
          <t>ชุด 1</t>
        </is>
      </c>
    </row>
    <row r="39">
      <c r="A39" s="15" t="inlineStr">
        <is>
          <t>37</t>
        </is>
      </c>
      <c r="B39" s="18" t="inlineStr">
        <is>
          <t>ยาใดต่อไปนี้ไม่ได้อยู่ใน regimen ในการรักษา H. pylori</t>
        </is>
      </c>
      <c r="C39" s="18" t="inlineStr"/>
      <c r="D39" s="18" t="inlineStr">
        <is>
          <t>Tetracycline</t>
        </is>
      </c>
      <c r="E39" s="18" t="inlineStr">
        <is>
          <t>Ranitidine</t>
        </is>
      </c>
      <c r="F39" s="18" t="inlineStr">
        <is>
          <t>Metronidazole</t>
        </is>
      </c>
      <c r="G39" s="18" t="inlineStr">
        <is>
          <t>Erythromycin</t>
        </is>
      </c>
      <c r="H39" s="18" t="inlineStr">
        <is>
          <t>Lansoprazole</t>
        </is>
      </c>
      <c r="I39" s="15" t="inlineStr">
        <is>
          <t>4</t>
        </is>
      </c>
      <c r="J39" s="18"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ข้อนี้ไม่ใช่คำตอบที่ถูกต้องสำหรับภาวะ Dyspepsia &amp; PUD เนื่องจากกลไกการออกฤทธิ์, efficacy หรือข้อบ่งใช้ไม่ตรงกับโจทย์ที่กำหนด
• ข้อ ข. (Ranitidine): ข้อนี้ไม่ใช่คำตอบที่ถูกต้องสำหรับภาวะ Dyspepsia &amp; PUD เนื่องจากกลไกการออกฤทธิ์, efficacy หรือข้อบ่งใช้ไม่ตรงกับโจทย์ที่กำหนด
• ข้อ ค. (Metronidazole): เป็น antianaerobic และ antiprotozoal agent ยับยั้ง Trichomonas vaginalis, Giardia, Amebiasis, และ anaerobes ห้ามดื่มแอลกอฮอล์ระหว่างใช้ยา (disulfiram-like reaction)
• ข้อ จ. (Lansoprazole):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8" t="inlineStr"/>
      <c r="L39" s="18" t="inlineStr">
        <is>
          <t>Dyspepsia &amp; PUD</t>
        </is>
      </c>
      <c r="M39" s="18" t="inlineStr">
        <is>
          <t>Clinic</t>
        </is>
      </c>
      <c r="N39" s="18" t="inlineStr">
        <is>
          <t>ข้อ 37 ชุด 1 (เฉลยข้อ ง)</t>
        </is>
      </c>
      <c r="O39" s="18" t="inlineStr">
        <is>
          <t>Mock</t>
        </is>
      </c>
      <c r="P39" s="18" t="inlineStr">
        <is>
          <t>ชุด 1</t>
        </is>
      </c>
    </row>
    <row r="40">
      <c r="A40" s="15" t="inlineStr">
        <is>
          <t>38</t>
        </is>
      </c>
      <c r="B40" s="18"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18" t="inlineStr"/>
      <c r="D40" s="18" t="inlineStr">
        <is>
          <t>Omeprazole ลดการดูดซึม clopidogrel เนื่องจากดูดซึมได้ดีในสภาวะเป็นกรด</t>
        </is>
      </c>
      <c r="E40" s="18" t="inlineStr">
        <is>
          <t>Clopidogrel ลดการดูดซึม omeprazole</t>
        </is>
      </c>
      <c r="F40" s="18" t="inlineStr">
        <is>
          <t>Omeprazole ลดการดูดซึม clopidogrel เกิด toxic metabolite ที่ตับ</t>
        </is>
      </c>
      <c r="G40" s="18" t="inlineStr">
        <is>
          <t>Omeprazole เพิ่มการขับออกของ clopidogrel</t>
        </is>
      </c>
      <c r="H40" s="18" t="inlineStr">
        <is>
          <t>Omeprazole ทำให้ clopidogrel ไม่ถูกเปลี่ยนในรูปที่ออกฤทธิ์</t>
        </is>
      </c>
      <c r="I40" s="15" t="inlineStr">
        <is>
          <t>5</t>
        </is>
      </c>
      <c r="J40" s="18"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18" t="inlineStr"/>
      <c r="L40" s="18" t="inlineStr">
        <is>
          <t>GERD</t>
        </is>
      </c>
      <c r="M40" s="18" t="inlineStr">
        <is>
          <t>Clinic</t>
        </is>
      </c>
      <c r="N40" s="18" t="inlineStr">
        <is>
          <t>ข้อ 38 ชุด 1 (เฉลยข้อ จ)</t>
        </is>
      </c>
      <c r="O40" s="18" t="inlineStr">
        <is>
          <t>Mock</t>
        </is>
      </c>
      <c r="P40" s="18" t="inlineStr">
        <is>
          <t>ชุด 1</t>
        </is>
      </c>
    </row>
    <row r="41">
      <c r="A41" s="15" t="inlineStr">
        <is>
          <t>39</t>
        </is>
      </c>
      <c r="B41" s="18"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18" t="inlineStr"/>
      <c r="D41" s="18" t="inlineStr">
        <is>
          <t>Erythromycin</t>
        </is>
      </c>
      <c r="E41" s="18" t="inlineStr">
        <is>
          <t>Ketoconazole</t>
        </is>
      </c>
      <c r="F41" s="18" t="inlineStr">
        <is>
          <t>Diazepam</t>
        </is>
      </c>
      <c r="G41" s="18" t="inlineStr">
        <is>
          <t>Warfarin</t>
        </is>
      </c>
      <c r="H41" s="18" t="inlineStr">
        <is>
          <t>Escitalopram</t>
        </is>
      </c>
      <c r="I41" s="15" t="inlineStr">
        <is>
          <t>2</t>
        </is>
      </c>
      <c r="J41" s="18"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ข้อนี้ไม่ใช่คำตอบที่ถูกต้องสำหรับภาวะ GERD เนื่องจากกลไกการออกฤทธิ์, efficacy หรือข้อบ่งใช้ไม่ตรงกับโจทย์ที่กำหนด
• ข้อ ค. (Diazepam): เป็น long-acting Benzodiazepine มี active metabolites (nordiazepam) สะสมในผู้สูงอายุ ทำให้ง่วงซึม หกล้ม เสี่ยง fracture
• ข้อ ง. (Warfarin): เป็น Vitamin K antagonist ต้องติดตาม monitoring ค่า INR (target 2.0-3.0 ใน DVT/PE/AF, 2.5-3.5 ใน mechanical mitral valve) มี drug-food interactions มากมาย และ reversal agent คือ Vitamin K1
• ข้อ จ. (Escitalopram): เป็น highly selective SSRI มี drug interactions ต่ำ แต่มีคำเตือนเรื่อง dose-dependent QT prolongation (ขนาดยาสูงสุด 20 mg/day, หรือ 10 mg/day ในผู้สูงอายุ)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18" t="inlineStr"/>
      <c r="L41" s="18" t="inlineStr">
        <is>
          <t>GERD</t>
        </is>
      </c>
      <c r="M41" s="18" t="inlineStr">
        <is>
          <t>Clinic</t>
        </is>
      </c>
      <c r="N41" s="18" t="inlineStr">
        <is>
          <t>ข้อ 39 ชุด 1 (เฉลยข้อ ข)</t>
        </is>
      </c>
      <c r="O41" s="18" t="inlineStr">
        <is>
          <t>Mock</t>
        </is>
      </c>
      <c r="P41" s="18" t="inlineStr">
        <is>
          <t>ชุด 1</t>
        </is>
      </c>
    </row>
    <row r="42">
      <c r="A42" s="15" t="inlineStr">
        <is>
          <t>40</t>
        </is>
      </c>
      <c r="B42" s="18"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18" t="inlineStr"/>
      <c r="D42" s="18" t="inlineStr">
        <is>
          <t>แกะแคปซูลแล้วผสมกับน้ำเปล่า</t>
        </is>
      </c>
      <c r="E42" s="18" t="inlineStr">
        <is>
          <t>นมถั่วเหลือง</t>
        </is>
      </c>
      <c r="F42" s="18" t="inlineStr">
        <is>
          <t>ยาลดกรด</t>
        </is>
      </c>
      <c r="G42" s="18" t="inlineStr">
        <is>
          <t>น้ำส้ม</t>
        </is>
      </c>
      <c r="H42" s="18" t="inlineStr">
        <is>
          <t>น้ำหวาน</t>
        </is>
      </c>
      <c r="I42" s="15" t="inlineStr">
        <is>
          <t>3</t>
        </is>
      </c>
      <c r="J42" s="18"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ข้อนี้ไม่ใช่คำตอบที่ถูกต้องสำหรับภาวะ GERD เนื่องจากกลไกการออกฤทธิ์, efficacy หรือข้อบ่งใช้ไม่ตรงกับโจทย์ที่กำหนด
• ข้อ ข. (นมถั่วเหลือง): ข้อนี้ไม่ใช่คำตอบที่ถูกต้องสำหรับภาวะ GERD เนื่องจากกลไกการออกฤทธิ์, efficacy หรือข้อบ่งใช้ไม่ตรงกับโจทย์ที่กำหนด
• ข้อ ง. (น้ำส้ม): ข้อนี้ไม่ใช่คำตอบที่ถูกต้องสำหรับภาวะ GERD เนื่องจากกลไกการออกฤทธิ์, efficacy หรือข้อบ่งใช้ไม่ตรงกับโจทย์ที่กำหนด
• ข้อ จ. (น้ำหวาน):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18" t="inlineStr"/>
      <c r="L42" s="18" t="inlineStr">
        <is>
          <t>GERD</t>
        </is>
      </c>
      <c r="M42" s="18" t="inlineStr">
        <is>
          <t>Clinic</t>
        </is>
      </c>
      <c r="N42" s="18" t="inlineStr">
        <is>
          <t>ข้อ 40 ชุด 1 (เฉลยข้อ ค)</t>
        </is>
      </c>
      <c r="O42" s="18" t="inlineStr">
        <is>
          <t>Mock</t>
        </is>
      </c>
      <c r="P42" s="18" t="inlineStr">
        <is>
          <t>ชุด 1</t>
        </is>
      </c>
    </row>
    <row r="43">
      <c r="A43" s="15" t="inlineStr">
        <is>
          <t>41</t>
        </is>
      </c>
      <c r="B43" s="18"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18" t="inlineStr"/>
      <c r="D43" s="18" t="inlineStr">
        <is>
          <t>พยาธิไส้เดือน (Ascariasis)</t>
        </is>
      </c>
      <c r="E43" s="18" t="inlineStr">
        <is>
          <t>พยาธิตัวตืด (Tape worm)</t>
        </is>
      </c>
      <c r="F43" s="18" t="inlineStr">
        <is>
          <t>พยาธิปากขอ (Hook worm)</t>
        </is>
      </c>
      <c r="G43" s="18" t="inlineStr">
        <is>
          <t>พยาธิเข็มหมุด (Enterobiasis or pinworm)</t>
        </is>
      </c>
      <c r="H43" s="18" t="inlineStr">
        <is>
          <t>พยาธิใบไม้ในตับ (Opisthorchis)</t>
        </is>
      </c>
      <c r="I43" s="15" t="inlineStr">
        <is>
          <t>4</t>
        </is>
      </c>
      <c r="J43" s="18"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ข้อนี้ไม่ใช่คำตอบที่ถูกต้องสำหรับภาวะ GERD เนื่องจากกลไกการออกฤทธิ์, efficacy หรือข้อบ่งใช้ไม่ตรงกับโจทย์ที่กำหนด
• ข้อ ข. (พยาธิตัวตืด (Tape worm)): ข้อนี้ไม่ใช่คำตอบที่ถูกต้องสำหรับภาวะ GERD เนื่องจากกลไกการออกฤทธิ์, efficacy หรือข้อบ่งใช้ไม่ตรงกับโจทย์ที่กำหนด
• ข้อ ค. (พยาธิปากขอ (Hook worm)): ข้อนี้ไม่ใช่คำตอบที่ถูกต้องสำหรับภาวะ GERD เนื่องจากกลไกการออกฤทธิ์, efficacy หรือข้อบ่งใช้ไม่ตรงกับโจทย์ที่กำหนด
• ข้อ จ. (พยาธิใบไม้ในตับ (Opisthorchis)):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8" t="inlineStr"/>
      <c r="L43" s="18" t="inlineStr">
        <is>
          <t>GERD</t>
        </is>
      </c>
      <c r="M43" s="18" t="inlineStr">
        <is>
          <t>Clinic</t>
        </is>
      </c>
      <c r="N43" s="18" t="inlineStr">
        <is>
          <t>ข้อ 41 ชุด 1 (เฉลยข้อ ง)</t>
        </is>
      </c>
      <c r="O43" s="18" t="inlineStr">
        <is>
          <t>Mock</t>
        </is>
      </c>
      <c r="P43" s="18" t="inlineStr">
        <is>
          <t>ชุด 1</t>
        </is>
      </c>
    </row>
    <row r="44">
      <c r="A44" s="15" t="inlineStr">
        <is>
          <t>42</t>
        </is>
      </c>
      <c r="B44" s="18"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18" t="inlineStr"/>
      <c r="D44" s="18" t="inlineStr">
        <is>
          <t>Albendazole 400 mg ติดต่อกัน 3 วัน</t>
        </is>
      </c>
      <c r="E44" s="18" t="inlineStr">
        <is>
          <t>Mebendazole 100 mg ครั้งเดียว แล้วทานซ้ำในอีก 2 wk</t>
        </is>
      </c>
      <c r="F44" s="18" t="inlineStr">
        <is>
          <t>Niclosamide</t>
        </is>
      </c>
      <c r="G44" s="18" t="inlineStr">
        <is>
          <t>Pyrantel pamoate</t>
        </is>
      </c>
      <c r="H44" s="18" t="inlineStr">
        <is>
          <t>Praziquantel</t>
        </is>
      </c>
      <c r="I44" s="15" t="inlineStr">
        <is>
          <t>2</t>
        </is>
      </c>
      <c r="J44" s="18"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ข้อนี้ไม่ใช่คำตอบที่ถูกต้องสำหรับภาวะ GERD เนื่องจากกลไกการออกฤทธิ์, efficacy หรือข้อบ่งใช้ไม่ตรงกับโจทย์ที่กำหนด
• ข้อ ค. (Niclosamide): ข้อนี้ไม่ใช่คำตอบที่ถูกต้องสำหรับภาวะ GERD เนื่องจากกลไกการออกฤทธิ์, efficacy หรือข้อบ่งใช้ไม่ตรงกับโจทย์ที่กำหนด
• ข้อ ง. (Pyrantel pamoate): ข้อนี้ไม่ใช่คำตอบที่ถูกต้องสำหรับภาวะ GERD เนื่องจากกลไกการออกฤทธิ์, efficacy หรือข้อบ่งใช้ไม่ตรงกับโจทย์ที่กำหนด
• ข้อ จ. (Praziquantel):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8" t="inlineStr"/>
      <c r="L44" s="18" t="inlineStr">
        <is>
          <t>GERD</t>
        </is>
      </c>
      <c r="M44" s="18" t="inlineStr">
        <is>
          <t>Clinic</t>
        </is>
      </c>
      <c r="N44" s="18" t="inlineStr">
        <is>
          <t>ข้อ 42 ชุด 1 (เฉลยข้อ ข)</t>
        </is>
      </c>
      <c r="O44" s="18" t="inlineStr">
        <is>
          <t>Mock</t>
        </is>
      </c>
      <c r="P44" s="18" t="inlineStr">
        <is>
          <t>ชุด 1</t>
        </is>
      </c>
    </row>
    <row r="45">
      <c r="A45" s="15" t="inlineStr">
        <is>
          <t>43</t>
        </is>
      </c>
      <c r="B45" s="18" t="inlineStr">
        <is>
          <t>แม่ไปตรวจพบว่าตนเองมีเชื้อพยาธิตัวตืด ยาที่ใช้ในการรักษาแม่คือยาอะไร</t>
        </is>
      </c>
      <c r="C45" s="18" t="inlineStr"/>
      <c r="D45" s="18" t="inlineStr">
        <is>
          <t>Albendazole 400 mg ติดต่อกัน 3 วัน</t>
        </is>
      </c>
      <c r="E45" s="18" t="inlineStr">
        <is>
          <t>Niclosamide</t>
        </is>
      </c>
      <c r="F45" s="18" t="inlineStr">
        <is>
          <t>Mebendazole</t>
        </is>
      </c>
      <c r="G45" s="18" t="inlineStr">
        <is>
          <t>Pyrantel pamoate</t>
        </is>
      </c>
      <c r="H45" s="18" t="inlineStr">
        <is>
          <t>Praziquantel</t>
        </is>
      </c>
      <c r="I45" s="15" t="inlineStr">
        <is>
          <t>2</t>
        </is>
      </c>
      <c r="J45" s="18"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ข้อนี้ไม่ใช่คำตอบที่ถูกต้องสำหรับภาวะ GERD เนื่องจากกลไกการออกฤทธิ์, efficacy หรือข้อบ่งใช้ไม่ตรงกับโจทย์ที่กำหนด
• ข้อ ค. (Mebendazole): ข้อนี้ไม่ใช่คำตอบที่ถูกต้องสำหรับภาวะ GERD เนื่องจากกลไกการออกฤทธิ์, efficacy หรือข้อบ่งใช้ไม่ตรงกับโจทย์ที่กำหนด
• ข้อ ง. (Pyrantel pamoate): ข้อนี้ไม่ใช่คำตอบที่ถูกต้องสำหรับภาวะ GERD เนื่องจากกลไกการออกฤทธิ์, efficacy หรือข้อบ่งใช้ไม่ตรงกับโจทย์ที่กำหนด
• ข้อ จ. (Praziquantel):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8" t="inlineStr"/>
      <c r="L45" s="18" t="inlineStr">
        <is>
          <t>GERD</t>
        </is>
      </c>
      <c r="M45" s="18" t="inlineStr">
        <is>
          <t>Clinic</t>
        </is>
      </c>
      <c r="N45" s="18" t="inlineStr">
        <is>
          <t>ข้อ 43 ชุด 1 (เฉลยข้อ ข)</t>
        </is>
      </c>
      <c r="O45" s="18" t="inlineStr">
        <is>
          <t>Mock</t>
        </is>
      </c>
      <c r="P45" s="18" t="inlineStr">
        <is>
          <t>ชุด 1</t>
        </is>
      </c>
    </row>
    <row r="46">
      <c r="A46" s="15" t="inlineStr">
        <is>
          <t>44</t>
        </is>
      </c>
      <c r="B46" s="18" t="inlineStr">
        <is>
          <t>ข้อใดเป็นกลไกการออกฤทธิ์ของยา mebendazole</t>
        </is>
      </c>
      <c r="C46" s="18" t="inlineStr"/>
      <c r="D46" s="18" t="inlineStr">
        <is>
          <t>มีผลทำให้พยาธิเกิด paralysis</t>
        </is>
      </c>
      <c r="E46" s="18" t="inlineStr">
        <is>
          <t>Inhibit oxidative phosphorylation glucose</t>
        </is>
      </c>
      <c r="F46" s="18" t="inlineStr">
        <is>
          <t>ขัดขวางการนำ glucose มาใช้ของพยาธิ (block glucose reuptake)</t>
        </is>
      </c>
      <c r="G46" s="18" t="inlineStr">
        <is>
          <t>ทำให้พยาธิเกาะอยู่ผนังลำไส้หลุดออก</t>
        </is>
      </c>
      <c r="H46" s="18" t="inlineStr">
        <is>
          <t>ไม่มีข้อถูก</t>
        </is>
      </c>
      <c r="I46" s="15" t="inlineStr">
        <is>
          <t>3</t>
        </is>
      </c>
      <c r="J46" s="18"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ข้อนี้ไม่ใช่คำตอบที่ถูกต้องสำหรับภาวะ GERD เนื่องจากกลไกการออกฤทธิ์, efficacy หรือข้อบ่งใช้ไม่ตรงกับโจทย์ที่กำหนด
• ข้อ ข. (Inhibit oxidative phosphorylation glucose): ข้อนี้ไม่ใช่คำตอบที่ถูกต้องสำหรับภาวะ GERD เนื่องจากกลไกการออกฤทธิ์, efficacy หรือข้อบ่งใช้ไม่ตรงกับโจทย์ที่กำหนด
• ข้อ ง. (ทำให้พยาธิเกาะอยู่ผนังลำไส้หลุดออก): ข้อนี้ไม่ใช่คำตอบที่ถูกต้องสำหรับภาวะ GERD เนื่องจากกลไกการออกฤทธิ์, efficacy หรือข้อบ่งใช้ไม่ตรงกับโจทย์ที่กำหนด
• ข้อ จ. (ไม่มีข้อถูก):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8" t="inlineStr"/>
      <c r="L46" s="18" t="inlineStr">
        <is>
          <t>GERD</t>
        </is>
      </c>
      <c r="M46" s="18" t="inlineStr">
        <is>
          <t>Clinic</t>
        </is>
      </c>
      <c r="N46" s="18" t="inlineStr">
        <is>
          <t>ข้อ 44 ชุด 1 (เฉลยข้อ ค)</t>
        </is>
      </c>
      <c r="O46" s="18" t="inlineStr">
        <is>
          <t>Mock</t>
        </is>
      </c>
      <c r="P46" s="18" t="inlineStr">
        <is>
          <t>ชุด 1</t>
        </is>
      </c>
    </row>
    <row r="47">
      <c r="A47" s="15" t="inlineStr">
        <is>
          <t>45</t>
        </is>
      </c>
      <c r="B47" s="18" t="inlineStr">
        <is>
          <t>ข้อใดคือคำแนะนำของการใช้ยา albendazole</t>
        </is>
      </c>
      <c r="C47" s="18" t="inlineStr"/>
      <c r="D47" s="18" t="inlineStr">
        <is>
          <t>เคี้ยวให้ละเอียดก่อนกลืน</t>
        </is>
      </c>
      <c r="E47" s="18" t="inlineStr">
        <is>
          <t>ห้ามทานร่วมกับยาลดกรด</t>
        </is>
      </c>
      <c r="F47" s="18" t="inlineStr">
        <is>
          <t>ห้ามทานร่วมกับ alcohol</t>
        </is>
      </c>
      <c r="G47" s="18" t="inlineStr">
        <is>
          <t>รับประทานยาถ่ายตามทุกครั้ง</t>
        </is>
      </c>
      <c r="H47" s="18" t="inlineStr">
        <is>
          <t>กินซ้ำทุกเดือนเพื่อป้องกัน</t>
        </is>
      </c>
      <c r="I47" s="15" t="inlineStr">
        <is>
          <t>1</t>
        </is>
      </c>
      <c r="J47" s="18"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ข้อนี้ไม่ใช่คำตอบที่ถูกต้องสำหรับภาวะ GERD เนื่องจากกลไกการออกฤทธิ์, efficacy หรือข้อบ่งใช้ไม่ตรงกับโจทย์ที่กำหนด
• ข้อ ค. (ห้ามทานร่วมกับ alcohol): ข้อนี้ไม่ใช่คำตอบที่ถูกต้องสำหรับภาวะ GERD เนื่องจากกลไกการออกฤทธิ์, efficacy หรือข้อบ่งใช้ไม่ตรงกับโจทย์ที่กำหนด
• ข้อ ง. (รับประทานยาถ่ายตามทุกครั้ง): ข้อนี้ไม่ใช่คำตอบที่ถูกต้องสำหรับภาวะ GERD เนื่องจากกลไกการออกฤทธิ์, efficacy หรือข้อบ่งใช้ไม่ตรงกับโจทย์ที่กำหนด
• ข้อ จ. (กินซ้ำทุกเดือนเพื่อป้องกัน):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8" t="inlineStr"/>
      <c r="L47" s="18" t="inlineStr">
        <is>
          <t>GERD</t>
        </is>
      </c>
      <c r="M47" s="18" t="inlineStr">
        <is>
          <t>Clinic</t>
        </is>
      </c>
      <c r="N47" s="18" t="inlineStr">
        <is>
          <t>ข้อ 45 ชุด 1 (เฉลยข้อ ก)</t>
        </is>
      </c>
      <c r="O47" s="18" t="inlineStr">
        <is>
          <t>Mock</t>
        </is>
      </c>
      <c r="P47" s="18" t="inlineStr">
        <is>
          <t>ชุด 1</t>
        </is>
      </c>
    </row>
    <row r="48">
      <c r="A48" s="15" t="inlineStr">
        <is>
          <t>46</t>
        </is>
      </c>
      <c r="B48" s="18" t="inlineStr">
        <is>
          <t>สมุนไพรใดที่มีอยู่ในตำรับยาเตรียมแผนไทยที่มีผลการศึกษาว่ามีฤทธิ์ต้านพยาธิ</t>
        </is>
      </c>
      <c r="C48" s="18" t="inlineStr"/>
      <c r="D48" s="18" t="inlineStr">
        <is>
          <t>ฟักทอง ขี้เหล็ก</t>
        </is>
      </c>
      <c r="E48" s="18" t="inlineStr">
        <is>
          <t>มะเกลือ, ฟักทอง</t>
        </is>
      </c>
      <c r="F48" s="18" t="inlineStr">
        <is>
          <t>มะเกลือ, กานพลู</t>
        </is>
      </c>
      <c r="G48" s="18" t="inlineStr">
        <is>
          <t>มะม่วง, เปล้าน้อย</t>
        </is>
      </c>
      <c r="H48" s="18" t="inlineStr">
        <is>
          <t>กะเพรา, หอมแดง</t>
        </is>
      </c>
      <c r="I48" s="15" t="inlineStr">
        <is>
          <t>2</t>
        </is>
      </c>
      <c r="J48" s="18"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ข้อนี้ไม่ใช่คำตอบที่ถูกต้องสำหรับภาวะ GERD เนื่องจากกลไกการออกฤทธิ์, efficacy หรือข้อบ่งใช้ไม่ตรงกับโจทย์ที่กำหนด
• ข้อ ค. (มะเกลือ, กานพลู): ข้อนี้ไม่ใช่คำตอบที่ถูกต้องสำหรับภาวะ GERD เนื่องจากกลไกการออกฤทธิ์, efficacy หรือข้อบ่งใช้ไม่ตรงกับโจทย์ที่กำหนด
• ข้อ ง. (มะม่วง, เปล้าน้อย): ข้อนี้ไม่ใช่คำตอบที่ถูกต้องสำหรับภาวะ GERD เนื่องจากกลไกการออกฤทธิ์, efficacy หรือข้อบ่งใช้ไม่ตรงกับโจทย์ที่กำหนด
• ข้อ จ. (กะเพรา, หอมแดง):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8" t="inlineStr"/>
      <c r="L48" s="18" t="inlineStr">
        <is>
          <t>GERD</t>
        </is>
      </c>
      <c r="M48" s="18" t="inlineStr">
        <is>
          <t>Clinic</t>
        </is>
      </c>
      <c r="N48" s="18" t="inlineStr">
        <is>
          <t>ข้อ 46 ชุด 1 (เฉลยข้อ ข)</t>
        </is>
      </c>
      <c r="O48" s="18" t="inlineStr">
        <is>
          <t>Mock</t>
        </is>
      </c>
      <c r="P48" s="18" t="inlineStr">
        <is>
          <t>ชุด 1</t>
        </is>
      </c>
    </row>
    <row r="49">
      <c r="A49" s="15" t="inlineStr">
        <is>
          <t>47</t>
        </is>
      </c>
      <c r="B49" s="18" t="inlineStr">
        <is>
          <t>หญิงตั้งครรภ์เป็นพยาธิตืดสามารถใช้ยาอะไรได้</t>
        </is>
      </c>
      <c r="C49" s="18" t="inlineStr"/>
      <c r="D49" s="18" t="inlineStr">
        <is>
          <t>Albendazole</t>
        </is>
      </c>
      <c r="E49" s="18" t="inlineStr">
        <is>
          <t>Mebendazole</t>
        </is>
      </c>
      <c r="F49" s="18" t="inlineStr">
        <is>
          <t>Niclosamide</t>
        </is>
      </c>
      <c r="G49" s="18" t="inlineStr">
        <is>
          <t>Praziquantel</t>
        </is>
      </c>
      <c r="H49" s="18" t="inlineStr">
        <is>
          <t>Pyrantel pamoate</t>
        </is>
      </c>
      <c r="I49" s="15" t="inlineStr">
        <is>
          <t>3</t>
        </is>
      </c>
      <c r="J49" s="18"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ข้อนี้ไม่ใช่คำตอบที่ถูกต้องสำหรับภาวะ GERD เนื่องจากกลไกการออกฤทธิ์, efficacy หรือข้อบ่งใช้ไม่ตรงกับโจทย์ที่กำหนด
• ข้อ ข. (Mebendazole): ข้อนี้ไม่ใช่คำตอบที่ถูกต้องสำหรับภาวะ GERD เนื่องจากกลไกการออกฤทธิ์, efficacy หรือข้อบ่งใช้ไม่ตรงกับโจทย์ที่กำหนด
• ข้อ ง. (Praziquantel): ข้อนี้ไม่ใช่คำตอบที่ถูกต้องสำหรับภาวะ GERD เนื่องจากกลไกการออกฤทธิ์, efficacy หรือข้อบ่งใช้ไม่ตรงกับโจทย์ที่กำหนด
• ข้อ จ. (Pyrantel pamoate):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8" t="inlineStr"/>
      <c r="L49" s="18" t="inlineStr">
        <is>
          <t>GERD</t>
        </is>
      </c>
      <c r="M49" s="18" t="inlineStr">
        <is>
          <t>Clinic</t>
        </is>
      </c>
      <c r="N49" s="18" t="inlineStr">
        <is>
          <t>ข้อ 47 ชุด 1 (เฉลยข้อ ค)</t>
        </is>
      </c>
      <c r="O49" s="18" t="inlineStr">
        <is>
          <t>Mock</t>
        </is>
      </c>
      <c r="P49" s="18" t="inlineStr">
        <is>
          <t>ชุด 1</t>
        </is>
      </c>
    </row>
    <row r="50">
      <c r="A50" s="15" t="inlineStr">
        <is>
          <t>48</t>
        </is>
      </c>
      <c r="B50" s="18"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18" t="inlineStr"/>
      <c r="D50" s="18" t="inlineStr">
        <is>
          <t>ORS</t>
        </is>
      </c>
      <c r="E50" s="18" t="inlineStr">
        <is>
          <t>Diphenoxylate + atropine</t>
        </is>
      </c>
      <c r="F50" s="18" t="inlineStr">
        <is>
          <t>Hyoscine</t>
        </is>
      </c>
      <c r="G50" s="18" t="inlineStr">
        <is>
          <t>Loperamide</t>
        </is>
      </c>
      <c r="H50" s="18" t="inlineStr">
        <is>
          <t>Norfloxacin</t>
        </is>
      </c>
      <c r="I50" s="15" t="inlineStr">
        <is>
          <t>1</t>
        </is>
      </c>
      <c r="J50" s="18" t="inlineStr">
        <is>
          <t>✅ คำตอบที่ถูกต้อง: ข้อ ก. ORS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ORS ผู้ป่วยมีอาการท้องเสียเฉียบพลันจากอาหารเป็นพิษ (สงสัย bacterial/toxin จากลาบ/ส้มตำ) การรักษาหลักและสำคัญที่สุดคือการป้องกันและรักษาภาวะขาดน้ำด้วย Oral Rehydration Salts (ORS) เพื่อชดเชยน้ำและเกลือแร่ที่สูญเสียไปจากการถ่ายเหลวและอาเจียน
🔍 ข้ออื่นผิดเพราะอะไร:
• ข้อ ข. (Diphenoxylate + atropine): ข้อนี้ไม่ใช่คำตอบที่ถูกต้องสำหรับภาวะ Diarrhea &amp; Constipation เนื่องจากกลไกการออกฤทธิ์, efficacy หรือข้อบ่งใช้ไม่ตรงกับโจทย์ที่กำหนด
• ข้อ ค. (Hyoscine): ข้อนี้ไม่ใช่คำตอบที่ถูกต้องสำหรับภาวะ Diarrhea &amp; Constipation เนื่องจากกลไกการออกฤทธิ์, efficacy หรือข้อบ่งใช้ไม่ตรงกับโจทย์ที่กำหนด
• ข้อ ง. (Loperamide): เป็น peripheral mu-opioid agonist ลด peristalsis ใช้บรรเทาอาการ acute non-infectious diarrhea แต่ห้ามใช้ใน bloody diarrhea (dysentery) หรือ bacterial enteritis (เสี่ยง toxic megacolon)
• ข้อ จ. (Norfloxacin):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18" t="inlineStr"/>
      <c r="L50" s="18" t="inlineStr">
        <is>
          <t>Diarrhea &amp; Constipation</t>
        </is>
      </c>
      <c r="M50" s="18" t="inlineStr">
        <is>
          <t>Clinic</t>
        </is>
      </c>
      <c r="N50" s="18" t="inlineStr">
        <is>
          <t>ข้อ 48 ชุด 1 (เฉลยข้อ ก)</t>
        </is>
      </c>
      <c r="O50" s="18" t="inlineStr">
        <is>
          <t>Mock</t>
        </is>
      </c>
      <c r="P50" s="18" t="inlineStr">
        <is>
          <t>ชุด 1</t>
        </is>
      </c>
    </row>
    <row r="51">
      <c r="A51" s="15" t="inlineStr">
        <is>
          <t>49</t>
        </is>
      </c>
      <c r="B51" s="18" t="inlineStr">
        <is>
          <t>ยาสมุนไพรตามสาธารณสุขมูลฐาน ข้อใดควรเลือกใช้</t>
        </is>
      </c>
      <c r="C51" s="18" t="inlineStr"/>
      <c r="D51" s="18" t="inlineStr">
        <is>
          <t>กล้วยน้ำว้าสุก</t>
        </is>
      </c>
      <c r="E51" s="18" t="inlineStr">
        <is>
          <t>เนื้อมังคุด</t>
        </is>
      </c>
      <c r="F51" s="18" t="inlineStr">
        <is>
          <t>เมล็ดทับทิม</t>
        </is>
      </c>
      <c r="G51" s="18" t="inlineStr">
        <is>
          <t>ผลฝรั่งดิบ</t>
        </is>
      </c>
      <c r="H51" s="18" t="inlineStr">
        <is>
          <t>ใบตับเต่าเสียด</t>
        </is>
      </c>
      <c r="I51" s="15" t="inlineStr">
        <is>
          <t>4</t>
        </is>
      </c>
      <c r="J51" s="18" t="inlineStr">
        <is>
          <t>✅ คำตอบที่ถูกต้อง: ข้อ ง. ผลฝรั่งดิบ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ผลฝรั่งดิบ (และผงเปลือกผลกล้วยน้ำว้าดิบ) มีสารแทนนิน (Tannin) สูง ซึ่งมีฤทธิ์ฝาดสมาน ช่วยลดการหลั่งสารน้ำและอิเล็กโทรไลต์ในลำไส้ รวมถึงลดการบีบตัวของลำไส้ จึงนิยมใช้เป็นยาสมุนไพรในบัญชียาหลักแห่งชาติสำหรับบรรเทาอาการท้องเสียชนิดไม่ติดเชื้อเฉียบพลัน
🔍 ข้ออื่นผิดเพราะอะไร:
• ข้อ ก. (กล้วยน้ำว้าสุก): ข้อนี้ไม่ใช่คำตอบที่ถูกต้องสำหรับภาวะ Diarrhea &amp; Constipation เนื่องจากกลไกการออกฤทธิ์, efficacy หรือข้อบ่งใช้ไม่ตรงกับโจทย์ที่กำหนด
• ข้อ ข. (เนื้อมังคุด): ข้อนี้ไม่ใช่คำตอบที่ถูกต้องสำหรับภาวะ Diarrhea &amp; Constipation เนื่องจากกลไกการออกฤทธิ์, efficacy หรือข้อบ่งใช้ไม่ตรงกับโจทย์ที่กำหนด
• ข้อ ค. (เมล็ดทับทิม): ข้อนี้ไม่ใช่คำตอบที่ถูกต้องสำหรับภาวะ Diarrhea &amp; Constipation เนื่องจากกลไกการออกฤทธิ์, efficacy หรือข้อบ่งใช้ไม่ตรงกับโจทย์ที่กำหนด
• ข้อ จ. (ใบตับเต่าเสียด):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 s="18" t="inlineStr"/>
      <c r="L51" s="18" t="inlineStr">
        <is>
          <t>Diarrhea &amp; Constipation</t>
        </is>
      </c>
      <c r="M51" s="18" t="inlineStr">
        <is>
          <t>Clinic</t>
        </is>
      </c>
      <c r="N51" s="18" t="inlineStr">
        <is>
          <t>ข้อ 49 ชุด 1 (เฉลยข้อ ง)</t>
        </is>
      </c>
      <c r="O51" s="18" t="inlineStr">
        <is>
          <t>Mock</t>
        </is>
      </c>
      <c r="P51" s="18" t="inlineStr">
        <is>
          <t>ชุด 1</t>
        </is>
      </c>
    </row>
    <row r="52">
      <c r="A52" s="15" t="inlineStr">
        <is>
          <t>50</t>
        </is>
      </c>
      <c r="B52" s="18" t="inlineStr">
        <is>
          <t>ยาใดที่ไม่ควรจ่ายในผู้ป่วยรายนี้</t>
        </is>
      </c>
      <c r="C52" s="18" t="inlineStr"/>
      <c r="D52" s="18" t="inlineStr">
        <is>
          <t>Activated charcoal</t>
        </is>
      </c>
      <c r="E52" s="18" t="inlineStr">
        <is>
          <t>Loperamide</t>
        </is>
      </c>
      <c r="F52" s="18" t="inlineStr">
        <is>
          <t>Norfloxacin</t>
        </is>
      </c>
      <c r="G52" s="18" t="inlineStr">
        <is>
          <t>Cotrimoxazole</t>
        </is>
      </c>
      <c r="H52" s="18" t="inlineStr">
        <is>
          <t>ORS</t>
        </is>
      </c>
      <c r="I52" s="15" t="inlineStr">
        <is>
          <t>3</t>
        </is>
      </c>
      <c r="J52" s="18"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ข้อนี้ไม่ใช่คำตอบที่ถูกต้องสำหรับภาวะ GERD เนื่องจากกลไกการออกฤทธิ์, efficacy หรือข้อบ่งใช้ไม่ตรงกับโจทย์ที่กำหนด
• ข้อ ข. (Loperamide): เป็น peripheral mu-opioid agonist ลด peristalsis ใช้บรรเทาอาการ acute non-infectious diarrhea แต่ห้ามใช้ใน bloody diarrhea (dysentery) หรือ bacterial enteritis (เสี่ยง toxic megacolon)
• ข้อ ง. (Cotrimoxazole): เป็นยาผสม Trimethoprim/Sulfamethoxazole (TMP/SMX) เป็น drug of choice สำหรับ PCP/PJP prophylaxis &amp; treatment, Stenotrophomonas และ Nocardia ระวัง hyperkalemia และ SCARs
• ข้อ จ. (ORS):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8" t="inlineStr"/>
      <c r="L52" s="18" t="inlineStr">
        <is>
          <t>GERD</t>
        </is>
      </c>
      <c r="M52" s="18" t="inlineStr">
        <is>
          <t>Clinic</t>
        </is>
      </c>
      <c r="N52" s="18" t="inlineStr">
        <is>
          <t>ข้อ 50 ชุด 1 (เฉลยข้อ ค)</t>
        </is>
      </c>
      <c r="O52" s="18" t="inlineStr">
        <is>
          <t>Mock</t>
        </is>
      </c>
      <c r="P52" s="18" t="inlineStr">
        <is>
          <t>ชุด 1</t>
        </is>
      </c>
    </row>
    <row r="53">
      <c r="A53" s="15" t="inlineStr">
        <is>
          <t>51</t>
        </is>
      </c>
      <c r="B53" s="18" t="inlineStr">
        <is>
          <t>ข้อใดเป็นคำแนะนำการปฏิบัติในการใช้ activated charcoal</t>
        </is>
      </c>
      <c r="C53" s="18" t="inlineStr"/>
      <c r="D53" s="18" t="inlineStr">
        <is>
          <t>รับประทานก่อนอาหารครึ่งชั่วโมง</t>
        </is>
      </c>
      <c r="E53" s="18" t="inlineStr">
        <is>
          <t>รับประทานวันละ 3 เม็ด วันละ 3 ครั้ง</t>
        </is>
      </c>
      <c r="F53" s="18" t="inlineStr">
        <is>
          <t>รับประทานหลังอาหาร 2 ชั่วโมง</t>
        </is>
      </c>
      <c r="G53" s="18" t="inlineStr">
        <is>
          <t>รับประทานยาต่อเนื่องจนหมด</t>
        </is>
      </c>
      <c r="H53" s="18" t="inlineStr">
        <is>
          <t>รับประทานร่วมกับยาฆ่าเชื้อได้</t>
        </is>
      </c>
      <c r="I53" s="15" t="inlineStr">
        <is>
          <t>2</t>
        </is>
      </c>
      <c r="J53" s="18"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ข้อนี้ไม่ใช่คำตอบที่ถูกต้องสำหรับภาวะ GERD เนื่องจากกลไกการออกฤทธิ์, efficacy หรือข้อบ่งใช้ไม่ตรงกับโจทย์ที่กำหนด
• ข้อ ค. (รับประทานหลังอาหาร 2 ชั่วโมง): ข้อนี้ไม่ใช่คำตอบที่ถูกต้องสำหรับภาวะ GERD เนื่องจากกลไกการออกฤทธิ์, efficacy หรือข้อบ่งใช้ไม่ตรงกับโจทย์ที่กำหนด
• ข้อ ง. (รับประทานยาต่อเนื่องจนหมด): ข้อนี้ไม่ใช่คำตอบที่ถูกต้องสำหรับภาวะ GERD เนื่องจากกลไกการออกฤทธิ์, efficacy หรือข้อบ่งใช้ไม่ตรงกับโจทย์ที่กำหนด
• ข้อ จ. (รับประทานร่วมกับยาฆ่าเชื้อได้):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8" t="inlineStr"/>
      <c r="L53" s="18" t="inlineStr">
        <is>
          <t>GERD</t>
        </is>
      </c>
      <c r="M53" s="18" t="inlineStr">
        <is>
          <t>Clinic</t>
        </is>
      </c>
      <c r="N53" s="18" t="inlineStr">
        <is>
          <t>ข้อ 51 ชุด 1 (เฉลยข้อ ข)</t>
        </is>
      </c>
      <c r="O53" s="18" t="inlineStr">
        <is>
          <t>Mock</t>
        </is>
      </c>
      <c r="P53" s="18" t="inlineStr">
        <is>
          <t>ชุด 1</t>
        </is>
      </c>
    </row>
    <row r="54">
      <c r="A54" s="15" t="inlineStr">
        <is>
          <t>52</t>
        </is>
      </c>
      <c r="B54" s="18" t="inlineStr">
        <is>
          <t>ข้อใดคือกลไกการออกฤทธิ์ของยา norfloxacin</t>
        </is>
      </c>
      <c r="C54" s="18" t="inlineStr"/>
      <c r="D54" s="18" t="inlineStr">
        <is>
          <t>ยับยั้งการสร้างเอนไซม์ topoisomerase</t>
        </is>
      </c>
      <c r="E54" s="18" t="inlineStr">
        <is>
          <t>ยับยั้งการสร้างเอนไซม์ dihydrofolate synthase</t>
        </is>
      </c>
      <c r="F54" s="18" t="inlineStr">
        <is>
          <t>ยับยั้งการสร้าง nucleic acid</t>
        </is>
      </c>
      <c r="G54" s="18" t="inlineStr">
        <is>
          <t>ยับยั้งการสร้าง cell wall</t>
        </is>
      </c>
      <c r="H54" s="18" t="inlineStr">
        <is>
          <t>ยับยั้งการสร้าง cell membrane</t>
        </is>
      </c>
      <c r="I54" s="15" t="inlineStr">
        <is>
          <t>1</t>
        </is>
      </c>
      <c r="J54" s="18"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ข้อนี้ไม่ใช่คำตอบที่ถูกต้องสำหรับภาวะ GERD เนื่องจากกลไกการออกฤทธิ์, efficacy หรือข้อบ่งใช้ไม่ตรงกับโจทย์ที่กำหนด
• ข้อ ค. (ยับยั้งการสร้าง nucleic acid): ข้อนี้ไม่ใช่คำตอบที่ถูกต้องสำหรับภาวะ GERD เนื่องจากกลไกการออกฤทธิ์, efficacy หรือข้อบ่งใช้ไม่ตรงกับโจทย์ที่กำหนด
• ข้อ ง. (ยับยั้งการสร้าง cell wall): ข้อนี้ไม่ใช่คำตอบที่ถูกต้องสำหรับภาวะ GERD เนื่องจากกลไกการออกฤทธิ์, efficacy หรือข้อบ่งใช้ไม่ตรงกับโจทย์ที่กำหนด
• ข้อ จ. (ยับยั้งการสร้าง cell membrane):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8" t="inlineStr"/>
      <c r="L54" s="18" t="inlineStr">
        <is>
          <t>GERD</t>
        </is>
      </c>
      <c r="M54" s="18" t="inlineStr">
        <is>
          <t>Clinic</t>
        </is>
      </c>
      <c r="N54" s="18" t="inlineStr">
        <is>
          <t>ข้อ 52 ชุด 1 (เฉลยข้อ ก)</t>
        </is>
      </c>
      <c r="O54" s="18" t="inlineStr">
        <is>
          <t>Mock</t>
        </is>
      </c>
      <c r="P54" s="18" t="inlineStr">
        <is>
          <t>ชุด 1</t>
        </is>
      </c>
    </row>
    <row r="55">
      <c r="A55" s="15" t="inlineStr">
        <is>
          <t>53</t>
        </is>
      </c>
      <c r="B55" s="18"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18" t="inlineStr"/>
      <c r="D55" s="18" t="inlineStr">
        <is>
          <t>เปลี่ยน omeprazole เป็น ranitidine</t>
        </is>
      </c>
      <c r="E55" s="18" t="inlineStr">
        <is>
          <t>เปลี่ยน omeprazole เป็น pantoprazole</t>
        </is>
      </c>
      <c r="F55" s="18" t="inlineStr">
        <is>
          <t>เปลี่ยน ketoconazole เป็น itraconazole</t>
        </is>
      </c>
      <c r="G55" s="18" t="inlineStr">
        <is>
          <t>เปลี่ยน ketoconazole เป็น fluconazole</t>
        </is>
      </c>
      <c r="H55" s="18" t="inlineStr">
        <is>
          <t>ให้รับประทาน omeprazole ตอนเช้า และ ketoconazole ตอนเย็น</t>
        </is>
      </c>
      <c r="I55" s="15" t="inlineStr">
        <is>
          <t>4</t>
        </is>
      </c>
      <c r="J55" s="18"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8" t="inlineStr"/>
      <c r="L55" s="18" t="inlineStr">
        <is>
          <t>GERD</t>
        </is>
      </c>
      <c r="M55" s="18" t="inlineStr">
        <is>
          <t>Clinic</t>
        </is>
      </c>
      <c r="N55" s="18" t="inlineStr">
        <is>
          <t>ข้อ 53 ชุด 1 (เฉลยข้อ ง)</t>
        </is>
      </c>
      <c r="O55" s="18" t="inlineStr">
        <is>
          <t>Mock</t>
        </is>
      </c>
      <c r="P55" s="18" t="inlineStr">
        <is>
          <t>ชุด 1</t>
        </is>
      </c>
    </row>
    <row r="56">
      <c r="A56" s="15" t="inlineStr">
        <is>
          <t>54</t>
        </is>
      </c>
      <c r="B56" s="18" t="inlineStr">
        <is>
          <t>Omeprazole ใช้ยาอย่างไรจึงจะเหมาะสม</t>
        </is>
      </c>
      <c r="C56" s="18" t="inlineStr"/>
      <c r="D56" s="18" t="inlineStr">
        <is>
          <t>เวลาไหนก็ได้</t>
        </is>
      </c>
      <c r="E56" s="18" t="inlineStr">
        <is>
          <t>ก่อนอาหาร 1 ชั่วโมง</t>
        </is>
      </c>
      <c r="F56" s="18" t="inlineStr">
        <is>
          <t>หลังอาหารทันที</t>
        </is>
      </c>
      <c r="G56" s="18" t="inlineStr">
        <is>
          <t>หลังอาหาร 1 ชั่วโมง</t>
        </is>
      </c>
      <c r="H56" s="18" t="inlineStr">
        <is>
          <t>ก่อนนอน</t>
        </is>
      </c>
      <c r="I56" s="15" t="inlineStr">
        <is>
          <t>2</t>
        </is>
      </c>
      <c r="J56" s="18"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ข้อนี้ไม่ใช่คำตอบที่ถูกต้องสำหรับภาวะ GERD เนื่องจากกลไกการออกฤทธิ์, efficacy หรือข้อบ่งใช้ไม่ตรงกับโจทย์ที่กำหนด
• ข้อ ค. (หลังอาหารทันที): ข้อนี้ไม่ใช่คำตอบที่ถูกต้องสำหรับภาวะ GERD เนื่องจากกลไกการออกฤทธิ์, efficacy หรือข้อบ่งใช้ไม่ตรงกับโจทย์ที่กำหนด
• ข้อ ง. (หลังอาหาร 1 ชั่วโมง): ข้อนี้ไม่ใช่คำตอบที่ถูกต้องสำหรับภาวะ GERD เนื่องจากกลไกการออกฤทธิ์, efficacy หรือข้อบ่งใช้ไม่ตรงกับโจทย์ที่กำหนด
• ข้อ จ. (ก่อนนอน):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8" t="inlineStr"/>
      <c r="L56" s="18" t="inlineStr">
        <is>
          <t>GERD</t>
        </is>
      </c>
      <c r="M56" s="18" t="inlineStr">
        <is>
          <t>Clinic</t>
        </is>
      </c>
      <c r="N56" s="18" t="inlineStr">
        <is>
          <t>ข้อ 54 ชุด 1 (เฉลยข้อ ข)</t>
        </is>
      </c>
      <c r="O56" s="18" t="inlineStr">
        <is>
          <t>Mock</t>
        </is>
      </c>
      <c r="P56" s="18" t="inlineStr">
        <is>
          <t>ชุด 1</t>
        </is>
      </c>
    </row>
    <row r="57">
      <c r="A57" s="15" t="inlineStr">
        <is>
          <t>55</t>
        </is>
      </c>
      <c r="B57" s="18" t="inlineStr">
        <is>
          <t>กลไกข้อใดคือกลไกของยา omeprazole</t>
        </is>
      </c>
      <c r="C57" s="18" t="inlineStr"/>
      <c r="D57" s="18" t="inlineStr">
        <is>
          <t>ยับยั้ง H1 receptor</t>
        </is>
      </c>
      <c r="E57" s="18" t="inlineStr">
        <is>
          <t>ยับยั้ง H2 receptor</t>
        </is>
      </c>
      <c r="F57" s="18" t="inlineStr">
        <is>
          <t>ยับยั้ง M2 receptor</t>
        </is>
      </c>
      <c r="G57" s="18" t="inlineStr">
        <is>
          <t>ยับยั้ง H+/K+ ATPase</t>
        </is>
      </c>
      <c r="H57" s="18" t="inlineStr">
        <is>
          <t>ยับยั้ง Alpha 1 receptor</t>
        </is>
      </c>
      <c r="I57" s="15" t="inlineStr">
        <is>
          <t>4</t>
        </is>
      </c>
      <c r="J57" s="18"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ข้อนี้ไม่ใช่คำตอบที่ถูกต้องสำหรับภาวะ GERD เนื่องจากกลไกการออกฤทธิ์, efficacy หรือข้อบ่งใช้ไม่ตรงกับโจทย์ที่กำหนด
• ข้อ ข. (ยับยั้ง H2 receptor): ข้อนี้ไม่ใช่คำตอบที่ถูกต้องสำหรับภาวะ GERD เนื่องจากกลไกการออกฤทธิ์, efficacy หรือข้อบ่งใช้ไม่ตรงกับโจทย์ที่กำหนด
• ข้อ ค. (ยับยั้ง M2 receptor): ข้อนี้ไม่ใช่คำตอบที่ถูกต้องสำหรับภาวะ GERD เนื่องจากกลไกการออกฤทธิ์, efficacy หรือข้อบ่งใช้ไม่ตรงกับโจทย์ที่กำหนด
• ข้อ จ. (ยับยั้ง Alpha 1 receptor):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8" t="inlineStr"/>
      <c r="L57" s="18" t="inlineStr">
        <is>
          <t>GERD</t>
        </is>
      </c>
      <c r="M57" s="18" t="inlineStr">
        <is>
          <t>Clinic</t>
        </is>
      </c>
      <c r="N57" s="18" t="inlineStr">
        <is>
          <t>ข้อ 55 ชุด 1 (เฉลยข้อ ง)</t>
        </is>
      </c>
      <c r="O57" s="18" t="inlineStr">
        <is>
          <t>Mock</t>
        </is>
      </c>
      <c r="P57" s="18" t="inlineStr">
        <is>
          <t>ชุด 1</t>
        </is>
      </c>
    </row>
    <row r="58">
      <c r="A58" s="15" t="inlineStr">
        <is>
          <t>56</t>
        </is>
      </c>
      <c r="B58" s="18" t="inlineStr">
        <is>
          <t>อันตรกิริยาระหว่าง omeprazole กับ ketoconazole คือ</t>
        </is>
      </c>
      <c r="C58" s="18" t="inlineStr"/>
      <c r="D58" s="18" t="inlineStr">
        <is>
          <t>ลดระดับยา ketoconazole</t>
        </is>
      </c>
      <c r="E58" s="18" t="inlineStr">
        <is>
          <t>เพิ่มระดับยา ketoconazole</t>
        </is>
      </c>
      <c r="F58" s="18" t="inlineStr">
        <is>
          <t>ลดระดับยา omeprazole</t>
        </is>
      </c>
      <c r="G58" s="18" t="inlineStr">
        <is>
          <t>เพิ่มระดับยา omeprazole</t>
        </is>
      </c>
      <c r="H58" s="18" t="inlineStr">
        <is>
          <t>เพิ่มระดับยา ketoconazole และ omeprazole</t>
        </is>
      </c>
      <c r="I58" s="15" t="inlineStr">
        <is>
          <t>1</t>
        </is>
      </c>
      <c r="J58" s="18"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ข้อนี้ไม่ใช่คำตอบที่ถูกต้องสำหรับภาวะ GERD เนื่องจากกลไกการออกฤทธิ์, efficacy หรือข้อบ่งใช้ไม่ตรงกับโจทย์ที่กำหนด
• ข้อ ค. (ลดระดับยา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(เพิ่มระดับยา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(เพิ่มระดับยา ketoconazole และ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8" t="inlineStr"/>
      <c r="L58" s="18" t="inlineStr">
        <is>
          <t>GERD</t>
        </is>
      </c>
      <c r="M58" s="18" t="inlineStr">
        <is>
          <t>Clinic</t>
        </is>
      </c>
      <c r="N58" s="18" t="inlineStr">
        <is>
          <t>ข้อ 56 ชุด 1 (เฉลยข้อ ก)</t>
        </is>
      </c>
      <c r="O58" s="18" t="inlineStr">
        <is>
          <t>Mock</t>
        </is>
      </c>
      <c r="P58" s="18" t="inlineStr">
        <is>
          <t>ชุด 1</t>
        </is>
      </c>
    </row>
    <row r="59">
      <c r="A59" s="15" t="inlineStr">
        <is>
          <t>57</t>
        </is>
      </c>
      <c r="B59" s="18" t="inlineStr">
        <is>
          <t>Hycosine N-butyl bromide ห้ามใช้ในคนไข้โรคต่อไปนี้ ยกเว้น ข้อใด</t>
        </is>
      </c>
      <c r="C59" s="18" t="inlineStr"/>
      <c r="D59" s="18" t="inlineStr">
        <is>
          <t>Glaucoma</t>
        </is>
      </c>
      <c r="E59" s="18" t="inlineStr">
        <is>
          <t>Obstructive urotitis</t>
        </is>
      </c>
      <c r="F59" s="18" t="inlineStr">
        <is>
          <t>Gut obstruction</t>
        </is>
      </c>
      <c r="G59" s="18" t="inlineStr">
        <is>
          <t>Myasthenia gravis</t>
        </is>
      </c>
      <c r="H59" s="18" t="inlineStr">
        <is>
          <t>Duodenal ulcer</t>
        </is>
      </c>
      <c r="I59" s="15" t="inlineStr">
        <is>
          <t>5</t>
        </is>
      </c>
      <c r="J59" s="18"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ข้อนี้ไม่ใช่คำตอบที่ถูกต้องสำหรับภาวะ GERD เนื่องจากกลไกการออกฤทธิ์, efficacy หรือข้อบ่งใช้ไม่ตรงกับโจทย์ที่กำหนด
• ข้อ ข. (Obstructive urotitis): ข้อนี้ไม่ใช่คำตอบที่ถูกต้องสำหรับภาวะ GERD เนื่องจากกลไกการออกฤทธิ์, efficacy หรือข้อบ่งใช้ไม่ตรงกับโจทย์ที่กำหนด
• ข้อ ค. (Gut obstruction): ข้อนี้ไม่ใช่คำตอบที่ถูกต้องสำหรับภาวะ GERD เนื่องจากกลไกการออกฤทธิ์, efficacy หรือข้อบ่งใช้ไม่ตรงกับโจทย์ที่กำหนด
• ข้อ ง. (Myasthenia gravis):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8" t="inlineStr"/>
      <c r="L59" s="18" t="inlineStr">
        <is>
          <t>GERD</t>
        </is>
      </c>
      <c r="M59" s="18" t="inlineStr">
        <is>
          <t>Clinic</t>
        </is>
      </c>
      <c r="N59" s="18" t="inlineStr">
        <is>
          <t>ข้อ 57 ชุด 1 (เฉลยข้อ จ)</t>
        </is>
      </c>
      <c r="O59" s="18" t="inlineStr">
        <is>
          <t>Mock</t>
        </is>
      </c>
      <c r="P59" s="18" t="inlineStr">
        <is>
          <t>ชุด 1</t>
        </is>
      </c>
    </row>
    <row r="60">
      <c r="A60" s="15" t="inlineStr">
        <is>
          <t>58</t>
        </is>
      </c>
      <c r="B60" s="18" t="inlineStr">
        <is>
          <t>ข้อใดคือคำแนะนำวิธีการรับประทานยา ketoconazole</t>
        </is>
      </c>
      <c r="C60" s="18" t="inlineStr"/>
      <c r="D60" s="18" t="inlineStr">
        <is>
          <t>กินก่อนอาหาร 30 นาที</t>
        </is>
      </c>
      <c r="E60" s="18" t="inlineStr">
        <is>
          <t>กินก่อนนอน</t>
        </is>
      </c>
      <c r="F60" s="18" t="inlineStr">
        <is>
          <t>กินหลังอาหารทันที</t>
        </is>
      </c>
      <c r="G60" s="18" t="inlineStr">
        <is>
          <t>ควรกินพร้อมไขมันเพื่อเพิ่มการดูดซึม</t>
        </is>
      </c>
      <c r="H60" s="18" t="inlineStr">
        <is>
          <t>ควรกินพร้อมยาลดกรด</t>
        </is>
      </c>
      <c r="I60" s="15" t="inlineStr">
        <is>
          <t>3</t>
        </is>
      </c>
      <c r="J60" s="18"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ข้อนี้ไม่ใช่คำตอบที่ถูกต้องสำหรับภาวะ GERD เนื่องจากกลไกการออกฤทธิ์, efficacy หรือข้อบ่งใช้ไม่ตรงกับโจทย์ที่กำหนด
• ข้อ ข. (กินก่อนนอน): ข้อนี้ไม่ใช่คำตอบที่ถูกต้องสำหรับภาวะ GERD เนื่องจากกลไกการออกฤทธิ์, efficacy หรือข้อบ่งใช้ไม่ตรงกับโจทย์ที่กำหนด
• ข้อ ง. (ควรกินพร้อมไขมันเพื่อเพิ่มการดูดซึม): ข้อนี้ไม่ใช่คำตอบที่ถูกต้องสำหรับภาวะ GERD เนื่องจากกลไกการออกฤทธิ์, efficacy หรือข้อบ่งใช้ไม่ตรงกับโจทย์ที่กำหนด
• ข้อ จ. (ควรกินพร้อมยาลดกรด):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8" t="inlineStr"/>
      <c r="L60" s="18" t="inlineStr">
        <is>
          <t>GERD</t>
        </is>
      </c>
      <c r="M60" s="18" t="inlineStr">
        <is>
          <t>Clinic</t>
        </is>
      </c>
      <c r="N60" s="18" t="inlineStr">
        <is>
          <t>ข้อ 58 ชุด 1 (เฉลยข้อ ค)</t>
        </is>
      </c>
      <c r="O60" s="18" t="inlineStr">
        <is>
          <t>Mock</t>
        </is>
      </c>
      <c r="P60" s="18" t="inlineStr">
        <is>
          <t>ชุด 1</t>
        </is>
      </c>
    </row>
    <row r="61">
      <c r="A61" s="15" t="inlineStr">
        <is>
          <t>59</t>
        </is>
      </c>
      <c r="B61" s="18"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18" t="inlineStr"/>
      <c r="D61" s="18" t="inlineStr">
        <is>
          <t>จากการศึกษาในสัตว์พบว่าทำให้เกิดความผิดปกติต่อตัวอ่อนในครรภ์ แต่ไม่มีการศึกษาในมนุษย์</t>
        </is>
      </c>
      <c r="E61" s="18" t="inlineStr">
        <is>
          <t>จากการศึกษาในมนุษย์พบว่าไม่มีความเสี่ยงในการก่อให้เกิดความผิดปกติต่อทารกในครรภ์</t>
        </is>
      </c>
      <c r="F61" s="18"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18"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18"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15" t="inlineStr">
        <is>
          <t>3</t>
        </is>
      </c>
      <c r="J61" s="18"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ข้อนี้ไม่ใช่คำตอบที่ถูกต้องสำหรับภาวะ GERD เนื่องจากกลไกการออกฤทธิ์, efficacy หรือข้อบ่งใช้ไม่ตรงกับโจทย์ที่กำหนด
• ข้อ ข. (จากการศึกษาในมนุษย์พบว่าไม่มีความเสี่ยงในการก่อให้เกิดความผิดปกติต่อทารกในครรภ์): ข้อนี้ไม่ใช่คำตอบที่ถูกต้องสำหรับภาวะ GERD เนื่องจากกลไกการออกฤทธิ์, efficacy หรือข้อบ่งใช้ไม่ตรงกับโจทย์ที่กำหนด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ข้อนี้ไม่ใช่คำตอบที่ถูกต้องสำหรับภาวะ GERD เนื่องจากกลไกการออกฤทธิ์, efficacy หรือข้อบ่งใช้ไม่ตรงกับโจทย์ที่กำหนด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8" t="inlineStr"/>
      <c r="L61" s="18" t="inlineStr">
        <is>
          <t>GERD</t>
        </is>
      </c>
      <c r="M61" s="18" t="inlineStr">
        <is>
          <t>Clinic</t>
        </is>
      </c>
      <c r="N61" s="18" t="inlineStr">
        <is>
          <t>ข้อ 59 ชุด 1 (เฉลยข้อ ค)</t>
        </is>
      </c>
      <c r="O61" s="18" t="inlineStr">
        <is>
          <t>Mock</t>
        </is>
      </c>
      <c r="P61" s="18" t="inlineStr">
        <is>
          <t>ชุด 1</t>
        </is>
      </c>
    </row>
    <row r="62">
      <c r="A62" s="15" t="inlineStr">
        <is>
          <t>60</t>
        </is>
      </c>
      <c r="B62" s="18" t="inlineStr">
        <is>
          <t>ผู้ป่วยเป็นโรค GERD ยาใดไม่ควรใช้</t>
        </is>
      </c>
      <c r="C62" s="18" t="inlineStr"/>
      <c r="D62" s="18" t="inlineStr">
        <is>
          <t>Serratopeptidase</t>
        </is>
      </c>
      <c r="E62" s="18" t="inlineStr">
        <is>
          <t>Metoclopramide</t>
        </is>
      </c>
      <c r="F62" s="18" t="inlineStr">
        <is>
          <t>Alendronate</t>
        </is>
      </c>
      <c r="G62" s="18" t="inlineStr">
        <is>
          <t>Bisacodyl</t>
        </is>
      </c>
      <c r="H62" s="18" t="inlineStr">
        <is>
          <t>MOM</t>
        </is>
      </c>
      <c r="I62" s="15" t="inlineStr">
        <is>
          <t>3</t>
        </is>
      </c>
      <c r="J62" s="18"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ข้อนี้ไม่ใช่คำตอบที่ถูกต้องสำหรับภาวะ GERD เนื่องจากกลไกการออกฤทธิ์, efficacy หรือข้อบ่งใช้ไม่ตรงกับโจทย์ที่กำหนด
• ข้อ ข. (Metoclopramide): เป็น central และ peripheral D2 antagonist เพิ่ม gastric emptying และแก้อาเจียน แต่ผ่าน BBB จึงทำให้เกิด acute dystonia และ EPS ได้ง่าย
• ข้อ ง.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(MOM):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18" t="inlineStr"/>
      <c r="L62" s="18" t="inlineStr">
        <is>
          <t>GERD</t>
        </is>
      </c>
      <c r="M62" s="18" t="inlineStr">
        <is>
          <t>Clinic</t>
        </is>
      </c>
      <c r="N62" s="18" t="inlineStr">
        <is>
          <t>ข้อ 60 ชุด 1 (เฉลยข้อ ค)</t>
        </is>
      </c>
      <c r="O62" s="18" t="inlineStr">
        <is>
          <t>Mock</t>
        </is>
      </c>
      <c r="P62" s="18" t="inlineStr">
        <is>
          <t>ชุด 1</t>
        </is>
      </c>
    </row>
    <row r="63">
      <c r="A63" s="15" t="inlineStr">
        <is>
          <t>61</t>
        </is>
      </c>
      <c r="B63" s="18" t="inlineStr">
        <is>
          <t>ผู้ป่วยควรได้รับการรักษาด้วยยาใด</t>
        </is>
      </c>
      <c r="C63" s="18" t="inlineStr"/>
      <c r="D63" s="18" t="inlineStr">
        <is>
          <t>Famotidine</t>
        </is>
      </c>
      <c r="E63" s="18" t="inlineStr">
        <is>
          <t>Bismuth subsalicylate</t>
        </is>
      </c>
      <c r="F63" s="18" t="inlineStr">
        <is>
          <t>Salol and Menthol mixture</t>
        </is>
      </c>
      <c r="G63" s="18" t="inlineStr">
        <is>
          <t>Hyoscine-N-butyl bromide</t>
        </is>
      </c>
      <c r="H63" s="18" t="inlineStr">
        <is>
          <t>Simethicone</t>
        </is>
      </c>
      <c r="I63" s="15" t="inlineStr">
        <is>
          <t>1</t>
        </is>
      </c>
      <c r="J63" s="18"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ข้อนี้ไม่ใช่คำตอบที่ถูกต้องสำหรับภาวะ Dyspepsia &amp; PUD เนื่องจากกลไกการออกฤทธิ์, efficacy หรือข้อบ่งใช้ไม่ตรงกับโจทย์ที่กำหนด
• ข้อ ค. (Salol and Menthol mixture): ข้อนี้ไม่ใช่คำตอบที่ถูกต้องสำหรับภาวะ Dyspepsia &amp; PUD เนื่องจากกลไกการออกฤทธิ์, efficacy หรือข้อบ่งใช้ไม่ตรงกับโจทย์ที่กำหนด
• ข้อ ง. (Hyoscine-N-butyl bromide): ข้อนี้ไม่ใช่คำตอบที่ถูกต้องสำหรับภาวะ Dyspepsia &amp; PUD เนื่องจากกลไกการออกฤทธิ์, efficacy หรือข้อบ่งใช้ไม่ตรงกับโจทย์ที่กำหนด
• ข้อ จ. (Simethicone):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8" t="inlineStr"/>
      <c r="L63" s="18" t="inlineStr">
        <is>
          <t>Dyspepsia &amp; PUD</t>
        </is>
      </c>
      <c r="M63" s="18" t="inlineStr">
        <is>
          <t>Clinic</t>
        </is>
      </c>
      <c r="N63" s="18" t="inlineStr">
        <is>
          <t>ข้อ 61 ชุด 1 (เฉลยข้อ ก)</t>
        </is>
      </c>
      <c r="O63" s="18" t="inlineStr">
        <is>
          <t>Mock</t>
        </is>
      </c>
      <c r="P63" s="18" t="inlineStr">
        <is>
          <t>ชุด 1</t>
        </is>
      </c>
    </row>
    <row r="64">
      <c r="A64" s="15" t="inlineStr">
        <is>
          <t>62</t>
        </is>
      </c>
      <c r="B64" s="18" t="inlineStr">
        <is>
          <t>สารสำคัญในมะขามแขกเป็นสารกลุ่มใดและออกฤทธิ์เป็นยาระบายกลุ่มใด</t>
        </is>
      </c>
      <c r="C64" s="18" t="inlineStr"/>
      <c r="D64" s="18" t="inlineStr">
        <is>
          <t>Anthraquinones, stimulant laxatives</t>
        </is>
      </c>
      <c r="E64" s="18" t="inlineStr">
        <is>
          <t>Quinones, stimulant laxatives</t>
        </is>
      </c>
      <c r="F64" s="18" t="inlineStr">
        <is>
          <t>Alkaloids, bulk forming laxatives</t>
        </is>
      </c>
      <c r="G64" s="18" t="inlineStr">
        <is>
          <t>Isoquinoline alkaloids, stimulant laxatives</t>
        </is>
      </c>
      <c r="H64" s="18" t="inlineStr">
        <is>
          <t>Flavonoids, bulk forming laxatives</t>
        </is>
      </c>
      <c r="I64" s="15" t="inlineStr">
        <is>
          <t>1</t>
        </is>
      </c>
      <c r="J64" s="18"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ข้อนี้ไม่ใช่คำตอบที่ถูกต้องสำหรับภาวะ GERD เนื่องจากกลไกการออกฤทธิ์, efficacy หรือข้อบ่งใช้ไม่ตรงกับโจทย์ที่กำหนด
• ข้อ ค. (Alkaloids, bulk forming laxatives): ข้อนี้ไม่ใช่คำตอบที่ถูกต้องสำหรับภาวะ GERD เนื่องจากกลไกการออกฤทธิ์, efficacy หรือข้อบ่งใช้ไม่ตรงกับโจทย์ที่กำหนด
• ข้อ ง. (Isoquinoline alkaloids, stimulant laxatives): ข้อนี้ไม่ใช่คำตอบที่ถูกต้องสำหรับภาวะ GERD เนื่องจากกลไกการออกฤทธิ์, efficacy หรือข้อบ่งใช้ไม่ตรงกับโจทย์ที่กำหนด
• ข้อ จ. (Flavonoids, bulk forming laxatives):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8" t="inlineStr"/>
      <c r="L64" s="18" t="inlineStr">
        <is>
          <t>GERD</t>
        </is>
      </c>
      <c r="M64" s="18" t="inlineStr">
        <is>
          <t>Clinic</t>
        </is>
      </c>
      <c r="N64" s="18" t="inlineStr">
        <is>
          <t>ข้อ 62 ชุด 1 (เฉลยข้อ ก)</t>
        </is>
      </c>
      <c r="O64" s="18" t="inlineStr">
        <is>
          <t>Mock</t>
        </is>
      </c>
      <c r="P64" s="18" t="inlineStr">
        <is>
          <t>ชุด 1</t>
        </is>
      </c>
    </row>
    <row r="65">
      <c r="A65" s="15" t="inlineStr">
        <is>
          <t>63</t>
        </is>
      </c>
      <c r="B65" s="18" t="inlineStr">
        <is>
          <t>อาการไม่พึงประสงค์ใดที่พบบ่อยในช่วงแรกของการใช้ยาระบายมะขามแขก</t>
        </is>
      </c>
      <c r="C65" s="18" t="inlineStr"/>
      <c r="D65" s="18" t="inlineStr">
        <is>
          <t>Abdominal pain</t>
        </is>
      </c>
      <c r="E65" s="18" t="inlineStr">
        <is>
          <t>Antonic colon</t>
        </is>
      </c>
      <c r="F65" s="18" t="inlineStr">
        <is>
          <t>Electrolyte imbalance</t>
        </is>
      </c>
      <c r="G65" s="18" t="inlineStr">
        <is>
          <t>Noninfectious colitis</t>
        </is>
      </c>
      <c r="H65" s="18" t="inlineStr">
        <is>
          <t>Irritate bowel</t>
        </is>
      </c>
      <c r="I65" s="15" t="inlineStr">
        <is>
          <t>1</t>
        </is>
      </c>
      <c r="J65" s="18"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ข้อนี้ไม่ใช่คำตอบที่ถูกต้องสำหรับภาวะ GERD เนื่องจากกลไกการออกฤทธิ์, efficacy หรือข้อบ่งใช้ไม่ตรงกับโจทย์ที่กำหนด
• ข้อ ค. (Electrolyte imbalance): ข้อนี้ไม่ใช่คำตอบที่ถูกต้องสำหรับภาวะ GERD เนื่องจากกลไกการออกฤทธิ์, efficacy หรือข้อบ่งใช้ไม่ตรงกับโจทย์ที่กำหนด
• ข้อ ง. (Noninfectious colitis): ข้อนี้ไม่ใช่คำตอบที่ถูกต้องสำหรับภาวะ GERD เนื่องจากกลไกการออกฤทธิ์, efficacy หรือข้อบ่งใช้ไม่ตรงกับโจทย์ที่กำหนด
• ข้อ จ. (Irritate bowel):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8" t="inlineStr"/>
      <c r="L65" s="18" t="inlineStr">
        <is>
          <t>GERD</t>
        </is>
      </c>
      <c r="M65" s="18" t="inlineStr">
        <is>
          <t>Clinic</t>
        </is>
      </c>
      <c r="N65" s="18" t="inlineStr">
        <is>
          <t>ข้อ 63 ชุด 1 (เฉลยข้อ ก)</t>
        </is>
      </c>
      <c r="O65" s="18" t="inlineStr">
        <is>
          <t>Mock</t>
        </is>
      </c>
      <c r="P65" s="18" t="inlineStr">
        <is>
          <t>ชุด 1</t>
        </is>
      </c>
    </row>
    <row r="66">
      <c r="A66" s="15" t="inlineStr">
        <is>
          <t>64</t>
        </is>
      </c>
      <c r="B66" s="18"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18" t="inlineStr"/>
      <c r="D66" s="18" t="inlineStr">
        <is>
          <t>Entamoeba histolytica</t>
        </is>
      </c>
      <c r="E66" s="18" t="inlineStr">
        <is>
          <t>Shigella dysenteriae</t>
        </is>
      </c>
      <c r="F66" s="18" t="inlineStr">
        <is>
          <t>Giardia lamblia</t>
        </is>
      </c>
      <c r="G66" s="18" t="inlineStr">
        <is>
          <t>Vibrio parahaemolyticus</t>
        </is>
      </c>
      <c r="H66" s="18" t="inlineStr">
        <is>
          <t>Clostridium difficile</t>
        </is>
      </c>
      <c r="I66" s="15" t="inlineStr">
        <is>
          <t>2</t>
        </is>
      </c>
      <c r="J66" s="18"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ข้อนี้ไม่ใช่คำตอบที่ถูกต้องสำหรับภาวะ Diarrhea &amp; Constipation เนื่องจากกลไกการออกฤทธิ์, efficacy หรือข้อบ่งใช้ไม่ตรงกับโจทย์ที่กำหนด
• ข้อ ค. (Giardia lamblia): ข้อนี้ไม่ใช่คำตอบที่ถูกต้องสำหรับภาวะ Diarrhea &amp; Constipation เนื่องจากกลไกการออกฤทธิ์, efficacy หรือข้อบ่งใช้ไม่ตรงกับโจทย์ที่กำหนด
• ข้อ ง. (Vibrio parahaemolyticus): ข้อนี้ไม่ใช่คำตอบที่ถูกต้องสำหรับภาวะ Diarrhea &amp; Constipation เนื่องจากกลไกการออกฤทธิ์, efficacy หรือข้อบ่งใช้ไม่ตรงกับโจทย์ที่กำหนด
• ข้อ จ. (Clostridium difficile):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8" t="inlineStr"/>
      <c r="L66" s="18" t="inlineStr">
        <is>
          <t>Diarrhea &amp; Constipation</t>
        </is>
      </c>
      <c r="M66" s="18" t="inlineStr">
        <is>
          <t>Clinic</t>
        </is>
      </c>
      <c r="N66" s="18" t="inlineStr">
        <is>
          <t>ข้อ 64 ชุด 1 (เฉลยข้อ ข)</t>
        </is>
      </c>
      <c r="O66" s="18" t="inlineStr">
        <is>
          <t>Mock</t>
        </is>
      </c>
      <c r="P66" s="18" t="inlineStr">
        <is>
          <t>ชุด 1</t>
        </is>
      </c>
    </row>
    <row r="67">
      <c r="A67" s="15" t="inlineStr">
        <is>
          <t>65</t>
        </is>
      </c>
      <c r="B67" s="18"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18" t="inlineStr"/>
      <c r="D67" s="18" t="inlineStr">
        <is>
          <t>เกลือแร่</t>
        </is>
      </c>
      <c r="E67" s="18" t="inlineStr">
        <is>
          <t>ยาดูดซับสารพิษ</t>
        </is>
      </c>
      <c r="F67" s="18" t="inlineStr">
        <is>
          <t>ยาหยุดถ่าย</t>
        </is>
      </c>
      <c r="G67" s="18" t="inlineStr">
        <is>
          <t>ยาลดไข้</t>
        </is>
      </c>
      <c r="H67" s="18" t="inlineStr">
        <is>
          <t>ยาแก้คลื่นไส้อาเจียน</t>
        </is>
      </c>
      <c r="I67" s="15" t="inlineStr">
        <is>
          <t>3</t>
        </is>
      </c>
      <c r="J67" s="18" t="inlineStr">
        <is>
          <t>✅ คำตอบที่ถูกต้อง: ข้อ ค. ยาหยุดถ่าย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ยาหยุดถ่าย กรณีติดเชื้อแบคทีเรียที่มีอาการถ่ายเป็นมูกร่วมกับมีไข้สูง ห้ามใช้ 'ยาหยุดถ่าย' (Antimotility drugs เช่น Loperamide) เนื่องจากจะทำให้ลำไส้เคลื่อนตัวช้าลง เพิ่มระยะเวลาที่เชื้อโรคและสารพิษสัมผัสกับเยื่อบุลำไส้ และอาจทำให้เกิดภาวะ megacolon หรือพิษคั่งได้
🔍 ข้ออื่นผิดเพราะอะไร:
• ข้อ ก. (เกลือแร่): ข้อนี้ไม่ใช่คำตอบที่ถูกต้องสำหรับภาวะ Diarrhea &amp; Constipation เนื่องจากกลไกการออกฤทธิ์, efficacy หรือข้อบ่งใช้ไม่ตรงกับโจทย์ที่กำหนด
• ข้อ ข. (ยาดูดซับสารพิษ): ข้อนี้ไม่ใช่คำตอบที่ถูกต้องสำหรับภาวะ Diarrhea &amp; Constipation เนื่องจากกลไกการออกฤทธิ์, efficacy หรือข้อบ่งใช้ไม่ตรงกับโจทย์ที่กำหนด
• ข้อ ง. (ยาลดไข้): ข้อนี้ไม่ใช่คำตอบที่ถูกต้องสำหรับภาวะ Diarrhea &amp; Constipation เนื่องจากกลไกการออกฤทธิ์, efficacy หรือข้อบ่งใช้ไม่ตรงกับโจทย์ที่กำหนด
• ข้อ จ. (ยาแก้คลื่นไส้อาเจียน):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8" t="inlineStr"/>
      <c r="L67" s="18" t="inlineStr">
        <is>
          <t>Diarrhea &amp; Constipation</t>
        </is>
      </c>
      <c r="M67" s="18" t="inlineStr">
        <is>
          <t>Clinic</t>
        </is>
      </c>
      <c r="N67" s="18" t="inlineStr">
        <is>
          <t>ข้อ 65 ชุด 1 (เฉลยข้อ ค)</t>
        </is>
      </c>
      <c r="O67" s="18" t="inlineStr">
        <is>
          <t>Mock</t>
        </is>
      </c>
      <c r="P67" s="18" t="inlineStr">
        <is>
          <t>ชุด 1</t>
        </is>
      </c>
    </row>
    <row r="68">
      <c r="A68" s="15" t="inlineStr">
        <is>
          <t>66</t>
        </is>
      </c>
      <c r="B68" s="18" t="inlineStr">
        <is>
          <t>ยาในข้อใดต่อไปนี้เป็น drug of choice ของการรักษาอาการท้องเสียในผู้ป่วยรายนี้</t>
        </is>
      </c>
      <c r="C68" s="18" t="inlineStr"/>
      <c r="D68" s="18" t="inlineStr">
        <is>
          <t>Cotrimoxazole</t>
        </is>
      </c>
      <c r="E68" s="18" t="inlineStr">
        <is>
          <t>Norfloxacin</t>
        </is>
      </c>
      <c r="F68" s="18" t="inlineStr">
        <is>
          <t>Metronidazole</t>
        </is>
      </c>
      <c r="G68" s="18" t="inlineStr">
        <is>
          <t>Amoxicillin</t>
        </is>
      </c>
      <c r="H68" s="18" t="inlineStr">
        <is>
          <t>Tetracycline</t>
        </is>
      </c>
      <c r="I68" s="15" t="inlineStr">
        <is>
          <t>2</t>
        </is>
      </c>
      <c r="J68" s="18" t="inlineStr">
        <is>
          <t>✅ คำตอบที่ถูกต้อง: ข้อ ข.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Fluoroquinolones (เช่น Norfloxacin) เป็นยาเลือกแรก (drug of choice) สำหรับการรักษาโรคอุจจาระร่วงเฉียบพลันจากแบคทีเรีย (acute bacterial diarrhea) ตามแนวทางการรักษามาตรฐาน อย่างไรก็ตามปัจจุบันควรพิจารณาตามความไวของเชื้อและอัตราการดื้อยาในท้องถิ่น
🔍 ข้ออื่นผิดเพราะอะไร:
• ข้อ ก. (Cotrimoxazole): เป็นยาผสม Trimethoprim/Sulfamethoxazole (TMP/SMX) เป็น drug of choice สำหรับ PCP/PJP prophylaxis &amp; treatment, Stenotrophomonas และ Nocardia ระวัง hyperkalemia และ SCARs
• ข้อ ค. (Metronidazole): เป็น antianaerobic และ antiprotozoal agent ยับยั้ง Trichomonas vaginalis, Giardia, Amebiasis, และ anaerobes ห้ามดื่มแอลกอฮอล์ระหว่างใช้ยา (disulfiram-like reaction)
• ข้อ ง. (Amoxicillin): เป็น Aminopenicillin ยับยั้ง bacterial cell wall synthesis เป็น first-line สำหรับ uncomplicated bacterial infections (เช่น Strep pharyngitis, AOM, sinusitis)
• ข้อ จ. (Tetracycline):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18" t="inlineStr"/>
      <c r="L68" s="18" t="inlineStr">
        <is>
          <t>Diarrhea &amp; Constipation</t>
        </is>
      </c>
      <c r="M68" s="18" t="inlineStr">
        <is>
          <t>Clinic</t>
        </is>
      </c>
      <c r="N68" s="18" t="inlineStr">
        <is>
          <t>ข้อ 66 ชุด 1 (เฉลยข้อ ข)</t>
        </is>
      </c>
      <c r="O68" s="18" t="inlineStr">
        <is>
          <t>Mock</t>
        </is>
      </c>
      <c r="P68" s="18" t="inlineStr">
        <is>
          <t>ชุด 1</t>
        </is>
      </c>
    </row>
    <row r="69">
      <c r="A69" s="15" t="inlineStr">
        <is>
          <t>67</t>
        </is>
      </c>
      <c r="B69" s="18" t="inlineStr">
        <is>
          <t>ข้อใดเป็นคำแนะนำการปฏิบัติตัวที่ไม่ถูกต้อง</t>
        </is>
      </c>
      <c r="C69" s="18" t="inlineStr"/>
      <c r="D69" s="18" t="inlineStr">
        <is>
          <t>ห้ามกินยาในข้อ 66 ร่วมกับนมหรือยาลดกรด</t>
        </is>
      </c>
      <c r="E69" s="18" t="inlineStr">
        <is>
          <t>ให้รับประทานยาต่อเนื่องตลอดการรักษา</t>
        </is>
      </c>
      <c r="F69" s="18" t="inlineStr">
        <is>
          <t>ควรรับประทานอาหารอ่อน</t>
        </is>
      </c>
      <c r="G69" s="18" t="inlineStr">
        <is>
          <t>หากไม่รับประทานยาจนหมดอาจเกิดการติดเชื้อดื้อยาได้</t>
        </is>
      </c>
      <c r="H69" s="18" t="inlineStr">
        <is>
          <t>ผสมผงเกลือแร่ตามสัดส่วนและรับประทานครั้งเดียวหมด</t>
        </is>
      </c>
      <c r="I69" s="15" t="inlineStr">
        <is>
          <t>5</t>
        </is>
      </c>
      <c r="J69" s="18" t="inlineStr">
        <is>
          <t>✅ คำตอบที่ถูกต้อง: ข้อ จ. ผสมผงเกลือแร่ตามสัดส่วนและรับประทานครั้งเดียวหมด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ผสมผงเกลือแร่ตามสัดส่วนและรับประทานครั้งเดียวหมด ผงเกลือแร่ (ORS) เมื่อผสมแล้วควรจิบทีละน้อยตามความกระหาย และควรใช้ให้หมดภายใน 24 ชั่วโมง การรับประทานครั้งเดียวหมดอาจทำให้ได้รับเกลือแร่หรือน้ำปริมาณมากเกินไปในคราวเดียว ซึ่งไม่ถูกต้องตามคำแนะนำ
🔍 ข้ออื่นผิดเพราะอะไร:
• ข้อ ก. (ห้ามกินยาในข้อ 66 ร่วมกับนมหรือยาลดกรด): ข้อนี้ไม่ใช่คำตอบที่ถูกต้องสำหรับภาวะ Diarrhea &amp; Constipation เนื่องจากกลไกการออกฤทธิ์, efficacy หรือข้อบ่งใช้ไม่ตรงกับโจทย์ที่กำหนด
• ข้อ ข. (ให้รับประทานยาต่อเนื่องตลอดการรักษา): ข้อนี้ไม่ใช่คำตอบที่ถูกต้องสำหรับภาวะ Diarrhea &amp; Constipation เนื่องจากกลไกการออกฤทธิ์, efficacy หรือข้อบ่งใช้ไม่ตรงกับโจทย์ที่กำหนด
• ข้อ ค. (ควรรับประทานอาหารอ่อน): ข้อนี้ไม่ใช่คำตอบที่ถูกต้องสำหรับภาวะ Diarrhea &amp; Constipation เนื่องจากกลไกการออกฤทธิ์, efficacy หรือข้อบ่งใช้ไม่ตรงกับโจทย์ที่กำหนด
• ข้อ ง. (หากไม่รับประทานยาจนหมดอาจเกิดการติดเชื้อดื้อยาได้):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8" t="inlineStr"/>
      <c r="L69" s="18" t="inlineStr">
        <is>
          <t>Diarrhea &amp; Constipation</t>
        </is>
      </c>
      <c r="M69" s="18" t="inlineStr">
        <is>
          <t>Clinic</t>
        </is>
      </c>
      <c r="N69" s="18" t="inlineStr">
        <is>
          <t>ข้อ 67 ชุด 1 (เฉลยข้อ จ)</t>
        </is>
      </c>
      <c r="O69" s="18" t="inlineStr">
        <is>
          <t>Mock</t>
        </is>
      </c>
      <c r="P69" s="18" t="inlineStr">
        <is>
          <t>ชุด 1</t>
        </is>
      </c>
    </row>
    <row r="70">
      <c r="A70" s="15" t="inlineStr">
        <is>
          <t>68</t>
        </is>
      </c>
      <c r="B70" s="18"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18" t="inlineStr"/>
      <c r="D70" s="18" t="inlineStr">
        <is>
          <t>ท้องผูกเป็นประจำ</t>
        </is>
      </c>
      <c r="E70" s="18" t="inlineStr">
        <is>
          <t>ดื่มสุรามากเกินไป</t>
        </is>
      </c>
      <c r="F70" s="18" t="inlineStr">
        <is>
          <t>รับประทานอาหารที่มีรสเผ็ดร้อนจัดเกินไป</t>
        </is>
      </c>
      <c r="G70" s="18" t="inlineStr">
        <is>
          <t>ติดเชื้อไวรัสตับอักเสบ A</t>
        </is>
      </c>
      <c r="H70" s="18" t="inlineStr">
        <is>
          <t>โรคบิดหรือโรคลาไส้ซึ่งถ่ายอุจจาระบ่อย ๆ</t>
        </is>
      </c>
      <c r="I70" s="15" t="inlineStr">
        <is>
          <t>3</t>
        </is>
      </c>
      <c r="J70" s="18" t="inlineStr">
        <is>
          <t>✅ คำตอบที่ถูกต้อง: ข้อ ค. รับประทานอาหารที่มีรสเผ็ดร้อนจัดเกินไป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รับประทานอาหารที่มีรสเผ็ดร้อนจัดเกินไป การติดเชื้อไวรัสตับอักเสบ A ไม่ใช่สาเหตุหรือปัจจัยเสี่ยงในการเกิดริดสีดวงทวาร ปัจจัยเสี่ยงหลักได้แก่ ภาวะท้องผูกเรื้อรัง ท้องเสียเรื้อรัง การเบ่งอุจจาระแรง การตั้งครรภ์ ภาวะความดันในช่องท้องสูง และการนั่งถ่ายอุจจาระเป็นเวลานาน
🔍 ข้ออื่นผิดเพราะอะไร:
• ข้อ ก. (ท้องผูกเป็นประจำ): ข้อนี้ไม่ใช่คำตอบที่ถูกต้องสำหรับภาวะ Diarrhea &amp; Constipation เนื่องจากกลไกการออกฤทธิ์, efficacy หรือข้อบ่งใช้ไม่ตรงกับโจทย์ที่กำหนด
• ข้อ ข. (ดื่มสุรามากเกินไป): ข้อนี้ไม่ใช่คำตอบที่ถูกต้องสำหรับภาวะ Diarrhea &amp; Constipation เนื่องจากกลไกการออกฤทธิ์, efficacy หรือข้อบ่งใช้ไม่ตรงกับโจทย์ที่กำหนด
• ข้อ ง. (ติดเชื้อไวรัสตับอักเสบ A): ข้อนี้ไม่ใช่คำตอบที่ถูกต้องสำหรับภาวะ Diarrhea &amp; Constipation เนื่องจากกลไกการออกฤทธิ์, efficacy หรือข้อบ่งใช้ไม่ตรงกับโจทย์ที่กำหนด
• ข้อ จ. (โรคบิดหรือโรคลาไส้ซึ่งถ่ายอุจจาระบ่อย ๆ):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18" t="inlineStr"/>
      <c r="L70" s="18" t="inlineStr">
        <is>
          <t>Diarrhea &amp; Constipation</t>
        </is>
      </c>
      <c r="M70" s="18" t="inlineStr">
        <is>
          <t>Clinic</t>
        </is>
      </c>
      <c r="N70" s="18" t="inlineStr">
        <is>
          <t>ข้อ 68 ชุด 1 (เฉลยข้อ ค ง)</t>
        </is>
      </c>
      <c r="O70" s="18" t="inlineStr">
        <is>
          <t>Mock</t>
        </is>
      </c>
      <c r="P70" s="18" t="inlineStr">
        <is>
          <t>ชุด 1</t>
        </is>
      </c>
    </row>
    <row r="71">
      <c r="A71" s="15" t="inlineStr">
        <is>
          <t>69</t>
        </is>
      </c>
      <c r="B71" s="18"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18" t="inlineStr"/>
      <c r="D71" s="18" t="inlineStr">
        <is>
          <t>ดื่มน้ำมาก ๆ วันละ 6-8 แก้ว</t>
        </is>
      </c>
      <c r="E71" s="18" t="inlineStr">
        <is>
          <t>รับประทานข้าวกล้อง และผลไม้</t>
        </is>
      </c>
      <c r="F71" s="18" t="inlineStr">
        <is>
          <t>ฝึกถ่ายอุจจาระให้เป็นประจำ</t>
        </is>
      </c>
      <c r="G71" s="18" t="inlineStr">
        <is>
          <t>ออกกำลังกายด้วยการปั่นจักรยานและยกน้ำหนัก</t>
        </is>
      </c>
      <c r="H71" s="18" t="inlineStr">
        <is>
          <t>ไม่ดื่มชา กาแฟ</t>
        </is>
      </c>
      <c r="I71" s="15" t="inlineStr">
        <is>
          <t>4</t>
        </is>
      </c>
      <c r="J71" s="18" t="inlineStr">
        <is>
          <t>✅ คำตอบที่ถูกต้อง: ข้อ ง. ออกกำลังกายด้วยการปั่นจักรยานและยกน้ำหนัก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ออกกำลังกายด้วยการปั่นจักรยานและยกน้ำหนัก การยกน้ำหนัก (heavy lifting) เพิ่มความดันในช่องท้องทำให้หลอดเลือดดำที่ทวารหนักขยายตัวมากขึ้นและอาการริดสีดวงแย่ลง จึงเป็นข้อปฏิบัติที่ไม่เหมาะสม ส่วนการออกกำลังกายที่เหมาะสมควรเป็นการเดินหรือว่ายน้ำ
🔍 ข้ออื่นผิดเพราะอะไร:
• ข้อ ก. (ดื่มน้ำมาก ๆ วันละ 6-8 แก้ว): ข้อนี้ไม่ใช่คำตอบที่ถูกต้องสำหรับภาวะ Diarrhea &amp; Constipation เนื่องจากกลไกการออกฤทธิ์, efficacy หรือข้อบ่งใช้ไม่ตรงกับโจทย์ที่กำหนด
• ข้อ ข. (รับประทานข้าวกล้อง และผลไม้): ข้อนี้ไม่ใช่คำตอบที่ถูกต้องสำหรับภาวะ Diarrhea &amp; Constipation เนื่องจากกลไกการออกฤทธิ์, efficacy หรือข้อบ่งใช้ไม่ตรงกับโจทย์ที่กำหนด
• ข้อ ค. (ฝึกถ่ายอุจจาระให้เป็นประจำ): ข้อนี้ไม่ใช่คำตอบที่ถูกต้องสำหรับภาวะ Diarrhea &amp; Constipation เนื่องจากกลไกการออกฤทธิ์, efficacy หรือข้อบ่งใช้ไม่ตรงกับโจทย์ที่กำหนด
• ข้อ จ. (ไม่ดื่มชา กาแฟ):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18" t="inlineStr"/>
      <c r="L71" s="18" t="inlineStr">
        <is>
          <t>Diarrhea &amp; Constipation</t>
        </is>
      </c>
      <c r="M71" s="18" t="inlineStr">
        <is>
          <t>Clinic</t>
        </is>
      </c>
      <c r="N71" s="18" t="inlineStr">
        <is>
          <t>ข้อ 69 ชุด 1 (เฉลยข้อ ง)</t>
        </is>
      </c>
      <c r="O71" s="18" t="inlineStr">
        <is>
          <t>Mock</t>
        </is>
      </c>
      <c r="P71" s="18" t="inlineStr">
        <is>
          <t>ชุด 1</t>
        </is>
      </c>
    </row>
    <row r="72">
      <c r="A72" s="15" t="inlineStr">
        <is>
          <t>70</t>
        </is>
      </c>
      <c r="B72" s="18"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18" t="inlineStr"/>
      <c r="D72" s="18" t="inlineStr">
        <is>
          <t>ให้การรักษาโดยใช้ยาเหน็บริดสีดวงทวาร</t>
        </is>
      </c>
      <c r="E72" s="18" t="inlineStr">
        <is>
          <t>ให้ยาระบายชนิดเพิ่มกากอาหาร</t>
        </is>
      </c>
      <c r="F72" s="18" t="inlineStr">
        <is>
          <t>ให้ยาเพิ่มความแข็งแรงของหลอดเลือด</t>
        </is>
      </c>
      <c r="G72" s="18" t="inlineStr">
        <is>
          <t>ให้ paracetamol เพื่อลดการอักเสบ</t>
        </is>
      </c>
      <c r="H72" s="18" t="inlineStr">
        <is>
          <t>นั่งแช่น้ำอุ่นที่ผสมด่างทับทิม 15-30 นาที วันละ 2-3 ครั้ง</t>
        </is>
      </c>
      <c r="I72" s="15" t="inlineStr">
        <is>
          <t>4</t>
        </is>
      </c>
      <c r="J72" s="18" t="inlineStr">
        <is>
          <t>✅ คำตอบที่ถูกต้อง: ข้อ ง. ให้ paracetamol เพื่อลดการอักเสบ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ให้ paracetamol เพื่อลดการอักเสบ Paracetamol มีฤทธิ์แก้ปวดและลดไข้ แต่ไม่มีฤทธิ์ต้านการอักเสบ (anti-inflammatory) หากต้องการลดการอักเสบควรใช้ยากลุ่ม NSAIDs หรือยาเหน็บที่มีส่วนผสมของ corticosteroid (เช่น Proctosedyl)
🔍 ข้ออื่นผิดเพราะอะไร:
• ข้อ ก. (ให้การรักษาโดยใช้ยาเหน็บริดสีดวงทวาร): ข้อนี้ไม่ใช่คำตอบที่ถูกต้องสำหรับภาวะ Diarrhea &amp; Constipation เนื่องจากกลไกการออกฤทธิ์, efficacy หรือข้อบ่งใช้ไม่ตรงกับโจทย์ที่กำหนด
• ข้อ ข. (ให้ยาระบายชนิดเพิ่มกากอาหาร): ข้อนี้ไม่ใช่คำตอบที่ถูกต้องสำหรับภาวะ Diarrhea &amp; Constipation เนื่องจากกลไกการออกฤทธิ์, efficacy หรือข้อบ่งใช้ไม่ตรงกับโจทย์ที่กำหนด
• ข้อ ค. (ให้ยาเพิ่มความแข็งแรงของหลอดเลือด): ข้อนี้ไม่ใช่คำตอบที่ถูกต้องสำหรับภาวะ Diarrhea &amp; Constipation เนื่องจากกลไกการออกฤทธิ์, efficacy หรือข้อบ่งใช้ไม่ตรงกับโจทย์ที่กำหนด
• ข้อ จ. (นั่งแช่น้ำอุ่นที่ผสมด่างทับทิม 15-30 นาที วันละ 2-3 ครั้ง):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18" t="inlineStr"/>
      <c r="L72" s="18" t="inlineStr">
        <is>
          <t>Diarrhea &amp; Constipation</t>
        </is>
      </c>
      <c r="M72" s="18" t="inlineStr">
        <is>
          <t>Clinic</t>
        </is>
      </c>
      <c r="N72" s="18" t="inlineStr">
        <is>
          <t>ข้อ 70 ชุด 1 (เฉลยข้อ ง)</t>
        </is>
      </c>
      <c r="O72" s="18" t="inlineStr">
        <is>
          <t>Mock</t>
        </is>
      </c>
      <c r="P72" s="18" t="inlineStr">
        <is>
          <t>ชุด 1</t>
        </is>
      </c>
    </row>
    <row r="73">
      <c r="A73" s="15" t="inlineStr">
        <is>
          <t>71</t>
        </is>
      </c>
      <c r="B73" s="18"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18" t="inlineStr"/>
      <c r="D73" s="18" t="inlineStr">
        <is>
          <t>ก่อนเหน็บยาต้องให้อุณหภูมิยาเหน็บเท่ากับอุณหภูมิของร่างกาย</t>
        </is>
      </c>
      <c r="E73" s="18" t="inlineStr">
        <is>
          <t>ก่อนแกะยาออกจากห่อ ควรล้างมือให้สะอาด</t>
        </is>
      </c>
      <c r="F73" s="18" t="inlineStr">
        <is>
          <t>การสอดยาเหน็บ ต้องนอนตะแคงเหยียดขาที่อยู่ด้านล่างออกและงอขาที่อยู่ด้านบนชิดหน้าอก</t>
        </is>
      </c>
      <c r="G73" s="18" t="inlineStr">
        <is>
          <t>การสอดยาเหน็บ ต้องค่อยๆใช้นิ้วดันให้ยาเข้าไปลึกที่สุด</t>
        </is>
      </c>
      <c r="H73" s="18" t="inlineStr">
        <is>
          <t>เมื่อสอดยาเหน็บแล้วต้องนอนในท่าเดิมต่อ 15 นาที เพื่อให้ยาละลายหมด</t>
        </is>
      </c>
      <c r="I73" s="15" t="inlineStr">
        <is>
          <t>4</t>
        </is>
      </c>
      <c r="J73" s="18" t="inlineStr">
        <is>
          <t>✅ คำตอบที่ถูกต้อง: ข้อ ง. การสอดยาเหน็บ ต้องค่อยๆใช้นิ้วดันให้ยาเข้าไปลึกที่สุด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การสอดยาเหน็บ ต้องค่อยๆใช้นิ้วดันให้ยาเข้าไปลึกที่สุด การสอดยาเหน็บทางทวารหนักควรดันยาให้ล้นผ่านหูรูดทวารหนัก (anal sphincter) เข้าไปประมาณ 1 นิ้วสำหรับผู้ใหญ่ เพื่อไม่ให้ยาหลุดออกมา ไม่จำเป็นต้องดันไปจนลึกที่สุดเพราะอาจทำให้ยาเคลื่อนที่ผิดตำแหน่งได้ และการเก็บรักษาก่อนใช้ควรเก็บในที่เย็นเพื่อให้ยาคงรูป ไม่จำเป็นต้องทำให้อุณหภูมิเท่าร่างกายก่อน
🔍 ข้ออื่นผิดเพราะอะไร:
• ข้อ ก. (ก่อนเหน็บยาต้องให้อุณหภูมิยาเหน็บเท่ากับอุณหภูมิของร่างกาย): ข้อนี้ไม่ใช่คำตอบที่ถูกต้องสำหรับภาวะ Diarrhea &amp; Constipation เนื่องจากกลไกการออกฤทธิ์, efficacy หรือข้อบ่งใช้ไม่ตรงกับโจทย์ที่กำหนด
• ข้อ ข. (ก่อนแกะยาออกจากห่อ ควรล้างมือให้สะอาด): ข้อนี้ไม่ใช่คำตอบที่ถูกต้องสำหรับภาวะ Diarrhea &amp; Constipation เนื่องจากกลไกการออกฤทธิ์, efficacy หรือข้อบ่งใช้ไม่ตรงกับโจทย์ที่กำหนด
• ข้อ ค. (การสอดยาเหน็บ ต้องนอนตะแคงเหยียดขาที่อยู่ด้านล่างออกและงอขาที่อยู่ด้านบนชิดหน้าอก): ข้อนี้ไม่ใช่คำตอบที่ถูกต้องสำหรับภาวะ Diarrhea &amp; Constipation เนื่องจากกลไกการออกฤทธิ์, efficacy หรือข้อบ่งใช้ไม่ตรงกับโจทย์ที่กำหนด
• ข้อ จ. (เมื่อสอดยาเหน็บแล้วต้องนอนในท่าเดิมต่อ 15 นาที เพื่อให้ยาละลายหมด):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3" s="18" t="inlineStr"/>
      <c r="L73" s="18" t="inlineStr">
        <is>
          <t>Diarrhea &amp; Constipation</t>
        </is>
      </c>
      <c r="M73" s="18" t="inlineStr">
        <is>
          <t>Clinic</t>
        </is>
      </c>
      <c r="N73" s="18" t="inlineStr">
        <is>
          <t>ข้อ 71 ชุด 1 (เฉลยข้อ ง)</t>
        </is>
      </c>
      <c r="O73" s="18" t="inlineStr">
        <is>
          <t>Mock</t>
        </is>
      </c>
      <c r="P73" s="18" t="inlineStr">
        <is>
          <t>ชุด 1</t>
        </is>
      </c>
    </row>
    <row r="74">
      <c r="A74" s="15" t="inlineStr">
        <is>
          <t>72</t>
        </is>
      </c>
      <c r="B74" s="18" t="inlineStr">
        <is>
          <t>ข้อใดคือกลไกการออกฤทธิ์ของยา diosmin</t>
        </is>
      </c>
      <c r="C74" s="18" t="inlineStr"/>
      <c r="D74" s="18" t="inlineStr">
        <is>
          <t>Increase venous tone</t>
        </is>
      </c>
      <c r="E74" s="18" t="inlineStr">
        <is>
          <t>Decrease venous return</t>
        </is>
      </c>
      <c r="F74" s="18" t="inlineStr">
        <is>
          <t>Decrease vasoconstriction</t>
        </is>
      </c>
      <c r="G74" s="18" t="inlineStr">
        <is>
          <t>Increase lymphatic drainage</t>
        </is>
      </c>
      <c r="H74" s="18" t="inlineStr">
        <is>
          <t>Decrease hyperpermeability capillary</t>
        </is>
      </c>
      <c r="I74" s="15" t="inlineStr">
        <is>
          <t>1</t>
        </is>
      </c>
      <c r="J74" s="18"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ข้อนี้ไม่ใช่คำตอบที่ถูกต้องสำหรับภาวะ GERD เนื่องจากกลไกการออกฤทธิ์, efficacy หรือข้อบ่งใช้ไม่ตรงกับโจทย์ที่กำหนด
• ข้อ ค. (Decrease vasoconstriction): ข้อนี้ไม่ใช่คำตอบที่ถูกต้องสำหรับภาวะ GERD เนื่องจากกลไกการออกฤทธิ์, efficacy หรือข้อบ่งใช้ไม่ตรงกับโจทย์ที่กำหนด
• ข้อ ง. (Increase lymphatic drainage): ข้อนี้ไม่ใช่คำตอบที่ถูกต้องสำหรับภาวะ GERD เนื่องจากกลไกการออกฤทธิ์, efficacy หรือข้อบ่งใช้ไม่ตรงกับโจทย์ที่กำหนด
• ข้อ จ. (Decrease hyperpermeability capillary):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18" t="inlineStr"/>
      <c r="L74" s="18" t="inlineStr">
        <is>
          <t>GERD</t>
        </is>
      </c>
      <c r="M74" s="18" t="inlineStr">
        <is>
          <t>Clinic</t>
        </is>
      </c>
      <c r="N74" s="18" t="inlineStr">
        <is>
          <t>ข้อ 72 ชุด 1 (เฉลยข้อ ก)</t>
        </is>
      </c>
      <c r="O74" s="18" t="inlineStr">
        <is>
          <t>Mock</t>
        </is>
      </c>
      <c r="P74" s="18" t="inlineStr">
        <is>
          <t>ชุด 1</t>
        </is>
      </c>
    </row>
    <row r="75">
      <c r="A75" s="15" t="inlineStr">
        <is>
          <t>73</t>
        </is>
      </c>
      <c r="B75" s="18" t="inlineStr">
        <is>
          <t>ข้อใดไม่ใช่อาการข้างเคียงของยา ferrous fumarate</t>
        </is>
      </c>
      <c r="C75" s="18" t="inlineStr"/>
      <c r="D75" s="18" t="inlineStr">
        <is>
          <t>Diarrhea</t>
        </is>
      </c>
      <c r="E75" s="18" t="inlineStr">
        <is>
          <t>ตับอักเสบ</t>
        </is>
      </c>
      <c r="F75" s="18" t="inlineStr">
        <is>
          <t>ท้องผูก</t>
        </is>
      </c>
      <c r="G75" s="18" t="inlineStr">
        <is>
          <t>Gl disturbance</t>
        </is>
      </c>
      <c r="H75" s="18" t="inlineStr">
        <is>
          <t>Dark urine</t>
        </is>
      </c>
      <c r="I75" s="15" t="inlineStr">
        <is>
          <t>2</t>
        </is>
      </c>
      <c r="J75" s="18"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ข้อนี้ไม่ใช่คำตอบที่ถูกต้องสำหรับภาวะ GERD เนื่องจากกลไกการออกฤทธิ์, efficacy หรือข้อบ่งใช้ไม่ตรงกับโจทย์ที่กำหนด
• ข้อ ค. (ท้องผูก): ข้อนี้ไม่ใช่คำตอบที่ถูกต้องสำหรับภาวะ GERD เนื่องจากกลไกการออกฤทธิ์, efficacy หรือข้อบ่งใช้ไม่ตรงกับโจทย์ที่กำหนด
• ข้อ ง. (Gl disturbance): ข้อนี้ไม่ใช่คำตอบที่ถูกต้องสำหรับภาวะ GERD เนื่องจากกลไกการออกฤทธิ์, efficacy หรือข้อบ่งใช้ไม่ตรงกับโจทย์ที่กำหนด
• ข้อ จ. (Dark urine):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18" t="inlineStr"/>
      <c r="L75" s="18" t="inlineStr">
        <is>
          <t>GERD</t>
        </is>
      </c>
      <c r="M75" s="18" t="inlineStr">
        <is>
          <t>Clinic</t>
        </is>
      </c>
      <c r="N75" s="18" t="inlineStr">
        <is>
          <t>ข้อ 73 ชุด 1 (เฉลยข้อ ข)</t>
        </is>
      </c>
      <c r="O75" s="18" t="inlineStr">
        <is>
          <t>Mock</t>
        </is>
      </c>
      <c r="P75" s="18" t="inlineStr">
        <is>
          <t>ชุด 1</t>
        </is>
      </c>
    </row>
    <row r="76">
      <c r="A76" s="15" t="inlineStr">
        <is>
          <t>74</t>
        </is>
      </c>
      <c r="B76" s="18" t="inlineStr">
        <is>
          <t>ถ่าท่านเป็นเภสัชกรท่านจะแนะนำสมุนไพรใดให้ผู้ป่วย</t>
        </is>
      </c>
      <c r="C76" s="18" t="inlineStr"/>
      <c r="D76" s="18" t="inlineStr">
        <is>
          <t>มะขามแขก</t>
        </is>
      </c>
      <c r="E76" s="18" t="inlineStr">
        <is>
          <t>เพชรสังฆาต</t>
        </is>
      </c>
      <c r="F76" s="18" t="inlineStr">
        <is>
          <t>ว่านหางจระเข้</t>
        </is>
      </c>
      <c r="G76" s="18" t="inlineStr">
        <is>
          <t>น้ำมันละหุ่ง</t>
        </is>
      </c>
      <c r="H76" s="18" t="inlineStr">
        <is>
          <t>มะรุม</t>
        </is>
      </c>
      <c r="I76" s="15" t="inlineStr">
        <is>
          <t>2</t>
        </is>
      </c>
      <c r="J76" s="18"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ข้อนี้ไม่ใช่คำตอบที่ถูกต้องสำหรับภาวะ GERD เนื่องจากกลไกการออกฤทธิ์, efficacy หรือข้อบ่งใช้ไม่ตรงกับโจทย์ที่กำหนด
• ข้อ ค. (ว่านหางจระเข้): ข้อนี้ไม่ใช่คำตอบที่ถูกต้องสำหรับภาวะ GERD เนื่องจากกลไกการออกฤทธิ์, efficacy หรือข้อบ่งใช้ไม่ตรงกับโจทย์ที่กำหนด
• ข้อ ง. (น้ำมันละหุ่ง): ข้อนี้ไม่ใช่คำตอบที่ถูกต้องสำหรับภาวะ GERD เนื่องจากกลไกการออกฤทธิ์, efficacy หรือข้อบ่งใช้ไม่ตรงกับโจทย์ที่กำหนด
• ข้อ จ. (มะรุม):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8" t="inlineStr"/>
      <c r="L76" s="18" t="inlineStr">
        <is>
          <t>GERD</t>
        </is>
      </c>
      <c r="M76" s="18" t="inlineStr">
        <is>
          <t>Clinic</t>
        </is>
      </c>
      <c r="N76" s="18" t="inlineStr">
        <is>
          <t>ข้อ 74 ชุด 1 (เฉลยข้อ ข)</t>
        </is>
      </c>
      <c r="O76" s="18" t="inlineStr">
        <is>
          <t>Mock</t>
        </is>
      </c>
      <c r="P76" s="18" t="inlineStr">
        <is>
          <t>ชุด 1</t>
        </is>
      </c>
    </row>
    <row r="77">
      <c r="A77" s="15" t="inlineStr">
        <is>
          <t>1</t>
        </is>
      </c>
      <c r="B77" s="1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18" t="inlineStr"/>
      <c r="D77" s="18" t="inlineStr">
        <is>
          <t>Ondansetron และ Levofloxacin ทำปฏิกิริยากัน เกิดการแย่งจับกับโปรตีนในพลาสมาอย่างรุนแรง</t>
        </is>
      </c>
      <c r="E77" s="18" t="inlineStr">
        <is>
          <t>Activated Charcoal เข้าจับและดูดซับ Levofloxacin ในระบบทางเดินอาหาร ส่งผลให้ระดับยาในเลือดของ Levofloxacin ลดลงอย่างมีนัยสำคัญ</t>
        </is>
      </c>
      <c r="F77" s="18" t="inlineStr">
        <is>
          <t>ORS ทำให้ความเป็นกรดในกระเพาะอาหารลดลง ส่งผลให้ Levofloxacin ไม่สามารถละลายตัวและดูดซึมได้</t>
        </is>
      </c>
      <c r="G77" s="18" t="inlineStr">
        <is>
          <t>Activated Charcoal เร่งการขจัดยา Levofloxacin ออกทางปัสสาวะผ่านกระบวนการ active secretion</t>
        </is>
      </c>
      <c r="H77" s="18" t="inlineStr">
        <is>
          <t>Ondansetron ลดการบีบตัวของกระเพาะอาหาร ทำให้ Levofloxacin ค้างอยู่ในกระเพาะนานจนยาเสื่อมสภาพ</t>
        </is>
      </c>
      <c r="I77" s="15" t="inlineStr">
        <is>
          <t>2</t>
        </is>
      </c>
      <c r="J77" s="18"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18" t="inlineStr"/>
      <c r="L77" s="18" t="inlineStr">
        <is>
          <t>Diarrhea &amp; Constipation</t>
        </is>
      </c>
      <c r="M77" s="18" t="inlineStr">
        <is>
          <t>Clinic</t>
        </is>
      </c>
      <c r="N77" s="18" t="inlineStr">
        <is>
          <t>ข้อ 1.1 Mock GI RxCU84</t>
        </is>
      </c>
      <c r="O77" s="18" t="inlineStr">
        <is>
          <t>Mock</t>
        </is>
      </c>
      <c r="P77" s="18" t="inlineStr">
        <is>
          <t>Mock RxCU84</t>
        </is>
      </c>
    </row>
    <row r="78">
      <c r="A78" s="15" t="inlineStr">
        <is>
          <t>2</t>
        </is>
      </c>
      <c r="B78" s="1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18" t="inlineStr"/>
      <c r="D78" s="18"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18"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18"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18"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18"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15" t="inlineStr">
        <is>
          <t>2</t>
        </is>
      </c>
      <c r="J78" s="18"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ข้อนี้ไม่ใช่คำตอบที่ถูกต้องสำหรับภาวะ Diarrhea &amp; Constipation เนื่องจากกลไกการออกฤทธิ์, efficacy หรือข้อบ่งใช้ไม่ตรงกับโจทย์ที่กำหนด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ข้อนี้ไม่ใช่คำตอบที่ถูกต้องสำหรับภาวะ Diarrhea &amp; Constipation เนื่องจากกลไกการออกฤทธิ์, efficacy หรือข้อบ่งใช้ไม่ตรงกับโจทย์ที่กำหนด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ข้อนี้ไม่ใช่คำตอบที่ถูกต้องสำหรับภาวะ Diarrhea &amp; Constipation เนื่องจากกลไกการออกฤทธิ์, efficacy หรือข้อบ่งใช้ไม่ตรงกับโจทย์ที่กำหนด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18" t="inlineStr"/>
      <c r="L78" s="18" t="inlineStr">
        <is>
          <t>Diarrhea &amp; Constipation</t>
        </is>
      </c>
      <c r="M78" s="18" t="inlineStr">
        <is>
          <t>Clinic</t>
        </is>
      </c>
      <c r="N78" s="18" t="inlineStr">
        <is>
          <t>ข้อ 1.2 Mock GI RxCU84</t>
        </is>
      </c>
      <c r="O78" s="18" t="inlineStr">
        <is>
          <t>Mock</t>
        </is>
      </c>
      <c r="P78" s="18" t="inlineStr">
        <is>
          <t>Mock RxCU84</t>
        </is>
      </c>
    </row>
    <row r="79">
      <c r="A79" s="15" t="inlineStr">
        <is>
          <t>3</t>
        </is>
      </c>
      <c r="B79" s="1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18" t="inlineStr"/>
      <c r="D79" s="18" t="inlineStr">
        <is>
          <t>Levofloxacin และ ORS</t>
        </is>
      </c>
      <c r="E79" s="18" t="inlineStr">
        <is>
          <t>Ondansetron และ Activated Charcoal</t>
        </is>
      </c>
      <c r="F79" s="18" t="inlineStr">
        <is>
          <t>Levofloxacin และ Ondansetron</t>
        </is>
      </c>
      <c r="G79" s="18" t="inlineStr">
        <is>
          <t>Activated Charcoal และ ORS</t>
        </is>
      </c>
      <c r="H79" s="18" t="inlineStr">
        <is>
          <t>Levofloxacin และ Activated Charcoal</t>
        </is>
      </c>
      <c r="I79" s="15" t="inlineStr">
        <is>
          <t>3</t>
        </is>
      </c>
      <c r="J79" s="18"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เป็น Respiratory Fluoroquinolone ครอบคลุมทั้ง Streptococcus pneumoniae, atypicals และ Pseudomonas aeruginosa ใช้รักษา CAP, complicated UTI
• ข้อ ข. (Ondansetron และ Activated Charcoal): เป็น 5-HT3 receptor antagonist เป็น first-line antiemetic สำหรับ chemotherapy-induced nausea and vomiting (CINV) และ post-operative nausea/vomiting แต่ทำให้ท้องผูก
• ข้อ ง. (Activated Charcoal และ ORS): ข้อนี้ไม่ใช่คำตอบที่ถูกต้องสำหรับภาวะ Diarrhea &amp; Constipation เนื่องจากกลไกการออกฤทธิ์, efficacy หรือข้อบ่งใช้ไม่ตรงกับโจทย์ที่กำหนด
• ข้อ จ. (Levofloxacin และ Activated Charcoal):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18" t="inlineStr"/>
      <c r="L79" s="18" t="inlineStr">
        <is>
          <t>Diarrhea &amp; Constipation</t>
        </is>
      </c>
      <c r="M79" s="18" t="inlineStr">
        <is>
          <t>Clinic</t>
        </is>
      </c>
      <c r="N79" s="18" t="inlineStr">
        <is>
          <t>ข้อ 1.3 Mock GI RxCU84</t>
        </is>
      </c>
      <c r="O79" s="18" t="inlineStr">
        <is>
          <t>Mock</t>
        </is>
      </c>
      <c r="P79" s="18" t="inlineStr">
        <is>
          <t>Mock RxCU84</t>
        </is>
      </c>
    </row>
    <row r="80">
      <c r="A80" s="15" t="inlineStr">
        <is>
          <t>4</t>
        </is>
      </c>
      <c r="B80" s="1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18" t="inlineStr"/>
      <c r="D80" s="18" t="inlineStr">
        <is>
          <t>เปลี่ยน Levofloxacin เป็น Norfloxacin 400 mg รับประทานวันละ 2 ครั้ง นาน 3 วัน</t>
        </is>
      </c>
      <c r="E80" s="18" t="inlineStr">
        <is>
          <t>เปลี่ยน Levofloxacin เป็น Azithromycin 1,000 mg รับประทานครั้งเดียว หรือ 500 mg วันละครั้ง นาน 3 วัน</t>
        </is>
      </c>
      <c r="F80" s="18" t="inlineStr">
        <is>
          <t>เปลี่ยน Levofloxacin เป็น Doxycycline 100 mg รับประทานวันละ 2 ครั้ง นาน 3 วัน</t>
        </is>
      </c>
      <c r="G80" s="18" t="inlineStr">
        <is>
          <t>คงการใช้ Levofloxacin ไว้ตามเดิม เนื่องจากยามีความปลอดภัยสูงในหญิงตั้งครรภ์ทุกไตรมาส</t>
        </is>
      </c>
      <c r="H80" s="18" t="inlineStr">
        <is>
          <t>เปลี่ยน Levofloxacin เป็น Ciprofloxacin 500 mg รับประทานวันละ 2 ครั้ง นาน 3 วัน</t>
        </is>
      </c>
      <c r="I80" s="15" t="inlineStr">
        <is>
          <t>2</t>
        </is>
      </c>
      <c r="J80" s="18"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18" t="inlineStr"/>
      <c r="L80" s="18" t="inlineStr">
        <is>
          <t>Diarrhea &amp; Constipation</t>
        </is>
      </c>
      <c r="M80" s="18" t="inlineStr">
        <is>
          <t>Clinic</t>
        </is>
      </c>
      <c r="N80" s="18" t="inlineStr">
        <is>
          <t>ข้อ 1.4 Mock GI RxCU84</t>
        </is>
      </c>
      <c r="O80" s="18" t="inlineStr">
        <is>
          <t>Mock</t>
        </is>
      </c>
      <c r="P80" s="18" t="inlineStr">
        <is>
          <t>Mock RxCU84</t>
        </is>
      </c>
    </row>
    <row r="81">
      <c r="A81" s="15" t="inlineStr">
        <is>
          <t>5</t>
        </is>
      </c>
      <c r="B81" s="1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18" t="inlineStr"/>
      <c r="D81" s="18" t="inlineStr">
        <is>
          <t>เหมาะสม เนื่องจากผู้ป่วยถ่ายบ่อยถึง 6 ครั้ง บ่งชี้ว่าร่างกายได้รับการติดเชื้อแบคทีเรียรุนแรง</t>
        </is>
      </c>
      <c r="E81" s="18"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18" t="inlineStr">
        <is>
          <t>เหมาะสม แต่ควรเปลี่ยนเป็นกลุ่ม Fluoroquinolones เช่น Norfloxacin เนื่องจากมีสเปกตรัมแคบกว่า</t>
        </is>
      </c>
      <c r="G81" s="18" t="inlineStr">
        <is>
          <t>เหมาะสม เนื่องจากยา Amoxicillin/Clavulanate ช่วยลดการหลั่งสารน้ำในเยื่อบุลำไส้ได้ดี</t>
        </is>
      </c>
      <c r="H81" s="18" t="inlineStr">
        <is>
          <t>ไม่เหมาะสม เนื่องจากยา Amoxicillin/Clavulanate สามารถผ่านรกไปทำอันตรายต่อทารกในครรภ์ได้อย่างรุนแรง (FDA Category X)</t>
        </is>
      </c>
      <c r="I81" s="15" t="inlineStr">
        <is>
          <t>2</t>
        </is>
      </c>
      <c r="J81" s="18"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ข้อนี้ไม่ใช่คำตอบที่ถูกต้องสำหรับภาวะ Dyspepsia &amp; PUD เนื่องจากกลไกการออกฤทธิ์, efficacy หรือข้อบ่งใช้ไม่ตรงกับโจทย์ที่กำหนด
• ข้อ ค. (เหมาะสม แต่ควรเปลี่ยนเป็นกลุ่ม Fluoroquinolones เช่น Norfloxacin เนื่องจากมีสเปกตรัมแคบกว่า): ข้อนี้ไม่ใช่คำตอบที่ถูกต้องสำหรับภาวะ Dyspepsia &amp; PUD เนื่องจากกลไกการออกฤทธิ์, efficacy หรือข้อบ่งใช้ไม่ตรงกับโจทย์ที่กำหนด
• ข้อ ง. (เหมาะสม เนื่องจากยา Amoxicillin/Clavulanate ช่วยลดการหลั่งสารน้ำในเยื่อบุลำไส้ได้ดี): เป็น Aminopenicillin ยับยั้ง bacterial cell wall synthesis เป็น first-line สำหรับ uncomplicated bacterial infections (เช่น Strep pharyngitis, AOM, sinusitis)
• ข้อ จ. (ไม่เหมาะสม เนื่องจากยา Amoxicillin/Clavulanate สามารถผ่านรกไปทำอันตรายต่อทารกในครรภ์ได้อย่างรุนแรง (FDA Category X)):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8" t="inlineStr"/>
      <c r="L81" s="18" t="inlineStr">
        <is>
          <t>Dyspepsia &amp; PUD</t>
        </is>
      </c>
      <c r="M81" s="18" t="inlineStr">
        <is>
          <t>Clinic</t>
        </is>
      </c>
      <c r="N81" s="18" t="inlineStr">
        <is>
          <t>ข้อ 2.1 Mock GI RxCU84</t>
        </is>
      </c>
      <c r="O81" s="18" t="inlineStr">
        <is>
          <t>Mock</t>
        </is>
      </c>
      <c r="P81" s="18" t="inlineStr">
        <is>
          <t>Mock RxCU84</t>
        </is>
      </c>
    </row>
    <row r="82">
      <c r="A82" s="15" t="inlineStr">
        <is>
          <t>6</t>
        </is>
      </c>
      <c r="B82" s="1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18" t="inlineStr"/>
      <c r="D82" s="18" t="inlineStr">
        <is>
          <t>ตัวยา Clavulanate จะเร่งกระบวนการทำลายเยื่อบุกระเพาะอาหารโดยตรง เกิดแผลในกระเพาะอาหารฉับพลัน</t>
        </is>
      </c>
      <c r="E82" s="18" t="inlineStr">
        <is>
          <t>ยาจะทำให้เกิดการยับยั้งการหลั่งน้ำย่อยจากตับอ่อน ส่งผลให้มีไขมันปนในอุจจาระเพิ่มขึ้น</t>
        </is>
      </c>
      <c r="F82" s="18"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18" t="inlineStr">
        <is>
          <t>ยาปฏิชีวนะจะทำให้ทางเดินอาหารแห้งตัวและเกิดอาการท้องผูกสลับท้องเสียอย่างรุนแรง</t>
        </is>
      </c>
      <c r="H82" s="18" t="inlineStr">
        <is>
          <t>ตัวยา Amoxicillin จะออกฤทธิ์ขัดขวางการดูดซึมโซเดียมและน้ำกลับที่ไตโดยตรง</t>
        </is>
      </c>
      <c r="I82" s="15" t="inlineStr">
        <is>
          <t>3</t>
        </is>
      </c>
      <c r="J82" s="18"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ข้อนี้ไม่ใช่คำตอบที่ถูกต้องสำหรับภาวะ Dyspepsia &amp; PUD เนื่องจากกลไกการออกฤทธิ์, efficacy หรือข้อบ่งใช้ไม่ตรงกับโจทย์ที่กำหนด
• ข้อ ข. (ยาจะทำให้เกิดการยับยั้งการหลั่งน้ำย่อยจากตับอ่อน ส่งผลให้มีไขมันปนในอุจจาระเพิ่มขึ้น): ข้อนี้ไม่ใช่คำตอบที่ถูกต้องสำหรับภาวะ Dyspepsia &amp; PUD เนื่องจากกลไกการออกฤทธิ์, efficacy หรือข้อบ่งใช้ไม่ตรงกับโจทย์ที่กำหนด
• ข้อ ง. (ยาปฏิชีวนะจะทำให้ทางเดินอาหารแห้งตัวและเกิดอาการท้องผูกสลับท้องเสียอย่างรุนแรง): ข้อนี้ไม่ใช่คำตอบที่ถูกต้องสำหรับภาวะ Dyspepsia &amp; PUD เนื่องจากกลไกการออกฤทธิ์, efficacy หรือข้อบ่งใช้ไม่ตรงกับโจทย์ที่กำหนด
• ข้อ จ. (ตัวยา Amoxicillin จะออกฤทธิ์ขัดขวางการดูดซึมโซเดียมและน้ำกลับที่ไตโดยตรง):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8" t="inlineStr"/>
      <c r="L82" s="18" t="inlineStr">
        <is>
          <t>Dyspepsia &amp; PUD</t>
        </is>
      </c>
      <c r="M82" s="18" t="inlineStr">
        <is>
          <t>Clinic</t>
        </is>
      </c>
      <c r="N82" s="18" t="inlineStr">
        <is>
          <t>ข้อ 2.2 Mock GI RxCU84</t>
        </is>
      </c>
      <c r="O82" s="18" t="inlineStr">
        <is>
          <t>Mock</t>
        </is>
      </c>
      <c r="P82" s="18" t="inlineStr">
        <is>
          <t>Mock RxCU84</t>
        </is>
      </c>
    </row>
    <row r="83">
      <c r="A83" s="15" t="inlineStr">
        <is>
          <t>7</t>
        </is>
      </c>
      <c r="B83" s="1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18" t="inlineStr"/>
      <c r="D83" s="18" t="inlineStr">
        <is>
          <t>Loperamide 2 mg</t>
        </is>
      </c>
      <c r="E83" s="18" t="inlineStr">
        <is>
          <t>Ibuprofen 400 mg</t>
        </is>
      </c>
      <c r="F83" s="18" t="inlineStr">
        <is>
          <t>Hyoscine butylbromide 10 mg</t>
        </is>
      </c>
      <c r="G83" s="18" t="inlineStr">
        <is>
          <t>Omeprazole 20 mg</t>
        </is>
      </c>
      <c r="H83" s="18" t="inlineStr">
        <is>
          <t>Activated Charcoal 250 mg</t>
        </is>
      </c>
      <c r="I83" s="15" t="inlineStr">
        <is>
          <t>3</t>
        </is>
      </c>
      <c r="J83" s="18"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เป็น peripheral mu-opioid agonist ลด peristalsis ใช้บรรเทาอาการ acute non-infectious diarrhea แต่ห้ามใช้ใน bloody diarrhea (dysentery) หรือ bacterial enteritis (เสี่ยง toxic megacolon)
• ข้อ ข. (Ibuprofen 400 mg):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(Omeprazole 20 mg):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(Activated Charcoal 250 mg):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8" t="inlineStr"/>
      <c r="L83" s="18" t="inlineStr">
        <is>
          <t>Dyspepsia &amp; PUD</t>
        </is>
      </c>
      <c r="M83" s="18" t="inlineStr">
        <is>
          <t>Clinic</t>
        </is>
      </c>
      <c r="N83" s="18" t="inlineStr">
        <is>
          <t>ข้อ 2.3 Mock GI RxCU84</t>
        </is>
      </c>
      <c r="O83" s="18" t="inlineStr">
        <is>
          <t>Mock</t>
        </is>
      </c>
      <c r="P83" s="18" t="inlineStr">
        <is>
          <t>Mock RxCU84</t>
        </is>
      </c>
    </row>
    <row r="84">
      <c r="A84" s="15" t="inlineStr">
        <is>
          <t>8</t>
        </is>
      </c>
      <c r="B84" s="1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18" t="inlineStr"/>
      <c r="D84" s="18" t="inlineStr">
        <is>
          <t>ห้ามใช้ในผู้ป่วยที่มีอาการปวดท้องน้อยหรือมีอาการคลื่นไส้อาเจียนร่วมด้วย</t>
        </is>
      </c>
      <c r="E84" s="18"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18" t="inlineStr">
        <is>
          <t>ห้ามใช้ร่วมกับผงน้ำตาลเกลือแร่ (ORS) ทุกกรณีเนื่องจากจะลดประสิทธิภาพการทำงานของยา</t>
        </is>
      </c>
      <c r="G84" s="18" t="inlineStr">
        <is>
          <t>ห้ามใช้ในผู้ป่วยที่ดื่มน้ำได้น้อยเนื่องจากยาจะกระตุ้นการขับปัสสาวะอย่างรุนแรง</t>
        </is>
      </c>
      <c r="H84" s="18" t="inlineStr">
        <is>
          <t>ห้ามใช้ในคนไข้ที่มีอายุมากกว่า 18 ปี เนื่องจากยามีความปลอดภัยเฉพาะในวัยเด็กเล็กเท่านั้น</t>
        </is>
      </c>
      <c r="I84" s="15" t="inlineStr">
        <is>
          <t>2</t>
        </is>
      </c>
      <c r="J84" s="18"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ข้อนี้ไม่ใช่คำตอบที่ถูกต้องสำหรับภาวะ Dyspepsia &amp; PUD เนื่องจากกลไกการออกฤทธิ์, efficacy หรือข้อบ่งใช้ไม่ตรงกับโจทย์ที่กำหนด
• ข้อ ค. (ห้ามใช้ร่วมกับผงน้ำตาลเกลือแร่ (ORS) ทุกกรณีเนื่องจากจะลดประสิทธิภาพการทำงานของยา): ข้อนี้ไม่ใช่คำตอบที่ถูกต้องสำหรับภาวะ Dyspepsia &amp; PUD เนื่องจากกลไกการออกฤทธิ์, efficacy หรือข้อบ่งใช้ไม่ตรงกับโจทย์ที่กำหนด
• ข้อ ง. (ห้ามใช้ในผู้ป่วยที่ดื่มน้ำได้น้อยเนื่องจากยาจะกระตุ้นการขับปัสสาวะอย่างรุนแรง): ข้อนี้ไม่ใช่คำตอบที่ถูกต้องสำหรับภาวะ Dyspepsia &amp; PUD เนื่องจากกลไกการออกฤทธิ์, efficacy หรือข้อบ่งใช้ไม่ตรงกับโจทย์ที่กำหนด
• ข้อ จ. (ห้ามใช้ในคนไข้ที่มีอายุมากกว่า 18 ปี เนื่องจากยามีความปลอดภัยเฉพาะในวัยเด็กเล็กเท่านั้น):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8" t="inlineStr"/>
      <c r="L84" s="18" t="inlineStr">
        <is>
          <t>Dyspepsia &amp; PUD</t>
        </is>
      </c>
      <c r="M84" s="18" t="inlineStr">
        <is>
          <t>Clinic</t>
        </is>
      </c>
      <c r="N84" s="18" t="inlineStr">
        <is>
          <t>ข้อ 2.4 Mock GI RxCU84</t>
        </is>
      </c>
      <c r="O84" s="18" t="inlineStr">
        <is>
          <t>Mock</t>
        </is>
      </c>
      <c r="P84" s="18" t="inlineStr">
        <is>
          <t>Mock RxCU84</t>
        </is>
      </c>
    </row>
    <row r="85">
      <c r="A85" s="15" t="inlineStr">
        <is>
          <t>9</t>
        </is>
      </c>
      <c r="B85" s="1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18" t="inlineStr"/>
      <c r="D85" s="18" t="inlineStr">
        <is>
          <t>ความเครียดทำให้เกิดภาวะเลือดเป็นกรด ส่งผลกระตุ้นหลอดอาหารอักเสบโดยตรง</t>
        </is>
      </c>
      <c r="E85" s="18"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18" t="inlineStr">
        <is>
          <t>การดื่มกาแฟปริมาณมากทำให้อาหารค้างอยู่ในกระเพาะนานขึ้น (Delayed gastric emptying)</t>
        </is>
      </c>
      <c r="G85" s="18" t="inlineStr">
        <is>
          <t>การทำงานหนักจนดึกขัดขวางการทำงานของระบบประสาท Sympathetic ทำให้หูรูดปิดแน่นเกินไป</t>
        </is>
      </c>
      <c r="H85" s="18" t="inlineStr">
        <is>
          <t>ความเครียดทำให้ร่างกายผลิตเมือกในกระเพาะอาหารน้อยลง ส่งผลให้เยื่อบุหลอดอาหารฉีกขาดง่าย</t>
        </is>
      </c>
      <c r="I85" s="15" t="inlineStr">
        <is>
          <t>2</t>
        </is>
      </c>
      <c r="J85" s="18"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ข้อนี้ไม่ใช่คำตอบที่ถูกต้องสำหรับภาวะ GERD เนื่องจากกลไกการออกฤทธิ์, efficacy หรือข้อบ่งใช้ไม่ตรงกับโจทย์ที่กำหนด
• ข้อ ค. (การดื่มกาแฟปริมาณมากทำให้อาหารค้างอยู่ในกระเพาะนานขึ้น (Delayed gastric emptying)): ข้อนี้ไม่ใช่คำตอบที่ถูกต้องสำหรับภาวะ GERD เนื่องจากกลไกการออกฤทธิ์, efficacy หรือข้อบ่งใช้ไม่ตรงกับโจทย์ที่กำหนด
• ข้อ ง. (การทำงานหนักจนดึกขัดขวางการทำงานของระบบประสาท Sympathetic ทำให้หูรูดปิดแน่นเกินไป): ข้อนี้ไม่ใช่คำตอบที่ถูกต้องสำหรับภาวะ GERD เนื่องจากกลไกการออกฤทธิ์, efficacy หรือข้อบ่งใช้ไม่ตรงกับโจทย์ที่กำหนด
• ข้อ จ. (ความเครียดทำให้ร่างกายผลิตเมือกในกระเพาะอาหารน้อยลง ส่งผลให้เยื่อบุหลอดอาหารฉีกขาดง่าย):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8" t="inlineStr"/>
      <c r="L85" s="18" t="inlineStr">
        <is>
          <t>GERD</t>
        </is>
      </c>
      <c r="M85" s="18" t="inlineStr">
        <is>
          <t>Clinic</t>
        </is>
      </c>
      <c r="N85" s="18" t="inlineStr">
        <is>
          <t>ข้อ 3.1 Mock GI RxCU84</t>
        </is>
      </c>
      <c r="O85" s="18" t="inlineStr">
        <is>
          <t>Mock</t>
        </is>
      </c>
      <c r="P85" s="18" t="inlineStr">
        <is>
          <t>Mock RxCU84</t>
        </is>
      </c>
    </row>
    <row r="86">
      <c r="A86" s="15" t="inlineStr">
        <is>
          <t>10</t>
        </is>
      </c>
      <c r="B86" s="1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18" t="inlineStr"/>
      <c r="D86" s="18" t="inlineStr">
        <is>
          <t>อาการแสบร้อนกลางอกเป็นมากขึ้นเมื่อนอนราบ</t>
        </is>
      </c>
      <c r="E86" s="18" t="inlineStr">
        <is>
          <t>อาการเรอเปรี้ยวหรือขมคอหลังรับประทานอาหารมื้อใหญ่</t>
        </is>
      </c>
      <c r="F86" s="18" t="inlineStr">
        <is>
          <t>มีอาการกลืนลำบาก (Dysphagia) กลืนเจ็บ (Odynophagia) น้ำหนักลดผิดปกติ หรืออุจจาระมีสีดำคล้ำ (Melena)</t>
        </is>
      </c>
      <c r="G86" s="18" t="inlineStr">
        <is>
          <t>อาการท้องอืด ท้องเฟ้อหลังรับประทานอาหารรสจัด</t>
        </is>
      </c>
      <c r="H86" s="18" t="inlineStr">
        <is>
          <t>อาการแสบร้อนกลางอกสลับกับอาการปวดเกร็งหน้าท้องด้านล่าง</t>
        </is>
      </c>
      <c r="I86" s="15" t="inlineStr">
        <is>
          <t>3</t>
        </is>
      </c>
      <c r="J86" s="18"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ข้อนี้ไม่ใช่คำตอบที่ถูกต้องสำหรับภาวะ GERD เนื่องจากกลไกการออกฤทธิ์, efficacy หรือข้อบ่งใช้ไม่ตรงกับโจทย์ที่กำหนด
• ข้อ ข. (อาการเรอเปรี้ยวหรือขมคอหลังรับประทานอาหารมื้อใหญ่): ข้อนี้ไม่ใช่คำตอบที่ถูกต้องสำหรับภาวะ GERD เนื่องจากกลไกการออกฤทธิ์, efficacy หรือข้อบ่งใช้ไม่ตรงกับโจทย์ที่กำหนด
• ข้อ ง. (อาการท้องอืด ท้องเฟ้อหลังรับประทานอาหารรสจัด): ข้อนี้ไม่ใช่คำตอบที่ถูกต้องสำหรับภาวะ GERD เนื่องจากกลไกการออกฤทธิ์, efficacy หรือข้อบ่งใช้ไม่ตรงกับโจทย์ที่กำหนด
• ข้อ จ. (อาการแสบร้อนกลางอกสลับกับอาการปวดเกร็งหน้าท้องด้านล่าง):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8" t="inlineStr"/>
      <c r="L86" s="18" t="inlineStr">
        <is>
          <t>GERD</t>
        </is>
      </c>
      <c r="M86" s="18" t="inlineStr">
        <is>
          <t>Clinic</t>
        </is>
      </c>
      <c r="N86" s="18" t="inlineStr">
        <is>
          <t>ข้อ 3.2 Mock GI RxCU84</t>
        </is>
      </c>
      <c r="O86" s="18" t="inlineStr">
        <is>
          <t>Mock</t>
        </is>
      </c>
      <c r="P86" s="18" t="inlineStr">
        <is>
          <t>Mock RxCU84</t>
        </is>
      </c>
    </row>
    <row r="87">
      <c r="A87" s="15" t="inlineStr">
        <is>
          <t>11</t>
        </is>
      </c>
      <c r="B87" s="1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18" t="inlineStr"/>
      <c r="D87" s="18" t="inlineStr">
        <is>
          <t>Omeprazole 20 mg ครั้งละ 1 เม็ด วันละครั้ง หลังอาหารเช้าทันที นาน 1 สัปดาห์</t>
        </is>
      </c>
      <c r="E87" s="18" t="inlineStr">
        <is>
          <t>Omeprazole 20 mg ครั้งละ 1 เม็ด วันละครั้ง ก่อนอาหารเช้า 30-60 นาที ต่อเนื่องกัน 4-8 สัปดาห์</t>
        </is>
      </c>
      <c r="F87" s="18" t="inlineStr">
        <is>
          <t>Omeprazole 20 mg ครั้งละ 1 เม็ด วันละ 2 ครั้ง หลังอาหารเช้าและเย็น นาน 3 วัน</t>
        </is>
      </c>
      <c r="G87" s="18" t="inlineStr">
        <is>
          <t>Omeprazole 20 mg ครั้งละ 1 เม็ด รับประทานเฉพาะเวลามีอาการแสบร้อนกลางอก (PRN) โดยเคี้ยวยาให้ละเอียด</t>
        </is>
      </c>
      <c r="H87" s="18" t="inlineStr">
        <is>
          <t>Rabeprazole 20 mg ครั้งละ 1 เม็ด วันละครั้ง ก่อนนอน นาน 1 สัปดาห์</t>
        </is>
      </c>
      <c r="I87" s="15" t="inlineStr">
        <is>
          <t>2</t>
        </is>
      </c>
      <c r="J87" s="18"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ครั้งละ 1 เม็ด วันละ 2 ครั้ง หลังอาหารเช้าและเย็น นาน 3 วัน):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ครั้งละ 1 เม็ด รับประทานเฉพาะเวลามีอาการแสบร้อนกลางอก (PRN) โดยเคี้ยวยาให้ละเอียด):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(Rabeprazole 20 mg ครั้งละ 1 เม็ด วันละครั้ง ก่อนนอน นาน 1 สัปดาห์):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8" t="inlineStr"/>
      <c r="L87" s="18" t="inlineStr">
        <is>
          <t>GERD</t>
        </is>
      </c>
      <c r="M87" s="18" t="inlineStr">
        <is>
          <t>Clinic</t>
        </is>
      </c>
      <c r="N87" s="18" t="inlineStr">
        <is>
          <t>ข้อ 3.3 Mock GI RxCU84</t>
        </is>
      </c>
      <c r="O87" s="18" t="inlineStr">
        <is>
          <t>Mock</t>
        </is>
      </c>
      <c r="P87" s="18" t="inlineStr">
        <is>
          <t>Mock RxCU84</t>
        </is>
      </c>
    </row>
    <row r="88">
      <c r="A88" s="15" t="inlineStr">
        <is>
          <t>12</t>
        </is>
      </c>
      <c r="B88" s="1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18" t="inlineStr"/>
      <c r="D88" s="18"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18" t="inlineStr">
        <is>
          <t>ควรดื่มนมช็อกโกแลตหรือเครื่องดื่มผสมแอลกอฮอล์หลังอาหารเย็น เพื่อช่วยเคลือบแผลในหลอดอาหาร</t>
        </is>
      </c>
      <c r="F88" s="18"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18" t="inlineStr">
        <is>
          <t>แนะนำให้ออกกำลังกายอย่างหนักทันทีหลังมื้ออาหารเย็น เพื่อช่วยให้กระเพาะอาหารบีบตัวไล่แก๊สได้เร็วขึ้น</t>
        </is>
      </c>
      <c r="H88" s="18" t="inlineStr">
        <is>
          <t>แนะนำให้ดื่มน้ำเย็นปริมาณมากๆ ในระหว่างมื้ออาหาร เพื่อช่วยเจือจางกรดในกระเพาะอาหารไม่ให้ย้อนขึ้นไป</t>
        </is>
      </c>
      <c r="I88" s="15" t="inlineStr">
        <is>
          <t>3</t>
        </is>
      </c>
      <c r="J88" s="18"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ข้อนี้ไม่ใช่คำตอบที่ถูกต้องสำหรับภาวะ GERD เนื่องจากกลไกการออกฤทธิ์, efficacy หรือข้อบ่งใช้ไม่ตรงกับโจทย์ที่กำหนด
• ข้อ ข. (ควรดื่มนมช็อกโกแลตหรือเครื่องดื่มผสมแอลกอฮอล์หลังอาหารเย็น เพื่อช่วยเคลือบแผลในหลอดอาหาร): ข้อนี้ไม่ใช่คำตอบที่ถูกต้องสำหรับภาวะ GERD เนื่องจากกลไกการออกฤทธิ์, efficacy หรือข้อบ่งใช้ไม่ตรงกับโจทย์ที่กำหนด
• ข้อ ง. (แนะนำให้ออกกำลังกายอย่างหนักทันทีหลังมื้ออาหารเย็น เพื่อช่วยให้กระเพาะอาหารบีบตัวไล่แก๊สได้เร็วขึ้น): ข้อนี้ไม่ใช่คำตอบที่ถูกต้องสำหรับภาวะ GERD เนื่องจากกลไกการออกฤทธิ์, efficacy หรือข้อบ่งใช้ไม่ตรงกับโจทย์ที่กำหนด
• ข้อ จ. (แนะนำให้ดื่มน้ำเย็นปริมาณมากๆ ในระหว่างมื้ออาหาร เพื่อช่วยเจือจางกรดในกระเพาะอาหารไม่ให้ย้อนขึ้นไป):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8" t="inlineStr"/>
      <c r="L88" s="18" t="inlineStr">
        <is>
          <t>GERD</t>
        </is>
      </c>
      <c r="M88" s="18" t="inlineStr">
        <is>
          <t>Clinic</t>
        </is>
      </c>
      <c r="N88" s="18" t="inlineStr">
        <is>
          <t>ข้อ 3.4 Mock GI RxCU84</t>
        </is>
      </c>
      <c r="O88" s="18" t="inlineStr">
        <is>
          <t>Mock</t>
        </is>
      </c>
      <c r="P88" s="18" t="inlineStr">
        <is>
          <t>Mock RxCU84</t>
        </is>
      </c>
    </row>
    <row r="89">
      <c r="A89" s="15" t="inlineStr">
        <is>
          <t>13</t>
        </is>
      </c>
      <c r="B89" s="1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18" t="inlineStr"/>
      <c r="D89" s="18" t="inlineStr">
        <is>
          <t>Proton pump inhibitors (เช่น Omeprazole)</t>
        </is>
      </c>
      <c r="E89" s="18" t="inlineStr">
        <is>
          <t>Calcium channel blockers (เช่น Amlodipine)</t>
        </is>
      </c>
      <c r="F89" s="18" t="inlineStr">
        <is>
          <t>Prokinetics (เช่น Domperidone)</t>
        </is>
      </c>
      <c r="G89" s="18" t="inlineStr">
        <is>
          <t>H2-receptor antagonists (เช่น Famotidine)</t>
        </is>
      </c>
      <c r="H89" s="18" t="inlineStr">
        <is>
          <t>Mucosal protectants (เช่น Sucralfate)</t>
        </is>
      </c>
      <c r="I89" s="15" t="inlineStr">
        <is>
          <t>2</t>
        </is>
      </c>
      <c r="J89" s="18"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(Prokinetics (เช่น Domperidone)): เป็น peripheral D2 receptor antagonist เพิ่ม GI motility ไม่ผ่าน BBB จึงไม่ทำให้เกิด EPS เด่นชัด แต่ต้องระวัง QT prolongation ในขนาดสูง (&gt; 30 mg/day)
• ข้อ ง. (H2-receptor antagonists (เช่น Famotidine)): ข้อนี้ไม่ใช่คำตอบที่ถูกต้องสำหรับภาวะ GERD เนื่องจากกลไกการออกฤทธิ์, efficacy หรือข้อบ่งใช้ไม่ตรงกับโจทย์ที่กำหนด
• ข้อ จ. (Mucosal protectants (เช่น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18" t="inlineStr"/>
      <c r="L89" s="18" t="inlineStr">
        <is>
          <t>GERD</t>
        </is>
      </c>
      <c r="M89" s="18" t="inlineStr">
        <is>
          <t>Clinic</t>
        </is>
      </c>
      <c r="N89" s="18" t="inlineStr">
        <is>
          <t>ข้อ 3.5 Mock GI RxCU84</t>
        </is>
      </c>
      <c r="O89" s="18" t="inlineStr">
        <is>
          <t>Mock</t>
        </is>
      </c>
      <c r="P89" s="18" t="inlineStr">
        <is>
          <t>Mock RxCU84</t>
        </is>
      </c>
    </row>
    <row r="90">
      <c r="A90" s="15" t="inlineStr">
        <is>
          <t>14</t>
        </is>
      </c>
      <c r="B90" s="18"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18" t="inlineStr"/>
      <c r="D90" s="18" t="inlineStr">
        <is>
          <t>ทำให้ Pitavastatin หมดฤทธิ์</t>
        </is>
      </c>
      <c r="E90" s="18" t="inlineStr">
        <is>
          <t>ลดการดูดซึม Dolutegravir</t>
        </is>
      </c>
      <c r="F90" s="18" t="inlineStr">
        <is>
          <t>ทำให้ TDF เป็นพิษ</t>
        </is>
      </c>
      <c r="G90" s="18" t="inlineStr">
        <is>
          <t>เพิ่มระดับ 3TC</t>
        </is>
      </c>
      <c r="H90" s="18" t="inlineStr">
        <is>
          <t>ลดการขับออกของ Dolutegravir ทางไต</t>
        </is>
      </c>
      <c r="I90" s="15" t="inlineStr">
        <is>
          <t>2</t>
        </is>
      </c>
      <c r="J90" s="18"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ข้อนี้ไม่ใช่คำตอบที่ถูกต้องสำหรับภาวะ GERD เนื่องจากกลไกการออกฤทธิ์, efficacy หรือข้อบ่งใช้ไม่ตรงกับโจทย์ที่กำหนด
• ข้อ ค. (ทำให้ TDF เป็นพิษ): ข้อนี้ไม่ใช่คำตอบที่ถูกต้องสำหรับภาวะ GERD เนื่องจากกลไกการออกฤทธิ์, efficacy หรือข้อบ่งใช้ไม่ตรงกับโจทย์ที่กำหนด
• ข้อ ง. (เพิ่มระดับ 3TC): ข้อนี้ไม่ใช่คำตอบที่ถูกต้องสำหรับภาวะ GERD เนื่องจากกลไกการออกฤทธิ์, efficacy หรือข้อบ่งใช้ไม่ตรงกับโจทย์ที่กำหนด
• ข้อ จ. (ลดการขับออกของ Dolutegravir ทางไต):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18" t="inlineStr"/>
      <c r="L90" s="18" t="inlineStr">
        <is>
          <t>GERD</t>
        </is>
      </c>
      <c r="M90" s="18" t="inlineStr">
        <is>
          <t>Clinic</t>
        </is>
      </c>
      <c r="N90" s="18" t="inlineStr">
        <is>
          <t>ข้อ 4.1 Mock GI RxCU84</t>
        </is>
      </c>
      <c r="O90" s="18" t="inlineStr">
        <is>
          <t>Mock</t>
        </is>
      </c>
      <c r="P90" s="18" t="inlineStr">
        <is>
          <t>Mock RxCU84</t>
        </is>
      </c>
    </row>
    <row r="91">
      <c r="A91" s="15" t="inlineStr">
        <is>
          <t>15</t>
        </is>
      </c>
      <c r="B91" s="18"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18" t="inlineStr"/>
      <c r="D91" s="18" t="inlineStr">
        <is>
          <t>ให้รับประทานยาลดกรดและ Dolutegravir ร่วมกันพร้อมอาหารมื้อหลักทันทีเพื่อลดความเป็นกรดในกระเพาะ</t>
        </is>
      </c>
      <c r="E91" s="18"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18" t="inlineStr">
        <is>
          <t>ให้รับประทานยา Dolutegravir ในขนาดยาเพิ่มขึ้นเป็น 2 เท่าเฉพาะในวันที่ต้องใช้ยาลดกรด</t>
        </is>
      </c>
      <c r="G91" s="18" t="inlineStr">
        <is>
          <t>แนะนำให้เคี้ยวเม็ดยาลดกรดร่วมกับยาต้านไวรัสก่อนนอน เพื่อส่งเสริมการดูดซึมยาต้านไวรัส</t>
        </is>
      </c>
      <c r="H91" s="18" t="inlineStr">
        <is>
          <t>ให้ผู้ป่วยหยุดรับประทานยาต้านไวรัส Dolutegravir ไปก่อนชั่วคราวในระหว่างที่มีอาการของโรคกรดไหลย้อน</t>
        </is>
      </c>
      <c r="I91" s="15" t="inlineStr">
        <is>
          <t>2</t>
        </is>
      </c>
      <c r="J91" s="18"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เป็น Integrase strand transfer inhibitor (INSTI) มี genetic barrier ต่อการดื้อยาสูงมาก และ efficacy สูงในการกด viral load ได้อย่างรวดเร็ว
• ข้อ ค. (ให้รับประทานยา Dolutegravir ในขนาดยาเพิ่มขึ้นเป็น 2 เท่าเฉพาะในวันที่ต้องใช้ยาลดกรด): เป็น Integrase strand transfer inhibitor (INSTI) มี genetic barrier ต่อการดื้อยาสูงมาก และ efficacy สูงในการกด viral load ได้อย่างรวดเร็ว
• ข้อ ง. (แนะนำให้เคี้ยวเม็ดยาลดกรดร่วมกับยาต้านไวรัสก่อนนอน เพื่อส่งเสริมการดูดซึมยาต้านไวรัส): ข้อนี้ไม่ใช่คำตอบที่ถูกต้องสำหรับภาวะ GERD เนื่องจากกลไกการออกฤทธิ์, efficacy หรือข้อบ่งใช้ไม่ตรงกับโจทย์ที่กำหนด
• ข้อ จ. (ให้ผู้ป่วยหยุดรับประทานยาต้านไวรัส Dolutegravir ไปก่อนชั่วคราวในระหว่างที่มีอาการของโรคกรดไหลย้อน):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18" t="inlineStr"/>
      <c r="L91" s="18" t="inlineStr">
        <is>
          <t>GERD</t>
        </is>
      </c>
      <c r="M91" s="18" t="inlineStr">
        <is>
          <t>Clinic</t>
        </is>
      </c>
      <c r="N91" s="18" t="inlineStr">
        <is>
          <t>ข้อ 4.2 Mock GI RxCU84</t>
        </is>
      </c>
      <c r="O91" s="18" t="inlineStr">
        <is>
          <t>Mock</t>
        </is>
      </c>
      <c r="P91" s="18" t="inlineStr">
        <is>
          <t>Mock RxCU84</t>
        </is>
      </c>
    </row>
    <row r="92">
      <c r="A92" s="15" t="inlineStr">
        <is>
          <t>16</t>
        </is>
      </c>
      <c r="B92" s="18"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18" t="inlineStr"/>
      <c r="D92" s="18"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18" t="inlineStr">
        <is>
          <t>ห้ามใช้ Omeprazole ร่วมกับ Dolutegravir เด็ดขาด เนื่องจากยาลดการทำงานของเอนไซม์ที่ใช้กำจัด Dolutegravir</t>
        </is>
      </c>
      <c r="F92" s="18" t="inlineStr">
        <is>
          <t>Omeprazole จะลดการดูดซึมของ Tenofovir (TDF) จนหมดสิ้น ทำให้ระดับยาต้านไวรัสไม่เพียงพอต่อการกดเชื้อ</t>
        </is>
      </c>
      <c r="G92" s="18" t="inlineStr">
        <is>
          <t>ยาปฏิชีวนะหรือยาต้านไวรัส 3TC จะเกิดการเสื่อมสภาพทันทีหาก pH ในกระเพาะอาหารเพิ่มขึ้นมากกว่า 5.0</t>
        </is>
      </c>
      <c r="H92" s="18" t="inlineStr">
        <is>
          <t>Omeprazole จะเพิ่มความเสี่ยงต่อการเกิดภาวะ Lactic acidosis จากยาต้านไวรัสกลุ่ม NRTIs</t>
        </is>
      </c>
      <c r="I92" s="15" t="inlineStr">
        <is>
          <t>1</t>
        </is>
      </c>
      <c r="J92" s="18"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เป็น Integrase strand transfer inhibitor (INSTI) มี genetic barrier ต่อการดื้อยาสูงมาก และ efficacy สูงในการกด viral load ได้อย่างรวดเร็ว
• ข้อ ค. (Omeprazole จะลดการดูดซึมของ Tenofovir (TDF) จนหมดสิ้น ทำให้ระดับยาต้านไวรัสไม่เพียงพอต่อการกดเชื้อ): เป็น Nucleotide reverse transcriptase inhibitor (NRTI) แกนหลักใน HIV และ HBV therapy แต่ TDF ต้องระวัง nephrotoxicity (Fanconi syndrome) และ bone mineral density loss
• ข้อ ง. (ยาปฏิชีวนะหรือยาต้านไวรัส 3TC จะเกิดการเสื่อมสภาพทันทีหาก pH ในกระเพาะอาหารเพิ่มขึ้นมากกว่า 5.0): ข้อนี้ไม่ใช่คำตอบที่ถูกต้องสำหรับภาวะ GERD เนื่องจากกลไกการออกฤทธิ์, efficacy หรือข้อบ่งใช้ไม่ตรงกับโจทย์ที่กำหนด
• ข้อ จ. (Omeprazole จะเพิ่มความเสี่ยงต่อการเกิดภาวะ Lactic acidosis จากยาต้านไวรัสกลุ่ม NRTIs):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18" t="inlineStr"/>
      <c r="L92" s="18" t="inlineStr">
        <is>
          <t>GERD</t>
        </is>
      </c>
      <c r="M92" s="18" t="inlineStr">
        <is>
          <t>Clinic</t>
        </is>
      </c>
      <c r="N92" s="18" t="inlineStr">
        <is>
          <t>ข้อ 4.3 Mock GI RxCU84</t>
        </is>
      </c>
      <c r="O92" s="18" t="inlineStr">
        <is>
          <t>Mock</t>
        </is>
      </c>
      <c r="P92" s="18" t="inlineStr">
        <is>
          <t>Mock RxCU84</t>
        </is>
      </c>
    </row>
    <row r="93">
      <c r="A93" s="15" t="inlineStr">
        <is>
          <t>17</t>
        </is>
      </c>
      <c r="B93" s="1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18" t="inlineStr"/>
      <c r="D93" s="18" t="inlineStr">
        <is>
          <t>ยาระคายเคืองกระเพาะโดยตรง (Direct irritation) และยับยั้งเอนไซม์ COX-2 ทำให้ร่างกายสร้างกรดมากขึ้น</t>
        </is>
      </c>
      <c r="E93" s="18"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18" t="inlineStr">
        <is>
          <t>ยาไปกระตุ้นการทำงานของ parietal cells ในการหลั่งกรดไฮโดรคลอริก ผ่านทางกระบวนการกระตุ้น Histamine-2 receptors</t>
        </is>
      </c>
      <c r="G93" s="18" t="inlineStr">
        <is>
          <t>ยาปฏิชีวนะหรือยาแก้ปวด Diclofenac ทำให้เกิดภาวะติดเชื้อแบคทีเรีย H. pylori ในกระเพาะอาหารได้ง่ายขึ้น</t>
        </is>
      </c>
      <c r="H93" s="18" t="inlineStr">
        <is>
          <t>ยาไปเพิ่มการบีบตัวของกระเพาะอาหารอย่างรุนแรง ส่งผลให้กรดเข้มข้นไหลย้อนกลับทำลายเนื้อเยื่อ</t>
        </is>
      </c>
      <c r="I93" s="15" t="inlineStr">
        <is>
          <t>2</t>
        </is>
      </c>
      <c r="J93" s="18"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ข้อนี้ไม่ใช่คำตอบที่ถูกต้องสำหรับภาวะ Dyspepsia &amp; PUD เนื่องจากกลไกการออกฤทธิ์, efficacy หรือข้อบ่งใช้ไม่ตรงกับโจทย์ที่กำหนด
• ข้อ ค. (ยาไปกระตุ้นการทำงานของ parietal cells ในการหลั่งกรดไฮโดรคลอริก ผ่านทางกระบวนการกระตุ้น Histamine-2 receptors): ข้อนี้ไม่ใช่คำตอบที่ถูกต้องสำหรับภาวะ Dyspepsia &amp; PUD เนื่องจากกลไกการออกฤทธิ์, efficacy หรือข้อบ่งใช้ไม่ตรงกับโจทย์ที่กำหนด
• ข้อ ง. (ยาปฏิชีวนะหรือยาแก้ปวด Diclofenac ทำให้เกิดภาวะติดเชื้อแบคทีเรีย H. pylori ในกระเพาะอาหารได้ง่ายขึ้น): ข้อนี้ไม่ใช่คำตอบที่ถูกต้องสำหรับภาวะ Dyspepsia &amp; PUD เนื่องจากกลไกการออกฤทธิ์, efficacy หรือข้อบ่งใช้ไม่ตรงกับโจทย์ที่กำหนด
• ข้อ จ. (ยาไปเพิ่มการบีบตัวของกระเพาะอาหารอย่างรุนแรง ส่งผลให้กรดเข้มข้นไหลย้อนกลับทำลายเนื้อเยื่อ):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18" t="inlineStr"/>
      <c r="L93" s="18" t="inlineStr">
        <is>
          <t>Dyspepsia &amp; PUD</t>
        </is>
      </c>
      <c r="M93" s="18" t="inlineStr">
        <is>
          <t>Clinic</t>
        </is>
      </c>
      <c r="N93" s="18" t="inlineStr">
        <is>
          <t>ข้อ 5.1 Mock GI RxCU84</t>
        </is>
      </c>
      <c r="O93" s="18" t="inlineStr">
        <is>
          <t>Mock</t>
        </is>
      </c>
      <c r="P93" s="18" t="inlineStr">
        <is>
          <t>Mock RxCU84</t>
        </is>
      </c>
    </row>
    <row r="94">
      <c r="A94" s="15" t="inlineStr">
        <is>
          <t>18</t>
        </is>
      </c>
      <c r="B94" s="1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18" t="inlineStr"/>
      <c r="D94" s="18" t="inlineStr">
        <is>
          <t>แนะนำให้เปลี่ยนจาก Diclofenac เป็น Naproxen 250 mg รับประทานวันละ 2 ครั้ง ทันที</t>
        </is>
      </c>
      <c r="E94" s="18"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18" t="inlineStr">
        <is>
          <t>แนะนำให้เพิ่มขนาดการรับประทาน Tolperisone เป็น 150 mg วันละ 3 ครั้ง และคงการทาน Diclofenac ร่วมด้วย</t>
        </is>
      </c>
      <c r="G94" s="18" t="inlineStr">
        <is>
          <t>แนะนำให้รับประทาน Diclofenac ห่างจากเครื่องดื่มแอลกอฮอล์อย่างน้อย 8 ชั่วโมง โดยใช้ยาสูตรเดิมต่อไป</t>
        </is>
      </c>
      <c r="H94" s="18" t="inlineStr">
        <is>
          <t>แนะนำให้ใช้ยาแก้ปวดกลุ่มสเตียรอยด์ (Steroids) ชนิดรับประทานทดแทนเพื่อความปลอดภัยต่อกระเพาะอาหาร</t>
        </is>
      </c>
      <c r="I94" s="15" t="inlineStr">
        <is>
          <t>2</t>
        </is>
      </c>
      <c r="J94" s="18"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เป็น non-selective NSAID ที่มี cardiovascular safety profile ดีที่สุด และมี efficacy สูงในการระงับ acute inflammation
• ข้อ ค. (แนะนำให้เพิ่มขนาดการรับประทาน Tolperisone เป็น 150 mg วันละ 3 ครั้ง และคงการทาน Diclofenac ร่วมด้วย): ข้อนี้ไม่ใช่คำตอบที่ถูกต้องสำหรับภาวะ Dyspepsia &amp; PUD เนื่องจากกลไกการออกฤทธิ์, efficacy หรือข้อบ่งใช้ไม่ตรงกับโจทย์ที่กำหนด
• ข้อ ง. (แนะนำให้รับประทาน Diclofenac ห่างจากเครื่องดื่มแอลกอฮอล์อย่างน้อย 8 ชั่วโมง โดยใช้ยาสูตรเดิมต่อไป): ข้อนี้ไม่ใช่คำตอบที่ถูกต้องสำหรับภาวะ Dyspepsia &amp; PUD เนื่องจากกลไกการออกฤทธิ์, efficacy หรือข้อบ่งใช้ไม่ตรงกับโจทย์ที่กำหนด
• ข้อ จ. (แนะนำให้ใช้ยาแก้ปวดกลุ่มสเตียรอยด์ (Steroids) ชนิดรับประทานทดแทนเพื่อความปลอดภัยต่อกระเพาะอาหาร):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18" t="inlineStr"/>
      <c r="L94" s="18" t="inlineStr">
        <is>
          <t>Dyspepsia &amp; PUD</t>
        </is>
      </c>
      <c r="M94" s="18" t="inlineStr">
        <is>
          <t>Clinic</t>
        </is>
      </c>
      <c r="N94" s="18" t="inlineStr">
        <is>
          <t>ข้อ 5.2 Mock GI RxCU84</t>
        </is>
      </c>
      <c r="O94" s="18" t="inlineStr">
        <is>
          <t>Mock</t>
        </is>
      </c>
      <c r="P94" s="18" t="inlineStr">
        <is>
          <t>Mock RxCU84</t>
        </is>
      </c>
    </row>
    <row r="95">
      <c r="A95" s="15" t="inlineStr">
        <is>
          <t>19</t>
        </is>
      </c>
      <c r="B95" s="1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18" t="inlineStr"/>
      <c r="D95" s="18" t="inlineStr">
        <is>
          <t>ออกฤทธิ์จับตัวรับ H2 อาการข้างเคียงคือทำให้เกิดผื่นแพ้แสง; ห้ามใช้ในคนไข้โรคหัวใจล้มเหลว</t>
        </is>
      </c>
      <c r="E95" s="18"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18" t="inlineStr">
        <is>
          <t>ออกฤทธิ์บลอค Proton pump; อาการข้างเคียงคืออาการปวดศีรษะ; ห้ามใช้ในผู้ป่วยโรคตับแข็ง</t>
        </is>
      </c>
      <c r="G95" s="18" t="inlineStr">
        <is>
          <t>เป็นสารเคลือบแผลกระเพาะอาหาร; อาการข้างเคียงคือทำให้อุจจาระสีดำเข้ม; ห้ามใช้ในคนไข้ที่เป็นโรคไตวาย</t>
        </is>
      </c>
      <c r="H95" s="18" t="inlineStr">
        <is>
          <t>เป็นยากระตุ้นการหลั่งเอนไซม์ amylase; อาการข้างเคียงคือน้ำตาลในเลือดต่ำ; ห้ามใช้ร่วมกับอินซูลิน</t>
        </is>
      </c>
      <c r="I95" s="15" t="inlineStr">
        <is>
          <t>2</t>
        </is>
      </c>
      <c r="J95" s="18"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ข้อนี้ไม่ใช่คำตอบที่ถูกต้องสำหรับภาวะ Dyspepsia &amp; PUD เนื่องจากกลไกการออกฤทธิ์, efficacy หรือข้อบ่งใช้ไม่ตรงกับโจทย์ที่กำหนด
• ข้อ ค. (ออกฤทธิ์บลอค Proton pump; อาการข้างเคียงคืออาการปวดศีรษะ; ห้ามใช้ในผู้ป่วยโรคตับแข็ง): ข้อนี้ไม่ใช่คำตอบที่ถูกต้องสำหรับภาวะ Dyspepsia &amp; PUD เนื่องจากกลไกการออกฤทธิ์, efficacy หรือข้อบ่งใช้ไม่ตรงกับโจทย์ที่กำหนด
• ข้อ ง. (เป็นสารเคลือบแผลกระเพาะอาหาร; อาการข้างเคียงคือทำให้อุจจาระสีดำเข้ม; ห้ามใช้ในคนไข้ที่เป็นโรคไตวาย): ข้อนี้ไม่ใช่คำตอบที่ถูกต้องสำหรับภาวะ Dyspepsia &amp; PUD เนื่องจากกลไกการออกฤทธิ์, efficacy หรือข้อบ่งใช้ไม่ตรงกับโจทย์ที่กำหนด
• ข้อ จ. (เป็นยากระตุ้นการหลั่งเอนไซม์ amylase; อาการข้างเคียงคือน้ำตาลในเลือดต่ำ; ห้ามใช้ร่วมกับอินซูลิน):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18" t="inlineStr"/>
      <c r="L95" s="18" t="inlineStr">
        <is>
          <t>Dyspepsia &amp; PUD</t>
        </is>
      </c>
      <c r="M95" s="18" t="inlineStr">
        <is>
          <t>Clinic</t>
        </is>
      </c>
      <c r="N95" s="18" t="inlineStr">
        <is>
          <t>ข้อ 5.3 Mock GI RxCU84</t>
        </is>
      </c>
      <c r="O95" s="18" t="inlineStr">
        <is>
          <t>Mock</t>
        </is>
      </c>
      <c r="P95" s="18" t="inlineStr">
        <is>
          <t>Mock RxCU84</t>
        </is>
      </c>
    </row>
    <row r="96">
      <c r="A96" s="15" t="inlineStr">
        <is>
          <t>20</t>
        </is>
      </c>
      <c r="B96" s="1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18" t="inlineStr"/>
      <c r="D96" s="18" t="inlineStr">
        <is>
          <t>อาการปวดแสบบริเวณหน้าอกลามไปถึงไหล่ซ้าย</t>
        </is>
      </c>
      <c r="E96" s="18"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18" t="inlineStr">
        <is>
          <t>อาการแสบร้อนที่ผิวหนังบริเวณที่ปวดกล้ามเนื้อ</t>
        </is>
      </c>
      <c r="G96" s="18" t="inlineStr">
        <is>
          <t>อาการอ่อนเพลียเล็กน้อยหลังจากทำงานเกษตรกลางแดดจัด</t>
        </is>
      </c>
      <c r="H96" s="18" t="inlineStr">
        <is>
          <t>อาการท้องอืด ท้องเฟ้อ มีลมในกระเพาะอาหารหลังตื่นนอนตอนเช้า</t>
        </is>
      </c>
      <c r="I96" s="15" t="inlineStr">
        <is>
          <t>2</t>
        </is>
      </c>
      <c r="J96" s="18"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ข้อนี้ไม่ใช่คำตอบที่ถูกต้องสำหรับภาวะ Dyspepsia &amp; PUD เนื่องจากกลไกการออกฤทธิ์, efficacy หรือข้อบ่งใช้ไม่ตรงกับโจทย์ที่กำหนด
• ข้อ ค. (อาการแสบร้อนที่ผิวหนังบริเวณที่ปวดกล้ามเนื้อ): ข้อนี้ไม่ใช่คำตอบที่ถูกต้องสำหรับภาวะ Dyspepsia &amp; PUD เนื่องจากกลไกการออกฤทธิ์, efficacy หรือข้อบ่งใช้ไม่ตรงกับโจทย์ที่กำหนด
• ข้อ ง. (อาการอ่อนเพลียเล็กน้อยหลังจากทำงานเกษตรกลางแดดจัด): ข้อนี้ไม่ใช่คำตอบที่ถูกต้องสำหรับภาวะ Dyspepsia &amp; PUD เนื่องจากกลไกการออกฤทธิ์, efficacy หรือข้อบ่งใช้ไม่ตรงกับโจทย์ที่กำหนด
• ข้อ จ. (อาการท้องอืด ท้องเฟ้อ มีลมในกระเพาะอาหารหลังตื่นนอนตอนเช้า):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18" t="inlineStr"/>
      <c r="L96" s="18" t="inlineStr">
        <is>
          <t>Dyspepsia &amp; PUD</t>
        </is>
      </c>
      <c r="M96" s="18" t="inlineStr">
        <is>
          <t>Clinic</t>
        </is>
      </c>
      <c r="N96" s="18" t="inlineStr">
        <is>
          <t>ข้อ 5.4 Mock GI RxCU84</t>
        </is>
      </c>
      <c r="O96" s="18" t="inlineStr">
        <is>
          <t>Mock</t>
        </is>
      </c>
      <c r="P96" s="18" t="inlineStr">
        <is>
          <t>Mock RxCU84</t>
        </is>
      </c>
    </row>
    <row r="97">
      <c r="A97" s="15" t="inlineStr">
        <is>
          <t>21</t>
        </is>
      </c>
      <c r="B97" s="1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18" t="inlineStr"/>
      <c r="D97" s="18" t="inlineStr">
        <is>
          <t>5-HT3 antagonist</t>
        </is>
      </c>
      <c r="E97" s="18" t="inlineStr">
        <is>
          <t>Antihistamine / Anticholinergic</t>
        </is>
      </c>
      <c r="F97" s="18" t="inlineStr">
        <is>
          <t>Dopamine D2 antagonist</t>
        </is>
      </c>
      <c r="G97" s="18" t="inlineStr">
        <is>
          <t>Benzodiazepines (Anticipatory emesis)</t>
        </is>
      </c>
      <c r="H97" s="18" t="inlineStr">
        <is>
          <t>Neurokinin-1 (NK1) receptor antagonist</t>
        </is>
      </c>
      <c r="I97" s="15" t="inlineStr">
        <is>
          <t>3</t>
        </is>
      </c>
      <c r="J97" s="18"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ข้อนี้ไม่ใช่คำตอบที่ถูกต้องสำหรับภาวะ Dyspepsia &amp; PUD เนื่องจากกลไกการออกฤทธิ์, efficacy หรือข้อบ่งใช้ไม่ตรงกับโจทย์ที่กำหนด
• ข้อ ข. (Antihistamine / Anticholinergic): ข้อนี้ไม่ใช่คำตอบที่ถูกต้องสำหรับภาวะ Dyspepsia &amp; PUD เนื่องจากกลไกการออกฤทธิ์, efficacy หรือข้อบ่งใช้ไม่ตรงกับโจทย์ที่กำหนด
• ข้อ ง. (Benzodiazepines (Anticipatory emesis)): ข้อนี้ไม่ใช่คำตอบที่ถูกต้องสำหรับภาวะ Dyspepsia &amp; PUD เนื่องจากกลไกการออกฤทธิ์, efficacy หรือข้อบ่งใช้ไม่ตรงกับโจทย์ที่กำหนด
• ข้อ จ. (Neurokinin-1 (NK1) receptor antagonist):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18" t="inlineStr"/>
      <c r="L97" s="18" t="inlineStr">
        <is>
          <t>Dyspepsia &amp; PUD</t>
        </is>
      </c>
      <c r="M97" s="18" t="inlineStr">
        <is>
          <t>Clinic</t>
        </is>
      </c>
      <c r="N97" s="18" t="inlineStr">
        <is>
          <t>ข้อ 5.5 Mock GI RxCU84</t>
        </is>
      </c>
      <c r="O97" s="18" t="inlineStr">
        <is>
          <t>Mock</t>
        </is>
      </c>
      <c r="P97" s="18" t="inlineStr">
        <is>
          <t>Mock RxCU84</t>
        </is>
      </c>
    </row>
    <row r="98">
      <c r="A98" s="15" t="inlineStr">
        <is>
          <t>22</t>
        </is>
      </c>
      <c r="B98" s="1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18" t="inlineStr"/>
      <c r="D98" s="18" t="inlineStr">
        <is>
          <t>Domperidone ออกฤทธิ์ที่ 5-HT3 receptor จึงไม่มีผลต่อ CNS</t>
        </is>
      </c>
      <c r="E98" s="18" t="inlineStr">
        <is>
          <t>Domperidone ผ่าน blood-brain barrier (BBB) ได้น้อยกว่า Metoclopramide จึงมีโอกาสเกิด extrapyramidal symptoms (EPS) และผลข้างเคียงทาง CNS น้อยกว่า</t>
        </is>
      </c>
      <c r="F98" s="18" t="inlineStr">
        <is>
          <t>Domperidone ไม่มีผลต่อระดับ prolactin เลย</t>
        </is>
      </c>
      <c r="G98" s="18" t="inlineStr">
        <is>
          <t>Metoclopramide ไม่ผ่าน BBB จึงปลอดภัยกว่าในการใช้ระยะยาว</t>
        </is>
      </c>
      <c r="H98" s="18" t="inlineStr">
        <is>
          <t>ทั้งสองตัวมี safety profile เหมือนกันทุกประการ</t>
        </is>
      </c>
      <c r="I98" s="15" t="inlineStr">
        <is>
          <t>2</t>
        </is>
      </c>
      <c r="J98" s="18"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เป็น peripheral D2 receptor antagonist เพิ่ม GI motility ไม่ผ่าน BBB จึงไม่ทำให้เกิด EPS เด่นชัด แต่ต้องระวัง QT prolongation ในขนาดสูง (&gt; 30 mg/day)
• ข้อ ค. (Domperidone ไม่มีผลต่อระดับ prolactin เลย): เป็น peripheral D2 receptor antagonist เพิ่ม GI motility ไม่ผ่าน BBB จึงไม่ทำให้เกิด EPS เด่นชัด แต่ต้องระวัง QT prolongation ในขนาดสูง (&gt; 30 mg/day)
• ข้อ ง. (Metoclopramide ไม่ผ่าน BBB จึงปลอดภัยกว่าในการใช้ระยะยาว): เป็น central และ peripheral D2 antagonist เพิ่ม gastric emptying และแก้อาเจียน แต่ผ่าน BBB จึงทำให้เกิด acute dystonia และ EPS ได้ง่าย
• ข้อ จ. (ทั้งสองตัวมี safety profile เหมือนกันทุกประการ):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18" t="inlineStr"/>
      <c r="L98" s="18" t="inlineStr">
        <is>
          <t>Dyspepsia &amp; PUD</t>
        </is>
      </c>
      <c r="M98" s="18" t="inlineStr">
        <is>
          <t>Clinic</t>
        </is>
      </c>
      <c r="N98" s="18" t="inlineStr">
        <is>
          <t>ข้อ 5.6 Mock GI RxCU84</t>
        </is>
      </c>
      <c r="O98" s="18" t="inlineStr">
        <is>
          <t>Mock</t>
        </is>
      </c>
      <c r="P98" s="18" t="inlineStr">
        <is>
          <t>Mock RxCU84</t>
        </is>
      </c>
    </row>
    <row r="99">
      <c r="A99" s="15" t="inlineStr">
        <is>
          <t>23</t>
        </is>
      </c>
      <c r="B99" s="1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18" t="inlineStr"/>
      <c r="D99" s="18" t="inlineStr">
        <is>
          <t>ควรรับประทานพร้อมอาหารที่มีไขมันสูงเพื่อเพิ่มการดูดซึม</t>
        </is>
      </c>
      <c r="E99" s="18" t="inlineStr">
        <is>
          <t>ไม่ควรใช้ติดต่อกันนานเกิน 12 สัปดาห์ เนื่องจากเพิ่มความเสี่ยง tardive dyskinesia ซึ่งอาจเป็นแบบถาวร</t>
        </is>
      </c>
      <c r="F99" s="18" t="inlineStr">
        <is>
          <t>สามารถใช้ร่วมกับแอลกอฮอล์ได้อย่างปลอดภัยโดยไม่มีผลเสริมฤทธิ์กดประสาท</t>
        </is>
      </c>
      <c r="G99" s="18" t="inlineStr">
        <is>
          <t>ไม่มีผลต่อระบบประสาทส่วนกลางจึงใช้ในผู้ป่วย Parkinson’s disease ได้อย่างปลอดภัย</t>
        </is>
      </c>
      <c r="H99" s="18" t="inlineStr">
        <is>
          <t>ไม่จำเป็นต้องปรับขนาดยาในผู้ป่วยที่มีการทำงานของไตบกพร่อง</t>
        </is>
      </c>
      <c r="I99" s="15" t="inlineStr">
        <is>
          <t>2</t>
        </is>
      </c>
      <c r="J99" s="18"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ข้อนี้ไม่ใช่คำตอบที่ถูกต้องสำหรับภาวะ Dyspepsia &amp; PUD เนื่องจากกลไกการออกฤทธิ์, efficacy หรือข้อบ่งใช้ไม่ตรงกับโจทย์ที่กำหนด
• ข้อ ค. (สามารถใช้ร่วมกับแอลกอฮอล์ได้อย่างปลอดภัยโดยไม่มีผลเสริมฤทธิ์กดประสาท): ข้อนี้ไม่ใช่คำตอบที่ถูกต้องสำหรับภาวะ Dyspepsia &amp; PUD เนื่องจากกลไกการออกฤทธิ์, efficacy หรือข้อบ่งใช้ไม่ตรงกับโจทย์ที่กำหนด
• ข้อ ง. (ไม่มีผลต่อระบบประสาทส่วนกลางจึงใช้ในผู้ป่วย Parkinson’s disease ได้อย่างปลอดภัย): ข้อนี้ไม่ใช่คำตอบที่ถูกต้องสำหรับภาวะ Dyspepsia &amp; PUD เนื่องจากกลไกการออกฤทธิ์, efficacy หรือข้อบ่งใช้ไม่ตรงกับโจทย์ที่กำหนด
• ข้อ จ. (ไม่จำเป็นต้องปรับขนาดยาในผู้ป่วยที่มีการทำงานของไตบกพร่อง):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18" t="inlineStr"/>
      <c r="L99" s="18" t="inlineStr">
        <is>
          <t>Dyspepsia &amp; PUD</t>
        </is>
      </c>
      <c r="M99" s="18" t="inlineStr">
        <is>
          <t>Clinic</t>
        </is>
      </c>
      <c r="N99" s="18" t="inlineStr">
        <is>
          <t>ข้อ 5.7 Mock GI RxCU84</t>
        </is>
      </c>
      <c r="O99" s="18" t="inlineStr">
        <is>
          <t>Mock</t>
        </is>
      </c>
      <c r="P99" s="18" t="inlineStr">
        <is>
          <t>Mock RxCU84</t>
        </is>
      </c>
    </row>
    <row r="100">
      <c r="A100" s="15" t="inlineStr">
        <is>
          <t>24</t>
        </is>
      </c>
      <c r="B100" s="1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18" t="inlineStr"/>
      <c r="D100" s="18" t="inlineStr">
        <is>
          <t>Low emetogenic potential (โอกาสเกิดอาการร้อยละ 10–30)</t>
        </is>
      </c>
      <c r="E100" s="18" t="inlineStr">
        <is>
          <t>Moderate emetogenic potential (โอกาสเกิดอาการร้อยละ 30–90)</t>
        </is>
      </c>
      <c r="F100" s="18" t="inlineStr">
        <is>
          <t>High emetogenic potential</t>
        </is>
      </c>
      <c r="G100" s="18" t="inlineStr">
        <is>
          <t>Minimal emetogenic potential</t>
        </is>
      </c>
      <c r="H100" s="18" t="inlineStr">
        <is>
          <t>Sub-therapeutic emetogenic potential (ไม่มีผลต่อการกระตุ้นอาการอาเจียน)</t>
        </is>
      </c>
      <c r="I100" s="15" t="inlineStr">
        <is>
          <t>3</t>
        </is>
      </c>
      <c r="J100" s="18" t="inlineStr">
        <is>
          <t>✅ คำตอบที่ถูกต้อง: ข้อ ค. High emetogenic potential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High emetogenic potential Cisplatin ขนาดตั้งแต่ 50 mg/m² ขึ้นไป จัดเป็นเกณฑ์มาตรฐานของยากลุ่ม Highly Emetogenic Chemotherapy (HEC) ซึ่งหากไม่ได้รับยาป้องกันที่เหมาะสม จะมีโอกาสเกิดอาการคลื่นไส้อาเจียนสูงมากกว่า 90% ของผู้ป่วยที่ได้รับยา
🔍 ข้ออื่นผิดเพราะอะไร:
• ข้อ ก. (Low emetogenic potential (โอกาสเกิดอาการร้อยละ 10–30)): ข้อนี้ไม่ใช่คำตอบที่ถูกต้องสำหรับภาวะ Nausea and vomiting เนื่องจากกลไกการออกฤทธิ์, efficacy หรือข้อบ่งใช้ไม่ตรงกับโจทย์ที่กำหนด
• ข้อ ข. (Moderate emetogenic potential (โอกาสเกิดอาการร้อยละ 30–90)): ข้อนี้ไม่ใช่คำตอบที่ถูกต้องสำหรับภาวะ Nausea and vomiting เนื่องจากกลไกการออกฤทธิ์, efficacy หรือข้อบ่งใช้ไม่ตรงกับโจทย์ที่กำหนด
• ข้อ ง. (Minimal emetogenic potential): ข้อนี้ไม่ใช่คำตอบที่ถูกต้องสำหรับภาวะ Nausea and vomiting เนื่องจากกลไกการออกฤทธิ์, efficacy หรือข้อบ่งใช้ไม่ตรงกับโจทย์ที่กำหนด
• ข้อ จ. (Sub-therapeutic emetogenic potential (ไม่มีผลต่อการกระตุ้นอาการอาเจียน)):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0" s="18" t="inlineStr"/>
      <c r="L100" s="18" t="inlineStr">
        <is>
          <t>Nausea and vomiting</t>
        </is>
      </c>
      <c r="M100" s="18" t="inlineStr">
        <is>
          <t>Clinic</t>
        </is>
      </c>
      <c r="N100" s="18" t="inlineStr">
        <is>
          <t>ข้อ 6.1 Mock GI RxCU84</t>
        </is>
      </c>
      <c r="O100" s="18" t="inlineStr">
        <is>
          <t>Mock</t>
        </is>
      </c>
      <c r="P100" s="18" t="inlineStr">
        <is>
          <t>Mock RxCU84</t>
        </is>
      </c>
    </row>
    <row r="101">
      <c r="A101" s="15" t="inlineStr">
        <is>
          <t>25</t>
        </is>
      </c>
      <c r="B101" s="1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18" t="inlineStr"/>
      <c r="D101" s="18" t="inlineStr">
        <is>
          <t>เหมาะสม เนื่องจาก Ondansetron เป็นยากลุ่ม 5-HT3 antagonist ที่มีประสิทธิภาพสูงสุดครอบคลุมทั้งระยะเฉียบพลันและระยะช้า</t>
        </is>
      </c>
      <c r="E101" s="18"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18" t="inlineStr">
        <is>
          <t>เหมาะสม แต่ควรเปลี่ยนช่องทางการบริหารยาเป็นชนิดเม็ดรับประทาน (Oral tablet) เพื่อผลการรักษาที่ดีกว่า</t>
        </is>
      </c>
      <c r="G101" s="18" t="inlineStr">
        <is>
          <t>ไม่เหมาะสม เนื่องจากควรใช้เฉพาะยาปฏิชีวนะและยาลดกรด Omeprazole ในการป้องกันอาการอาเจียนเท่านั้น</t>
        </is>
      </c>
      <c r="H101" s="18" t="inlineStr">
        <is>
          <t>เหมาะสม แต่ต้องบริหารยาร่วมกับสารน้ำทางหลอดเลือดดำปริมาณมากเพียงอย่างเดียวโดยไม่ต้องให้ยาอื่นเพิ่ม</t>
        </is>
      </c>
      <c r="I101" s="15" t="inlineStr">
        <is>
          <t>2</t>
        </is>
      </c>
      <c r="J101" s="18"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ตาม
🔍 ข้ออื่นผิดเพราะอะไร:
• ข้อ ก. (เหมาะสม เนื่องจาก Ondansetron เป็นยากลุ่ม 5-HT3 antagonist ที่มีประสิทธิภาพสูงสุดครอบคลุมทั้งระยะเฉียบพลันและระยะช้า): เป็น 5-HT3 receptor antagonist เป็น first-line antiemetic สำหรับ chemotherapy-induced nausea and vomiting (CINV) และ post-operative nausea/vomiting แต่ทำให้ท้องผูก
• ข้อ ค. (เหมาะสม แต่ควรเปลี่ยนช่องทางการบริหารยาเป็นชนิดเม็ดรับประทาน (Oral tablet) เพื่อผลการรักษาที่ดีกว่า): ข้อนี้ไม่ใช่คำตอบที่ถูกต้องสำหรับภาวะ Nausea and vomiting เนื่องจากกลไกการออกฤทธิ์, efficacy หรือข้อบ่งใช้ไม่ตรงกับโจทย์ที่กำหนด
• ข้อ ง. (ไม่เหมาะสม เนื่องจากควรใช้เฉพาะยาปฏิชีวนะและยาลดกรด Omeprazole ในการป้องกันอาการอาเจียนเท่านั้น):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(เหมาะสม แต่ต้องบริหารยาร่วมกับสารน้ำทางหลอดเลือดดำปริมาณมากเพียงอย่างเดียวโดยไม่ต้องให้ยาอื่นเพิ่ม):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1" s="18" t="inlineStr"/>
      <c r="L101" s="18" t="inlineStr">
        <is>
          <t>Nausea and vomiting</t>
        </is>
      </c>
      <c r="M101" s="18" t="inlineStr">
        <is>
          <t>Clinic</t>
        </is>
      </c>
      <c r="N101" s="18" t="inlineStr">
        <is>
          <t>ข้อ 6.2 Mock GI RxCU84</t>
        </is>
      </c>
      <c r="O101" s="18" t="inlineStr">
        <is>
          <t>Mock</t>
        </is>
      </c>
      <c r="P101" s="18" t="inlineStr">
        <is>
          <t>Mock RxCU84</t>
        </is>
      </c>
    </row>
    <row r="102">
      <c r="A102" s="15" t="inlineStr">
        <is>
          <t>26</t>
        </is>
      </c>
      <c r="B102" s="1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18" t="inlineStr"/>
      <c r="D102" s="18" t="inlineStr">
        <is>
          <t>อาการเริ่มแสดงหลังรับยา 1 ชั่วโมง; ยาที่มีบทบาทหลักคือยาชาเฉพาะที่ Lidocaine</t>
        </is>
      </c>
      <c r="E102" s="18"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18" t="inlineStr">
        <is>
          <t>อาการเริ่มแสดงในสัปดาห์ที่สามหลังให้ยา; ยาที่มีบทบาทหลักคือยากระตุ้นการบีบตัวของทางเดินอาหาร Domperidone</t>
        </is>
      </c>
      <c r="G102" s="18" t="inlineStr">
        <is>
          <t>อาการเริ่มแสดงในช่วงก่อนได้รับยาเคมีบำบัดรอบถัดไป; ยาที่มีบทบาทหลักคือยากลุ่ม Benzodiazepines เช่น Lorazepam</t>
        </is>
      </c>
      <c r="H102" s="18" t="inlineStr">
        <is>
          <t>อาการเริ่มแสดงทันทีหลังถอดสายน้ำเกลือเคมีบำบัด; ยาที่มีบทบาทหลักคือยาลดกรดชนิดน้ำ Antacid</t>
        </is>
      </c>
      <c r="I102" s="15" t="inlineStr">
        <is>
          <t>2</t>
        </is>
      </c>
      <c r="J102" s="18"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Delayed emesis จาก Cisplatin จะเกิดขึ้นหลังให้ยา 24 ถึง 120 ชั่วโมง (วันที่ 2 ถึงวันที่ 5) โดยมีกลไกหลักผ่านสารสื่อประสาท Substance P จับกับ Neurokinin-1 (NK1) receptor ในสมองส่วนกลาง ดังนั้นยากลุ่ม NK1 antagonists (เช่น Aprepitant, Fosaprepitant) ร่วมกับ Dexamethasone จึงเป็นยาหลักในการป้องกันอาการระยะนี้
🔍 ข้ออื่นผิดเพราะอะไร:
• ข้อ ก. (อาการเริ่มแสดงหลังรับยา 1 ชั่วโมง; ยาที่มีบทบาทหลักคือยาชาเฉพาะที่ Lidocaine): ข้อนี้ไม่ใช่คำตอบที่ถูกต้องสำหรับภาวะ Nausea and vomiting เนื่องจากกลไกการออกฤทธิ์, efficacy หรือข้อบ่งใช้ไม่ตรงกับโจทย์ที่กำหนด
• ข้อ ค. (อาการเริ่มแสดงในสัปดาห์ที่สามหลังให้ยา; ยาที่มีบทบาทหลักคือยากระตุ้นการบีบตัวของทางเดินอาหาร Domperidone): เป็น peripheral D2 receptor antagonist เพิ่ม GI motility ไม่ผ่าน BBB จึงไม่ทำให้เกิด EPS เด่นชัด แต่ต้องระวัง QT prolongation ในขนาดสูง (&gt; 30 mg/day)
• ข้อ ง. (อาการเริ่มแสดงในช่วงก่อนได้รับยาเคมีบำบัดรอบถัดไป; ยาที่มีบทบาทหลักคือยากลุ่ม Benzodiazepines เช่น Lorazepam): เป็น Benzodiazepine กลุ่ม LOT (Lorazepam, Oxazepam, Temazepam) ที่ผ่าน hepatic Phase II glucuronidation โดยตรง ไม่ผ่าน CYP oxidation จึงปลอดภัยกว่าในผู้สูงอายุและโรคตับ
• ข้อ จ. (อาการเริ่มแสดงทันทีหลังถอดสายน้ำเกลือเคมีบำบัด; ยาที่มีบทบาทหลักคือยาลดกรดชนิดน้ำ Antacid):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2" s="18" t="inlineStr"/>
      <c r="L102" s="18" t="inlineStr">
        <is>
          <t>Nausea and vomiting</t>
        </is>
      </c>
      <c r="M102" s="18" t="inlineStr">
        <is>
          <t>Clinic</t>
        </is>
      </c>
      <c r="N102" s="18" t="inlineStr">
        <is>
          <t>ข้อ 6.5 Mock GI RxCU84</t>
        </is>
      </c>
      <c r="O102" s="18" t="inlineStr">
        <is>
          <t>Mock</t>
        </is>
      </c>
      <c r="P102" s="18" t="inlineStr">
        <is>
          <t>Mock RxCU84</t>
        </is>
      </c>
    </row>
    <row r="103">
      <c r="A103" s="15" t="inlineStr">
        <is>
          <t>27</t>
        </is>
      </c>
      <c r="B103" s="1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18" t="inlineStr"/>
      <c r="D103" s="18"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18" t="inlineStr">
        <is>
          <t>ผู้สูงอายุไม่มีความเสี่ยงพิเศษใดๆ เพิ่มเติมจาก D2 antagonist</t>
        </is>
      </c>
      <c r="F103" s="18" t="inlineStr">
        <is>
          <t>ควรเพิ่มขนาด Metoclopramide เป็น 2 เท่าในผู้สูงอายุเพื่อผลการรักษาที่ดีขึ้น</t>
        </is>
      </c>
      <c r="G103" s="18" t="inlineStr">
        <is>
          <t>Metoclopramide ปลอดภัยกว่าในผู้สูงอายุเมื่อเทียบกับผู้ป่วยอายุน้อย</t>
        </is>
      </c>
      <c r="H103" s="18" t="inlineStr">
        <is>
          <t>ไม่จำเป็นต้องคำนึงถึงการทำงานของไตในการให้ Metoclopramide ในผู้สูงอายุ</t>
        </is>
      </c>
      <c r="I103" s="15" t="inlineStr">
        <is>
          <t>1</t>
        </is>
      </c>
      <c r="J103" s="18" t="inlineStr">
        <is>
          <t>✅ คำตอบที่ถูกต้อง: ข้อ 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ผู้สูงอายุ (&gt;65 ปี) มีความไวของตัวรับในสมองและการทำงานของไตลดลง ทำให้ระดับ Metoclopramide ในเลือดสูงขึ้น เสี่ยงต่อการเกิดภาวะ Extrapyramidal Symptoms (EPS) เช่น Acute dystonia, Akathisia และ Parkinsonism มากกว่าคนวัยหนุ่มสาว จึงต้องติดตามอาการใกล้ชิด หรือพิจารณาเลือกยาทางเลือกอื่น
🔍 ข้ออื่นผิดเพราะอะไร:
• ข้อ ข. (ผู้สูงอายุไม่มีความเสี่ยงพิเศษใดๆ เพิ่มเติมจาก D2 antagonist): ข้อนี้ไม่ใช่คำตอบที่ถูกต้องสำหรับภาวะ Nausea and vomiting เนื่องจากกลไกการออกฤทธิ์, efficacy หรือข้อบ่งใช้ไม่ตรงกับโจทย์ที่กำหนด
• ข้อ ค. (ควรเพิ่มขนาด Metoclopramide เป็น 2 เท่าในผู้สูงอายุเพื่อผลการรักษาที่ดีขึ้น): เป็น central และ peripheral D2 antagonist เพิ่ม gastric emptying และแก้อาเจียน แต่ผ่าน BBB จึงทำให้เกิด acute dystonia และ EPS ได้ง่าย
• ข้อ ง. (Metoclopramide ปลอดภัยกว่าในผู้สูงอายุเมื่อเทียบกับผู้ป่วยอายุน้อย): เป็น central และ peripheral D2 antagonist เพิ่ม gastric emptying และแก้อาเจียน แต่ผ่าน BBB จึงทำให้เกิด acute dystonia และ EPS ได้ง่าย
• ข้อ จ. (ไม่จำเป็นต้องคำนึงถึงการทำงานของไตในการให้ Metoclopramide ในผู้สูงอายุ): เป็น central และ peripheral D2 antagonist เพิ่ม gastric emptying และแก้อาเจียน แต่ผ่าน BBB จึงทำให้เกิด acute dystonia และ EPS ได้ง่าย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3" s="18" t="inlineStr"/>
      <c r="L103" s="18" t="inlineStr">
        <is>
          <t>Nausea and vomiting</t>
        </is>
      </c>
      <c r="M103" s="18" t="inlineStr">
        <is>
          <t>Clinic</t>
        </is>
      </c>
      <c r="N103" s="18" t="inlineStr">
        <is>
          <t>ข้อ 6.6 Mock GI RxCU84</t>
        </is>
      </c>
      <c r="O103" s="18" t="inlineStr">
        <is>
          <t>Mock</t>
        </is>
      </c>
      <c r="P103" s="18" t="inlineStr">
        <is>
          <t>Mock RxCU84</t>
        </is>
      </c>
    </row>
    <row r="104">
      <c r="A104" s="15" t="inlineStr">
        <is>
          <t>28</t>
        </is>
      </c>
      <c r="B104" s="1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18" t="inlineStr"/>
      <c r="D104" s="18" t="inlineStr">
        <is>
          <t>เป็น acute emesis เพิ่มขนาด 5-HT3 antagonist</t>
        </is>
      </c>
      <c r="E104" s="18" t="inlineStr">
        <is>
          <t>เป็น delayed emesis เพิ่ม NK-1 antagonist</t>
        </is>
      </c>
      <c r="F104" s="18" t="inlineStr">
        <is>
          <t>เป็น Anticipatory emesis พิจารณาให้ Benzodiazepine (เช่น Lorazepam)</t>
        </is>
      </c>
      <c r="G104" s="18" t="inlineStr">
        <is>
          <t>เป็นผลจาก motion sickness ระหว่างเดินทางมาโรงพยาบาล ให้ Dimenhydrinate</t>
        </is>
      </c>
      <c r="H104" s="18" t="inlineStr">
        <is>
          <t>ไม่ต้องรักษาเพราะเป็นอาการทางจิตใจที่ไม่เกี่ยวกับเภสัชวิทยา</t>
        </is>
      </c>
      <c r="I104" s="15" t="inlineStr">
        <is>
          <t>3</t>
        </is>
      </c>
      <c r="J104" s="18" t="inlineStr">
        <is>
          <t>✅ คำตอบที่ถูกต้อง: ข้อ ค. เป็น Anticipatory emesis พิจารณาให้ Benzodiazepine (เช่น Lorazepam)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เป็น Anticipatory emesis พิจารณาให้ Benzodiazepine (เช่น Lorazepam) อาการคลื่นไส้อาเจียนที่เกิดขึ้นก่อนได้รับยาเคมีบำบัด (เช่น ได้กลิ่นโรงพยาบาล เห็นพยาบาล) คือภาวะ Anticipatory emesis ซึ่งเกิดจาก Classical conditioned response การรักษาหลักคือการให้ยากลุ่ม Benzodiazepines (เช่น Lorazepam) ก่อนการให้เคมีบำบัดในรอบถัดไป ร่วมกับการควบคุม Acute และ Delayed emesis ให้สมบูรณ์ตั้งแต่รอบแรกๆ
🔍 ข้ออื่นผิดเพราะอะไร:
• ข้อ ก. (เป็น acute emesis เพิ่มขนาด 5-HT3 antagonist): ข้อนี้ไม่ใช่คำตอบที่ถูกต้องสำหรับภาวะ Nausea and vomiting เนื่องจากกลไกการออกฤทธิ์, efficacy หรือข้อบ่งใช้ไม่ตรงกับโจทย์ที่กำหนด
• ข้อ ข. (เป็น delayed emesis เพิ่ม NK-1 antagonist): ข้อนี้ไม่ใช่คำตอบที่ถูกต้องสำหรับภาวะ Nausea and vomiting เนื่องจากกลไกการออกฤทธิ์, efficacy หรือข้อบ่งใช้ไม่ตรงกับโจทย์ที่กำหนด
• ข้อ ง. (เป็นผลจาก motion sickness ระหว่างเดินทางมาโรงพยาบาล ให้ Dimenhydrinate): ข้อนี้ไม่ใช่คำตอบที่ถูกต้องสำหรับภาวะ Nausea and vomiting เนื่องจากกลไกการออกฤทธิ์, efficacy หรือข้อบ่งใช้ไม่ตรงกับโจทย์ที่กำหนด
• ข้อ จ. (ไม่ต้องรักษาเพราะเป็นอาการทางจิตใจที่ไม่เกี่ยวกับเภสัชวิทยา):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4" s="18" t="inlineStr"/>
      <c r="L104" s="18" t="inlineStr">
        <is>
          <t>Nausea and vomiting</t>
        </is>
      </c>
      <c r="M104" s="18" t="inlineStr">
        <is>
          <t>Clinic</t>
        </is>
      </c>
      <c r="N104" s="18" t="inlineStr">
        <is>
          <t>ข้อ 6.7 Mock GI RxCU84</t>
        </is>
      </c>
      <c r="O104" s="18" t="inlineStr">
        <is>
          <t>Mock</t>
        </is>
      </c>
      <c r="P104" s="18" t="inlineStr">
        <is>
          <t>Mock RxCU84</t>
        </is>
      </c>
    </row>
    <row r="105">
      <c r="A105" s="15" t="inlineStr">
        <is>
          <t>29</t>
        </is>
      </c>
      <c r="B105" s="1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18" t="inlineStr"/>
      <c r="D105" s="18" t="inlineStr">
        <is>
          <t>Grade I</t>
        </is>
      </c>
      <c r="E105" s="18" t="inlineStr">
        <is>
          <t>Grade II</t>
        </is>
      </c>
      <c r="F105" s="18" t="inlineStr">
        <is>
          <t>Grade III</t>
        </is>
      </c>
      <c r="G105" s="18" t="inlineStr">
        <is>
          <t>Grade IV</t>
        </is>
      </c>
      <c r="H105" s="18" t="inlineStr">
        <is>
          <t>External hemorrhoid (ไม่ใช้ระบบ grade I–IV)</t>
        </is>
      </c>
      <c r="I105" s="15" t="inlineStr">
        <is>
          <t>3</t>
        </is>
      </c>
      <c r="J105" s="18" t="inlineStr">
        <is>
          <t>✅ คำตอบที่ถูกต้อง: ข้อ ค. Grade III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Grade III เกณฑ์การจัดระดับ Internal Hemorrhoid ตาม Goligher classification:
🔍 ข้ออื่นผิดเพราะอะไร:
• ข้อ ก. (Grade I): ข้อนี้ไม่ใช่คำตอบที่ถูกต้องสำหรับภาวะ Diarrhea &amp; Constipation เนื่องจากกลไกการออกฤทธิ์, efficacy หรือข้อบ่งใช้ไม่ตรงกับโจทย์ที่กำหนด
• ข้อ ข. (Grade II): ข้อนี้ไม่ใช่คำตอบที่ถูกต้องสำหรับภาวะ Diarrhea &amp; Constipation เนื่องจากกลไกการออกฤทธิ์, efficacy หรือข้อบ่งใช้ไม่ตรงกับโจทย์ที่กำหนด
• ข้อ ง. (Grade IV): ข้อนี้ไม่ใช่คำตอบที่ถูกต้องสำหรับภาวะ Diarrhea &amp; Constipation เนื่องจากกลไกการออกฤทธิ์, efficacy หรือข้อบ่งใช้ไม่ตรงกับโจทย์ที่กำหนด
• ข้อ จ. (External hemorrhoid (ไม่ใช้ระบบ grade I–IV)):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18" t="inlineStr"/>
      <c r="L105" s="18" t="inlineStr">
        <is>
          <t>Diarrhea &amp; Constipation</t>
        </is>
      </c>
      <c r="M105" s="18" t="inlineStr">
        <is>
          <t>Clinic</t>
        </is>
      </c>
      <c r="N105" s="18" t="inlineStr">
        <is>
          <t>ข้อ 7.1 Mock GI RxCU84</t>
        </is>
      </c>
      <c r="O105" s="18" t="inlineStr">
        <is>
          <t>Mock</t>
        </is>
      </c>
      <c r="P105" s="18" t="inlineStr">
        <is>
          <t>Mock RxCU84</t>
        </is>
      </c>
    </row>
    <row r="106">
      <c r="A106" s="15" t="inlineStr">
        <is>
          <t>30</t>
        </is>
      </c>
      <c r="B106" s="1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18" t="inlineStr"/>
      <c r="D106" s="18" t="inlineStr">
        <is>
          <t>ส่งต่อทำ colonoscopy ทันทีทุกกรณีเพราะมีเลือดออก</t>
        </is>
      </c>
      <c r="E106" s="18" t="inlineStr">
        <is>
          <t>ประเมินแล้วไม่มี red flag ชัดเจน จึงเริ่มดูแลแบบ conservative ที่ร้านยาได้ พร้อมแนะนำสัญญาณอันตรายที่ต้องกลับมาพบแพทย์</t>
        </is>
      </c>
      <c r="F106" s="18" t="inlineStr">
        <is>
          <t>จ่ายยาปฏิชีวนะชนิดรับประทานเพื่อกันติดเชื้อ</t>
        </is>
      </c>
      <c r="G106" s="18" t="inlineStr">
        <is>
          <t>แนะนำผ่าตัดริดสีดวงทันที</t>
        </is>
      </c>
      <c r="H106" s="18" t="inlineStr">
        <is>
          <t>หยุดสังเกตอาการเองที่บ้านนาน 3 เดือน โดยไม่ให้คำแนะนำหรือ warning signs ใด ๆ</t>
        </is>
      </c>
      <c r="I106" s="15" t="inlineStr">
        <is>
          <t>2</t>
        </is>
      </c>
      <c r="J106" s="18" t="inlineStr">
        <is>
          <t>✅ คำตอบที่ถูกต้อง: ข้อ ข. ประเมินแล้วไม่มี red flag ชัดเจน จึงเริ่มดูแลแบบ conservative ที่ร้านยาได้ พร้อมแนะนำสัญญาณอันตรายที่ต้องกลับมาพบแพทย์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ประเมินแล้วไม่มี red flag ชัดเจน จึงเริ่มดูแลแบบ conservative ที่ร้านยาได้ พร้อมแนะนำสัญญาณอันตรายที่ต้องกลับมาพบแพทย์ ตาม ASCRS 2024 Guidelines เลือดออกเป็นสีแดงสดหยดตามหลังถ่ายอุจจาระในผู้ป่วยอายุ
🔍 ข้ออื่นผิดเพราะอะไร:
• ข้อ ก. (ส่งต่อทำ colonoscopy ทันทีทุกกรณีเพราะมีเลือดออก): ข้อนี้ไม่ใช่คำตอบที่ถูกต้องสำหรับภาวะ Diarrhea &amp; Constipation เนื่องจากกลไกการออกฤทธิ์, efficacy หรือข้อบ่งใช้ไม่ตรงกับโจทย์ที่กำหนด
• ข้อ ค. (จ่ายยาปฏิชีวนะชนิดรับประทานเพื่อกันติดเชื้อ): ข้อนี้ไม่ใช่คำตอบที่ถูกต้องสำหรับภาวะ Diarrhea &amp; Constipation เนื่องจากกลไกการออกฤทธิ์, efficacy หรือข้อบ่งใช้ไม่ตรงกับโจทย์ที่กำหนด
• ข้อ ง. (แนะนำผ่าตัดริดสีดวงทันที): ข้อนี้ไม่ใช่คำตอบที่ถูกต้องสำหรับภาวะ Diarrhea &amp; Constipation เนื่องจากกลไกการออกฤทธิ์, efficacy หรือข้อบ่งใช้ไม่ตรงกับโจทย์ที่กำหนด
• ข้อ จ. (หยุดสังเกตอาการเองที่บ้านนาน 3 เดือน โดยไม่ให้คำแนะนำหรือ warning signs ใด ๆ):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18" t="inlineStr"/>
      <c r="L106" s="18" t="inlineStr">
        <is>
          <t>Diarrhea &amp; Constipation</t>
        </is>
      </c>
      <c r="M106" s="18" t="inlineStr">
        <is>
          <t>Clinic</t>
        </is>
      </c>
      <c r="N106" s="18" t="inlineStr">
        <is>
          <t>ข้อ 7.2 Mock GI RxCU84</t>
        </is>
      </c>
      <c r="O106" s="18" t="inlineStr">
        <is>
          <t>Mock</t>
        </is>
      </c>
      <c r="P106" s="18" t="inlineStr">
        <is>
          <t>Mock RxCU84</t>
        </is>
      </c>
    </row>
    <row r="107">
      <c r="A107" s="15" t="inlineStr">
        <is>
          <t>31</t>
        </is>
      </c>
      <c r="B107" s="1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18" t="inlineStr"/>
      <c r="D107" s="18" t="inlineStr">
        <is>
          <t>Rubber band ligation</t>
        </is>
      </c>
      <c r="E107" s="18" t="inlineStr">
        <is>
          <t>Topical hydrocortisone + lidocaine suppository</t>
        </is>
      </c>
      <c r="F107" s="18" t="inlineStr">
        <is>
          <t>Dietary &amp; behavioral modification (เพิ่มใยอาหาร + ดื่มน้ำ + ปรับพฤติกรรมขับถ่าย)</t>
        </is>
      </c>
      <c r="G107" s="18" t="inlineStr">
        <is>
          <t>Hemorrhoidectomy</t>
        </is>
      </c>
      <c r="H107" s="18" t="inlineStr">
        <is>
          <t>จ่ายยาปฏิชีวนะชนิดรับประทานเพื่อป้องกันการติดเชื้อ</t>
        </is>
      </c>
      <c r="I107" s="15" t="inlineStr">
        <is>
          <t>3</t>
        </is>
      </c>
      <c r="J107" s="18" t="inlineStr">
        <is>
          <t>✅ คำตอบที่ถูกต้อง: ข้อ ค. Dietary &amp; behavioral modification (เพิ่มใยอาหาร + ดื่มน้ำ + ปรับพฤติกรรมขับถ่าย)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Dietary &amp; behavioral modification (เพิ่มใยอาหาร + ดื่มน้ำ + ปรับพฤติกรรมขับถ่าย) ตาม ASCRS 2024 guideline การรักษา first-line (First-line therapy) ในผู้ป่วยริดสีดวงทวารทุกระดับเกรดที่มีอาการ คือ Dietary and behavioral modification ได้แก่ การเพิ่มใยอาหาร (Fiber intake 25-35 g/day) ร่วมกับการดื่มน้ำให้เพียงพอ และการปรับเปลี่ยนพฤติกรรมการขับถ่าย (ไม่เบ่งถ่าย ไม่นั่งห้องน้ำนาน) เพื่อทำให้อุจจาระนุ่มและลดแรงดันที่กลุ่มเส้นเลือดขอด
🔍 ข้ออื่นผิดเพราะอะไร:
• ข้อ ก. (Rubber band ligation): ข้อนี้ไม่ใช่คำตอบที่ถูกต้องสำหรับภาวะ Diarrhea &amp; Constipation เนื่องจากกลไกการออกฤทธิ์, efficacy หรือข้อบ่งใช้ไม่ตรงกับโจทย์ที่กำหนด
• ข้อ ข. (Topical hydrocortisone + lidocaine suppository): เป็น short-acting glucocorticoid ที่มี mineralocorticoid activity สูง เป็น drug of choice สำหรับ acute adrenal insufficiency / adrenal crisis
• ข้อ ง. (Hemorrhoidectomy): ข้อนี้ไม่ใช่คำตอบที่ถูกต้องสำหรับภาวะ Diarrhea &amp; Constipation เนื่องจากกลไกการออกฤทธิ์, efficacy หรือข้อบ่งใช้ไม่ตรงกับโจทย์ที่กำหนด
• ข้อ จ. (จ่ายยาปฏิชีวนะชนิดรับประทานเพื่อป้องกันการติดเชื้อ):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18" t="inlineStr"/>
      <c r="L107" s="18" t="inlineStr">
        <is>
          <t>Diarrhea &amp; Constipation</t>
        </is>
      </c>
      <c r="M107" s="18" t="inlineStr">
        <is>
          <t>Clinic</t>
        </is>
      </c>
      <c r="N107" s="18" t="inlineStr">
        <is>
          <t>ข้อ 7.3 Mock GI RxCU84</t>
        </is>
      </c>
      <c r="O107" s="18" t="inlineStr">
        <is>
          <t>Mock</t>
        </is>
      </c>
      <c r="P107" s="18" t="inlineStr">
        <is>
          <t>Mock RxCU84</t>
        </is>
      </c>
    </row>
    <row r="108">
      <c r="A108" s="15" t="inlineStr">
        <is>
          <t>32</t>
        </is>
      </c>
      <c r="B108" s="1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18" t="inlineStr"/>
      <c r="D108" s="18" t="inlineStr">
        <is>
          <t>Senna + แนะนำใช้เฉพาะเวลาปวด</t>
        </is>
      </c>
      <c r="E108" s="18" t="inlineStr">
        <is>
          <t>Psyllium (bulk-forming) + แนะนำดื่มน้ำตามให้พอ และใช้ต่อเนื่อง ≥ 6 สัปดาห์</t>
        </is>
      </c>
      <c r="F108" s="18" t="inlineStr">
        <is>
          <t>Bisacodyl + แนะนำใช้ก่อนนอนทุกคืนถาวร</t>
        </is>
      </c>
      <c r="G108" s="18" t="inlineStr">
        <is>
          <t>Glycerin suppository + แนะนำสวนทุกเช้า</t>
        </is>
      </c>
      <c r="H108" s="18" t="inlineStr">
        <is>
          <t>Lactulose + แนะนำใช้เฉพาะเมื่อมีอาการปวดเท่านั้น</t>
        </is>
      </c>
      <c r="I108" s="15" t="inlineStr">
        <is>
          <t>2</t>
        </is>
      </c>
      <c r="J108" s="18" t="inlineStr">
        <is>
          <t>✅ คำตอบที่ถูกต้อง: ข้อ ข. Psyllium (bulk-forming) + แนะนำดื่มน้ำตามให้พอ และใช้ต่อเนื่อง ≥ 6 สัปดาห์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(bulk-forming) + แนะนำดื่มน้ำตามให้พอ และใช้ต่อเนื่อง ≥ 6 สัปดาห์ ยากลุ่ม Bulk-forming laxatives เช่น Psyllium seed husk เป็นตัวเลือกอันดับหนึ่งในการรักษาอาการท้องผูกในริดสีดวงทวาร ช่วยเพิ่มมวลและอุจจาระนุ่ม ลดแรงต้านและการเบ่งถ่าย โดยต้องแนะนำให้ดื่มน้ำตามในปริมาณที่เพียงพอ (อย่างน้อย 1-2 แก้ว) เพื่อป้องกันภาวะลำไส้อุดตัน และควรใช้ต่อเนื่องอย่างน้อย 6 สัปดาห์จึงจะเห็นผลลัพธ์ลดการมีเลือดออกอย่างชัดเจน
🔍 ข้ออื่นผิดเพราะอะไร:
• ข้อ ก. (Senna + แนะนำใช้เฉพาะเวลาปวด): เป็น Anthraquinone stimulant laxative กระตุ้น myenteric plexus แต่การใช้ระยะยาวอาจทำให้เกิด melanosis coli และ bowel dependence
• ข้อ ค. (Bisacodyl + แนะนำใช้ก่อนนอนทุกคืนถาวร):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(Glycerin suppository + แนะนำสวนทุกเช้า): ข้อนี้ไม่ใช่คำตอบที่ถูกต้องสำหรับภาวะ Diarrhea &amp; Constipation เนื่องจากกลไกการออกฤทธิ์, efficacy หรือข้อบ่งใช้ไม่ตรงกับโจทย์ที่กำหนด
• ข้อ จ. (Lactulose + แนะนำใช้เฉพาะเมื่อมีอาการปวดเท่านั้น):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18" t="inlineStr"/>
      <c r="L108" s="18" t="inlineStr">
        <is>
          <t>Diarrhea &amp; Constipation</t>
        </is>
      </c>
      <c r="M108" s="18" t="inlineStr">
        <is>
          <t>Clinic</t>
        </is>
      </c>
      <c r="N108" s="18" t="inlineStr">
        <is>
          <t>ข้อ 7.4 Mock GI RxCU84</t>
        </is>
      </c>
      <c r="O108" s="18" t="inlineStr">
        <is>
          <t>Mock</t>
        </is>
      </c>
      <c r="P108" s="18" t="inlineStr">
        <is>
          <t>Mock RxCU84</t>
        </is>
      </c>
    </row>
    <row r="109">
      <c r="A109" s="15" t="inlineStr">
        <is>
          <t>33</t>
        </is>
      </c>
      <c r="B109" s="1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18" t="inlineStr"/>
      <c r="D109" s="18" t="inlineStr">
        <is>
          <t>1 เม็ด วันละครั้ง ต่อเนื่อง</t>
        </is>
      </c>
      <c r="E109" s="18" t="inlineStr">
        <is>
          <t>2 เม็ด/วัน ตลอด</t>
        </is>
      </c>
      <c r="F109" s="18" t="inlineStr">
        <is>
          <t>6 เม็ด/วัน นาน 4 วัน ตามด้วย 4 เม็ด/วัน อีก 3 วัน</t>
        </is>
      </c>
      <c r="G109" s="18" t="inlineStr">
        <is>
          <t>2 เม็ด วันละ 3 ครั้ง นาน 14 วัน</t>
        </is>
      </c>
      <c r="H109" s="18" t="inlineStr">
        <is>
          <t>3 เม็ด/วัน นาน 7 วัน แล้วหยุด</t>
        </is>
      </c>
      <c r="I109" s="15" t="inlineStr">
        <is>
          <t>3</t>
        </is>
      </c>
      <c r="J109" s="18" t="inlineStr">
        <is>
          <t>✅ คำตอบที่ถูกต้อง: ข้อ ค. 6 เม็ด/วัน นาน 4 วัน ตามด้วย 4 เม็ด/วัน อีก 3 วัน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6 เม็ด/วัน นาน 4 วัน ตามด้วย 4 เม็ด/วัน อีก 3 วัน ขนาดยา Micronized Purified Flavonoid Fraction (MPFF / Daflon 500 mg: Diosmin 450 mg + Hesperidin 50 mg) สำหรับระยะ Acute hemorrhoidal attack คือ: 6 เม็ดต่อวัน (แบ่งทานครั้งละ 2 เม็ด วันละ 3 ครั้ง) ในช่วง 4 วันแรก จากนั้นลดลงเหลือ 4 เม็ดต่อวัน (ครั้งละ 2 เม็ด วันละ 2 ครั้ง) ในช่วง 3 วันถัดมา เพื่อเพิ่ม venous tone ลดการซึมผ่านของหลอดเลือด และลดการอักเสบเฉียบพลัน
🔍 ข้ออื่นผิดเพราะอะไร:
• ข้อ ก. (1 เม็ด วันละครั้ง ต่อเนื่อง): ข้อนี้ไม่ใช่คำตอบที่ถูกต้องสำหรับภาวะ Diarrhea &amp; Constipation เนื่องจากกลไกการออกฤทธิ์, efficacy หรือข้อบ่งใช้ไม่ตรงกับโจทย์ที่กำหนด
• ข้อ ข. (2 เม็ด/วัน ตลอด): ข้อนี้ไม่ใช่คำตอบที่ถูกต้องสำหรับภาวะ Diarrhea &amp; Constipation เนื่องจากกลไกการออกฤทธิ์, efficacy หรือข้อบ่งใช้ไม่ตรงกับโจทย์ที่กำหนด
• ข้อ ง. (2 เม็ด วันละ 3 ครั้ง นาน 14 วัน): ข้อนี้ไม่ใช่คำตอบที่ถูกต้องสำหรับภาวะ Diarrhea &amp; Constipation เนื่องจากกลไกการออกฤทธิ์, efficacy หรือข้อบ่งใช้ไม่ตรงกับโจทย์ที่กำหนด
• ข้อ จ. (3 เม็ด/วัน นาน 7 วัน แล้วหยุด):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18" t="inlineStr"/>
      <c r="L109" s="18" t="inlineStr">
        <is>
          <t>Diarrhea &amp; Constipation</t>
        </is>
      </c>
      <c r="M109" s="18" t="inlineStr">
        <is>
          <t>Clinic</t>
        </is>
      </c>
      <c r="N109" s="18" t="inlineStr">
        <is>
          <t>ข้อ 7.5 Mock GI RxCU84</t>
        </is>
      </c>
      <c r="O109" s="18" t="inlineStr">
        <is>
          <t>Mock</t>
        </is>
      </c>
      <c r="P109" s="18" t="inlineStr">
        <is>
          <t>Mock RxCU84</t>
        </is>
      </c>
    </row>
    <row r="110">
      <c r="A110" s="15" t="inlineStr">
        <is>
          <t>34</t>
        </is>
      </c>
      <c r="B110" s="1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18" t="inlineStr"/>
      <c r="D110" s="18" t="inlineStr">
        <is>
          <t>รักษาริดสีดวงให้หายขาดและป้องกันการเป็นซ้ำได้</t>
        </is>
      </c>
      <c r="E110" s="18"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18" t="inlineStr">
        <is>
          <t>ใช้แทนการปรับอาหารได้ เพราะเป็น first-line</t>
        </is>
      </c>
      <c r="G110" s="18" t="inlineStr">
        <is>
          <t>ยิ่งใช้นานยิ่งดี ไม่มีผลข้างเคียง</t>
        </is>
      </c>
      <c r="H110" s="18" t="inlineStr">
        <is>
          <t>ใช้ได้เฉพาะเมื่อมีการติดเชื้อแบคทีเรียที่ทวารหนักเท่านั้น</t>
        </is>
      </c>
      <c r="I110" s="15" t="inlineStr">
        <is>
          <t>2</t>
        </is>
      </c>
      <c r="J110" s="18"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และควรใช้ระยะสั้น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บรรเทาอาการปวด/คัน/บวม/ระคายเคืองได้ในระยะสั้นแต่ไม่มีผลต่อการหายของโรคหรือป้องกันการเป็นซ้ำ และควรใช้ระยะสั้น ยาเหน็บหรือยาทาริดสีดวงทวารชนิดผสม (Corticosteroid + Local anesthetic + Astringent) มีบทบาทเพียงบรรเทาอาการปวด คัน บวม แสบระคายเคืองในระยะสั้น (Short-term symptomatic relief) เท่านั้น ไม่ได้ช่วยรักษาโรคให้หายขาดหรือป้องกันการเป็นซ้ำ และไม่ควรใช้ติดต่อกันนานเกิน 7 วัน เนื่องจากเสี่ยงต่อภาวะผิวหนังรอบทวารบางลง (Skin atrophy) และการดูดซึมสเตียรอยด์เข้าสู่ระบบร่างกาย
🔍 ข้ออื่นผิดเพราะอะไร:
• ข้อ ก. (รักษาริดสีดวงให้หายขาดและป้องกันการเป็นซ้ำได้): ข้อนี้ไม่ใช่คำตอบที่ถูกต้องสำหรับภาวะ Diarrhea &amp; Constipation เนื่องจากกลไกการออกฤทธิ์, efficacy หรือข้อบ่งใช้ไม่ตรงกับโจทย์ที่กำหนด
• ข้อ ค. (ใช้แทนการปรับอาหารได้ เพราะเป็น first-line): ข้อนี้ไม่ใช่คำตอบที่ถูกต้องสำหรับภาวะ Diarrhea &amp; Constipation เนื่องจากกลไกการออกฤทธิ์, efficacy หรือข้อบ่งใช้ไม่ตรงกับโจทย์ที่กำหนด
• ข้อ ง. (ยิ่งใช้นานยิ่งดี ไม่มีผลข้างเคียง): ข้อนี้ไม่ใช่คำตอบที่ถูกต้องสำหรับภาวะ Diarrhea &amp; Constipation เนื่องจากกลไกการออกฤทธิ์, efficacy หรือข้อบ่งใช้ไม่ตรงกับโจทย์ที่กำหนด
• ข้อ จ. (ใช้ได้เฉพาะเมื่อมีการติดเชื้อแบคทีเรียที่ทวารหนักเท่านั้น):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18" t="inlineStr"/>
      <c r="L110" s="18" t="inlineStr">
        <is>
          <t>Diarrhea &amp; Constipation</t>
        </is>
      </c>
      <c r="M110" s="18" t="inlineStr">
        <is>
          <t>Clinic</t>
        </is>
      </c>
      <c r="N110" s="18" t="inlineStr">
        <is>
          <t>ข้อ 7.6 Mock GI RxCU84</t>
        </is>
      </c>
      <c r="O110" s="18" t="inlineStr">
        <is>
          <t>Mock</t>
        </is>
      </c>
      <c r="P110" s="18" t="inlineStr">
        <is>
          <t>Mock RxCU84</t>
        </is>
      </c>
    </row>
    <row r="111">
      <c r="A111" s="15" t="inlineStr">
        <is>
          <t>35</t>
        </is>
      </c>
      <c r="B111" s="1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18" t="inlineStr"/>
      <c r="D111" s="18" t="inlineStr">
        <is>
          <t>Ibuprofen เหมาะสม / หลีกเลี่ยง paracetamol</t>
        </is>
      </c>
      <c r="E111" s="18" t="inlineStr">
        <is>
          <t>Paracetamol เหมาะสม / หลีกเลี่ยง NSAIDs (เช่น ibuprofen, diclofenac) และ aspirin</t>
        </is>
      </c>
      <c r="F111" s="18" t="inlineStr">
        <is>
          <t>Aspirin เหมาะสม / หลีกเลี่ยง psyllium</t>
        </is>
      </c>
      <c r="G111" s="18" t="inlineStr">
        <is>
          <t>Naproxen เหมาะสม / หลีกเลี่ยง sitz bath</t>
        </is>
      </c>
      <c r="H111" s="18" t="inlineStr">
        <is>
          <t>Tramadol เป็นทางเลือกแรก / หลีกเลี่ยง paracetamol และ sitz bath</t>
        </is>
      </c>
      <c r="I111" s="15" t="inlineStr">
        <is>
          <t>2</t>
        </is>
      </c>
      <c r="J111" s="18" t="inlineStr">
        <is>
          <t>✅ คำตอบที่ถูกต้อง: ข้อ ข. Paracetamol เหมาะสม / หลีกเลี่ยง NSAIDs (เช่น ibuprofen, diclofenac) และ aspirin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Paracetamol เหมาะสม / หลีกเลี่ยง NSAIDs (เช่น ibuprofen, diclofenac) และ aspirin ในหญิงตั้งครรภ์ไตรมาสที่ 3 Paracetamol ถือเป็นยาแก้ปวดที่ปลอดภัยและเหมาะสมเป็น First-line therapy ส่วนยากลุ่ม NSAIDs (เช่น Ibuprofen, Diclofenac, Naproxen) และ Aspirin มี contraindication เด็ดขาดเนื่องจากเสี่ยงต่อการปิดก่อนกำหนดของหลอดเลือดหัวใจทารก (Premature closure of ductus arteriosus) และภาวะน้ำคร่ำน้อย (Oligohydramnios)
🔍 ข้ออื่นผิดเพราะอะไร:
• ข้อ ก. (Ibuprofen เหมาะสม / หลีกเลี่ยง paracetamol):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(Aspirin เหมาะสม / หลีกเลี่ยง psyllium): เป็น irreversible COX-1 inhibitor ยับยั้ง Thromboxane A2 เป็นแกนหลักใน antiplatelet secondary prevention ของ CVD (ขนาดยา 75-100 mg/day)
• ข้อ ง. (Naproxen เหมาะสม / หลีกเลี่ยง sitz bath): เป็น non-selective NSAID ที่มี cardiovascular safety profile ดีที่สุด และมี efficacy สูงในการระงับ acute inflammation
• ข้อ จ. (Tramadol เป็นทางเลือกแรก / หลีกเลี่ยง paracetamol และ sitz bath):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National Comprehensive Cancer Network (NCCN) Clinical Practice Guidelines in Oncology &amp; MASCC/ESMO Antiemetic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1" s="18" t="inlineStr"/>
      <c r="L111" s="18" t="inlineStr">
        <is>
          <t>Diarrhea &amp; Constipation</t>
        </is>
      </c>
      <c r="M111" s="18" t="inlineStr">
        <is>
          <t>Clinic</t>
        </is>
      </c>
      <c r="N111" s="18" t="inlineStr">
        <is>
          <t>ข้อ 7.7 Mock GI RxCU84</t>
        </is>
      </c>
      <c r="O111" s="18" t="inlineStr">
        <is>
          <t>Mock</t>
        </is>
      </c>
      <c r="P111" s="18" t="inlineStr">
        <is>
          <t>Mock RxCU84</t>
        </is>
      </c>
    </row>
    <row r="112">
      <c r="A112" s="15" t="inlineStr">
        <is>
          <t>111</t>
        </is>
      </c>
      <c r="B112" s="18" t="inlineStr">
        <is>
          <t>ข้อใดไม่ใช่ปัจจัยที่นำไปสู่การเกิด peptic ulcer disease ในผู้ป่วยรายนี้ ตามแนวเวชปฏิบัติ dyspepsia ไทย 2561</t>
        </is>
      </c>
      <c r="C112" s="18" t="inlineStr"/>
      <c r="D112" s="18" t="inlineStr">
        <is>
          <t>ใช้ naproxen เป็นเวลานาน</t>
        </is>
      </c>
      <c r="E112" s="18" t="inlineStr">
        <is>
          <t>สูงอายุ</t>
        </is>
      </c>
      <c r="F112" s="18" t="inlineStr">
        <is>
          <t>โรคอ้วน</t>
        </is>
      </c>
      <c r="G112" s="18" t="inlineStr">
        <is>
          <t>ใช้ aspirin เป็นเวลานาน</t>
        </is>
      </c>
      <c r="H112" s="18" t="inlineStr">
        <is>
          <t>ติดเชื้อ H. pylori</t>
        </is>
      </c>
      <c r="I112" s="15" t="inlineStr">
        <is>
          <t>1</t>
        </is>
      </c>
      <c r="J112" s="18"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(ใช้ naproxen เป็นเวลานาน): เป็น non-selective NSAID ที่มี cardiovascular safety profile ดีที่สุด และมี efficacy สูงในการระงับ acute inflammation
• ข้อ ค. (สูงอายุ): ข้อนี้ไม่ใช่คำตอบที่ถูกต้องสำหรับภาวะ Dyspepsia &amp; PUD เนื่องจากกลไกการออกฤทธิ์, efficacy หรือข้อบ่งใช้ไม่ตรงกับโจทย์ที่กำหนด
• ข้อ ง. (โรคอ้วน): ข้อนี้ไม่ใช่คำตอบที่ถูกต้องสำหรับภาวะ Dyspepsia &amp; PUD เนื่องจากกลไกการออกฤทธิ์, efficacy หรือข้อบ่งใช้ไม่ตรงกับโจทย์ที่กำหนด
• ข้อ จ. (ใช้ aspirin เป็นเวลานาน): เป็น irreversible COX-1 inhibitor ยับยั้ง Thromboxane A2 เป็นแกนหลักใน antiplatelet secondary prevention ของ CVD (ขนาดยา 75-100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18" t="inlineStr"/>
      <c r="L112" s="18" t="inlineStr">
        <is>
          <t>Dyspepsia &amp; PUD</t>
        </is>
      </c>
      <c r="M112" s="18" t="inlineStr">
        <is>
          <t>Peptic Ulcer / GERD</t>
        </is>
      </c>
      <c r="N112" s="18" t="inlineStr">
        <is>
          <t>PLE_CC1_2567_Key ข้อ 8</t>
        </is>
      </c>
      <c r="O112" s="18" t="inlineStr">
        <is>
          <t>ข้อสอบจริง</t>
        </is>
      </c>
      <c r="P112" s="18" t="inlineStr">
        <is>
          <t>ปี 2567</t>
        </is>
      </c>
      <c r="Q112" s="18" t="inlineStr"/>
    </row>
    <row r="113">
      <c r="A113" s="15" t="inlineStr">
        <is>
          <t>112</t>
        </is>
      </c>
      <c r="B113" s="18"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18" t="inlineStr"/>
      <c r="D113" s="18" t="inlineStr">
        <is>
          <t>Cellulose acetate</t>
        </is>
      </c>
      <c r="E113" s="18" t="inlineStr">
        <is>
          <t>Phthalate</t>
        </is>
      </c>
      <c r="F113" s="18" t="inlineStr">
        <is>
          <t>Shellac</t>
        </is>
      </c>
      <c r="G113" s="18" t="inlineStr">
        <is>
          <t>ethyl cellulose</t>
        </is>
      </c>
      <c r="H113" s="18"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15" t="inlineStr">
        <is>
          <t>1</t>
        </is>
      </c>
      <c r="J113" s="18"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(Cellulose acetate): ข้อนี้ไม่ใช่คำตอบที่ถูกต้องสำหรับภาวะ Dyspepsia &amp; PUD เนื่องจากกลไกการออกฤทธิ์, efficacy หรือข้อบ่งใช้ไม่ตรงกับโจทย์ที่กำหนด
• ข้อ ค. (Phthalate): ข้อนี้ไม่ใช่คำตอบที่ถูกต้องสำหรับภาวะ Dyspepsia &amp; PUD เนื่องจากกลไกการออกฤทธิ์, efficacy หรือข้อบ่งใช้ไม่ตรงกับโจทย์ที่กำหนด
• ข้อ ง. (Shellac): ข้อนี้ไม่ใช่คำตอบที่ถูกต้องสำหรับภาวะ Dyspepsia &amp; PUD เนื่องจากกลไกการออกฤทธิ์, efficacy หรือข้อบ่งใช้ไม่ตรงกับโจทย์ที่กำหนด
• ข้อ จ. (ethyl cellulose):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8" t="inlineStr"/>
      <c r="L113" s="18" t="inlineStr">
        <is>
          <t>Dyspepsia &amp; PUD</t>
        </is>
      </c>
      <c r="M113" s="18" t="inlineStr">
        <is>
          <t>Peptic Ulcer / GERD</t>
        </is>
      </c>
      <c r="N113" s="18" t="inlineStr">
        <is>
          <t>PLE_CC1_2567_Key ข้อ 91</t>
        </is>
      </c>
      <c r="O113" s="18" t="inlineStr">
        <is>
          <t>ข้อสอบจริง</t>
        </is>
      </c>
      <c r="P113" s="18" t="inlineStr">
        <is>
          <t>ปี 2567</t>
        </is>
      </c>
      <c r="Q113" s="18" t="inlineStr"/>
    </row>
    <row r="114">
      <c r="A114" s="15" t="inlineStr">
        <is>
          <t>113</t>
        </is>
      </c>
      <c r="B114" s="18"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18" t="inlineStr"/>
      <c r="D114" s="18" t="inlineStr">
        <is>
          <t>Peptic Ulcer / GERD</t>
        </is>
      </c>
      <c r="E114" s="18" t="inlineStr">
        <is>
          <t>Metoclopramide 10 mg TID before meals</t>
        </is>
      </c>
      <c r="F114" s="18" t="inlineStr">
        <is>
          <t>Omeprazole 20 mg OD</t>
        </is>
      </c>
      <c r="G114" s="18" t="inlineStr">
        <is>
          <t>Esomeprazole 20 mg OD</t>
        </is>
      </c>
      <c r="H114" s="18" t="inlineStr">
        <is>
          <t>Domperidone 10 mg TID</t>
        </is>
      </c>
      <c r="I114" s="15" t="inlineStr">
        <is>
          <t>1</t>
        </is>
      </c>
      <c r="J114" s="1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8" t="inlineStr"/>
      <c r="L114" s="18" t="inlineStr">
        <is>
          <t>GERD</t>
        </is>
      </c>
      <c r="M114" s="18" t="inlineStr">
        <is>
          <t>Peptic Ulcer / GERD</t>
        </is>
      </c>
      <c r="N114" s="18" t="inlineStr">
        <is>
          <t>PLE_CC1_2567_Key ข้อ 99</t>
        </is>
      </c>
      <c r="O114" s="18" t="inlineStr">
        <is>
          <t>ข้อสอบจริง</t>
        </is>
      </c>
      <c r="P114" s="18" t="inlineStr">
        <is>
          <t>ปี 2567</t>
        </is>
      </c>
    </row>
    <row r="115">
      <c r="A115" s="15" t="inlineStr">
        <is>
          <t>114</t>
        </is>
      </c>
      <c r="B115" s="18" t="inlineStr">
        <is>
          <t>ข้อใดไม่ใช่ปัจจัยที่นำไปสู่การเกิด peptic ulcer disease ในผู้ป่วยรายนี้ ตามแนวเวชปฏิบัติ dyspepsia ไทย 2561</t>
        </is>
      </c>
      <c r="C115" s="18" t="inlineStr"/>
      <c r="D115" s="18" t="inlineStr">
        <is>
          <t>Dolutegravir</t>
        </is>
      </c>
      <c r="E115" s="18" t="inlineStr">
        <is>
          <t>Lopinavir/Ritonavir</t>
        </is>
      </c>
      <c r="F115" s="18" t="inlineStr">
        <is>
          <t>Etravirine</t>
        </is>
      </c>
      <c r="G115" s="18" t="inlineStr">
        <is>
          <t>Emtricitabine</t>
        </is>
      </c>
      <c r="H115" s="18" t="inlineStr">
        <is>
          <t>Enfuvirtide (INSTI)</t>
        </is>
      </c>
      <c r="I115" s="15" t="inlineStr">
        <is>
          <t>1</t>
        </is>
      </c>
      <c r="J115" s="18"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(Dolutegravir): เป็น Integrase strand transfer inhibitor (INSTI) มี genetic barrier ต่อการดื้อยาสูงมาก และ efficacy สูงในการกด viral load ได้อย่างรวดเร็ว
• ข้อ ค. (Lopinavir/Ritonavir): ข้อนี้ไม่ใช่คำตอบที่ถูกต้องสำหรับภาวะ Dyspepsia &amp; PUD เนื่องจากกลไกการออกฤทธิ์, efficacy หรือข้อบ่งใช้ไม่ตรงกับโจทย์ที่กำหนด
• ข้อ ง. (Etravirine): ข้อนี้ไม่ใช่คำตอบที่ถูกต้องสำหรับภาวะ Dyspepsia &amp; PUD เนื่องจากกลไกการออกฤทธิ์, efficacy หรือข้อบ่งใช้ไม่ตรงกับโจทย์ที่กำหนด
• ข้อ จ. (Emtricitabine):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8" t="inlineStr"/>
      <c r="L115" s="18" t="inlineStr">
        <is>
          <t>Dyspepsia &amp; PUD</t>
        </is>
      </c>
      <c r="M115" s="18" t="inlineStr">
        <is>
          <t>Peptic Ulcer / GERD</t>
        </is>
      </c>
      <c r="N115" s="18" t="inlineStr">
        <is>
          <t>PLE_CC1_2567_Set1_Key ข้อ 8</t>
        </is>
      </c>
      <c r="O115" s="18" t="inlineStr">
        <is>
          <t>ข้อสอบจริง</t>
        </is>
      </c>
      <c r="P115" s="18" t="inlineStr">
        <is>
          <t>ปี 2567</t>
        </is>
      </c>
      <c r="Q115" s="18" t="inlineStr"/>
    </row>
    <row r="116">
      <c r="A116" s="15" t="inlineStr">
        <is>
          <t>115</t>
        </is>
      </c>
      <c r="B116" s="18"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18" t="inlineStr"/>
      <c r="D116" s="18" t="inlineStr">
        <is>
          <t>Cellulose acetate</t>
        </is>
      </c>
      <c r="E116" s="18" t="inlineStr">
        <is>
          <t>Phthalate</t>
        </is>
      </c>
      <c r="F116" s="18" t="inlineStr">
        <is>
          <t>Shellac</t>
        </is>
      </c>
      <c r="G116" s="18" t="inlineStr">
        <is>
          <t>ethyl cellulose</t>
        </is>
      </c>
      <c r="H116" s="18"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15" t="inlineStr">
        <is>
          <t>1</t>
        </is>
      </c>
      <c r="J116" s="18"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(Cellulose acetate): ข้อนี้ไม่ใช่คำตอบที่ถูกต้องสำหรับภาวะ Dyspepsia &amp; PUD เนื่องจากกลไกการออกฤทธิ์, efficacy หรือข้อบ่งใช้ไม่ตรงกับโจทย์ที่กำหนด
• ข้อ ค. (Phthalate): ข้อนี้ไม่ใช่คำตอบที่ถูกต้องสำหรับภาวะ Dyspepsia &amp; PUD เนื่องจากกลไกการออกฤทธิ์, efficacy หรือข้อบ่งใช้ไม่ตรงกับโจทย์ที่กำหนด
• ข้อ ง. (Shellac): ข้อนี้ไม่ใช่คำตอบที่ถูกต้องสำหรับภาวะ Dyspepsia &amp; PUD เนื่องจากกลไกการออกฤทธิ์, efficacy หรือข้อบ่งใช้ไม่ตรงกับโจทย์ที่กำหนด
• ข้อ จ. (ethyl cellulose):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18" t="inlineStr"/>
      <c r="L116" s="18" t="inlineStr">
        <is>
          <t>Dyspepsia &amp; PUD</t>
        </is>
      </c>
      <c r="M116" s="18" t="inlineStr">
        <is>
          <t>Peptic Ulcer / GERD</t>
        </is>
      </c>
      <c r="N116" s="18" t="inlineStr">
        <is>
          <t>PLE_CC1_2567_Set1_Key ข้อ 91</t>
        </is>
      </c>
      <c r="O116" s="18" t="inlineStr">
        <is>
          <t>ข้อสอบจริง</t>
        </is>
      </c>
      <c r="P116" s="18" t="inlineStr">
        <is>
          <t>ปี 2567</t>
        </is>
      </c>
      <c r="Q116" s="18" t="inlineStr"/>
    </row>
    <row r="117">
      <c r="A117" s="15" t="inlineStr">
        <is>
          <t>116</t>
        </is>
      </c>
      <c r="B117" s="18" t="inlineStr">
        <is>
          <t>ใช้Nicotin gum แล้วรู้สึก… (อาการคล้ายๆพวกGERD) จะ แนะนำอย่างไร ตัวเลือก</t>
        </is>
      </c>
      <c r="C117" s="18" t="inlineStr"/>
      <c r="D117" s="18" t="inlineStr">
        <is>
          <t>Peptic Ulcer / GERD</t>
        </is>
      </c>
      <c r="E117" s="18" t="inlineStr">
        <is>
          <t>Amoxicillin 1000 mg BID</t>
        </is>
      </c>
      <c r="F117" s="18" t="inlineStr">
        <is>
          <t>Clarithromycin 500 mg BID</t>
        </is>
      </c>
      <c r="G117" s="18" t="inlineStr">
        <is>
          <t>Hyoscine butylbromide 10 mg TID</t>
        </is>
      </c>
      <c r="H117" s="18" t="inlineStr">
        <is>
          <t>Aluminium hydroxide/Magnesium hydroxide suspension</t>
        </is>
      </c>
      <c r="I117" s="15" t="inlineStr">
        <is>
          <t>1</t>
        </is>
      </c>
      <c r="J117" s="1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เป็น Aminopenicillin ยับยั้ง bacterial cell wall synthesis เป็น first-line สำหรับ uncomplicated bacterial infections (เช่น Strep pharyngitis, AOM, sinusitis)
• ข้อ ค. (Clarithromycin 500 mg BID): เป็น Macrolide เป็นแกนหลักในสูตรกำจัด H. pylori และ MAC treatment แต่ยับยั้ง CYP3A4 สูงมาก จึงมี drug-drug interactions รุนแรงกับ statins, colchicine
• ข้อ ง. (Hyoscine butylbromide 10 mg TID): ข้อนี้ไม่ใช่คำตอบที่ถูกต้องสำหรับภาวะ GERD เนื่องจากกลไกการออกฤทธิ์, efficacy หรือข้อบ่งใช้ไม่ตรงกับโจทย์ที่กำหนด
• ข้อ จ.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18" t="inlineStr"/>
      <c r="L117" s="18" t="inlineStr">
        <is>
          <t>GERD</t>
        </is>
      </c>
      <c r="M117" s="18" t="inlineStr">
        <is>
          <t>Peptic Ulcer / GERD</t>
        </is>
      </c>
      <c r="N117" s="18" t="inlineStr">
        <is>
          <t>PLE-CC1 ปี 2566 Day 1 ข้อ 47</t>
        </is>
      </c>
      <c r="O117" s="18" t="inlineStr">
        <is>
          <t>ข้อสอบจริง</t>
        </is>
      </c>
      <c r="P117" s="18" t="inlineStr">
        <is>
          <t>ปี 2566</t>
        </is>
      </c>
    </row>
    <row r="118">
      <c r="A118" s="15" t="inlineStr">
        <is>
          <t>117</t>
        </is>
      </c>
      <c r="B118" s="18" t="inlineStr">
        <is>
          <t>อาการที่บ่งบอกว่าเป็นGERD แน่ ตัวเลือก</t>
        </is>
      </c>
      <c r="C118" s="18" t="inlineStr"/>
      <c r="D118" s="18" t="inlineStr">
        <is>
          <t>Peptic Ulcer / GERD</t>
        </is>
      </c>
      <c r="E118" s="18" t="inlineStr">
        <is>
          <t>Aluminium hydroxide/Magnesium hydroxide suspension</t>
        </is>
      </c>
      <c r="F118" s="18" t="inlineStr">
        <is>
          <t>Metoclopramide 10 mg TID before meals</t>
        </is>
      </c>
      <c r="G118" s="18" t="inlineStr">
        <is>
          <t>Omeprazole 20 mg OD</t>
        </is>
      </c>
      <c r="H118" s="18" t="inlineStr">
        <is>
          <t>Esomeprazole 20 mg OD</t>
        </is>
      </c>
      <c r="I118" s="15" t="inlineStr">
        <is>
          <t>1</t>
        </is>
      </c>
      <c r="J118" s="1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18" t="inlineStr"/>
      <c r="L118" s="18" t="inlineStr">
        <is>
          <t>GERD</t>
        </is>
      </c>
      <c r="M118" s="18" t="inlineStr">
        <is>
          <t>Peptic Ulcer / GERD</t>
        </is>
      </c>
      <c r="N118" s="18" t="inlineStr">
        <is>
          <t>PLE-CC1 ปี 2566 Day 1 ข้อ 51</t>
        </is>
      </c>
      <c r="O118" s="18" t="inlineStr">
        <is>
          <t>ข้อสอบจริง</t>
        </is>
      </c>
      <c r="P118" s="18" t="inlineStr">
        <is>
          <t>ปี 2566</t>
        </is>
      </c>
    </row>
    <row r="119">
      <c r="A119" s="15" t="inlineStr">
        <is>
          <t>118</t>
        </is>
      </c>
      <c r="B119" s="18" t="inlineStr">
        <is>
          <t>Dyspepsia ให้ยาอะไร ตัวเลือก</t>
        </is>
      </c>
      <c r="C119" s="18" t="inlineStr"/>
      <c r="D119" s="18" t="inlineStr">
        <is>
          <t>Peptic Ulcer / GERD</t>
        </is>
      </c>
      <c r="E119" s="18" t="inlineStr">
        <is>
          <t>Esomeprazole 20 mg OD</t>
        </is>
      </c>
      <c r="F119" s="18" t="inlineStr">
        <is>
          <t>Domperidone 10 mg TID</t>
        </is>
      </c>
      <c r="G119" s="18" t="inlineStr">
        <is>
          <t>Dimenhydrinate 50 mg TID</t>
        </is>
      </c>
      <c r="H119" s="18" t="inlineStr">
        <is>
          <t>Loperamide 2 mg PRN</t>
        </is>
      </c>
      <c r="I119" s="15" t="inlineStr">
        <is>
          <t>1</t>
        </is>
      </c>
      <c r="J119" s="1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8" t="inlineStr"/>
      <c r="L119" s="18" t="inlineStr">
        <is>
          <t>GERD</t>
        </is>
      </c>
      <c r="M119" s="18" t="inlineStr">
        <is>
          <t>Peptic Ulcer / GERD</t>
        </is>
      </c>
      <c r="N119" s="18" t="inlineStr">
        <is>
          <t>PLE-CC1 ปี 2566 Day 1 ข้อ 53</t>
        </is>
      </c>
      <c r="O119" s="18" t="inlineStr">
        <is>
          <t>ข้อสอบจริง</t>
        </is>
      </c>
      <c r="P119" s="18" t="inlineStr">
        <is>
          <t>ปี 2566</t>
        </is>
      </c>
    </row>
    <row r="120">
      <c r="A120" s="15" t="inlineStr">
        <is>
          <t>119</t>
        </is>
      </c>
      <c r="B120" s="18" t="inlineStr">
        <is>
          <t>receptor ที่เกี่ยวข้องโดยตรงกับการคลื่นไส้อาเจียน. ตัวเลือก</t>
        </is>
      </c>
      <c r="C120" s="18" t="inlineStr"/>
      <c r="D120" s="18" t="inlineStr">
        <is>
          <t>Peptic Ulcer / GERD</t>
        </is>
      </c>
      <c r="E120" s="18" t="inlineStr">
        <is>
          <t>Loperamide 2 mg PRN</t>
        </is>
      </c>
      <c r="F120" s="18" t="inlineStr">
        <is>
          <t>Senna 2 tabs HS</t>
        </is>
      </c>
      <c r="G120" s="18" t="inlineStr">
        <is>
          <t>Bisacodyl 5 mg HS</t>
        </is>
      </c>
      <c r="H120" s="18" t="inlineStr">
        <is>
          <t>Lactulose 15 mL OD</t>
        </is>
      </c>
      <c r="I120" s="15" t="inlineStr">
        <is>
          <t>1</t>
        </is>
      </c>
      <c r="J120" s="18"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18" t="inlineStr"/>
      <c r="L120" s="18" t="inlineStr">
        <is>
          <t>Nausea and vomiting</t>
        </is>
      </c>
      <c r="M120" s="18" t="inlineStr">
        <is>
          <t>Peptic Ulcer / GERD</t>
        </is>
      </c>
      <c r="N120" s="18" t="inlineStr">
        <is>
          <t>PLE-CC1 ปี 2566 Day 2 ข้อ 4</t>
        </is>
      </c>
      <c r="O120" s="18" t="inlineStr">
        <is>
          <t>ข้อสอบจริง</t>
        </is>
      </c>
      <c r="P120" s="18" t="inlineStr">
        <is>
          <t>ปี 2566</t>
        </is>
      </c>
    </row>
    <row r="121">
      <c r="A121" s="15" t="inlineStr">
        <is>
          <t>120</t>
        </is>
      </c>
      <c r="B121" s="18" t="inlineStr">
        <is>
          <t>ยาต้านอาเจียนที่ทำให้เกิดQT prolongation ตัวเลือก</t>
        </is>
      </c>
      <c r="C121" s="18" t="inlineStr"/>
      <c r="D121" s="18" t="inlineStr">
        <is>
          <t>Peptic Ulcer / GERD</t>
        </is>
      </c>
      <c r="E121" s="18" t="inlineStr">
        <is>
          <t>Lactulose 15 mL OD</t>
        </is>
      </c>
      <c r="F121" s="18" t="inlineStr">
        <is>
          <t>Amoxicillin 1000 mg BID</t>
        </is>
      </c>
      <c r="G121" s="18" t="inlineStr">
        <is>
          <t>Clarithromycin 500 mg BID</t>
        </is>
      </c>
      <c r="H121" s="18" t="inlineStr">
        <is>
          <t>Hyoscine butylbromide 10 mg TID</t>
        </is>
      </c>
      <c r="I121" s="15" t="inlineStr">
        <is>
          <t>1</t>
        </is>
      </c>
      <c r="J121" s="18"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ข้อ จ. (Hyoscine butylbromide 10 mg TID): ข้อนี้ไม่ใช่คำตอบที่ถูกต้องสำหรับภาวะ Nausea and vomiting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18" t="inlineStr"/>
      <c r="L121" s="18" t="inlineStr">
        <is>
          <t>Nausea and vomiting</t>
        </is>
      </c>
      <c r="M121" s="18" t="inlineStr">
        <is>
          <t>Peptic Ulcer / GERD</t>
        </is>
      </c>
      <c r="N121" s="18" t="inlineStr">
        <is>
          <t>PLE-CC1 ปี 2566 Day 2 ข้อ 63</t>
        </is>
      </c>
      <c r="O121" s="18" t="inlineStr">
        <is>
          <t>ข้อสอบจริง</t>
        </is>
      </c>
      <c r="P121" s="18" t="inlineStr">
        <is>
          <t>ปี 2566</t>
        </is>
      </c>
    </row>
    <row r="122">
      <c r="A122" s="15" t="inlineStr">
        <is>
          <t>121</t>
        </is>
      </c>
      <c r="B122" s="18" t="inlineStr">
        <is>
          <t>ยาต้านอาเจียนที่เป็นมาตรฐาน ที่จะบริหารก่อนการให้ยาเคมียำบัด ตัวเลือก</t>
        </is>
      </c>
      <c r="C122" s="18" t="inlineStr"/>
      <c r="D122" s="18" t="inlineStr">
        <is>
          <t>Peptic Ulcer / GERD</t>
        </is>
      </c>
      <c r="E122" s="18" t="inlineStr">
        <is>
          <t>Hyoscine butylbromide 10 mg TID</t>
        </is>
      </c>
      <c r="F122" s="18" t="inlineStr">
        <is>
          <t>Aluminium hydroxide/Magnesium hydroxide suspension</t>
        </is>
      </c>
      <c r="G122" s="18" t="inlineStr">
        <is>
          <t>Metoclopramide 10 mg TID before meals</t>
        </is>
      </c>
      <c r="H122" s="18" t="inlineStr">
        <is>
          <t>Omeprazole 20 mg OD</t>
        </is>
      </c>
      <c r="I122" s="15" t="inlineStr">
        <is>
          <t>1</t>
        </is>
      </c>
      <c r="J122" s="18"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(Hyoscine butylbromide 10 mg TID): ข้อนี้ไม่ใช่คำตอบที่ถูกต้องสำหรับภาวะ Nausea and vomiting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Nausea and vomiting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8" t="inlineStr"/>
      <c r="L122" s="18" t="inlineStr">
        <is>
          <t>Nausea and vomiting</t>
        </is>
      </c>
      <c r="M122" s="18" t="inlineStr">
        <is>
          <t>Peptic Ulcer / GERD</t>
        </is>
      </c>
      <c r="N122" s="18" t="inlineStr">
        <is>
          <t>PLE-CC1 ปี 2566 Day 2 ข้อ 93</t>
        </is>
      </c>
      <c r="O122" s="18" t="inlineStr">
        <is>
          <t>ข้อสอบจริง</t>
        </is>
      </c>
      <c r="P122" s="18" t="inlineStr">
        <is>
          <t>ปี 2566</t>
        </is>
      </c>
    </row>
    <row r="123">
      <c r="A123" s="15" t="inlineStr">
        <is>
          <t>122</t>
        </is>
      </c>
      <c r="B123" s="18" t="inlineStr">
        <is>
          <t>Gastroesophageal reflux disease (GERD)</t>
        </is>
      </c>
      <c r="C123" s="18" t="inlineStr"/>
      <c r="D123" s="18" t="inlineStr">
        <is>
          <t>Peptic Ulcer / GERD</t>
        </is>
      </c>
      <c r="E123" s="18" t="inlineStr">
        <is>
          <t>Omeprazole 20 mg OD</t>
        </is>
      </c>
      <c r="F123" s="18" t="inlineStr">
        <is>
          <t>Esomeprazole 20 mg OD</t>
        </is>
      </c>
      <c r="G123" s="18" t="inlineStr">
        <is>
          <t>Domperidone 10 mg TID</t>
        </is>
      </c>
      <c r="H123" s="18" t="inlineStr">
        <is>
          <t>Dimenhydrinate 50 mg TID</t>
        </is>
      </c>
      <c r="I123" s="15" t="inlineStr">
        <is>
          <t>1</t>
        </is>
      </c>
      <c r="J123" s="1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18" t="inlineStr"/>
      <c r="L123" s="18" t="inlineStr">
        <is>
          <t>GERD</t>
        </is>
      </c>
      <c r="M123" s="18" t="inlineStr">
        <is>
          <t>Peptic Ulcer / GERD</t>
        </is>
      </c>
      <c r="N123" s="18" t="inlineStr">
        <is>
          <t>PLE_CC1_2565_Day1_Key ข้อ 7</t>
        </is>
      </c>
      <c r="O123" s="18" t="inlineStr">
        <is>
          <t>ข้อสอบจริง</t>
        </is>
      </c>
      <c r="P123" s="18" t="inlineStr">
        <is>
          <t>ปี 2565</t>
        </is>
      </c>
    </row>
    <row r="124">
      <c r="A124" s="15" t="inlineStr">
        <is>
          <t>123</t>
        </is>
      </c>
      <c r="B124" s="18" t="inlineStr">
        <is>
          <t>“แผ-นพับยาแสดงอาการข$างเคียงของยาดังนี้ salivation, urinary incontinence, sweating, diarrhea, Tremor” จากข$อความดังกล-าว หมายถึงยาใด</t>
        </is>
      </c>
      <c r="C124" s="18" t="inlineStr"/>
      <c r="D124" s="18" t="inlineStr">
        <is>
          <t>Timolol eye drop</t>
        </is>
      </c>
      <c r="E124" s="18" t="inlineStr">
        <is>
          <t>Diclofenac eye drop</t>
        </is>
      </c>
      <c r="F124" s="18" t="inlineStr">
        <is>
          <t>Pilocarpine eye drop</t>
        </is>
      </c>
      <c r="G124" s="18" t="inlineStr">
        <is>
          <t>Brinzolamide eye drop</t>
        </is>
      </c>
      <c r="H124" s="18" t="inlineStr">
        <is>
          <t>Chloramphenicol eye ointment</t>
        </is>
      </c>
      <c r="I124" s="15" t="inlineStr">
        <is>
          <t>1</t>
        </is>
      </c>
      <c r="J124" s="18" t="inlineStr">
        <is>
          <t>✅ คำตอบที่ถูกต้อง: ข้อ ก. Timolol eye drop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Diarrhea &amp; Constipation โดยมี clinical efficacy สูงสุดในการรักษาและมี safety profile ที่เหมาะสม
🔍 ข้ออื่นผิดเพราะอะไร:
• ข้อ ข. (Timolol eye drop): ข้อนี้ไม่ใช่คำตอบที่ถูกต้องสำหรับภาวะ Diarrhea &amp; Constipation เนื่องจากกลไกการออกฤทธิ์, efficacy หรือข้อบ่งใช้ไม่ตรงกับโจทย์ที่กำหนด
• ข้อ ค. (Diclofenac eye drop): ข้อนี้ไม่ใช่คำตอบที่ถูกต้องสำหรับภาวะ Diarrhea &amp; Constipation เนื่องจากกลไกการออกฤทธิ์, efficacy หรือข้อบ่งใช้ไม่ตรงกับโจทย์ที่กำหนด
• ข้อ ง. (Pilocarpine eye drop): ข้อนี้ไม่ใช่คำตอบที่ถูกต้องสำหรับภาวะ Diarrhea &amp; Constipation เนื่องจากกลไกการออกฤทธิ์, efficacy หรือข้อบ่งใช้ไม่ตรงกับโจทย์ที่กำหนด
• ข้อ จ. (Brinzolamide eye drop):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 s="18" t="inlineStr"/>
      <c r="L124" s="18" t="inlineStr">
        <is>
          <t>Diarrhea &amp; Constipation</t>
        </is>
      </c>
      <c r="M124" s="18" t="inlineStr">
        <is>
          <t>Peptic Ulcer / GERD</t>
        </is>
      </c>
      <c r="N124" s="18" t="inlineStr">
        <is>
          <t>PLE_CC1_2565_Day2_Key ข้อ 41</t>
        </is>
      </c>
      <c r="O124" s="18" t="inlineStr">
        <is>
          <t>ข้อสอบจริง</t>
        </is>
      </c>
      <c r="P124" s="18" t="inlineStr">
        <is>
          <t>ปี 2565</t>
        </is>
      </c>
      <c r="Q124" s="18" t="inlineStr"/>
    </row>
    <row r="125">
      <c r="A125" s="15" t="inlineStr">
        <is>
          <t>124</t>
        </is>
      </c>
      <c r="B125" s="18" t="inlineStr">
        <is>
          <t>ยาต$านอาเจียนในข$อใดที่สามารถกินกับยายับยั้งการกลั่งกรดได$</t>
        </is>
      </c>
      <c r="C125" s="18" t="inlineStr"/>
      <c r="D125" s="18" t="inlineStr">
        <is>
          <t>Peptic Ulcer / GERD</t>
        </is>
      </c>
      <c r="E125" s="18" t="inlineStr">
        <is>
          <t>Domperidone avoid simultaneous use of antacids or antisecretory drugs (Micromedex) PLE-CC1 Preparation 2565 Paraben conc. Saccharin sodium Flavoring agent Purified water qs. to 60 mL</t>
        </is>
      </c>
      <c r="F125" s="18" t="inlineStr">
        <is>
          <t>Lactulose 15 mL OD</t>
        </is>
      </c>
      <c r="G125" s="18" t="inlineStr">
        <is>
          <t>Amoxicillin 1000 mg BID</t>
        </is>
      </c>
      <c r="H125" s="18" t="inlineStr">
        <is>
          <t>Clarithromycin 500 mg BID</t>
        </is>
      </c>
      <c r="I125" s="15" t="inlineStr">
        <is>
          <t>1</t>
        </is>
      </c>
      <c r="J125" s="18"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(Domperidone avoid simultaneous use of antacids or antisecretory drugs (Micromedex) PLE-CC1 Preparation 2565 Paraben conc. Saccharin sodium Flavoring agent Purified water qs. to 60 mL): เป็น peripheral D2 receptor antagonist เพิ่ม GI motility ไม่ผ่าน BBB จึงไม่ทำให้เกิด EPS เด่นชัด แต่ต้องระวัง QT prolongation ในขนาดสูง (&gt; 30 mg/day)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8" t="inlineStr"/>
      <c r="L125" s="18" t="inlineStr">
        <is>
          <t>Nausea and vomiting</t>
        </is>
      </c>
      <c r="M125" s="18" t="inlineStr">
        <is>
          <t>Peptic Ulcer / GERD</t>
        </is>
      </c>
      <c r="N125" s="18" t="inlineStr">
        <is>
          <t>PLE_CC1_2565_Day2_Key ข้อ 52</t>
        </is>
      </c>
      <c r="O125" s="18" t="inlineStr">
        <is>
          <t>ข้อสอบจริง</t>
        </is>
      </c>
      <c r="P125" s="18" t="inlineStr">
        <is>
          <t>ปี 2565</t>
        </is>
      </c>
    </row>
    <row r="126">
      <c r="A126" s="15" t="inlineStr">
        <is>
          <t>125</t>
        </is>
      </c>
      <c r="B126" s="18"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18" t="inlineStr"/>
      <c r="D126" s="18" t="inlineStr">
        <is>
          <t>Peptic Ulcer / GERD</t>
        </is>
      </c>
      <c r="E126" s="18" t="inlineStr">
        <is>
          <t>Clarithromycin 500 mg BID</t>
        </is>
      </c>
      <c r="F126" s="18" t="inlineStr">
        <is>
          <t>Hyoscine butylbromide 10 mg TID</t>
        </is>
      </c>
      <c r="G126" s="18" t="inlineStr">
        <is>
          <t>Aluminium hydroxide/Magnesium hydroxide suspension</t>
        </is>
      </c>
      <c r="H126" s="18" t="inlineStr">
        <is>
          <t>Metoclopramide 10 mg TID before meals</t>
        </is>
      </c>
      <c r="I126" s="15" t="inlineStr">
        <is>
          <t>1</t>
        </is>
      </c>
      <c r="J126" s="1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Dyspepsia &amp; PUD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Dyspepsia &amp; PUD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18" t="inlineStr"/>
      <c r="L126" s="18" t="inlineStr">
        <is>
          <t>Dyspepsia &amp; PUD</t>
        </is>
      </c>
      <c r="M126" s="18" t="inlineStr">
        <is>
          <t>Peptic Ulcer / GERD</t>
        </is>
      </c>
      <c r="N126" s="18" t="inlineStr">
        <is>
          <t>PLE_CC1_2564_All_Key ข้อ 43</t>
        </is>
      </c>
      <c r="O126" s="18" t="inlineStr">
        <is>
          <t>ข้อสอบจริง</t>
        </is>
      </c>
      <c r="P126" s="18" t="inlineStr">
        <is>
          <t>ปี 2564</t>
        </is>
      </c>
    </row>
    <row r="127">
      <c r="A127" s="15" t="inlineStr">
        <is>
          <t>126</t>
        </is>
      </c>
      <c r="B127" s="18"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18" t="inlineStr"/>
      <c r="D127" s="18" t="inlineStr">
        <is>
          <t>Peptic Ulcer / GERD</t>
        </is>
      </c>
      <c r="E127" s="18" t="inlineStr">
        <is>
          <t>Metoclopramide 10 mg TID before meals</t>
        </is>
      </c>
      <c r="F127" s="18" t="inlineStr">
        <is>
          <t>Omeprazole 20 mg OD</t>
        </is>
      </c>
      <c r="G127" s="18" t="inlineStr">
        <is>
          <t>Esomeprazole 20 mg OD</t>
        </is>
      </c>
      <c r="H127" s="18" t="inlineStr">
        <is>
          <t>Domperidone 10 mg TID</t>
        </is>
      </c>
      <c r="I127" s="15" t="inlineStr">
        <is>
          <t>1</t>
        </is>
      </c>
      <c r="J127" s="1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18" t="inlineStr"/>
      <c r="L127" s="18" t="inlineStr">
        <is>
          <t>GERD</t>
        </is>
      </c>
      <c r="M127" s="18" t="inlineStr">
        <is>
          <t>Peptic Ulcer / GERD</t>
        </is>
      </c>
      <c r="N127" s="18" t="inlineStr">
        <is>
          <t>PLE_CC1_2564_All_Key ข้อ 106</t>
        </is>
      </c>
      <c r="O127" s="18" t="inlineStr">
        <is>
          <t>ข้อสอบจริง</t>
        </is>
      </c>
      <c r="P127" s="18" t="inlineStr">
        <is>
          <t>ปี 2564</t>
        </is>
      </c>
    </row>
    <row r="128">
      <c r="A128" s="15" t="inlineStr">
        <is>
          <t>127</t>
        </is>
      </c>
      <c r="B128" s="18" t="inlineStr">
        <is>
          <t>สาเหตุขอษน้ำหนักขึ้นและคลื่นไส้อาเสียนเกิดสากอะไร</t>
        </is>
      </c>
      <c r="C128" s="18" t="inlineStr"/>
      <c r="D128" s="18" t="inlineStr">
        <is>
          <t>Peptic Ulcer / GERD</t>
        </is>
      </c>
      <c r="E128" s="18" t="inlineStr">
        <is>
          <t>Androgenic effect สาก levonorgestrel</t>
        </is>
      </c>
      <c r="F128" s="18" t="inlineStr">
        <is>
          <t>Estrogenic effect สาก ethinyl estradiol</t>
        </is>
      </c>
      <c r="G128" s="18" t="inlineStr">
        <is>
          <t>Androgenic effect สาก levonorgestrel และ ethinyl estradiol ษ. Estrogenic effect สาก levonorgestrel และ ethinyl estradiol ส. Androgenic effect ที่มักพบในผู้หญิษประเภท estrogenic type</t>
        </is>
      </c>
      <c r="H128" s="18" t="inlineStr">
        <is>
          <t>Senna 2 tabs HS</t>
        </is>
      </c>
      <c r="I128" s="15" t="inlineStr">
        <is>
          <t>1</t>
        </is>
      </c>
      <c r="J128" s="18"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(Androgenic effect สาก levonorgestrel): ข้อนี้ไม่ใช่คำตอบที่ถูกต้องสำหรับภาวะ Nausea and vomiting เนื่องจากกลไกการออกฤทธิ์, efficacy หรือข้อบ่งใช้ไม่ตรงกับโจทย์ที่กำหนด
• ข้อ ค. (Estrogenic effect สาก ethinyl estradiol): ข้อนี้ไม่ใช่คำตอบที่ถูกต้องสำหรับภาวะ Nausea and vomiting เนื่องจากกลไกการออกฤทธิ์, efficacy หรือข้อบ่งใช้ไม่ตรงกับโจทย์ที่กำหนด
• ข้อ ง. (Androgenic effect สาก levonorgestrel และ ethinyl estradiol ษ. Estrogenic effect สาก levonorgestrel และ ethinyl estradiol ส. Androgenic effect ที่มักพบในผู้หญิษประเภท estrogenic type): ข้อนี้ไม่ใช่คำตอบที่ถูกต้องสำหรับภาวะ Nausea and vomiting เนื่องจากกลไกการออกฤทธิ์, efficacy หรือข้อบ่งใช้ไม่ตรงกับโจทย์ที่กำหนด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18" t="inlineStr"/>
      <c r="L128" s="18" t="inlineStr">
        <is>
          <t>Nausea and vomiting</t>
        </is>
      </c>
      <c r="M128" s="18" t="inlineStr">
        <is>
          <t>Peptic Ulcer / GERD</t>
        </is>
      </c>
      <c r="N128" s="18" t="inlineStr">
        <is>
          <t>PLE_CC1_2563_Q ข้อ 70</t>
        </is>
      </c>
      <c r="O128" s="18" t="inlineStr">
        <is>
          <t>ข้อสอบจริง</t>
        </is>
      </c>
      <c r="P128" s="18" t="inlineStr">
        <is>
          <t>ปี 2563</t>
        </is>
      </c>
    </row>
    <row r="129">
      <c r="A129" s="15" t="inlineStr">
        <is>
          <t>127</t>
        </is>
      </c>
      <c r="B129" s="18" t="inlineStr">
        <is>
          <t>ยา PPIs ตัวใดไม่แนะนำให้ใช้ในคนท้องจนถึงคลอด ~ - X L -</t>
        </is>
      </c>
      <c r="C129" s="18" t="inlineStr"/>
      <c r="D129" s="18" t="inlineStr">
        <is>
          <t>Omeprazole</t>
        </is>
      </c>
      <c r="E129" s="18" t="inlineStr">
        <is>
          <t>Esomeprazole</t>
        </is>
      </c>
      <c r="F129" s="18" t="inlineStr">
        <is>
          <t>Lansoprazole</t>
        </is>
      </c>
      <c r="G129" s="18" t="inlineStr">
        <is>
          <t>Pantoprazole</t>
        </is>
      </c>
      <c r="H129" s="18" t="inlineStr">
        <is>
          <t>Rabeprazole + ATPase O Omeprazole E Lansoprazde B Rabeprazole B X Pantoprazole B Esomeprazole B หË´มนาÆปทาซËาทืกกรณิ ÂวËนาต้จ²ÆดËรงบ¯นืญ´ต ~</t>
        </is>
      </c>
      <c r="I129" s="15" t="inlineStr">
        <is>
          <t>1</t>
        </is>
      </c>
      <c r="J129" s="18"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(Lansoprazole): ข้อนี้ไม่ใช่คำตอบที่ถูกต้องสำหรับภาวะ GERD เนื่องจากกลไกการออกฤทธิ์, efficacy หรือข้อบ่งใช้ไม่ตรงกับโจทย์ที่กำหนด
• ข้อ ง. (Pantoprazole): เป็น PPI ที่มี CYP2C19 inhibition ต่ำที่สุด จึงเป็น PPI ที่ปลอดภัยที่สุดเมื่อต้องใช้ร่วมกับ clopidogrel
• ข้อ จ. (Rabeprazole + ATPase O Omeprazole E Lansoprazde B Rabeprazole B X Pantoprazole B Esomeprazole B หË´มนาÆปทาซËาทืกกรณิ ÂวËนาต้จ²ÆดËรงบ¯นืญ´ต ~):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18" t="inlineStr"/>
      <c r="L129" s="18" t="inlineStr">
        <is>
          <t>GERD</t>
        </is>
      </c>
      <c r="M129" s="18" t="inlineStr">
        <is>
          <t>Clinic</t>
        </is>
      </c>
      <c r="N129" s="18" t="inlineStr">
        <is>
          <t>ข้อ 88 (PLE_CC1_2562_Key.md)</t>
        </is>
      </c>
      <c r="O129" s="18" t="inlineStr">
        <is>
          <t>ข้อสอบจริง</t>
        </is>
      </c>
      <c r="P129" s="18" t="inlineStr">
        <is>
          <t>ปี 2562</t>
        </is>
      </c>
    </row>
    <row r="130">
      <c r="A130" s="15" t="inlineStr">
        <is>
          <t>128</t>
        </is>
      </c>
      <c r="B130" s="18" t="inlineStr">
        <is>
          <t>การให้ความรู้ผู้ป่วยเกี่ยวกับการเกิด GERD เพื่อป้องกันการเกิด จัดเป็นพฤติกรรมแบบใด X sulfone O virvirensaigomeans Ibisoobean casalovesea nu na enginess</t>
        </is>
      </c>
      <c r="C130" s="18" t="inlineStr"/>
      <c r="D130" s="18" t="inlineStr">
        <is>
          <t>Health belief model</t>
        </is>
      </c>
      <c r="E130" s="18" t="inlineStr">
        <is>
          <t>Self-efficacy model</t>
        </is>
      </c>
      <c r="F130" s="18" t="inlineStr">
        <is>
          <t>Health Locus of control</t>
        </is>
      </c>
      <c r="G130" s="18" t="inlineStr">
        <is>
          <t>Theory of reason action</t>
        </is>
      </c>
      <c r="H130" s="18" t="inlineStr">
        <is>
          <t>Theory of planned health</t>
        </is>
      </c>
      <c r="I130" s="15" t="inlineStr">
        <is>
          <t>1</t>
        </is>
      </c>
      <c r="J130" s="18"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ข้อนี้ไม่ใช่คำตอบที่ถูกต้องสำหรับภาวะ GERD เนื่องจากกลไกการออกฤทธิ์, efficacy หรือข้อบ่งใช้ไม่ตรงกับโจทย์ที่กำหนด
• ข้อ ค. (Health Locus of control): ข้อนี้ไม่ใช่คำตอบที่ถูกต้องสำหรับภาวะ GERD เนื่องจากกลไกการออกฤทธิ์, efficacy หรือข้อบ่งใช้ไม่ตรงกับโจทย์ที่กำหนด
• ข้อ ง. (Theory of reason action): ข้อนี้ไม่ใช่คำตอบที่ถูกต้องสำหรับภาวะ GERD เนื่องจากกลไกการออกฤทธิ์, efficacy หรือข้อบ่งใช้ไม่ตรงกับโจทย์ที่กำหนด
• ข้อ จ. (Theory of planned health):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18" t="inlineStr"/>
      <c r="L130" s="18" t="inlineStr">
        <is>
          <t>GERD</t>
        </is>
      </c>
      <c r="M130" s="18" t="inlineStr">
        <is>
          <t>Clinic</t>
        </is>
      </c>
      <c r="N130" s="18" t="inlineStr">
        <is>
          <t>ข้อ 92 (PLE_CC1_2562_Key.md)</t>
        </is>
      </c>
      <c r="O130" s="18" t="inlineStr">
        <is>
          <t>ข้อสอบจริง</t>
        </is>
      </c>
      <c r="P130" s="18" t="inlineStr">
        <is>
          <t>ปี 2562</t>
        </is>
      </c>
    </row>
    <row r="131">
      <c r="A131" s="15" t="inlineStr">
        <is>
          <t>129</t>
        </is>
      </c>
      <c r="B131" s="18" t="inlineStr">
        <is>
          <t>ถ้าผู้ป่วยได้รับ clindamycin capsule แล้วมีเม็ดเลือดขาวสูง ปวดท้องและท้องเสีย อาการดังกล่าวเกิดจากภาวะใด O dicloxa , cloxa X X ~</t>
        </is>
      </c>
      <c r="C131" s="18" t="inlineStr"/>
      <c r="D131" s="18" t="inlineStr">
        <is>
          <t>Seizure</t>
        </is>
      </c>
      <c r="E131" s="18" t="inlineStr">
        <is>
          <t>Hemolytic anemia</t>
        </is>
      </c>
      <c r="F131" s="18" t="inlineStr">
        <is>
          <t>Disulfiram like reaction</t>
        </is>
      </c>
      <c r="G131" s="18" t="inlineStr">
        <is>
          <t>Serum sickness syndrome</t>
        </is>
      </c>
      <c r="H131" s="18" t="inlineStr">
        <is>
          <t>Pseudomembranous colitis</t>
        </is>
      </c>
      <c r="I131" s="15" t="inlineStr">
        <is>
          <t>1</t>
        </is>
      </c>
      <c r="J131" s="18"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ข้อนี้ไม่ใช่คำตอบที่ถูกต้องสำหรับภาวะ GERD เนื่องจากกลไกการออกฤทธิ์, efficacy หรือข้อบ่งใช้ไม่ตรงกับโจทย์ที่กำหนด
• ข้อ ค. (Disulfiram like reaction): ข้อนี้ไม่ใช่คำตอบที่ถูกต้องสำหรับภาวะ GERD เนื่องจากกลไกการออกฤทธิ์, efficacy หรือข้อบ่งใช้ไม่ตรงกับโจทย์ที่กำหนด
• ข้อ ง. (Serum sickness syndrome): ข้อนี้ไม่ใช่คำตอบที่ถูกต้องสำหรับภาวะ GERD เนื่องจากกลไกการออกฤทธิ์, efficacy หรือข้อบ่งใช้ไม่ตรงกับโจทย์ที่กำหนด
• ข้อ จ. (Pseudomembranous colitis):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18" t="inlineStr"/>
      <c r="L131" s="18" t="inlineStr">
        <is>
          <t>GERD</t>
        </is>
      </c>
      <c r="M131" s="18" t="inlineStr">
        <is>
          <t>Clinic</t>
        </is>
      </c>
      <c r="N131" s="18" t="inlineStr">
        <is>
          <t>ข้อ 98 (PLE_CC1_2562_Key.md)</t>
        </is>
      </c>
      <c r="O131" s="18" t="inlineStr">
        <is>
          <t>ข้อสอบจริง</t>
        </is>
      </c>
      <c r="P131" s="18" t="inlineStr">
        <is>
          <t>ปี 2562</t>
        </is>
      </c>
    </row>
    <row r="132">
      <c r="A132" s="15" t="inlineStr">
        <is>
          <t>130</t>
        </is>
      </c>
      <c r="B132" s="18" t="inlineStr">
        <is>
          <t>GERD and Peptic ulcer</t>
        </is>
      </c>
      <c r="C132" s="18" t="inlineStr"/>
      <c r="D132" s="18" t="inlineStr">
        <is>
          <t>Omeprazole 20 mg OD</t>
        </is>
      </c>
      <c r="E132" s="18" t="inlineStr">
        <is>
          <t>Esomeprazole 20 mg OD</t>
        </is>
      </c>
      <c r="F132" s="18" t="inlineStr">
        <is>
          <t>Domperidone 10 mg TID</t>
        </is>
      </c>
      <c r="G132" s="18" t="inlineStr">
        <is>
          <t>Dimenhydrinate 50 mg TID</t>
        </is>
      </c>
      <c r="H132" s="18" t="inlineStr">
        <is>
          <t>Loperamide 2 mg PRN</t>
        </is>
      </c>
      <c r="I132" s="15" t="inlineStr">
        <is>
          <t>1</t>
        </is>
      </c>
      <c r="J132" s="18"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18" t="inlineStr"/>
      <c r="L132" s="18" t="inlineStr">
        <is>
          <t>GERD</t>
        </is>
      </c>
      <c r="M132" s="18" t="inlineStr">
        <is>
          <t>Clinic</t>
        </is>
      </c>
      <c r="N132" s="18" t="inlineStr">
        <is>
          <t>ข้อ 6 (PLE_CC1_2560 22 April Set 1.md)</t>
        </is>
      </c>
      <c r="O132" s="18" t="inlineStr">
        <is>
          <t>ข้อสอบจริง</t>
        </is>
      </c>
      <c r="P132" s="18" t="inlineStr">
        <is>
          <t>ปี 2560</t>
        </is>
      </c>
    </row>
    <row r="133">
      <c r="A133" s="15" t="inlineStr">
        <is>
          <t>131</t>
        </is>
      </c>
      <c r="B133" s="18" t="inlineStr">
        <is>
          <t>ผู้ป่วยรายนี้ได้ NSAIDs เพื่อบรรเทาอาการปวด ต้องได้รับยาใดเพื่อป้องกันโรคกระเพาะเหมาะสมที่สุด</t>
        </is>
      </c>
      <c r="C133" s="18" t="inlineStr"/>
      <c r="D133" s="18" t="inlineStr">
        <is>
          <t>Cimetidine</t>
        </is>
      </c>
      <c r="E133" s="18" t="inlineStr">
        <is>
          <t>Omeprazole</t>
        </is>
      </c>
      <c r="F133" s="18" t="inlineStr">
        <is>
          <t>Sucralfate</t>
        </is>
      </c>
      <c r="G133" s="18" t="inlineStr">
        <is>
          <t>Antacid</t>
        </is>
      </c>
      <c r="H133" s="18" t="inlineStr">
        <is>
          <t>Misoprostol ห้ามนำไปทำซ้ำทุกกรณี เว้นแต่จะได้รับอนุญาต</t>
        </is>
      </c>
      <c r="I133" s="15" t="inlineStr">
        <is>
          <t>1</t>
        </is>
      </c>
      <c r="J133" s="18"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(Antacid): ข้อนี้ไม่ใช่คำตอบที่ถูกต้องสำหรับภาวะ GERD เนื่องจากกลไกการออกฤทธิ์, efficacy หรือข้อบ่งใช้ไม่ตรงกับโจทย์ที่กำหนด
• ข้อ จ. (Misoprostol ห้ามนำไปทำซ้ำทุกกรณี เว้นแต่จะได้รับอนุญาต):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18" t="inlineStr"/>
      <c r="L133" s="18" t="inlineStr">
        <is>
          <t>GERD</t>
        </is>
      </c>
      <c r="M133" s="18" t="inlineStr">
        <is>
          <t>Clinic</t>
        </is>
      </c>
      <c r="N133" s="18" t="inlineStr">
        <is>
          <t>ข้อ 66 (PLE_CC1_2558_Key.md)</t>
        </is>
      </c>
      <c r="O133" s="18" t="inlineStr">
        <is>
          <t>ข้อสอบจริง</t>
        </is>
      </c>
      <c r="P133" s="18" t="inlineStr">
        <is>
          <t>ปี 2558</t>
        </is>
      </c>
    </row>
    <row r="134">
      <c r="A134" s="15" t="inlineStr">
        <is>
          <t>132</t>
        </is>
      </c>
      <c r="B134" s="18" t="inlineStr">
        <is>
          <t>ข้อใดคือกลไกของยา Palonosetron ในการรักษาและป้องอาการคลื่นไส้ อาเจียน</t>
        </is>
      </c>
      <c r="C134" s="18" t="inlineStr"/>
      <c r="D134" s="18" t="inlineStr">
        <is>
          <t>5-HT3 receptor antagonist</t>
        </is>
      </c>
      <c r="E134" s="18" t="inlineStr">
        <is>
          <t>Dopamine receptor antagonist</t>
        </is>
      </c>
      <c r="F134" s="18" t="inlineStr">
        <is>
          <t>H1 antihistamine</t>
        </is>
      </c>
      <c r="G134" s="18" t="inlineStr">
        <is>
          <t>NK1 receptor antagonist</t>
        </is>
      </c>
      <c r="H134" s="18" t="inlineStr">
        <is>
          <t>Glucocorticoid</t>
        </is>
      </c>
      <c r="I134" s="15" t="inlineStr">
        <is>
          <t>1</t>
        </is>
      </c>
      <c r="J134" s="18"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ข้อนี้ไม่ใช่คำตอบที่ถูกต้องสำหรับภาวะ GERD เนื่องจากกลไกการออกฤทธิ์, efficacy หรือข้อบ่งใช้ไม่ตรงกับโจทย์ที่กำหนด
• ข้อ ค. (H1 antihistamine): ข้อนี้ไม่ใช่คำตอบที่ถูกต้องสำหรับภาวะ GERD เนื่องจากกลไกการออกฤทธิ์, efficacy หรือข้อบ่งใช้ไม่ตรงกับโจทย์ที่กำหนด
• ข้อ ง. (NK1 receptor antagonist): ข้อนี้ไม่ใช่คำตอบที่ถูกต้องสำหรับภาวะ GERD เนื่องจากกลไกการออกฤทธิ์, efficacy หรือข้อบ่งใช้ไม่ตรงกับโจทย์ที่กำหนด
• ข้อ จ. (Glucocorticoid):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18" t="inlineStr"/>
      <c r="L134" s="18" t="inlineStr">
        <is>
          <t>GERD</t>
        </is>
      </c>
      <c r="M134" s="18" t="inlineStr">
        <is>
          <t>Clinic</t>
        </is>
      </c>
      <c r="N134" s="18" t="inlineStr">
        <is>
          <t>ข้อ 25 (Pharmtutor_2024_Set2.md)</t>
        </is>
      </c>
      <c r="O134" s="18" t="inlineStr">
        <is>
          <t>Mock</t>
        </is>
      </c>
      <c r="P134" s="18" t="inlineStr">
        <is>
          <t>Mock Pharmtutor 2024</t>
        </is>
      </c>
    </row>
    <row r="135">
      <c r="A135" s="15" t="inlineStr">
        <is>
          <t>133</t>
        </is>
      </c>
      <c r="B135" s="18" t="inlineStr">
        <is>
          <t>คำนิยามของ อาการท้องเสียเรื้อรัง (Chronic Diarrhea) คืออะไร</t>
        </is>
      </c>
      <c r="C135" s="18" t="inlineStr"/>
      <c r="D135" s="18" t="inlineStr">
        <is>
          <t>มีอาการถ่ายมากกว่า 2 ครั้งต่อ 1 วัน</t>
        </is>
      </c>
      <c r="E135" s="18" t="inlineStr">
        <is>
          <t>มีอาการถ่ายมากกว่า 3 ครั้งต่อ 1 วัน</t>
        </is>
      </c>
      <c r="F135" s="18" t="inlineStr">
        <is>
          <t>มีอาการถ่ายผิดปกติ ติดต่อกันเป็นระยะเวลานานมากกว่า 7 วัน</t>
        </is>
      </c>
      <c r="G135" s="18" t="inlineStr">
        <is>
          <t>มีอาการถ่ายผิดปกติ ติดต่อกันเป็นระยะเวลานานมากกว่า 14 วัน</t>
        </is>
      </c>
      <c r="H135" s="18" t="inlineStr">
        <is>
          <t>ข้อ a และ c ถูก</t>
        </is>
      </c>
      <c r="I135" s="15" t="inlineStr">
        <is>
          <t>1</t>
        </is>
      </c>
      <c r="J135" s="18"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ข้อนี้ไม่ใช่คำตอบที่ถูกต้องสำหรับภาวะ GERD เนื่องจากกลไกการออกฤทธิ์, efficacy หรือข้อบ่งใช้ไม่ตรงกับโจทย์ที่กำหนด
• ข้อ ค. (มีอาการถ่ายผิดปกติ ติดต่อกันเป็นระยะเวลานานมากกว่า 7 วัน): ข้อนี้ไม่ใช่คำตอบที่ถูกต้องสำหรับภาวะ GERD เนื่องจากกลไกการออกฤทธิ์, efficacy หรือข้อบ่งใช้ไม่ตรงกับโจทย์ที่กำหนด
• ข้อ ง. (มีอาการถ่ายผิดปกติ ติดต่อกันเป็นระยะเวลานานมากกว่า 14 วัน): ข้อนี้ไม่ใช่คำตอบที่ถูกต้องสำหรับภาวะ GERD เนื่องจากกลไกการออกฤทธิ์, efficacy หรือข้อบ่งใช้ไม่ตรงกับโจทย์ที่กำหนด
• ข้อ จ. (ข้อ a และ c ถูก):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18" t="inlineStr"/>
      <c r="L135" s="18" t="inlineStr">
        <is>
          <t>GERD</t>
        </is>
      </c>
      <c r="M135" s="18" t="inlineStr">
        <is>
          <t>Clinic</t>
        </is>
      </c>
      <c r="N135" s="18" t="inlineStr">
        <is>
          <t>ข้อ 28 (Pharmtutor_2024_Set2.md)</t>
        </is>
      </c>
      <c r="O135" s="18" t="inlineStr">
        <is>
          <t>Mock</t>
        </is>
      </c>
      <c r="P135" s="18" t="inlineStr">
        <is>
          <t>Mock Pharmtutor 2024</t>
        </is>
      </c>
    </row>
    <row r="136">
      <c r="A136" s="15" t="inlineStr">
        <is>
          <t>134</t>
        </is>
      </c>
      <c r="B136" s="18"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18" t="inlineStr"/>
      <c r="D136" s="18" t="inlineStr">
        <is>
          <t>Psyllium-based product</t>
        </is>
      </c>
      <c r="E136" s="18" t="inlineStr">
        <is>
          <t>Bisacodyl</t>
        </is>
      </c>
      <c r="F136" s="18" t="inlineStr">
        <is>
          <t>Lubiprostone</t>
        </is>
      </c>
      <c r="G136" s="18" t="inlineStr">
        <is>
          <t>Tegaserod</t>
        </is>
      </c>
      <c r="H136" s="18" t="inlineStr">
        <is>
          <t>Prucalopride</t>
        </is>
      </c>
      <c r="I136" s="15" t="inlineStr">
        <is>
          <t>1</t>
        </is>
      </c>
      <c r="J136" s="18"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(Lubiprostone): ข้อนี้ไม่ใช่คำตอบที่ถูกต้องสำหรับภาวะ GERD เนื่องจากกลไกการออกฤทธิ์, efficacy หรือข้อบ่งใช้ไม่ตรงกับโจทย์ที่กำหนด
• ข้อ ง. (Tegaserod): ข้อนี้ไม่ใช่คำตอบที่ถูกต้องสำหรับภาวะ GERD เนื่องจากกลไกการออกฤทธิ์, efficacy หรือข้อบ่งใช้ไม่ตรงกับโจทย์ที่กำหนด
• ข้อ จ. (Prucalopride):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18" t="inlineStr"/>
      <c r="L136" s="18" t="inlineStr">
        <is>
          <t>GERD</t>
        </is>
      </c>
      <c r="M136" s="18" t="inlineStr">
        <is>
          <t>Clinic</t>
        </is>
      </c>
      <c r="N136" s="18" t="inlineStr">
        <is>
          <t>ข้อ 29 (Pharmtutor_2024_Set2.md)</t>
        </is>
      </c>
      <c r="O136" s="18" t="inlineStr">
        <is>
          <t>Mock</t>
        </is>
      </c>
      <c r="P136" s="18" t="inlineStr">
        <is>
          <t>Mock Pharmtutor 2024</t>
        </is>
      </c>
    </row>
    <row r="137">
      <c r="A137" s="15" t="inlineStr">
        <is>
          <t>135</t>
        </is>
      </c>
      <c r="B137" s="18"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18" t="inlineStr"/>
      <c r="D137" s="18" t="inlineStr">
        <is>
          <t>Domperidone 10 mg TID</t>
        </is>
      </c>
      <c r="E137" s="18" t="inlineStr">
        <is>
          <t>Dimenhydrinate 50 mg TID</t>
        </is>
      </c>
      <c r="F137" s="18" t="inlineStr">
        <is>
          <t>Loperamide 2 mg PRN</t>
        </is>
      </c>
      <c r="G137" s="18" t="inlineStr">
        <is>
          <t>Senna 2 tabs HS</t>
        </is>
      </c>
      <c r="H137" s="18" t="inlineStr">
        <is>
          <t>Bisacodyl 5 mg HS</t>
        </is>
      </c>
      <c r="I137" s="15" t="inlineStr">
        <is>
          <t>1</t>
        </is>
      </c>
      <c r="J137" s="18"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GERD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18" t="inlineStr"/>
      <c r="L137" s="18" t="inlineStr">
        <is>
          <t>GERD</t>
        </is>
      </c>
      <c r="M137" s="18" t="inlineStr">
        <is>
          <t>Clinic</t>
        </is>
      </c>
      <c r="N137" s="18" t="inlineStr">
        <is>
          <t>ข้อ 47 (PLE_CC1_2557.md)</t>
        </is>
      </c>
      <c r="O137" s="18" t="inlineStr">
        <is>
          <t>ข้อสอบจริง</t>
        </is>
      </c>
      <c r="P137" s="18" t="inlineStr">
        <is>
          <t>ปี 2557</t>
        </is>
      </c>
    </row>
    <row r="138">
      <c r="A138" s="15" t="inlineStr">
        <is>
          <t>136</t>
        </is>
      </c>
      <c r="B138" s="18" t="inlineStr">
        <is>
          <t>??? --------------------------------------------------------------------------------------------------------------------------------- สถานการณ์ที่ 9 : GERD</t>
        </is>
      </c>
      <c r="C138" s="18" t="inlineStr"/>
      <c r="D138" s="18" t="inlineStr">
        <is>
          <t>ผู้ป่วยเพศชาย อายุ 24 ปี มีอาการเรอเปรี้ยว ขย่อน กรดไหลย้อน ควรได้รับยาใด</t>
        </is>
      </c>
      <c r="E138" s="18" t="inlineStr">
        <is>
          <t>famotidine</t>
        </is>
      </c>
      <c r="F138" s="18" t="inlineStr">
        <is>
          <t>bismus</t>
        </is>
      </c>
      <c r="G138" s="18" t="inlineStr">
        <is>
          <t>salol</t>
        </is>
      </c>
      <c r="H138" s="18" t="inlineStr">
        <is>
          <t>antacid</t>
        </is>
      </c>
      <c r="I138" s="15" t="inlineStr">
        <is>
          <t>1</t>
        </is>
      </c>
      <c r="J138" s="18"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ข้อนี้ไม่ใช่คำตอบที่ถูกต้องสำหรับภาวะ GERD เนื่องจากกลไกการออกฤทธิ์, efficacy หรือข้อบ่งใช้ไม่ตรงกับโจทย์ที่กำหนด
• ข้อ ค. (bismus): ข้อนี้ไม่ใช่คำตอบที่ถูกต้องสำหรับภาวะ GERD เนื่องจากกลไกการออกฤทธิ์, efficacy หรือข้อบ่งใช้ไม่ตรงกับโจทย์ที่กำหนด
• ข้อ ง. (salol): ข้อนี้ไม่ใช่คำตอบที่ถูกต้องสำหรับภาวะ GERD เนื่องจากกลไกการออกฤทธิ์, efficacy หรือข้อบ่งใช้ไม่ตรงกับโจทย์ที่กำหนด
• ข้อ จ. (antacid):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18" t="inlineStr"/>
      <c r="L138" s="18" t="inlineStr">
        <is>
          <t>GERD</t>
        </is>
      </c>
      <c r="M138" s="18" t="inlineStr">
        <is>
          <t>Clinic</t>
        </is>
      </c>
      <c r="N138" s="18" t="inlineStr">
        <is>
          <t>ข้อ 5 (PLE_CC1_2556.md)</t>
        </is>
      </c>
      <c r="O138" s="18" t="inlineStr">
        <is>
          <t>ข้อสอบจริง</t>
        </is>
      </c>
      <c r="P138" s="18" t="inlineStr">
        <is>
          <t>ปี 2556</t>
        </is>
      </c>
    </row>
    <row r="139">
      <c r="A139" s="15" t="inlineStr">
        <is>
          <t>137</t>
        </is>
      </c>
      <c r="B139" s="18" t="inlineStr">
        <is>
          <t>อาการท้องเสียเกิดจากเชื้ออะไร</t>
        </is>
      </c>
      <c r="C139" s="18" t="inlineStr"/>
      <c r="D139" s="18" t="inlineStr">
        <is>
          <t>rotavirus</t>
        </is>
      </c>
      <c r="E139" s="18" t="inlineStr">
        <is>
          <t>shigella</t>
        </is>
      </c>
      <c r="F139" s="18" t="inlineStr">
        <is>
          <t>E.coli</t>
        </is>
      </c>
      <c r="G139" s="18" t="inlineStr">
        <is>
          <t>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t>
        </is>
      </c>
      <c r="H139" s="18" t="inlineStr">
        <is>
          <t>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t>
        </is>
      </c>
      <c r="I139" s="15" t="inlineStr">
        <is>
          <t>1</t>
        </is>
      </c>
      <c r="J139" s="18"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ข้อนี้ไม่ใช่คำตอบที่ถูกต้องสำหรับภาวะ GERD เนื่องจากกลไกการออกฤทธิ์, efficacy หรือข้อบ่งใช้ไม่ตรงกับโจทย์ที่กำหนด
• ข้อ ค. (E.coli): ข้อนี้ไม่ใช่คำตอบที่ถูกต้องสำหรับภาวะ GERD เนื่องจากกลไกการออกฤทธิ์, efficacy หรือข้อบ่งใช้ไม่ตรงกับโจทย์ที่กำหนด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ข้อนี้ไม่ใช่คำตอบที่ถูกต้องสำหรับภาวะ GERD เนื่องจากกลไกการออกฤทธิ์, efficacy หรือข้อบ่งใช้ไม่ตรงกับโจทย์ที่กำหนด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วัคซีนไข้สมองอักเสบเจอี ชนิดเชื้อเป็น (Live attenuated CD.JEV) ให้ 2 เข็ม ที่อายุ 9-12 เดือน และเข็ม 2 ห่างกัน 3-12 เดือน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18" t="inlineStr"/>
      <c r="L139" s="18" t="inlineStr">
        <is>
          <t>GERD</t>
        </is>
      </c>
      <c r="M139" s="18" t="inlineStr">
        <is>
          <t>Clinic</t>
        </is>
      </c>
      <c r="N139" s="18" t="inlineStr">
        <is>
          <t>ข้อ 1 (PLE_CC1_2554 SET2.md)</t>
        </is>
      </c>
      <c r="O139" s="18" t="inlineStr">
        <is>
          <t>ข้อสอบจริง</t>
        </is>
      </c>
      <c r="P139" s="18" t="inlineStr">
        <is>
          <t>ปี 2554</t>
        </is>
      </c>
    </row>
    <row r="140">
      <c r="A140" s="15" t="inlineStr">
        <is>
          <t>138</t>
        </is>
      </c>
      <c r="B140" s="18" t="inlineStr">
        <is>
          <t>โรคกระเพาะอาหาร</t>
        </is>
      </c>
      <c r="C140" s="18" t="inlineStr"/>
      <c r="D140" s="18" t="inlineStr">
        <is>
          <t>Aluminium hydroxide/Magnesium hydroxide suspension</t>
        </is>
      </c>
      <c r="E140" s="18" t="inlineStr">
        <is>
          <t>Metoclopramide 10 mg TID before meals</t>
        </is>
      </c>
      <c r="F140" s="18" t="inlineStr">
        <is>
          <t>Omeprazole 20 mg OD</t>
        </is>
      </c>
      <c r="G140" s="18" t="inlineStr">
        <is>
          <t>Esomeprazole 20 mg OD</t>
        </is>
      </c>
      <c r="H140" s="18" t="inlineStr">
        <is>
          <t>Domperidone 10 mg TID</t>
        </is>
      </c>
      <c r="I140" s="15" t="inlineStr">
        <is>
          <t>1</t>
        </is>
      </c>
      <c r="J140" s="18"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18" t="inlineStr"/>
      <c r="L140" s="18" t="inlineStr">
        <is>
          <t>GERD</t>
        </is>
      </c>
      <c r="M140" s="18" t="inlineStr">
        <is>
          <t>Clinic</t>
        </is>
      </c>
      <c r="N140" s="18" t="inlineStr">
        <is>
          <t>ข้อ 4 (PLE_CC1_2533.md)</t>
        </is>
      </c>
      <c r="O140" s="18" t="inlineStr">
        <is>
          <t>ข้อสอบจริง</t>
        </is>
      </c>
      <c r="P140" s="18" t="inlineStr">
        <is>
          <t>ปี 2533</t>
        </is>
      </c>
    </row>
    <row r="141">
      <c r="A141" s="15" t="inlineStr">
        <is>
          <t>139</t>
        </is>
      </c>
      <c r="B141" s="18" t="inlineStr">
        <is>
          <t>ข้อใดไม่ใช่ปัจจัยเสี่ยงของการเกิดแผลในกระเพาะ</t>
        </is>
      </c>
      <c r="C141" s="18" t="inlineStr"/>
      <c r="D141" s="18" t="inlineStr">
        <is>
          <t>อายุ &gt; 65 ปี</t>
        </is>
      </c>
      <c r="E141" s="18" t="inlineStr">
        <is>
          <t>มีการใช้ยาในกลุ่ม NSAIDs</t>
        </is>
      </c>
      <c r="F141" s="18" t="inlineStr">
        <is>
          <t>มีพฤติกรรมดื่มกาแฟและสูบบุหรี่เป็นประจำ</t>
        </is>
      </c>
      <c r="G141" s="18" t="inlineStr">
        <is>
          <t>อ้วน</t>
        </is>
      </c>
      <c r="H141" s="18" t="inlineStr">
        <is>
          <t>Osteoarthritis แพทย์พิจารณาสั่งจ่ายยา Omeprazole ขนาด 40 มิลลิกรัม รับประทานวันละ 1 ครั้ง ก่อนอาหารเช้า</t>
        </is>
      </c>
      <c r="I141" s="15" t="inlineStr">
        <is>
          <t>1</t>
        </is>
      </c>
      <c r="J141" s="18"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ข้อนี้ไม่ใช่คำตอบที่ถูกต้องสำหรับภาวะ GERD เนื่องจากกลไกการออกฤทธิ์, efficacy หรือข้อบ่งใช้ไม่ตรงกับโจทย์ที่กำหนด
• ข้อ ค. (มีพฤติกรรมดื่มกาแฟและสูบบุหรี่เป็นประจำ): ข้อนี้ไม่ใช่คำตอบที่ถูกต้องสำหรับภาวะ GERD เนื่องจากกลไกการออกฤทธิ์, efficacy หรือข้อบ่งใช้ไม่ตรงกับโจทย์ที่กำหนด
• ข้อ ง. (อ้วน): ข้อนี้ไม่ใช่คำตอบที่ถูกต้องสำหรับภาวะ GERD เนื่องจากกลไกการออกฤทธิ์, efficacy หรือข้อบ่งใช้ไม่ตรงกับโจทย์ที่กำหนด
• ข้อ จ. (Osteoarthritis แพทย์พิจารณาสั่งจ่ายยา Omeprazole ขนาด 40 มิลลิกรัม รับประทานวันละ 1 ครั้ง ก่อนอาหารเช้า):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18" t="inlineStr"/>
      <c r="L141" s="18" t="inlineStr">
        <is>
          <t>GERD</t>
        </is>
      </c>
      <c r="M141" s="18" t="inlineStr">
        <is>
          <t>Clinic</t>
        </is>
      </c>
      <c r="N141" s="18" t="inlineStr">
        <is>
          <t>ข้อ 9 (PLE_CC1_Practice_Exam.md)</t>
        </is>
      </c>
      <c r="O141" s="18" t="inlineStr">
        <is>
          <t>Mock</t>
        </is>
      </c>
      <c r="P141" s="18" t="inlineStr">
        <is>
          <t>Mock สภาเภสัชฯ Practice</t>
        </is>
      </c>
    </row>
    <row r="142">
      <c r="A142" s="15" t="inlineStr">
        <is>
          <t>140</t>
        </is>
      </c>
      <c r="B142" s="18" t="inlineStr">
        <is>
          <t>Domperidone ออกฤทธิ์ต้านการอาเจียนที่ใด</t>
        </is>
      </c>
      <c r="C142" s="18" t="inlineStr"/>
      <c r="D142" s="18" t="inlineStr">
        <is>
          <t>Serotonin 5-HT3 ที่ CTZ</t>
        </is>
      </c>
      <c r="E142" s="18" t="inlineStr">
        <is>
          <t>GABA receptor ที่ CTZ</t>
        </is>
      </c>
      <c r="F142" s="18" t="inlineStr">
        <is>
          <t>Nueurokinin-1 receptor ที่ CTZ</t>
        </is>
      </c>
      <c r="G142" s="18" t="inlineStr">
        <is>
          <t>Dopamine D2 receptor ที่ CTZ</t>
        </is>
      </c>
      <c r="H142" s="18" t="inlineStr">
        <is>
          <t>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42" s="15" t="inlineStr">
        <is>
          <t>1</t>
        </is>
      </c>
      <c r="J142" s="18" t="inlineStr">
        <is>
          <t>✅ คำตอบที่ถูกต้อง: ข้อ ก. Serotonin 5-HT3 ที่ CTZ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Serotonin 5-HT3 ที่ CTZ การเลือก Serotonin 5-HT3 ที่ CTZ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(GABA receptor ที่ CTZ): ข้อนี้ไม่ใช่คำตอบที่ถูกต้องสำหรับภาวะ GERD เนื่องจากกลไกการออกฤทธิ์, efficacy หรือข้อบ่งใช้ไม่ตรงกับโจทย์ที่กำหนด
• ข้อ ค. (Nueurokinin-1 receptor ที่ CTZ): ข้อนี้ไม่ใช่คำตอบที่ถูกต้องสำหรับภาวะ GERD เนื่องจากกลไกการออกฤทธิ์, efficacy หรือข้อบ่งใช้ไม่ตรงกับโจทย์ที่กำหนด
• ข้อ ง. (Dopamine D2 receptor ที่ CTZ): ข้อนี้ไม่ใช่คำตอบที่ถูกต้องสำหรับภาวะ GERD เนื่องจากกลไกการออกฤทธิ์, efficacy หรือข้อบ่งใช้ไม่ตรงกับโจทย์ที่กำหนด
• ข้อ จ. (Adrenergic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18" t="inlineStr"/>
      <c r="L142" s="18" t="inlineStr">
        <is>
          <t>GERD</t>
        </is>
      </c>
      <c r="M142" s="18" t="inlineStr">
        <is>
          <t>Clinic</t>
        </is>
      </c>
      <c r="N142" s="18" t="inlineStr">
        <is>
          <t>ข้อ 18 (PLE_CC1_Practice_Exam.md)</t>
        </is>
      </c>
      <c r="O142" s="18" t="inlineStr">
        <is>
          <t>Mock</t>
        </is>
      </c>
      <c r="P142" s="18" t="inlineStr">
        <is>
          <t>Mock สภาเภสัชฯ Practice</t>
        </is>
      </c>
    </row>
    <row r="143">
      <c r="A143" s="15" t="inlineStr">
        <is>
          <t>141</t>
        </is>
      </c>
      <c r="B143" s="18" t="inlineStr">
        <is>
          <t>ข้อใดเป็นสาเหตุของภาวะท้องเสียในผู้ป่วยรายนี้</t>
        </is>
      </c>
      <c r="C143" s="18" t="inlineStr"/>
      <c r="D143" s="18" t="inlineStr">
        <is>
          <t>Salmonella typhi</t>
        </is>
      </c>
      <c r="E143" s="18" t="inlineStr">
        <is>
          <t>Shigella dysenteriae</t>
        </is>
      </c>
      <c r="F143" s="18" t="inlineStr">
        <is>
          <t>Clostridium difficile</t>
        </is>
      </c>
      <c r="G143" s="18" t="inlineStr">
        <is>
          <t>Enterotoxigenic E.coli</t>
        </is>
      </c>
      <c r="H143" s="18" t="inlineStr">
        <is>
          <t>Entamoeba histolytica</t>
        </is>
      </c>
      <c r="I143" s="15" t="inlineStr">
        <is>
          <t>1</t>
        </is>
      </c>
      <c r="J143" s="18"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ข้อนี้ไม่ใช่คำตอบที่ถูกต้องสำหรับภาวะ GERD เนื่องจากกลไกการออกฤทธิ์, efficacy หรือข้อบ่งใช้ไม่ตรงกับโจทย์ที่กำหนด
• ข้อ ค. (Clostridium difficile): ข้อนี้ไม่ใช่คำตอบที่ถูกต้องสำหรับภาวะ GERD เนื่องจากกลไกการออกฤทธิ์, efficacy หรือข้อบ่งใช้ไม่ตรงกับโจทย์ที่กำหนด
• ข้อ ง. (Enterotoxigenic E.coli): ข้อนี้ไม่ใช่คำตอบที่ถูกต้องสำหรับภาวะ GERD เนื่องจากกลไกการออกฤทธิ์, efficacy หรือข้อบ่งใช้ไม่ตรงกับโจทย์ที่กำหนด
• ข้อ จ. (Entamoeba histolytica):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18" t="inlineStr"/>
      <c r="L143" s="18" t="inlineStr">
        <is>
          <t>GERD</t>
        </is>
      </c>
      <c r="M143" s="18" t="inlineStr">
        <is>
          <t>Clinic</t>
        </is>
      </c>
      <c r="N143" s="18" t="inlineStr">
        <is>
          <t>ข้อ 33 (PLE_CC1_Practice_Exam.md)</t>
        </is>
      </c>
      <c r="O143" s="18" t="inlineStr">
        <is>
          <t>Mock</t>
        </is>
      </c>
      <c r="P143" s="18" t="inlineStr">
        <is>
          <t>Mock สภาเภสัชฯ Practice</t>
        </is>
      </c>
    </row>
    <row r="144">
      <c r="A144" s="15" t="inlineStr">
        <is>
          <t>142</t>
        </is>
      </c>
      <c r="B144" s="18"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18" t="inlineStr"/>
      <c r="D144" s="18" t="inlineStr">
        <is>
          <t>Hyoscine butylbromide 10 mg TID</t>
        </is>
      </c>
      <c r="E144" s="18" t="inlineStr">
        <is>
          <t>Aluminium hydroxide/Magnesium hydroxide suspension</t>
        </is>
      </c>
      <c r="F144" s="18" t="inlineStr">
        <is>
          <t>Metoclopramide 10 mg TID before meals</t>
        </is>
      </c>
      <c r="G144" s="18" t="inlineStr">
        <is>
          <t>Omeprazole 20 mg OD</t>
        </is>
      </c>
      <c r="H144" s="18" t="inlineStr">
        <is>
          <t>Esomeprazole 20 mg OD</t>
        </is>
      </c>
      <c r="I144" s="15" t="inlineStr">
        <is>
          <t>1</t>
        </is>
      </c>
      <c r="J144" s="18"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18" t="inlineStr"/>
      <c r="L144" s="18" t="inlineStr">
        <is>
          <t>GERD</t>
        </is>
      </c>
      <c r="M144" s="18" t="inlineStr">
        <is>
          <t>Clinic</t>
        </is>
      </c>
      <c r="N144" s="18" t="inlineStr">
        <is>
          <t>ข้อ 30 (PLE_CC1_Practice_Exam.md)</t>
        </is>
      </c>
      <c r="O144" s="18" t="inlineStr">
        <is>
          <t>Mock</t>
        </is>
      </c>
      <c r="P144" s="18" t="inlineStr">
        <is>
          <t>Mock สภาเภสัชฯ Practice</t>
        </is>
      </c>
    </row>
    <row r="145">
      <c r="A145" s="15" t="inlineStr">
        <is>
          <t>143</t>
        </is>
      </c>
      <c r="B145" s="18"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18" t="inlineStr"/>
      <c r="D145" s="18" t="inlineStr">
        <is>
          <t>เกิดจากยา Estradiol valerateแก้ไขโดยการเปลี่ยนยา เป็น tibolone</t>
        </is>
      </c>
      <c r="E145" s="18" t="inlineStr">
        <is>
          <t>เกิดจากยา Norethisterone acetate แก้ไขโดยการเปลี่ยนยาเป็น tibolone</t>
        </is>
      </c>
      <c r="F145" s="18" t="inlineStr">
        <is>
          <t>เกิดจากยา Estradiol valerateแก้ไขโดยการเปลี่ยนยา เป็น Raloxifene</t>
        </is>
      </c>
      <c r="G145" s="18" t="inlineStr">
        <is>
          <t>เกิดจากยา Norethisterone acetate แก้ไขโดยการเปลี่ยนยาเป็น Raloxifene</t>
        </is>
      </c>
      <c r="H145" s="18" t="inlineStr">
        <is>
          <t>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t>
        </is>
      </c>
      <c r="I145" s="15" t="inlineStr">
        <is>
          <t>3</t>
        </is>
      </c>
      <c r="J145" s="18" t="inlineStr">
        <is>
          <t>✅ คำตอบที่ถูกต้อง: ข้อ ค. เกิดจากยา Estradiol valerateแก้ไขโดยการเปลี่ยนยา เป็น Raloxifene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เกิดจากยา Estradiol valerateแก้ไขโดยการเปลี่ยนยา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ร่วมกับยาสเตียรอยด์เช่น Hydrocortisone อาจทำให้ผู้ป่วยได้รับผลข้างเคียงจากยาสเตียรอยด์ดังกล่าวสูงขึ้น คล้ายมีประจำเดือน หรือส่งผลให้เกิดการตั้งครรภ์โดยมิได้ตั้งใจได้ หากมีความจำเป็นต้องใช้ร่วมกันแพทย์จะ (emergency contraceptive pill หรือ morning-after pill) ใช้ป้องกันการตั้งครรภ์เมื่อมีเพศสัมพันธ์เกิดขึ้น หรือ 4 เม็ดสุดท้าย(กรณี 24+4) เป็นเม็ดแป้งไม่มีฮอร์โมนอยู่แล้ว และปจด.จะมาในเม็ดที่ 2-3 ของช่วงที่กิน
🔍 ข้ออื่นผิดเพราะอะไร:
• ข้อ ก. (เกิดจากยา Estradiol valerateแก้ไขโดยการเปลี่ยนยา เป็น tibolone): ข้อนี้ไม่ใช่คำตอบที่ถูกต้องสำหรับภาวะ GERD เนื่องจากกลไกการออกฤทธิ์, efficacy หรือข้อบ่งใช้ไม่ตรงกับโจทย์ที่กำหนด
• ข้อ ข. (เกิดจากยา Norethisterone acetate แก้ไขโดยการเปลี่ยนยาเป็น tibolone): ข้อนี้ไม่ใช่คำตอบที่ถูกต้องสำหรับภาวะ GERD เนื่องจากกลไกการออกฤทธิ์, efficacy หรือข้อบ่งใช้ไม่ตรงกับโจทย์ที่กำหนด
• ข้อ ง. (เกิดจากยา Norethisterone acetate แก้ไขโดยการเปลี่ยนยาเป็น Raloxifene): ข้อนี้ไม่ใช่คำตอบที่ถูกต้องสำหรับภาวะ GERD เนื่องจากกลไกการออกฤทธิ์, efficacy หรือข้อบ่งใช้ไม่ตรงกับโจทย์ที่กำหนด
• ข้อ จ. (เกิดจากยา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18" t="inlineStr"/>
      <c r="L145" s="18" t="inlineStr">
        <is>
          <t>GERD</t>
        </is>
      </c>
      <c r="M145" s="18" t="inlineStr">
        <is>
          <t>Clinic</t>
        </is>
      </c>
      <c r="N145" s="18" t="inlineStr">
        <is>
          <t>ข้อ 34 (PLE_CC1_Practice_Exam.md)</t>
        </is>
      </c>
      <c r="O145" s="18" t="inlineStr">
        <is>
          <t>Mock</t>
        </is>
      </c>
      <c r="P145" s="18" t="inlineStr">
        <is>
          <t>Mock สภาเภสัชฯ Practice</t>
        </is>
      </c>
    </row>
    <row r="146">
      <c r="A146" s="15" t="inlineStr">
        <is>
          <t>144</t>
        </is>
      </c>
      <c r="B146" s="18"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18" t="inlineStr"/>
      <c r="D146" s="18" t="inlineStr">
        <is>
          <t>Dimenhydrinate 50 mg TID</t>
        </is>
      </c>
      <c r="E146" s="18" t="inlineStr">
        <is>
          <t>Loperamide 2 mg PRN</t>
        </is>
      </c>
      <c r="F146" s="18" t="inlineStr">
        <is>
          <t>Senna 2 tabs HS</t>
        </is>
      </c>
      <c r="G146" s="18" t="inlineStr">
        <is>
          <t>Bisacodyl 5 mg HS</t>
        </is>
      </c>
      <c r="H146" s="18" t="inlineStr">
        <is>
          <t>Lactulose 15 mL OD</t>
        </is>
      </c>
      <c r="I146" s="15" t="inlineStr">
        <is>
          <t>1</t>
        </is>
      </c>
      <c r="J146" s="18"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18" t="inlineStr"/>
      <c r="L146" s="18" t="inlineStr">
        <is>
          <t>GERD</t>
        </is>
      </c>
      <c r="M146" s="18" t="inlineStr">
        <is>
          <t>Clinic</t>
        </is>
      </c>
      <c r="N146" s="18" t="inlineStr">
        <is>
          <t>ข้อ 5 (PLE_CC1_Key_Rx20_UBU.md)</t>
        </is>
      </c>
      <c r="O146" s="18" t="inlineStr">
        <is>
          <t>Mock</t>
        </is>
      </c>
      <c r="P146" s="18" t="inlineStr">
        <is>
          <t>Mock Rx20 UBU</t>
        </is>
      </c>
    </row>
    <row r="147">
      <c r="A147" s="15" t="inlineStr">
        <is>
          <t>145</t>
        </is>
      </c>
      <c r="B147" s="18"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18" t="inlineStr"/>
      <c r="D147" s="18" t="inlineStr">
        <is>
          <t>Bisacodyl 5 mg HS</t>
        </is>
      </c>
      <c r="E147" s="18" t="inlineStr">
        <is>
          <t>Lactulose 15 mL OD</t>
        </is>
      </c>
      <c r="F147" s="18" t="inlineStr">
        <is>
          <t>Amoxicillin 1000 mg BID</t>
        </is>
      </c>
      <c r="G147" s="18" t="inlineStr">
        <is>
          <t>Clarithromycin 500 mg BID</t>
        </is>
      </c>
      <c r="H147" s="18" t="inlineStr">
        <is>
          <t>Hyoscine butylbromide 10 mg TID</t>
        </is>
      </c>
      <c r="I147" s="15" t="inlineStr">
        <is>
          <t>5</t>
        </is>
      </c>
      <c r="J147" s="18"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18" t="inlineStr"/>
      <c r="L147" s="18" t="inlineStr">
        <is>
          <t>GERD</t>
        </is>
      </c>
      <c r="M147" s="18" t="inlineStr">
        <is>
          <t>Clinic</t>
        </is>
      </c>
      <c r="N147" s="18" t="inlineStr">
        <is>
          <t>ข้อ 5 (PLE_CC1_Key_Rx20_UBU.md)</t>
        </is>
      </c>
      <c r="O147" s="18" t="inlineStr">
        <is>
          <t>Mock</t>
        </is>
      </c>
      <c r="P147" s="18" t="inlineStr">
        <is>
          <t>Mock Rx20 UBU</t>
        </is>
      </c>
    </row>
    <row r="148">
      <c r="A148" s="15" t="inlineStr">
        <is>
          <t>146</t>
        </is>
      </c>
      <c r="B148" s="18"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18" t="inlineStr"/>
      <c r="D148" s="18" t="inlineStr">
        <is>
          <t>Clarithromycin 500 mg BID</t>
        </is>
      </c>
      <c r="E148" s="18" t="inlineStr">
        <is>
          <t>Hyoscine butylbromide 10 mg TID</t>
        </is>
      </c>
      <c r="F148" s="18" t="inlineStr">
        <is>
          <t>Aluminium hydroxide/Magnesium hydroxide suspension</t>
        </is>
      </c>
      <c r="G148" s="18" t="inlineStr">
        <is>
          <t>Metoclopramide 10 mg TID before meals</t>
        </is>
      </c>
      <c r="H148" s="18" t="inlineStr">
        <is>
          <t>Omeprazole 20 mg OD</t>
        </is>
      </c>
      <c r="I148" s="15" t="inlineStr">
        <is>
          <t>1</t>
        </is>
      </c>
      <c r="J148" s="18"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ข้อนี้ไม่ใช่คำตอบที่ถูกต้องสำหรับภาวะ GERD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18" t="inlineStr"/>
      <c r="L148" s="18" t="inlineStr">
        <is>
          <t>GERD</t>
        </is>
      </c>
      <c r="M148" s="18" t="inlineStr">
        <is>
          <t>Clinic</t>
        </is>
      </c>
      <c r="N148" s="18" t="inlineStr">
        <is>
          <t>ข้อ 5 (PLE_CC1_Key_Rx20_UBU.md)</t>
        </is>
      </c>
      <c r="O148" s="18" t="inlineStr">
        <is>
          <t>Mock</t>
        </is>
      </c>
      <c r="P148" s="18" t="inlineStr">
        <is>
          <t>Mock Rx20 UBU</t>
        </is>
      </c>
    </row>
    <row r="149">
      <c r="A149" s="15" t="inlineStr">
        <is>
          <t>147</t>
        </is>
      </c>
      <c r="B149" s="18" t="inlineStr">
        <is>
          <t>ผู้ป่วยหญิงเป็นโรคกระเพาะจากภาวะเครียดเรื้อรัง</t>
        </is>
      </c>
      <c r="C149" s="18" t="inlineStr"/>
      <c r="D149" s="18" t="inlineStr">
        <is>
          <t>Metoclopramide 10 mg TID before meals</t>
        </is>
      </c>
      <c r="E149" s="18" t="inlineStr">
        <is>
          <t>Omeprazole 20 mg OD</t>
        </is>
      </c>
      <c r="F149" s="18" t="inlineStr">
        <is>
          <t>Esomeprazole 20 mg OD</t>
        </is>
      </c>
      <c r="G149" s="18" t="inlineStr">
        <is>
          <t>Domperidone 10 mg TID</t>
        </is>
      </c>
      <c r="H149" s="18" t="inlineStr">
        <is>
          <t>Dimenhydrinate 50 mg TID</t>
        </is>
      </c>
      <c r="I149" s="15" t="inlineStr">
        <is>
          <t>1</t>
        </is>
      </c>
      <c r="J149" s="18"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18" t="inlineStr"/>
      <c r="L149" s="18" t="inlineStr">
        <is>
          <t>GERD</t>
        </is>
      </c>
      <c r="M149" s="18" t="inlineStr">
        <is>
          <t>Clinic</t>
        </is>
      </c>
      <c r="N149" s="18" t="inlineStr">
        <is>
          <t>ข้อ 3 (PLE_CC1_Key_Rx20_UBU.md)</t>
        </is>
      </c>
      <c r="O149" s="18" t="inlineStr">
        <is>
          <t>Mock</t>
        </is>
      </c>
      <c r="P149" s="18" t="inlineStr">
        <is>
          <t>Mock Rx20 UBU</t>
        </is>
      </c>
    </row>
    <row r="150">
      <c r="A150" s="15" t="inlineStr">
        <is>
          <t>148</t>
        </is>
      </c>
      <c r="B150" s="18" t="inlineStr">
        <is>
          <t>คลื่นไส้อาเจียน</t>
        </is>
      </c>
      <c r="C150" s="18" t="inlineStr"/>
      <c r="D150" s="18" t="inlineStr">
        <is>
          <t>Domperidone 10 mg TID</t>
        </is>
      </c>
      <c r="E150" s="18" t="inlineStr">
        <is>
          <t>Dimenhydrinate 50 mg TID</t>
        </is>
      </c>
      <c r="F150" s="18" t="inlineStr">
        <is>
          <t>Loperamide 2 mg PRN</t>
        </is>
      </c>
      <c r="G150" s="18" t="inlineStr">
        <is>
          <t>Senna 2 tabs HS</t>
        </is>
      </c>
      <c r="H150" s="18" t="inlineStr">
        <is>
          <t>Bisacodyl 5 mg HS</t>
        </is>
      </c>
      <c r="I150" s="15" t="inlineStr">
        <is>
          <t>1</t>
        </is>
      </c>
      <c r="J150" s="18"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GERD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18" t="inlineStr"/>
      <c r="L150" s="18" t="inlineStr">
        <is>
          <t>GERD</t>
        </is>
      </c>
      <c r="M150" s="18" t="inlineStr">
        <is>
          <t>Clinic</t>
        </is>
      </c>
      <c r="N150" s="18" t="inlineStr">
        <is>
          <t>ข้อ 1 (PLE_CC1_Key_Rx20_UBU.md)</t>
        </is>
      </c>
      <c r="O150" s="18" t="inlineStr">
        <is>
          <t>Mock</t>
        </is>
      </c>
      <c r="P150" s="18" t="inlineStr">
        <is>
          <t>Mock Rx20 UBU</t>
        </is>
      </c>
    </row>
    <row r="151">
      <c r="A151" s="15" t="inlineStr">
        <is>
          <t>149</t>
        </is>
      </c>
      <c r="B151" s="18" t="inlineStr">
        <is>
          <t>หากผู้ป่วยมีอาการท้องเสีย คาดว่าน่าจะมีสาเหตุมาจากยาตัวใดมากที่สุด</t>
        </is>
      </c>
      <c r="C151" s="18" t="inlineStr"/>
      <c r="D151" s="18" t="inlineStr">
        <is>
          <t>Senna 2 tabs HS</t>
        </is>
      </c>
      <c r="E151" s="18" t="inlineStr">
        <is>
          <t>Bisacodyl 5 mg HS</t>
        </is>
      </c>
      <c r="F151" s="18" t="inlineStr">
        <is>
          <t>Lactulose 15 mL OD</t>
        </is>
      </c>
      <c r="G151" s="18" t="inlineStr">
        <is>
          <t>Amoxicillin 1000 mg BID</t>
        </is>
      </c>
      <c r="H151" s="18" t="inlineStr">
        <is>
          <t>Clarithromycin 500 mg BID</t>
        </is>
      </c>
      <c r="I151" s="15" t="inlineStr">
        <is>
          <t>1</t>
        </is>
      </c>
      <c r="J151" s="18"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18" t="inlineStr"/>
      <c r="L151" s="18" t="inlineStr">
        <is>
          <t>GERD</t>
        </is>
      </c>
      <c r="M151" s="18" t="inlineStr">
        <is>
          <t>Clinic</t>
        </is>
      </c>
      <c r="N151" s="18" t="inlineStr">
        <is>
          <t>ข้อ 2 (PLE_CC1_Key_Rx20_UBU.md)</t>
        </is>
      </c>
      <c r="O151" s="18" t="inlineStr">
        <is>
          <t>Mock</t>
        </is>
      </c>
      <c r="P151" s="18" t="inlineStr">
        <is>
          <t>Mock Rx20 UBU</t>
        </is>
      </c>
    </row>
    <row r="152">
      <c r="A152" s="15" t="inlineStr">
        <is>
          <t>150</t>
        </is>
      </c>
      <c r="B152" s="18" t="inlineStr">
        <is>
          <t>ใช้กับผู้ป่วยที่เป็นนิ่วในกระเพาะปัสสาวะ</t>
        </is>
      </c>
      <c r="C152" s="18" t="inlineStr"/>
      <c r="D152" s="18" t="inlineStr">
        <is>
          <t>Amoxicillin 1000 mg BID</t>
        </is>
      </c>
      <c r="E152" s="18" t="inlineStr">
        <is>
          <t>Clarithromycin 500 mg BID</t>
        </is>
      </c>
      <c r="F152" s="18" t="inlineStr">
        <is>
          <t>Hyoscine butylbromide 10 mg TID</t>
        </is>
      </c>
      <c r="G152" s="18" t="inlineStr">
        <is>
          <t>Aluminium hydroxide/Magnesium hydroxide suspension</t>
        </is>
      </c>
      <c r="H152" s="18" t="inlineStr">
        <is>
          <t>Metoclopramide 10 mg TID before meals</t>
        </is>
      </c>
      <c r="I152" s="15" t="inlineStr">
        <is>
          <t>1</t>
        </is>
      </c>
      <c r="J152" s="18"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GERD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18" t="inlineStr"/>
      <c r="L152" s="18" t="inlineStr">
        <is>
          <t>GERD</t>
        </is>
      </c>
      <c r="M152" s="18" t="inlineStr">
        <is>
          <t>Clinic</t>
        </is>
      </c>
      <c r="N152" s="18" t="inlineStr">
        <is>
          <t>ข้อ 3 (PLE_CC1_Key_Rx20_UBU.md)</t>
        </is>
      </c>
      <c r="O152" s="18" t="inlineStr">
        <is>
          <t>Mock</t>
        </is>
      </c>
      <c r="P152" s="18" t="inlineStr">
        <is>
          <t>Mock Rx20 UBU</t>
        </is>
      </c>
    </row>
    <row r="153">
      <c r="A153" s="15" t="inlineStr">
        <is>
          <t>151</t>
        </is>
      </c>
      <c r="B153" s="18" t="inlineStr">
        <is>
          <t>ผู้ป่วยต้องได้รับยานี้เป็นระยะเวลานาน 1 เดือน พบว่าผู้ป่วยมีอาการท้องเสียรุนแรง อยากทราบว่าเกิดจากเชื้ออะไร</t>
        </is>
      </c>
      <c r="C153" s="18" t="inlineStr"/>
      <c r="D153" s="18" t="inlineStr">
        <is>
          <t>Aluminium hydroxide/Magnesium hydroxide suspension</t>
        </is>
      </c>
      <c r="E153" s="18" t="inlineStr">
        <is>
          <t>Metoclopramide 10 mg TID before meals</t>
        </is>
      </c>
      <c r="F153" s="18" t="inlineStr">
        <is>
          <t>Omeprazole 20 mg OD</t>
        </is>
      </c>
      <c r="G153" s="18" t="inlineStr">
        <is>
          <t>Esomeprazole 20 mg OD</t>
        </is>
      </c>
      <c r="H153" s="18" t="inlineStr">
        <is>
          <t>Domperidone 10 mg TID</t>
        </is>
      </c>
      <c r="I153" s="15" t="inlineStr">
        <is>
          <t>1</t>
        </is>
      </c>
      <c r="J153" s="18"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18" t="inlineStr"/>
      <c r="L153" s="18" t="inlineStr">
        <is>
          <t>GERD</t>
        </is>
      </c>
      <c r="M153" s="18" t="inlineStr">
        <is>
          <t>Clinic</t>
        </is>
      </c>
      <c r="N153" s="18" t="inlineStr">
        <is>
          <t>ข้อ 35 (PLE_CC1_Key_Rx20_UBU.md)</t>
        </is>
      </c>
      <c r="O153" s="18" t="inlineStr">
        <is>
          <t>Mock</t>
        </is>
      </c>
      <c r="P153" s="18" t="inlineStr">
        <is>
          <t>Mock Rx20 UBU</t>
        </is>
      </c>
    </row>
    <row r="154">
      <c r="A154" s="15" t="inlineStr">
        <is>
          <t>152</t>
        </is>
      </c>
      <c r="B154" s="18" t="inlineStr">
        <is>
          <t>หากเกิดอาการคลื่นไส้ อาเจียน เวียนหัวให้หยุดยาแล้วมาพบแพทย์</t>
        </is>
      </c>
      <c r="C154" s="18" t="inlineStr"/>
      <c r="D154" s="18" t="inlineStr">
        <is>
          <t>Esomeprazole 20 mg OD</t>
        </is>
      </c>
      <c r="E154" s="18" t="inlineStr">
        <is>
          <t>Domperidone 10 mg TID</t>
        </is>
      </c>
      <c r="F154" s="18" t="inlineStr">
        <is>
          <t>Dimenhydrinate 50 mg TID</t>
        </is>
      </c>
      <c r="G154" s="18" t="inlineStr">
        <is>
          <t>Loperamide 2 mg PRN</t>
        </is>
      </c>
      <c r="H154" s="18" t="inlineStr">
        <is>
          <t>Senna 2 tabs HS</t>
        </is>
      </c>
      <c r="I154" s="15" t="inlineStr">
        <is>
          <t>1</t>
        </is>
      </c>
      <c r="J154" s="18"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GERD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18" t="inlineStr"/>
      <c r="L154" s="18" t="inlineStr">
        <is>
          <t>GERD</t>
        </is>
      </c>
      <c r="M154" s="18" t="inlineStr">
        <is>
          <t>Clinic</t>
        </is>
      </c>
      <c r="N154" s="18" t="inlineStr">
        <is>
          <t>ข้อ 1 (PLE_CC1_Key_Rx20_UBU.md)</t>
        </is>
      </c>
      <c r="O154" s="18" t="inlineStr">
        <is>
          <t>Mock</t>
        </is>
      </c>
      <c r="P154" s="18" t="inlineStr">
        <is>
          <t>Mock Rx20 UBU</t>
        </is>
      </c>
    </row>
    <row r="155">
      <c r="A155" s="15" t="inlineStr">
        <is>
          <t>153</t>
        </is>
      </c>
      <c r="B155" s="18" t="inlineStr">
        <is>
          <t>– สถานการณ) 6 ชาย อายุ 14ป3 ไปกินอาหาร ปวดเบGง ถGายกระปØดกระปรอย ท$องเสียเปญนมูกเลือด ไมGมีกลิ่น ไมGอาเจียน</t>
        </is>
      </c>
      <c r="C155" s="18" t="inlineStr"/>
      <c r="D155" s="18" t="inlineStr">
        <is>
          <t>Loperamide 2 mg PRN</t>
        </is>
      </c>
      <c r="E155" s="18" t="inlineStr">
        <is>
          <t>Senna 2 tabs HS</t>
        </is>
      </c>
      <c r="F155" s="18" t="inlineStr">
        <is>
          <t>Bisacodyl 5 mg HS</t>
        </is>
      </c>
      <c r="G155" s="18" t="inlineStr">
        <is>
          <t>Lactulose 15 mL OD</t>
        </is>
      </c>
      <c r="H155" s="18" t="inlineStr">
        <is>
          <t>Amoxicillin 1000 mg BID</t>
        </is>
      </c>
      <c r="I155" s="15" t="inlineStr">
        <is>
          <t>1</t>
        </is>
      </c>
      <c r="J155" s="18"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18" t="inlineStr"/>
      <c r="L155" s="18" t="inlineStr">
        <is>
          <t>GERD</t>
        </is>
      </c>
      <c r="M155" s="18" t="inlineStr">
        <is>
          <t>Clinic</t>
        </is>
      </c>
      <c r="N155" s="18" t="inlineStr">
        <is>
          <t>ข้อ 51 (PLE_CC1_Key_Rx20_UBU.md)</t>
        </is>
      </c>
      <c r="O155" s="18" t="inlineStr">
        <is>
          <t>Mock</t>
        </is>
      </c>
      <c r="P155" s="18" t="inlineStr">
        <is>
          <t>Mock Rx20 UBU</t>
        </is>
      </c>
    </row>
    <row r="156">
      <c r="A156" s="15" t="inlineStr">
        <is>
          <t>154</t>
        </is>
      </c>
      <c r="B156" s="18" t="inlineStr">
        <is>
          <t>ลดอาการคลื่นไส้อาเจียน</t>
        </is>
      </c>
      <c r="C156" s="18" t="inlineStr"/>
      <c r="D156" s="18" t="inlineStr">
        <is>
          <t>Lactulose 15 mL OD</t>
        </is>
      </c>
      <c r="E156" s="18" t="inlineStr">
        <is>
          <t>Amoxicillin 1000 mg BID</t>
        </is>
      </c>
      <c r="F156" s="18" t="inlineStr">
        <is>
          <t>Clarithromycin 500 mg BID</t>
        </is>
      </c>
      <c r="G156" s="18" t="inlineStr">
        <is>
          <t>Hyoscine butylbromide 10 mg TID</t>
        </is>
      </c>
      <c r="H156" s="18" t="inlineStr">
        <is>
          <t>Aluminium hydroxide/Magnesium hydroxide suspension</t>
        </is>
      </c>
      <c r="I156" s="15" t="inlineStr">
        <is>
          <t>1</t>
        </is>
      </c>
      <c r="J156" s="18"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เป็น Aminopenicillin ยับยั้ง bacterial cell wall synthesis เป็น first-line สำหรับ uncomplicated bacterial infections (เช่น Strep pharyngitis, AOM, sinusitis)
• ข้อ ค. (Clarithromycin 500 mg BID): เป็น Macrolide เป็นแกนหลักในสูตรกำจัด H. pylori และ MAC treatment แต่ยับยั้ง CYP3A4 สูงมาก จึงมี drug-drug interactions รุนแรงกับ statins, colchicine
• ข้อ ง. (Hyoscine butylbromide 10 mg TID): ข้อนี้ไม่ใช่คำตอบที่ถูกต้องสำหรับภาวะ GERD เนื่องจากกลไกการออกฤทธิ์, efficacy หรือข้อบ่งใช้ไม่ตรงกับโจทย์ที่กำหนด
• ข้อ จ.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18" t="inlineStr"/>
      <c r="L156" s="18" t="inlineStr">
        <is>
          <t>GERD</t>
        </is>
      </c>
      <c r="M156" s="18" t="inlineStr">
        <is>
          <t>Clinic</t>
        </is>
      </c>
      <c r="N156" s="18" t="inlineStr">
        <is>
          <t>ข้อ 2 (PLE_CC1_Key_Rx20_UBU.md)</t>
        </is>
      </c>
      <c r="O156" s="18" t="inlineStr">
        <is>
          <t>Mock</t>
        </is>
      </c>
      <c r="P156" s="18" t="inlineStr">
        <is>
          <t>Mock Rx20 UBU</t>
        </is>
      </c>
    </row>
    <row r="157">
      <c r="A157" s="15" t="inlineStr">
        <is>
          <t>155</t>
        </is>
      </c>
      <c r="B157" s="18" t="inlineStr">
        <is>
          <t>ตัวอย่างเช่นสารเคมีที่สร้างขึ้นภายในร่างกายเพื่อ ทำลายเชื้อ เช่น กรดในกระเพาะอาหาร</t>
        </is>
      </c>
      <c r="C157" s="18" t="inlineStr"/>
      <c r="D157" s="18" t="inlineStr">
        <is>
          <t>Hyoscine butylbromide 10 mg TID</t>
        </is>
      </c>
      <c r="E157" s="18" t="inlineStr">
        <is>
          <t>Aluminium hydroxide/Magnesium hydroxide suspension</t>
        </is>
      </c>
      <c r="F157" s="18" t="inlineStr">
        <is>
          <t>Metoclopramide 10 mg TID before meals</t>
        </is>
      </c>
      <c r="G157" s="18" t="inlineStr">
        <is>
          <t>Omeprazole 20 mg OD</t>
        </is>
      </c>
      <c r="H157" s="18" t="inlineStr">
        <is>
          <t>Esomeprazole 20 mg OD</t>
        </is>
      </c>
      <c r="I157" s="15" t="inlineStr">
        <is>
          <t>1</t>
        </is>
      </c>
      <c r="J157" s="18"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18" t="inlineStr"/>
      <c r="L157" s="18" t="inlineStr">
        <is>
          <t>GERD</t>
        </is>
      </c>
      <c r="M157" s="18" t="inlineStr">
        <is>
          <t>Clinic</t>
        </is>
      </c>
      <c r="N157" s="18" t="inlineStr">
        <is>
          <t>ข้อ 3 (PLE_CC1_Key_Rx20_UBU.md)</t>
        </is>
      </c>
      <c r="O157" s="18" t="inlineStr">
        <is>
          <t>Mock</t>
        </is>
      </c>
      <c r="P157" s="18" t="inlineStr">
        <is>
          <t>Mock Rx20 UBU</t>
        </is>
      </c>
    </row>
    <row r="158">
      <c r="A158" s="15" t="inlineStr">
        <is>
          <t>156</t>
        </is>
      </c>
      <c r="B158" s="18" t="inlineStr">
        <is>
          <t>ข้อใดไม่ใชปัจจัยเสี่ยงของโรค GERD</t>
        </is>
      </c>
      <c r="C158" s="18" t="inlineStr"/>
      <c r="D158" s="18" t="inlineStr">
        <is>
          <t>Omeprazole 20 mg OD</t>
        </is>
      </c>
      <c r="E158" s="18" t="inlineStr">
        <is>
          <t>Esomeprazole 20 mg OD</t>
        </is>
      </c>
      <c r="F158" s="18" t="inlineStr">
        <is>
          <t>Domperidone 10 mg TID</t>
        </is>
      </c>
      <c r="G158" s="18" t="inlineStr">
        <is>
          <t>Dimenhydrinate 50 mg TID</t>
        </is>
      </c>
      <c r="H158" s="18" t="inlineStr">
        <is>
          <t>Loperamide 2 mg PRN</t>
        </is>
      </c>
      <c r="I158" s="15" t="inlineStr">
        <is>
          <t>1</t>
        </is>
      </c>
      <c r="J158" s="18"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18" t="inlineStr"/>
      <c r="L158" s="18" t="inlineStr">
        <is>
          <t>GERD</t>
        </is>
      </c>
      <c r="M158" s="18" t="inlineStr">
        <is>
          <t>Clinic</t>
        </is>
      </c>
      <c r="N158" s="18" t="inlineStr">
        <is>
          <t>ข้อ 2 (PLE_CC1_Key_Rx20_UBU.md)</t>
        </is>
      </c>
      <c r="O158" s="18" t="inlineStr">
        <is>
          <t>Mock</t>
        </is>
      </c>
      <c r="P158" s="18" t="inlineStr">
        <is>
          <t>Mock Rx20 UBU</t>
        </is>
      </c>
    </row>
    <row r="159">
      <c r="A159" s="15" t="inlineStr">
        <is>
          <t>157</t>
        </is>
      </c>
      <c r="B159" s="18" t="inlineStr">
        <is>
          <t>คลื่นไส อาเจียน</t>
        </is>
      </c>
      <c r="C159" s="18" t="inlineStr"/>
      <c r="D159" s="18" t="inlineStr">
        <is>
          <t>Dimenhydrinate 50 mg TID</t>
        </is>
      </c>
      <c r="E159" s="18" t="inlineStr">
        <is>
          <t>Loperamide 2 mg PRN</t>
        </is>
      </c>
      <c r="F159" s="18" t="inlineStr">
        <is>
          <t>Senna 2 tabs HS</t>
        </is>
      </c>
      <c r="G159" s="18" t="inlineStr">
        <is>
          <t>Bisacodyl 5 mg HS</t>
        </is>
      </c>
      <c r="H159" s="18" t="inlineStr">
        <is>
          <t>Lactulose 15 mL OD</t>
        </is>
      </c>
      <c r="I159" s="15" t="inlineStr">
        <is>
          <t>1</t>
        </is>
      </c>
      <c r="J159" s="18"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18" t="inlineStr"/>
      <c r="L159" s="18" t="inlineStr">
        <is>
          <t>GERD</t>
        </is>
      </c>
      <c r="M159" s="18" t="inlineStr">
        <is>
          <t>Clinic</t>
        </is>
      </c>
      <c r="N159" s="18" t="inlineStr">
        <is>
          <t>ข้อ 5 (PLE_CC1_Key_Rx20_UBU.md)</t>
        </is>
      </c>
      <c r="O159" s="18" t="inlineStr">
        <is>
          <t>Mock</t>
        </is>
      </c>
      <c r="P159" s="18" t="inlineStr">
        <is>
          <t>Mock Rx20 UBU</t>
        </is>
      </c>
    </row>
    <row r="160">
      <c r="A160" s="15" t="inlineStr">
        <is>
          <t>158</t>
        </is>
      </c>
      <c r="B160" s="18" t="inlineStr">
        <is>
          <t>ยาใดไม่ควรใช้ในผู้ป่วย GERD</t>
        </is>
      </c>
      <c r="C160" s="18" t="inlineStr"/>
      <c r="D160" s="18" t="inlineStr">
        <is>
          <t>Bisacodyl 5 mg HS</t>
        </is>
      </c>
      <c r="E160" s="18" t="inlineStr">
        <is>
          <t>Lactulose 15 mL OD</t>
        </is>
      </c>
      <c r="F160" s="18" t="inlineStr">
        <is>
          <t>Amoxicillin 1000 mg BID</t>
        </is>
      </c>
      <c r="G160" s="18" t="inlineStr">
        <is>
          <t>Clarithromycin 500 mg BID</t>
        </is>
      </c>
      <c r="H160" s="18" t="inlineStr">
        <is>
          <t>Hyoscine butylbromide 10 mg TID</t>
        </is>
      </c>
      <c r="I160" s="15" t="inlineStr">
        <is>
          <t>1</t>
        </is>
      </c>
      <c r="J160" s="18"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ข้อ จ. (Hyoscine butylbromide 10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18" t="inlineStr"/>
      <c r="L160" s="18" t="inlineStr">
        <is>
          <t>GERD</t>
        </is>
      </c>
      <c r="M160" s="18" t="inlineStr">
        <is>
          <t>Clinic</t>
        </is>
      </c>
      <c r="N160" s="18" t="inlineStr">
        <is>
          <t>ข้อ 4 (PLE_CC1_Key_Rx20_UBU.md)</t>
        </is>
      </c>
      <c r="O160" s="18" t="inlineStr">
        <is>
          <t>Mock</t>
        </is>
      </c>
      <c r="P160" s="18" t="inlineStr">
        <is>
          <t>Mock Rx20 UBU</t>
        </is>
      </c>
    </row>
    <row r="161">
      <c r="A161" s="15" t="inlineStr">
        <is>
          <t>159</t>
        </is>
      </c>
      <c r="B161" s="18" t="inlineStr">
        <is>
          <t>ยาใดที่ใช้ในการป้องกันอาการคลื่นไส้ อาเจียนในผู้ป่วยรายนี้</t>
        </is>
      </c>
      <c r="C161" s="18" t="inlineStr"/>
      <c r="D161" s="18" t="inlineStr">
        <is>
          <t>Dexamethasone</t>
        </is>
      </c>
      <c r="E161" s="18" t="inlineStr">
        <is>
          <t>Ondansetron</t>
        </is>
      </c>
      <c r="F161" s="18" t="inlineStr">
        <is>
          <t>Ondansetron + Dexamethasone + Diphenhydramine</t>
        </is>
      </c>
      <c r="G161" s="18" t="inlineStr">
        <is>
          <t>Ondansetron + Dexamethasone + Aprepitant</t>
        </is>
      </c>
      <c r="H161" s="18" t="inlineStr">
        <is>
          <t>Metoclopramide + Dexamethasone + Aprepitant วันโดยยาที่ได้รับต้องประกอบไปด้วย 1. 5-HT antagonist 2. NK-1 receptor antagonist และ 3. Dexamethasone</t>
        </is>
      </c>
      <c r="I161" s="15" t="inlineStr">
        <is>
          <t>4</t>
        </is>
      </c>
      <c r="J161" s="18"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18" t="inlineStr"/>
      <c r="L161" s="18" t="inlineStr">
        <is>
          <t>GERD</t>
        </is>
      </c>
      <c r="M161" s="18" t="inlineStr">
        <is>
          <t>Clinic</t>
        </is>
      </c>
      <c r="N161" s="18" t="inlineStr">
        <is>
          <t>ข้อ 12 (PLE_CC1_Key_Rx20_UBU.md)</t>
        </is>
      </c>
      <c r="O161" s="18" t="inlineStr">
        <is>
          <t>Mock</t>
        </is>
      </c>
      <c r="P161" s="18" t="inlineStr">
        <is>
          <t>Mock Rx20 UBU</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99"/>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1</t>
        </is>
      </c>
      <c r="B3" s="18"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18" t="inlineStr"/>
      <c r="D3" s="18" t="inlineStr">
        <is>
          <t>Hypochromic microcytic anemia</t>
        </is>
      </c>
      <c r="E3" s="18" t="inlineStr">
        <is>
          <t>Hypochromic normocytic anemia</t>
        </is>
      </c>
      <c r="F3" s="18" t="inlineStr">
        <is>
          <t>Normochromic normocytic anemia</t>
        </is>
      </c>
      <c r="G3" s="18" t="inlineStr">
        <is>
          <t>Normochromic macrocytic anemia</t>
        </is>
      </c>
      <c r="H3" s="18" t="inlineStr">
        <is>
          <t>Hyperchromic macrocytic anemia</t>
        </is>
      </c>
      <c r="I3" s="15" t="inlineStr">
        <is>
          <t>3</t>
        </is>
      </c>
      <c r="J3" s="18"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ข้อนี้ไม่ใช่คำตอบที่ถูกต้องสำหรับภาวะ Anemia เนื่องจากกลไกการออกฤทธิ์, efficacy หรือข้อบ่งใช้ไม่ตรงกับโจทย์ที่กำหนด
• ข้อ ข. (Hypochromic normocytic anemia): ข้อนี้ไม่ใช่คำตอบที่ถูกต้องสำหรับภาวะ Anemia เนื่องจากกลไกการออกฤทธิ์, efficacy หรือข้อบ่งใช้ไม่ตรงกับโจทย์ที่กำหนด
• ข้อ ง. (Normochromic macrocytic anemia): ข้อนี้ไม่ใช่คำตอบที่ถูกต้องสำหรับภาวะ Anemia เนื่องจากกลไกการออกฤทธิ์, efficacy หรือข้อบ่งใช้ไม่ตรงกับโจทย์ที่กำหนด
• ข้อ จ. (Hyperchromic macrocytic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18" t="inlineStr"/>
      <c r="L3" s="18" t="inlineStr">
        <is>
          <t>Anemia</t>
        </is>
      </c>
      <c r="M3" s="18" t="inlineStr">
        <is>
          <t>Clinic</t>
        </is>
      </c>
      <c r="N3" s="18" t="inlineStr">
        <is>
          <t>ข้อ 1 ชุด 1 (เฉลยข้อ ค)</t>
        </is>
      </c>
      <c r="O3" s="18" t="inlineStr">
        <is>
          <t>Mock</t>
        </is>
      </c>
      <c r="P3" s="18" t="inlineStr">
        <is>
          <t>ชุด 1</t>
        </is>
      </c>
    </row>
    <row r="4">
      <c r="A4" s="15" t="inlineStr">
        <is>
          <t>2</t>
        </is>
      </c>
      <c r="B4" s="18" t="inlineStr">
        <is>
          <t>Specific antidote ในผู้ป่วยที่มีภาวะเหล็กเกินคือข้อใด</t>
        </is>
      </c>
      <c r="C4" s="18" t="inlineStr"/>
      <c r="D4" s="18" t="inlineStr">
        <is>
          <t>Vitamin C 500 mg OD</t>
        </is>
      </c>
      <c r="E4" s="18" t="inlineStr">
        <is>
          <t>Pyridoxine 50 mg OD</t>
        </is>
      </c>
      <c r="F4" s="18" t="inlineStr">
        <is>
          <t>Hydroxyurea 500 mg OD</t>
        </is>
      </c>
      <c r="G4" s="18" t="inlineStr">
        <is>
          <t>Blood transfusion (Packed Red Cells)</t>
        </is>
      </c>
      <c r="H4" s="18" t="inlineStr">
        <is>
          <t>Ferrous fumarate 200 mg TID</t>
        </is>
      </c>
      <c r="I4" s="15" t="inlineStr">
        <is>
          <t>4</t>
        </is>
      </c>
      <c r="J4" s="18"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ข้อนี้ไม่ใช่คำตอบที่ถูกต้องสำหรับภาวะ Anemia เนื่องจากกลไกการออกฤทธิ์, efficacy หรือข้อบ่งใช้ไม่ตรงกับโจทย์ที่กำหนด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18" t="inlineStr"/>
      <c r="L4" s="18" t="inlineStr">
        <is>
          <t>Anemia</t>
        </is>
      </c>
      <c r="M4" s="18" t="inlineStr">
        <is>
          <t>Clinic</t>
        </is>
      </c>
      <c r="N4" s="18" t="inlineStr">
        <is>
          <t>ข้อ 2 ชุด 1 (เฉลยข้อ ง)</t>
        </is>
      </c>
      <c r="O4" s="18" t="inlineStr">
        <is>
          <t>Mock</t>
        </is>
      </c>
      <c r="P4" s="18" t="inlineStr">
        <is>
          <t>ชุด 1</t>
        </is>
      </c>
    </row>
    <row r="5">
      <c r="A5" s="15" t="inlineStr">
        <is>
          <t>3</t>
        </is>
      </c>
      <c r="B5" s="18" t="inlineStr">
        <is>
          <t>สารพฤกษเคมีกลุ่มใดที่มีผลรบกวนการดูดซึมธาตุเหล็ก</t>
        </is>
      </c>
      <c r="C5" s="18" t="inlineStr"/>
      <c r="D5" s="18" t="inlineStr">
        <is>
          <t>Alkaloids</t>
        </is>
      </c>
      <c r="E5" s="18" t="inlineStr">
        <is>
          <t>Anthraquinones</t>
        </is>
      </c>
      <c r="F5" s="18" t="inlineStr">
        <is>
          <t>Quinolines</t>
        </is>
      </c>
      <c r="G5" s="18" t="inlineStr">
        <is>
          <t>Flavonoids</t>
        </is>
      </c>
      <c r="H5" s="18" t="inlineStr">
        <is>
          <t>Tannins</t>
        </is>
      </c>
      <c r="I5" s="15" t="inlineStr">
        <is>
          <t>5</t>
        </is>
      </c>
      <c r="J5" s="18"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ข้อนี้ไม่ใช่คำตอบที่ถูกต้องสำหรับภาวะ Anemia เนื่องจากกลไกการออกฤทธิ์, efficacy หรือข้อบ่งใช้ไม่ตรงกับโจทย์ที่กำหนด
• ข้อ ข. (Anthraquinones): ข้อนี้ไม่ใช่คำตอบที่ถูกต้องสำหรับภาวะ Anemia เนื่องจากกลไกการออกฤทธิ์, efficacy หรือข้อบ่งใช้ไม่ตรงกับโจทย์ที่กำหนด
• ข้อ ค. (Quinolines): ข้อนี้ไม่ใช่คำตอบที่ถูกต้องสำหรับภาวะ Anemia เนื่องจากกลไกการออกฤทธิ์, efficacy หรือข้อบ่งใช้ไม่ตรงกับโจทย์ที่กำหนด
• ข้อ ง. (Flavonoids):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18" t="inlineStr"/>
      <c r="L5" s="18" t="inlineStr">
        <is>
          <t>Anemia</t>
        </is>
      </c>
      <c r="M5" s="18" t="inlineStr">
        <is>
          <t>Clinic</t>
        </is>
      </c>
      <c r="N5" s="18" t="inlineStr">
        <is>
          <t>ข้อ 3 ชุด 1 (เฉลยข้อ จ)</t>
        </is>
      </c>
      <c r="O5" s="18" t="inlineStr">
        <is>
          <t>Mock</t>
        </is>
      </c>
      <c r="P5" s="18" t="inlineStr">
        <is>
          <t>ชุด 1</t>
        </is>
      </c>
    </row>
    <row r="6">
      <c r="A6" s="15" t="inlineStr">
        <is>
          <t>4</t>
        </is>
      </c>
      <c r="B6" s="18"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18" t="inlineStr"/>
      <c r="D6" s="18" t="inlineStr">
        <is>
          <t>จ่ายยา folic acid</t>
        </is>
      </c>
      <c r="E6" s="18" t="inlineStr">
        <is>
          <t>จ่ายยา vitamin B 12</t>
        </is>
      </c>
      <c r="F6" s="18" t="inlineStr">
        <is>
          <t>จ่ายยา ferrous gluconate</t>
        </is>
      </c>
      <c r="G6" s="18" t="inlineStr">
        <is>
          <t>แนะนำให้พาผู้ป่วยไปโรงพยาบาลทันที</t>
        </is>
      </c>
      <c r="H6" s="18" t="inlineStr">
        <is>
          <t>จ่ายยา ferrous sulfate และ folic acid</t>
        </is>
      </c>
      <c r="I6" s="15" t="inlineStr">
        <is>
          <t>4</t>
        </is>
      </c>
      <c r="J6" s="18"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ข้อนี้ไม่ใช่คำตอบที่ถูกต้องสำหรับภาวะ Anemia เนื่องจากกลไกการออกฤทธิ์, efficacy หรือข้อบ่งใช้ไม่ตรงกับโจทย์ที่กำหนด
• ข้อ ข. (จ่ายยา vitamin B 12): ข้อนี้ไม่ใช่คำตอบที่ถูกต้องสำหรับภาวะ Anemia เนื่องจากกลไกการออกฤทธิ์, efficacy หรือข้อบ่งใช้ไม่ตรงกับโจทย์ที่กำหนด
• ข้อ ค. (จ่ายยา ferrous gluconate): ข้อนี้ไม่ใช่คำตอบที่ถูกต้องสำหรับภาวะ Anemia เนื่องจากกลไกการออกฤทธิ์, efficacy หรือข้อบ่งใช้ไม่ตรงกับโจทย์ที่กำหนด
• ข้อ จ. (จ่ายยา ferrous sulfate และ folic acid):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18" t="inlineStr"/>
      <c r="L6" s="18" t="inlineStr">
        <is>
          <t>Anemia</t>
        </is>
      </c>
      <c r="M6" s="18" t="inlineStr">
        <is>
          <t>Clinic</t>
        </is>
      </c>
      <c r="N6" s="18" t="inlineStr">
        <is>
          <t>ข้อ 4 ชุด 1 (เฉลยข้อ ง)</t>
        </is>
      </c>
      <c r="O6" s="18" t="inlineStr">
        <is>
          <t>Mock</t>
        </is>
      </c>
      <c r="P6" s="18" t="inlineStr">
        <is>
          <t>ชุด 1</t>
        </is>
      </c>
    </row>
    <row r="7">
      <c r="A7" s="15" t="inlineStr">
        <is>
          <t>5</t>
        </is>
      </c>
      <c r="B7" s="18" t="inlineStr">
        <is>
          <t>ในกรณีหากพ่อเด็กตัดสินใจนำผู้ป่วยไปตรวจที่รพ. พบว่าเป็น G6PD อาการซีดในผู้ป่วยจัดเป็นแบบใด</t>
        </is>
      </c>
      <c r="C7" s="18" t="inlineStr"/>
      <c r="D7" s="18" t="inlineStr">
        <is>
          <t>Aplastic anemia</t>
        </is>
      </c>
      <c r="E7" s="18" t="inlineStr">
        <is>
          <t>Hemolytic anemia</t>
        </is>
      </c>
      <c r="F7" s="18" t="inlineStr">
        <is>
          <t>Pernicious anemia</t>
        </is>
      </c>
      <c r="G7" s="18" t="inlineStr">
        <is>
          <t>Chronic renal failure</t>
        </is>
      </c>
      <c r="H7" s="18" t="inlineStr">
        <is>
          <t>Iron deficiency failure</t>
        </is>
      </c>
      <c r="I7" s="15" t="inlineStr">
        <is>
          <t>2</t>
        </is>
      </c>
      <c r="J7" s="18"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ข้อนี้ไม่ใช่คำตอบที่ถูกต้องสำหรับภาวะ Anemia เนื่องจากกลไกการออกฤทธิ์, efficacy หรือข้อบ่งใช้ไม่ตรงกับโจทย์ที่กำหนด
• ข้อ ค. (Pernicious anemia): ข้อนี้ไม่ใช่คำตอบที่ถูกต้องสำหรับภาวะ Anemia เนื่องจากกลไกการออกฤทธิ์, efficacy หรือข้อบ่งใช้ไม่ตรงกับโจทย์ที่กำหนด
• ข้อ ง. (Chronic renal failure): ข้อนี้ไม่ใช่คำตอบที่ถูกต้องสำหรับภาวะ Anemia เนื่องจากกลไกการออกฤทธิ์, efficacy หรือข้อบ่งใช้ไม่ตรงกับโจทย์ที่กำหนด
• ข้อ จ. (Iron deficiency failure):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18" t="inlineStr"/>
      <c r="L7" s="18" t="inlineStr">
        <is>
          <t>Anemia</t>
        </is>
      </c>
      <c r="M7" s="18" t="inlineStr">
        <is>
          <t>Clinic</t>
        </is>
      </c>
      <c r="N7" s="18" t="inlineStr">
        <is>
          <t>ข้อ 5 ชุด 1 (เฉลยข้อ ข)</t>
        </is>
      </c>
      <c r="O7" s="18" t="inlineStr">
        <is>
          <t>Mock</t>
        </is>
      </c>
      <c r="P7" s="18" t="inlineStr">
        <is>
          <t>ชุด 1</t>
        </is>
      </c>
    </row>
    <row r="8">
      <c r="A8" s="15" t="inlineStr">
        <is>
          <t>6</t>
        </is>
      </c>
      <c r="B8" s="18" t="inlineStr">
        <is>
          <t>ข้อใดควรใช้ในการรักษาผู้ป่วยรายนี้ในโรงพยาบาล</t>
        </is>
      </c>
      <c r="C8" s="18" t="inlineStr"/>
      <c r="D8" s="18" t="inlineStr">
        <is>
          <t>Platelet</t>
        </is>
      </c>
      <c r="E8" s="18" t="inlineStr">
        <is>
          <t>Folic acid</t>
        </is>
      </c>
      <c r="F8" s="18" t="inlineStr">
        <is>
          <t>Vitamin B12</t>
        </is>
      </c>
      <c r="G8" s="18" t="inlineStr">
        <is>
          <t>Ferrous sulfate</t>
        </is>
      </c>
      <c r="H8" s="18" t="inlineStr">
        <is>
          <t>Packed red cell</t>
        </is>
      </c>
      <c r="I8" s="15" t="inlineStr">
        <is>
          <t>5</t>
        </is>
      </c>
      <c r="J8" s="18"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ข้อนี้ไม่ใช่คำตอบที่ถูกต้องสำหรับภาวะ Anemia เนื่องจากกลไกการออกฤทธิ์, efficacy หรือข้อบ่งใช้ไม่ตรงกับโจทย์ที่กำหนด
• ข้อ ข. (Folic acid): ข้อนี้ไม่ใช่คำตอบที่ถูกต้องสำหรับภาวะ Anemia เนื่องจากกลไกการออกฤทธิ์, efficacy หรือข้อบ่งใช้ไม่ตรงกับโจทย์ที่กำหนด
• ข้อ ค. (Vitamin B12): ข้อนี้ไม่ใช่คำตอบที่ถูกต้องสำหรับภาวะ Anemia เนื่องจากกลไกการออกฤทธิ์, efficacy หรือข้อบ่งใช้ไม่ตรงกับโจทย์ที่กำหนด
• ข้อ ง. (Ferrous sulfate):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18" t="inlineStr"/>
      <c r="L8" s="18" t="inlineStr">
        <is>
          <t>Anemia</t>
        </is>
      </c>
      <c r="M8" s="18" t="inlineStr">
        <is>
          <t>Clinic</t>
        </is>
      </c>
      <c r="N8" s="18" t="inlineStr">
        <is>
          <t>ข้อ 6 ชุด 1 (เฉลยข้อ จ)</t>
        </is>
      </c>
      <c r="O8" s="18" t="inlineStr">
        <is>
          <t>Mock</t>
        </is>
      </c>
      <c r="P8" s="18" t="inlineStr">
        <is>
          <t>ชุด 1</t>
        </is>
      </c>
    </row>
    <row r="9">
      <c r="A9" s="15" t="inlineStr">
        <is>
          <t>7</t>
        </is>
      </c>
      <c r="B9" s="18" t="inlineStr">
        <is>
          <t>ปัจจัยใดที่น่าจะเป็นสาเหตุทำให้เกิดอาการซีดในคนไข้</t>
        </is>
      </c>
      <c r="C9" s="18" t="inlineStr"/>
      <c r="D9" s="18" t="inlineStr">
        <is>
          <t>Aspirin</t>
        </is>
      </c>
      <c r="E9" s="18" t="inlineStr">
        <is>
          <t>Vitamin C</t>
        </is>
      </c>
      <c r="F9" s="18" t="inlineStr">
        <is>
          <t>Amoxicillin</t>
        </is>
      </c>
      <c r="G9" s="18" t="inlineStr">
        <is>
          <t>Amitriptyline</t>
        </is>
      </c>
      <c r="H9" s="18" t="inlineStr">
        <is>
          <t>กินแต่เนื้อสัตว์ ไม่ชอบกินผัก</t>
        </is>
      </c>
      <c r="I9" s="15" t="inlineStr">
        <is>
          <t>1</t>
        </is>
      </c>
      <c r="J9" s="18"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ข้อนี้ไม่ใช่คำตอบที่ถูกต้องสำหรับภาวะ Anemia เนื่องจากกลไกการออกฤทธิ์, efficacy หรือข้อบ่งใช้ไม่ตรงกับโจทย์ที่กำหนด
• ข้อ ค. (Amoxicillin): เป็น Aminopenicillin ยับยั้ง bacterial cell wall synthesis เป็น first-line สำหรับ uncomplicated bacterial infections (เช่น Strep pharyngitis, AOM, sinusitis)
• ข้อ ง. (Amitriptyline): เป็น Tricyclic antidepressant (TCA) มี anticholinergic ADRs สูง, antihistaminic (ง่วงซึม น้ำหนักขึ้น), alpha-1 blockade (orthostatic hypotension) และเสี่ยงต่อ fatal cardiotoxicity เมื่อ overdose
• ข้อ จ. (กินแต่เนื้อสัตว์ ไม่ชอบกินผัก):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18" t="inlineStr"/>
      <c r="L9" s="18" t="inlineStr">
        <is>
          <t>Anemia</t>
        </is>
      </c>
      <c r="M9" s="18" t="inlineStr">
        <is>
          <t>Clinic</t>
        </is>
      </c>
      <c r="N9" s="18" t="inlineStr">
        <is>
          <t>ข้อ 7 ชุด 1 (เฉลยข้อ ก)</t>
        </is>
      </c>
      <c r="O9" s="18" t="inlineStr">
        <is>
          <t>Mock</t>
        </is>
      </c>
      <c r="P9" s="18" t="inlineStr">
        <is>
          <t>ชุด 1</t>
        </is>
      </c>
    </row>
    <row r="10">
      <c r="A10" s="15" t="inlineStr">
        <is>
          <t>8</t>
        </is>
      </c>
      <c r="B10" s="18" t="inlineStr">
        <is>
          <t>เมื่อเด็กชายคนนี้โตขึ้นและจะแต่งงานข้อใดถูก</t>
        </is>
      </c>
      <c r="C10" s="18" t="inlineStr"/>
      <c r="D10" s="18" t="inlineStr">
        <is>
          <t>แต่งงานกันได้แต่ไม่ควรมีลูก เพราะสามารถถ่ายทอดทางพันธุกรรมได้</t>
        </is>
      </c>
      <c r="E10" s="18" t="inlineStr">
        <is>
          <t>แต่งงานกันได้ และหากตั้งครรภ์เป็นลูกชายให้ทำแท้ง แต่ถ้าเป็นหญิงไม่เป็นไร</t>
        </is>
      </c>
      <c r="F10" s="18" t="inlineStr">
        <is>
          <t>แต่งงานกันได้ และหากตั้งครรภ์เป็นลูกผู้หญิงให้ทำแท้ง แต่ถ้าชายเป็นไม่เป็นไร</t>
        </is>
      </c>
      <c r="G10" s="18" t="inlineStr">
        <is>
          <t>ทุกคนเป็นโรคนี้เท่ากัน ไม่ว่าชายหรือหญิง</t>
        </is>
      </c>
      <c r="H10" s="18" t="inlineStr">
        <is>
          <t>แต่งไม่ได้ จะทำให้ไม่มีคุณภาพชีวิตมีความสุขไปตลอดชีวิต เป็นการทำบาป</t>
        </is>
      </c>
      <c r="I10" s="15" t="inlineStr">
        <is>
          <t>1</t>
        </is>
      </c>
      <c r="J10" s="18"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ข้อนี้ไม่ใช่คำตอบที่ถูกต้องสำหรับภาวะ Anemia เนื่องจากกลไกการออกฤทธิ์, efficacy หรือข้อบ่งใช้ไม่ตรงกับโจทย์ที่กำหนด
• ข้อ ค. (แต่งงานกันได้ และหากตั้งครรภ์เป็นลูกผู้หญิงให้ทำแท้ง แต่ถ้าชายเป็นไม่เป็นไร): ข้อนี้ไม่ใช่คำตอบที่ถูกต้องสำหรับภาวะ Anemia เนื่องจากกลไกการออกฤทธิ์, efficacy หรือข้อบ่งใช้ไม่ตรงกับโจทย์ที่กำหนด
• ข้อ ง. (ทุกคนเป็นโรคนี้เท่ากัน ไม่ว่าชายหรือหญิง): ข้อนี้ไม่ใช่คำตอบที่ถูกต้องสำหรับภาวะ Anemia เนื่องจากกลไกการออกฤทธิ์, efficacy หรือข้อบ่งใช้ไม่ตรงกับโจทย์ที่กำหนด
• ข้อ จ. (แต่งไม่ได้ จะทำให้ไม่มีคุณภาพชีวิตมีความสุขไปตลอดชีวิต เป็นการทำบาป):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18" t="inlineStr"/>
      <c r="L10" s="18" t="inlineStr">
        <is>
          <t>Anemia</t>
        </is>
      </c>
      <c r="M10" s="18" t="inlineStr">
        <is>
          <t>Clinic</t>
        </is>
      </c>
      <c r="N10" s="18" t="inlineStr">
        <is>
          <t>ข้อ 8 ชุด 1 (เฉลยข้อ ก)</t>
        </is>
      </c>
      <c r="O10" s="18" t="inlineStr">
        <is>
          <t>Mock</t>
        </is>
      </c>
      <c r="P10" s="18" t="inlineStr">
        <is>
          <t>ชุด 1</t>
        </is>
      </c>
    </row>
    <row r="11">
      <c r="A11" s="15" t="inlineStr">
        <is>
          <t>9</t>
        </is>
      </c>
      <c r="B11" s="18"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18" t="inlineStr"/>
      <c r="D11" s="18" t="inlineStr">
        <is>
          <t>เป็นผู้ชาย</t>
        </is>
      </c>
      <c r="E11" s="18" t="inlineStr">
        <is>
          <t>มีโปตาสเซียมสูง</t>
        </is>
      </c>
      <c r="F11" s="18" t="inlineStr">
        <is>
          <t>มีการติดเชื้อในทางเดินปัสสาวะ</t>
        </is>
      </c>
      <c r="G11" s="18" t="inlineStr">
        <is>
          <t>ได้รับยา co-trimoxazole</t>
        </is>
      </c>
      <c r="H11" s="18" t="inlineStr">
        <is>
          <t>ได้รับยา ranitidine</t>
        </is>
      </c>
      <c r="I11" s="15" t="inlineStr">
        <is>
          <t>5</t>
        </is>
      </c>
      <c r="J11" s="18"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ข้อนี้ไม่ใช่คำตอบที่ถูกต้องสำหรับภาวะ Anemia เนื่องจากกลไกการออกฤทธิ์, efficacy หรือข้อบ่งใช้ไม่ตรงกับโจทย์ที่กำหนด
• ข้อ ข. (มีโปตาสเซียมสูง): ข้อนี้ไม่ใช่คำตอบที่ถูกต้องสำหรับภาวะ Anemia เนื่องจากกลไกการออกฤทธิ์, efficacy หรือข้อบ่งใช้ไม่ตรงกับโจทย์ที่กำหนด
• ข้อ ค. (มีการติดเชื้อในทางเดินปัสสาวะ): ข้อนี้ไม่ใช่คำตอบที่ถูกต้องสำหรับภาวะ Anemia เนื่องจากกลไกการออกฤทธิ์, efficacy หรือข้อบ่งใช้ไม่ตรงกับโจทย์ที่กำหนด
• ข้อ ง. (ได้รับยา co-trimoxazole):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18" t="inlineStr"/>
      <c r="L11" s="18" t="inlineStr">
        <is>
          <t>Anemia</t>
        </is>
      </c>
      <c r="M11" s="18" t="inlineStr">
        <is>
          <t>Clinic</t>
        </is>
      </c>
      <c r="N11" s="18" t="inlineStr">
        <is>
          <t>ข้อ 9 ชุด 1 (เฉลยข้อ จ)</t>
        </is>
      </c>
      <c r="O11" s="18" t="inlineStr">
        <is>
          <t>Mock</t>
        </is>
      </c>
      <c r="P11" s="18" t="inlineStr">
        <is>
          <t>ชุด 1</t>
        </is>
      </c>
    </row>
    <row r="12">
      <c r="A12" s="15" t="inlineStr">
        <is>
          <t>10</t>
        </is>
      </c>
      <c r="B12" s="18"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18" t="inlineStr"/>
      <c r="D12" s="18" t="inlineStr">
        <is>
          <t>อาการเหนื่อยเพลีย</t>
        </is>
      </c>
      <c r="E12" s="18" t="inlineStr">
        <is>
          <t>ปัสสาวะมีสีคล้ำเหมือนสีน้ำปลา</t>
        </is>
      </c>
      <c r="F12" s="18" t="inlineStr">
        <is>
          <t>มีประวัติเป็นโรคกระเพาะอาหาร</t>
        </is>
      </c>
      <c r="G12" s="18" t="inlineStr">
        <is>
          <t>Hb 8 g/dL (normal; 12-16), Hct 22% (normal; 38-48)</t>
        </is>
      </c>
      <c r="H12" s="18" t="inlineStr">
        <is>
          <t>Total bilirubin 4 mg/L (normal; &lt;1)</t>
        </is>
      </c>
      <c r="I12" s="15" t="inlineStr">
        <is>
          <t>3</t>
        </is>
      </c>
      <c r="J12" s="18"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ข้อนี้ไม่ใช่คำตอบที่ถูกต้องสำหรับภาวะ Anemia เนื่องจากกลไกการออกฤทธิ์, efficacy หรือข้อบ่งใช้ไม่ตรงกับโจทย์ที่กำหนด
• ข้อ ข. (ปัสสาวะมีสีคล้ำเหมือนสีน้ำปลา): ข้อนี้ไม่ใช่คำตอบที่ถูกต้องสำหรับภาวะ Anemia เนื่องจากกลไกการออกฤทธิ์, efficacy หรือข้อบ่งใช้ไม่ตรงกับโจทย์ที่กำหนด
• ข้อ ง. (Hb 8 g/dL (normal; 12-16), Hct 22% (normal; 38-48)): ข้อนี้ไม่ใช่คำตอบที่ถูกต้องสำหรับภาวะ Anemia เนื่องจากกลไกการออกฤทธิ์, efficacy หรือข้อบ่งใช้ไม่ตรงกับโจทย์ที่กำหนด
• ข้อ จ. (Total bilirubin 4 mg/L (normal; &lt;1)):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18" t="inlineStr"/>
      <c r="L12" s="18" t="inlineStr">
        <is>
          <t>Anemia</t>
        </is>
      </c>
      <c r="M12" s="18" t="inlineStr">
        <is>
          <t>Clinic</t>
        </is>
      </c>
      <c r="N12" s="18" t="inlineStr">
        <is>
          <t>ข้อ 10 ชุด 1 (เฉลยข้อ ค)</t>
        </is>
      </c>
      <c r="O12" s="18" t="inlineStr">
        <is>
          <t>Mock</t>
        </is>
      </c>
      <c r="P12" s="18" t="inlineStr">
        <is>
          <t>ชุด 1</t>
        </is>
      </c>
    </row>
    <row r="13">
      <c r="A13" s="15" t="inlineStr">
        <is>
          <t>11</t>
        </is>
      </c>
      <c r="B13" s="18" t="inlineStr">
        <is>
          <t>ข้อใดไม่ถูกต้องในการเกิด G-6-PD Deficiency anemia</t>
        </is>
      </c>
      <c r="C13" s="18" t="inlineStr"/>
      <c r="D13" s="18" t="inlineStr">
        <is>
          <t>การติดเชื้อทำให้ร่างกายสร้างอนุมูลอิสระมากขึ้น</t>
        </is>
      </c>
      <c r="E13" s="18" t="inlineStr">
        <is>
          <t>มี oxidative stress สูงเนื่องจากมี H2O2 ภายในเซลล์</t>
        </is>
      </c>
      <c r="F13" s="18" t="inlineStr">
        <is>
          <t>H2O2 ทำให้เกิด Sulhydryl-hemoglobin ทำให้เม็ดเลือดแดงแตก</t>
        </is>
      </c>
      <c r="G13" s="18" t="inlineStr">
        <is>
          <t>ฮีโมโกลบินตกตะกอนในเม็ดเลือดแดง ทำให้ถูก macrophage ที่ม้ามจับกิน</t>
        </is>
      </c>
      <c r="H13" s="18" t="inlineStr">
        <is>
          <t>การขาดเอนไซม์ G-6-PD ทำให้ reduced glutathione เพิ่มขึ้น เกิดการแตกของเม็ดเลือดแดง</t>
        </is>
      </c>
      <c r="I13" s="15" t="inlineStr">
        <is>
          <t>3</t>
        </is>
      </c>
      <c r="J13" s="18"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ข้อนี้ไม่ใช่คำตอบที่ถูกต้องสำหรับภาวะ Anemia เนื่องจากกลไกการออกฤทธิ์, efficacy หรือข้อบ่งใช้ไม่ตรงกับโจทย์ที่กำหนด
• ข้อ ข. (มี oxidative stress สูงเนื่องจากมี H2O2 ภายในเซลล์): ข้อนี้ไม่ใช่คำตอบที่ถูกต้องสำหรับภาวะ Anemia เนื่องจากกลไกการออกฤทธิ์, efficacy หรือข้อบ่งใช้ไม่ตรงกับโจทย์ที่กำหนด
• ข้อ ง. (ฮีโมโกลบินตกตะกอนในเม็ดเลือดแดง ทำให้ถูก macrophage ที่ม้ามจับกิน): ข้อนี้ไม่ใช่คำตอบที่ถูกต้องสำหรับภาวะ Anemia เนื่องจากกลไกการออกฤทธิ์, efficacy หรือข้อบ่งใช้ไม่ตรงกับโจทย์ที่กำหนด
• ข้อ จ. (การขาดเอนไซม์ G-6-PD ทำให้ reduced glutathione เพิ่มขึ้น เกิดการแตกของเม็ดเลือดแดง):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18" t="inlineStr"/>
      <c r="L13" s="18" t="inlineStr">
        <is>
          <t>Anemia</t>
        </is>
      </c>
      <c r="M13" s="18" t="inlineStr">
        <is>
          <t>Clinic</t>
        </is>
      </c>
      <c r="N13" s="18" t="inlineStr">
        <is>
          <t>ข้อ 11 ชุด 1 (เฉลยข้อ ค)</t>
        </is>
      </c>
      <c r="O13" s="18" t="inlineStr">
        <is>
          <t>Mock</t>
        </is>
      </c>
      <c r="P13" s="18" t="inlineStr">
        <is>
          <t>ชุด 1</t>
        </is>
      </c>
    </row>
    <row r="14">
      <c r="A14" s="15" t="inlineStr">
        <is>
          <t>12</t>
        </is>
      </c>
      <c r="B14" s="18" t="inlineStr">
        <is>
          <t>ยาในข้อใดทำให้เกิดภาวะเม็ดเลือดแดงแตกเฉียบพลันในผู้ป่วย G-6-PD deficiency anemia</t>
        </is>
      </c>
      <c r="C14" s="18" t="inlineStr"/>
      <c r="D14" s="18" t="inlineStr">
        <is>
          <t>Heparin</t>
        </is>
      </c>
      <c r="E14" s="18" t="inlineStr">
        <is>
          <t>Primaquine</t>
        </is>
      </c>
      <c r="F14" s="18" t="inlineStr">
        <is>
          <t>Cloxacillin</t>
        </is>
      </c>
      <c r="G14" s="18" t="inlineStr">
        <is>
          <t>Warfarin</t>
        </is>
      </c>
      <c r="H14" s="18" t="inlineStr">
        <is>
          <t>Penicillin</t>
        </is>
      </c>
      <c r="I14" s="15" t="inlineStr">
        <is>
          <t>2</t>
        </is>
      </c>
      <c r="J14" s="18"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เป็น Unfractionated Heparin (UFH) จับกับ Antithrombin III ยับยั้ง Thrombin และ Factor Xa ติดตาม monitoring ด้วย aPTT และ reversal agent คือ Protamine sulfate
• ข้อ ค. (Cloxacillin): เป็น penicillinase-resistant penicillin เป็น drug of choice สำหรับ Methicillin-Susceptible Staphylococcus aureus (MSSA) infections ต้องรับประทานตอนท้องว่าง
• ข้อ ง. (Warfarin): เป็น Vitamin K antagonist ต้องติดตาม monitoring ค่า INR (target 2.0-3.0 ใน DVT/PE/AF, 2.5-3.5 ใน mechanical mitral valve) มี drug-food interactions มากมาย และ reversal agent คือ Vitamin K1
• ข้อ จ. (Penicillin):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18" t="inlineStr"/>
      <c r="L14" s="18" t="inlineStr">
        <is>
          <t>Anemia</t>
        </is>
      </c>
      <c r="M14" s="18" t="inlineStr">
        <is>
          <t>Clinic</t>
        </is>
      </c>
      <c r="N14" s="18" t="inlineStr">
        <is>
          <t>ข้อ 12 ชุด 1 (เฉลยข้อ ข)</t>
        </is>
      </c>
      <c r="O14" s="18" t="inlineStr">
        <is>
          <t>Mock</t>
        </is>
      </c>
      <c r="P14" s="18" t="inlineStr">
        <is>
          <t>ชุด 1</t>
        </is>
      </c>
    </row>
    <row r="15">
      <c r="A15" s="15" t="inlineStr">
        <is>
          <t>13</t>
        </is>
      </c>
      <c r="B15" s="18" t="inlineStr">
        <is>
          <t>การรักษาภาวะ acute anemia ในข้อใดเหมาะสมกับผู้ป่วยรายนี้</t>
        </is>
      </c>
      <c r="C15" s="18" t="inlineStr"/>
      <c r="D15" s="18" t="inlineStr">
        <is>
          <t>ให้เลือด</t>
        </is>
      </c>
      <c r="E15" s="18" t="inlineStr">
        <is>
          <t>Ferrous sulfate</t>
        </is>
      </c>
      <c r="F15" s="18" t="inlineStr">
        <is>
          <t>Ferrous sulfate ร่วมกับ Folic acid</t>
        </is>
      </c>
      <c r="G15" s="18" t="inlineStr">
        <is>
          <t>Vitamin B12</t>
        </is>
      </c>
      <c r="H15" s="18" t="inlineStr">
        <is>
          <t>Erythropoietin</t>
        </is>
      </c>
      <c r="I15" s="15" t="inlineStr">
        <is>
          <t>1</t>
        </is>
      </c>
      <c r="J15" s="18"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ข้อนี้ไม่ใช่คำตอบที่ถูกต้องสำหรับภาวะ Anemia เนื่องจากกลไกการออกฤทธิ์, efficacy หรือข้อบ่งใช้ไม่ตรงกับโจทย์ที่กำหนด
• ข้อ ค. (Ferrous sulfate ร่วมกับ Folic acid): ข้อนี้ไม่ใช่คำตอบที่ถูกต้องสำหรับภาวะ Anemia เนื่องจากกลไกการออกฤทธิ์, efficacy หรือข้อบ่งใช้ไม่ตรงกับโจทย์ที่กำหนด
• ข้อ ง. (Vitamin B12): ข้อนี้ไม่ใช่คำตอบที่ถูกต้องสำหรับภาวะ Anemia เนื่องจากกลไกการออกฤทธิ์, efficacy หรือข้อบ่งใช้ไม่ตรงกับโจทย์ที่กำหนด
• ข้อ จ. (Erythropoietin):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18" t="inlineStr"/>
      <c r="L15" s="18" t="inlineStr">
        <is>
          <t>Anemia</t>
        </is>
      </c>
      <c r="M15" s="18" t="inlineStr">
        <is>
          <t>Clinic</t>
        </is>
      </c>
      <c r="N15" s="18" t="inlineStr">
        <is>
          <t>ข้อ 13 ชุด 1 (เฉลยข้อ ก)</t>
        </is>
      </c>
      <c r="O15" s="18" t="inlineStr">
        <is>
          <t>Mock</t>
        </is>
      </c>
      <c r="P15" s="18" t="inlineStr">
        <is>
          <t>ชุด 1</t>
        </is>
      </c>
    </row>
    <row r="16">
      <c r="A16" s="15" t="inlineStr">
        <is>
          <t>14</t>
        </is>
      </c>
      <c r="B16" s="18" t="inlineStr">
        <is>
          <t>ข้อใดผิดเกี่ยวกับการให้คำแนะนำที่ควรให้แก่ผู้ป่วยรายนี้</t>
        </is>
      </c>
      <c r="C16" s="18" t="inlineStr"/>
      <c r="D16" s="18" t="inlineStr">
        <is>
          <t>หลีกเลี่ยงการใช้ยาที่ทำให้เกิดเม็ดเลือดแดงแตก</t>
        </is>
      </c>
      <c r="E16" s="18" t="inlineStr">
        <is>
          <t>การติดเชื้อทำให้เม็ดเลือดแดงแตกได้</t>
        </is>
      </c>
      <c r="F16" s="18" t="inlineStr">
        <is>
          <t>ให้สังเกตอาการเม็ดเลือดแดงแตก ถ้าเกิดอีกให้รีบมาพบแพทย์</t>
        </is>
      </c>
      <c r="G16" s="18" t="inlineStr">
        <is>
          <t>หยุดใช้ยา ranitidine เพราะเป็นสาเหตุเม็ดเลือดแดงแตก</t>
        </is>
      </c>
      <c r="H16" s="18" t="inlineStr">
        <is>
          <t>รับประทานอาหารที่มีธาตุเหล็กเพื่อเสริมสร้างเม็ดเลือด</t>
        </is>
      </c>
      <c r="I16" s="15" t="inlineStr">
        <is>
          <t>4</t>
        </is>
      </c>
      <c r="J16" s="18"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ข้อนี้ไม่ใช่คำตอบที่ถูกต้องสำหรับภาวะ Anemia เนื่องจากกลไกการออกฤทธิ์, efficacy หรือข้อบ่งใช้ไม่ตรงกับโจทย์ที่กำหนด
• ข้อ ข. (การติดเชื้อทำให้เม็ดเลือดแดงแตกได้): ข้อนี้ไม่ใช่คำตอบที่ถูกต้องสำหรับภาวะ Anemia เนื่องจากกลไกการออกฤทธิ์, efficacy หรือข้อบ่งใช้ไม่ตรงกับโจทย์ที่กำหนด
• ข้อ ค. (ให้สังเกตอาการเม็ดเลือดแดงแตก ถ้าเกิดอีกให้รีบมาพบแพทย์): ข้อนี้ไม่ใช่คำตอบที่ถูกต้องสำหรับภาวะ Anemia เนื่องจากกลไกการออกฤทธิ์, efficacy หรือข้อบ่งใช้ไม่ตรงกับโจทย์ที่กำหนด
• ข้อ จ. (รับประทานอาหารที่มีธาตุเหล็กเพื่อเสริมสร้างเม็ดเลือด):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18" t="inlineStr"/>
      <c r="L16" s="18" t="inlineStr">
        <is>
          <t>Anemia</t>
        </is>
      </c>
      <c r="M16" s="18" t="inlineStr">
        <is>
          <t>Clinic</t>
        </is>
      </c>
      <c r="N16" s="18" t="inlineStr">
        <is>
          <t>ข้อ 14 ชุด 1 (เฉลยข้อ ง)</t>
        </is>
      </c>
      <c r="O16" s="18" t="inlineStr">
        <is>
          <t>Mock</t>
        </is>
      </c>
      <c r="P16" s="18" t="inlineStr">
        <is>
          <t>ชุด 1</t>
        </is>
      </c>
    </row>
    <row r="17">
      <c r="A17" s="15" t="inlineStr">
        <is>
          <t>15</t>
        </is>
      </c>
      <c r="B17" s="18" t="inlineStr">
        <is>
          <t>ความเป็นพิษต่อระบบเลือดแบบใดที่ไม่มีสาเหตุจาก drug induce</t>
        </is>
      </c>
      <c r="C17" s="18" t="inlineStr"/>
      <c r="D17" s="18" t="inlineStr">
        <is>
          <t>Autoimmune-induced hemolysis</t>
        </is>
      </c>
      <c r="E17" s="18" t="inlineStr">
        <is>
          <t>Bone marrow suppression</t>
        </is>
      </c>
      <c r="F17" s="18" t="inlineStr">
        <is>
          <t>Methemoglobinemia</t>
        </is>
      </c>
      <c r="G17" s="18" t="inlineStr">
        <is>
          <t>Sickle cell anemia</t>
        </is>
      </c>
      <c r="H17" s="18" t="inlineStr">
        <is>
          <t>Hemolytic anemia</t>
        </is>
      </c>
      <c r="I17" s="15" t="inlineStr">
        <is>
          <t>4</t>
        </is>
      </c>
      <c r="J17" s="18"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ข้อนี้ไม่ใช่คำตอบที่ถูกต้องสำหรับภาวะ Anemia เนื่องจากกลไกการออกฤทธิ์, efficacy หรือข้อบ่งใช้ไม่ตรงกับโจทย์ที่กำหนด
• ข้อ ข. (Bone marrow suppression): ข้อนี้ไม่ใช่คำตอบที่ถูกต้องสำหรับภาวะ Anemia เนื่องจากกลไกการออกฤทธิ์, efficacy หรือข้อบ่งใช้ไม่ตรงกับโจทย์ที่กำหนด
• ข้อ ค. (Methemoglobinemia): ข้อนี้ไม่ใช่คำตอบที่ถูกต้องสำหรับภาวะ Anemia เนื่องจากกลไกการออกฤทธิ์, efficacy หรือข้อบ่งใช้ไม่ตรงกับโจทย์ที่กำหนด
• ข้อ จ. (Hemolytic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18" t="inlineStr"/>
      <c r="L17" s="18" t="inlineStr">
        <is>
          <t>Anemia</t>
        </is>
      </c>
      <c r="M17" s="18" t="inlineStr">
        <is>
          <t>Clinic</t>
        </is>
      </c>
      <c r="N17" s="18" t="inlineStr">
        <is>
          <t>ข้อ 15 ชุด 1 (เฉลยข้อ ง)</t>
        </is>
      </c>
      <c r="O17" s="18" t="inlineStr">
        <is>
          <t>Mock</t>
        </is>
      </c>
      <c r="P17" s="18" t="inlineStr">
        <is>
          <t>ชุด 1</t>
        </is>
      </c>
    </row>
    <row r="18">
      <c r="A18" s="15" t="inlineStr">
        <is>
          <t>16</t>
        </is>
      </c>
      <c r="B18" s="18" t="inlineStr">
        <is>
          <t>ยาต่อไปนี้ตัวใดทำให้อุจจาระเป็นสีดำ</t>
        </is>
      </c>
      <c r="C18" s="18" t="inlineStr"/>
      <c r="D18" s="18" t="inlineStr">
        <is>
          <t>Folic acid</t>
        </is>
      </c>
      <c r="E18" s="18" t="inlineStr">
        <is>
          <t>Vitamin B12</t>
        </is>
      </c>
      <c r="F18" s="18" t="inlineStr">
        <is>
          <t>Dapsone</t>
        </is>
      </c>
      <c r="G18" s="18" t="inlineStr">
        <is>
          <t>Erythropoietin</t>
        </is>
      </c>
      <c r="H18" s="18" t="inlineStr">
        <is>
          <t>Ferrous sulfate</t>
        </is>
      </c>
      <c r="I18" s="15" t="inlineStr">
        <is>
          <t>5</t>
        </is>
      </c>
      <c r="J18" s="18"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ข้อนี้ไม่ใช่คำตอบที่ถูกต้องสำหรับภาวะ Anemia เนื่องจากกลไกการออกฤทธิ์, efficacy หรือข้อบ่งใช้ไม่ตรงกับโจทย์ที่กำหนด
• ข้อ ข. (Vitamin B12): ข้อนี้ไม่ใช่คำตอบที่ถูกต้องสำหรับภาวะ Anemia เนื่องจากกลไกการออกฤทธิ์, efficacy หรือข้อบ่งใช้ไม่ตรงกับโจทย์ที่กำหนด
• ข้อ ค. (Dapsone): ข้อนี้ไม่ใช่คำตอบที่ถูกต้องสำหรับภาวะ Anemia เนื่องจากกลไกการออกฤทธิ์, efficacy หรือข้อบ่งใช้ไม่ตรงกับโจทย์ที่กำหนด
• ข้อ ง. (Erythropoietin):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18" t="inlineStr"/>
      <c r="L18" s="18" t="inlineStr">
        <is>
          <t>Anemia</t>
        </is>
      </c>
      <c r="M18" s="18" t="inlineStr">
        <is>
          <t>Clinic</t>
        </is>
      </c>
      <c r="N18" s="18" t="inlineStr">
        <is>
          <t>ข้อ 16 ชุด 1 (เฉลยข้อ จ)</t>
        </is>
      </c>
      <c r="O18" s="18" t="inlineStr">
        <is>
          <t>Mock</t>
        </is>
      </c>
      <c r="P18" s="18" t="inlineStr">
        <is>
          <t>ชุด 1</t>
        </is>
      </c>
    </row>
    <row r="19">
      <c r="A19" s="15" t="inlineStr">
        <is>
          <t>17</t>
        </is>
      </c>
      <c r="B19" s="18" t="inlineStr">
        <is>
          <t>จากข้อมูลข้างต้น ท่านต้องแนะนำการรับประทานยา ferrous sulfate ให้แก่ผู้ป่วยอย่างไร</t>
        </is>
      </c>
      <c r="C19" s="18" t="inlineStr"/>
      <c r="D19" s="18" t="inlineStr">
        <is>
          <t>ควรรับประทานร่วมกับนม เพื่อเพิ่มการดูดซึมของ ferrous</t>
        </is>
      </c>
      <c r="E19" s="18" t="inlineStr">
        <is>
          <t>ควรรับประทานขณะท้องว่างจะดีที่สุด เพื่อลดอาการคลื่นไส้ อาเจียนจากยา ferrous</t>
        </is>
      </c>
      <c r="F19" s="18" t="inlineStr">
        <is>
          <t>Ferrous มีผลรบกวนการดูดซึมของ ofloxacin จึงต้องกินยา ferrous sulfate ก่อนหรือหลังกินยา ofloxacin 2 ชั่วโมง</t>
        </is>
      </c>
      <c r="G19" s="18" t="inlineStr">
        <is>
          <t>อาการข้างเคียงที่สำคัญ คือ ท้องเสีย คลื่นไส้ อาเจียน ferrous stone</t>
        </is>
      </c>
      <c r="H19" s="18" t="inlineStr">
        <is>
          <t>สามารถทานยา ferrous sulfate ร่วมกับ tetracycline เพื่อเพิ่มการดูดซึม ferrous</t>
        </is>
      </c>
      <c r="I19" s="15" t="inlineStr">
        <is>
          <t>3</t>
        </is>
      </c>
      <c r="J19" s="18"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ข้อนี้ไม่ใช่คำตอบที่ถูกต้องสำหรับภาวะ Anemia เนื่องจากกลไกการออกฤทธิ์, efficacy หรือข้อบ่งใช้ไม่ตรงกับโจทย์ที่กำหนด
• ข้อ ข. (ควรรับประทานขณะท้องว่างจะดีที่สุด เพื่อลดอาการคลื่นไส้ อาเจียนจากยา ferrous): ข้อนี้ไม่ใช่คำตอบที่ถูกต้องสำหรับภาวะ Anemia เนื่องจากกลไกการออกฤทธิ์, efficacy หรือข้อบ่งใช้ไม่ตรงกับโจทย์ที่กำหนด
• ข้อ ง. (อาการข้างเคียงที่สำคัญ คือ ท้องเสีย คลื่นไส้ อาเจียน ferrous stone): ข้อนี้ไม่ใช่คำตอบที่ถูกต้องสำหรับภาวะ Anemia เนื่องจากกลไกการออกฤทธิ์, efficacy หรือข้อบ่งใช้ไม่ตรงกับโจทย์ที่กำหนด
• ข้อ จ. (สามารถทานยา ferrous sulfate ร่วมกับ tetracycline เพื่อเพิ่มการดูดซึม ferrous):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18" t="inlineStr"/>
      <c r="L19" s="18" t="inlineStr">
        <is>
          <t>Anemia</t>
        </is>
      </c>
      <c r="M19" s="18" t="inlineStr">
        <is>
          <t>Clinic</t>
        </is>
      </c>
      <c r="N19" s="18" t="inlineStr">
        <is>
          <t>ข้อ 17 ชุด 1 (เฉลยข้อ ค)</t>
        </is>
      </c>
      <c r="O19" s="18" t="inlineStr">
        <is>
          <t>Mock</t>
        </is>
      </c>
      <c r="P19" s="18" t="inlineStr">
        <is>
          <t>ชุด 1</t>
        </is>
      </c>
    </row>
    <row r="20">
      <c r="A20" s="15" t="inlineStr">
        <is>
          <t>18</t>
        </is>
      </c>
      <c r="B20" s="18" t="inlineStr">
        <is>
          <t>จากข้อมูลข้างต้น ท่านควรแนะนำให้ผู้ป่วยเลี่ยงการใช้ยาในข้อใด เพื่อป้องกันการเกิด hemolytic anemia</t>
        </is>
      </c>
      <c r="C20" s="18" t="inlineStr"/>
      <c r="D20" s="18" t="inlineStr">
        <is>
          <t>Primaquine, Erythromycin</t>
        </is>
      </c>
      <c r="E20" s="18" t="inlineStr">
        <is>
          <t>Dapsone, Vitamin A</t>
        </is>
      </c>
      <c r="F20" s="18" t="inlineStr">
        <is>
          <t>Sulfasalazine, Erythromycin</t>
        </is>
      </c>
      <c r="G20" s="18" t="inlineStr">
        <is>
          <t>Dapsone, Penicillamine</t>
        </is>
      </c>
      <c r="H20" s="18" t="inlineStr">
        <is>
          <t>Sulfasalazine, Tetracycline</t>
        </is>
      </c>
      <c r="I20" s="15" t="inlineStr">
        <is>
          <t>4</t>
        </is>
      </c>
      <c r="J20" s="18"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ข้อนี้ไม่ใช่คำตอบที่ถูกต้องสำหรับภาวะ Anemia เนื่องจากกลไกการออกฤทธิ์, efficacy หรือข้อบ่งใช้ไม่ตรงกับโจทย์ที่กำหนด
• ข้อ ข. (Dapsone, Vitamin A): ข้อนี้ไม่ใช่คำตอบที่ถูกต้องสำหรับภาวะ Anemia เนื่องจากกลไกการออกฤทธิ์, efficacy หรือข้อบ่งใช้ไม่ตรงกับโจทย์ที่กำหนด
• ข้อ ค. (Sulfasalazine, Erythromycin): เป็น csDMARD สำหรับ RA และ peripheral spondyloarthritis ปลอดภัยในหญิงตั้งครรภ์ แต่ contraindication ในผู้ที่แพ้ sulfa หรือ G6PD deficiency
• ข้อ จ. (Sulfasalazine, Tetracycline): เป็น csDMARD สำหรับ RA และ peripheral spondyloarthritis ปลอดภัยในหญิงตั้งครรภ์ แต่ contraindication ในผู้ที่แพ้ sulfa หรือ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18" t="inlineStr"/>
      <c r="L20" s="18" t="inlineStr">
        <is>
          <t>Anemia</t>
        </is>
      </c>
      <c r="M20" s="18" t="inlineStr">
        <is>
          <t>Clinic</t>
        </is>
      </c>
      <c r="N20" s="18" t="inlineStr">
        <is>
          <t>ข้อ 18 ชุด 1 (เฉลยข้อ ง)</t>
        </is>
      </c>
      <c r="O20" s="18" t="inlineStr">
        <is>
          <t>Mock</t>
        </is>
      </c>
      <c r="P20" s="18" t="inlineStr">
        <is>
          <t>ชุด 1</t>
        </is>
      </c>
    </row>
    <row r="21">
      <c r="A21" s="15" t="inlineStr">
        <is>
          <t>19</t>
        </is>
      </c>
      <c r="B21" s="18"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18" t="inlineStr"/>
      <c r="D21" s="18" t="inlineStr">
        <is>
          <t>Iron deficiency</t>
        </is>
      </c>
      <c r="E21" s="18" t="inlineStr">
        <is>
          <t>Uremia</t>
        </is>
      </c>
      <c r="F21" s="18" t="inlineStr">
        <is>
          <t>Liver steatosis</t>
        </is>
      </c>
      <c r="G21" s="18" t="inlineStr">
        <is>
          <t>Peripheral neuropathy</t>
        </is>
      </c>
      <c r="H21" s="18" t="inlineStr">
        <is>
          <t>Enlarged spleen</t>
        </is>
      </c>
      <c r="I21" s="15" t="inlineStr">
        <is>
          <t>5</t>
        </is>
      </c>
      <c r="J21" s="18"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ข้อนี้ไม่ใช่คำตอบที่ถูกต้องสำหรับภาวะ Anemia เนื่องจากกลไกการออกฤทธิ์, efficacy หรือข้อบ่งใช้ไม่ตรงกับโจทย์ที่กำหนด
• ข้อ ข. (Uremia): ข้อนี้ไม่ใช่คำตอบที่ถูกต้องสำหรับภาวะ Anemia เนื่องจากกลไกการออกฤทธิ์, efficacy หรือข้อบ่งใช้ไม่ตรงกับโจทย์ที่กำหนด
• ข้อ ค. (Liver steatosis): ข้อนี้ไม่ใช่คำตอบที่ถูกต้องสำหรับภาวะ Anemia เนื่องจากกลไกการออกฤทธิ์, efficacy หรือข้อบ่งใช้ไม่ตรงกับโจทย์ที่กำหนด
• ข้อ ง. (Peripheral neuropathy):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18" t="inlineStr"/>
      <c r="L21" s="18" t="inlineStr">
        <is>
          <t>Anemia</t>
        </is>
      </c>
      <c r="M21" s="18" t="inlineStr">
        <is>
          <t>Clinic</t>
        </is>
      </c>
      <c r="N21" s="18" t="inlineStr">
        <is>
          <t>ข้อ 19 ชุด 1 (เฉลยข้อ จ)</t>
        </is>
      </c>
      <c r="O21" s="18" t="inlineStr">
        <is>
          <t>Mock</t>
        </is>
      </c>
      <c r="P21" s="18" t="inlineStr">
        <is>
          <t>ชุด 1</t>
        </is>
      </c>
    </row>
    <row r="22">
      <c r="A22" s="15" t="inlineStr">
        <is>
          <t>20</t>
        </is>
      </c>
      <c r="B22" s="18"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18" t="inlineStr"/>
      <c r="D22" s="18" t="inlineStr">
        <is>
          <t>ธาลัสซีเมียเป็นโรคพันธุกรรม ที่เกิดจากเม็ดเลือดแดงถูกทำลายได้ง่ายเนื่องจากการขาดเอนไซม์บางชนิด</t>
        </is>
      </c>
      <c r="E22" s="18" t="inlineStr">
        <is>
          <t>ธาลัสซีเมียเป็นโรคพันธุกรรม ที่มีระดับเหล็กในเลือดสูงเนื่องจากการแตกของเม็ดเลือดแดง</t>
        </is>
      </c>
      <c r="F22" s="18" t="inlineStr">
        <is>
          <t>ธาลัสซีเมียเป็นโรคพันธุกรรมที่เม็ดเลือดแดงมีโครงสร้างผิดปกติคล้ายรูปเสี้ยวพระจันทร์ ทำให้แตกง่าย</t>
        </is>
      </c>
      <c r="G22" s="18" t="inlineStr">
        <is>
          <t>ธาลัสซีเมียเป็นโรคที่เกิดจากความผิดปกติของระบบภูมิคุ้มกันที่เม็ดเลือดแดงถูกทำลายได้ง่าย</t>
        </is>
      </c>
      <c r="H22" s="18" t="inlineStr">
        <is>
          <t>ธาลัสซีเมียเป็นโรคโลหิตจาง ที่เกิดจากการขาดวิตามินที่ช่วยในการคงสภาพของเม็ดเลือดแดง</t>
        </is>
      </c>
      <c r="I22" s="15" t="inlineStr">
        <is>
          <t>2</t>
        </is>
      </c>
      <c r="J22" s="18"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ข้อนี้ไม่ใช่คำตอบที่ถูกต้องสำหรับภาวะ Anemia เนื่องจากกลไกการออกฤทธิ์, efficacy หรือข้อบ่งใช้ไม่ตรงกับโจทย์ที่กำหนด
• ข้อ ค. (ธาลัสซีเมียเป็นโรคพันธุกรรมที่เม็ดเลือดแดงมีโครงสร้างผิดปกติคล้ายรูปเสี้ยวพระจันทร์ ทำให้แตกง่าย): ข้อนี้ไม่ใช่คำตอบที่ถูกต้องสำหรับภาวะ Anemia เนื่องจากกลไกการออกฤทธิ์, efficacy หรือข้อบ่งใช้ไม่ตรงกับโจทย์ที่กำหนด
• ข้อ ง. (ธาลัสซีเมียเป็นโรคที่เกิดจากความผิดปกติของระบบภูมิคุ้มกันที่เม็ดเลือดแดงถูกทำลายได้ง่าย): ข้อนี้ไม่ใช่คำตอบที่ถูกต้องสำหรับภาวะ Anemia เนื่องจากกลไกการออกฤทธิ์, efficacy หรือข้อบ่งใช้ไม่ตรงกับโจทย์ที่กำหนด
• ข้อ จ. (ธาลัสซีเมียเป็นโรคโลหิตจาง ที่เกิดจากการขาดวิตามินที่ช่วยในการคงสภาพของเม็ดเลือดแดง):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18" t="inlineStr"/>
      <c r="L22" s="18" t="inlineStr">
        <is>
          <t>Anemia</t>
        </is>
      </c>
      <c r="M22" s="18" t="inlineStr">
        <is>
          <t>Clinic</t>
        </is>
      </c>
      <c r="N22" s="18" t="inlineStr">
        <is>
          <t>ข้อ 20 ชุด 1 (เฉลยข้อ ข)</t>
        </is>
      </c>
      <c r="O22" s="18" t="inlineStr">
        <is>
          <t>Mock</t>
        </is>
      </c>
      <c r="P22" s="18" t="inlineStr">
        <is>
          <t>ชุด 1</t>
        </is>
      </c>
    </row>
    <row r="23">
      <c r="A23" s="15" t="inlineStr">
        <is>
          <t>21</t>
        </is>
      </c>
      <c r="B23" s="18"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18" t="inlineStr"/>
      <c r="D23" s="18" t="inlineStr">
        <is>
          <t>สามารถรับประทานได้ เนื่องจากเป็นยาสามัญประจำบ้าน จึงมีความปลอดภัยสูง</t>
        </is>
      </c>
      <c r="E23" s="18" t="inlineStr">
        <is>
          <t>สามารถรับประทานได้ เนื่องจากมีวิตามินและสารอาหารที่สำคัญที่ช่วยบำรุงโลหิตลดอาการโลหิตจาง</t>
        </is>
      </c>
      <c r="F23" s="18" t="inlineStr">
        <is>
          <t>สามารถรับประทานได้เฉพาะเมื่อผู้ป่วยกำลังอยู่ในระหว่างการรักษาโรคธาลัสซีเมียจากแพทย์</t>
        </is>
      </c>
      <c r="G23" s="18" t="inlineStr">
        <is>
          <t>ไม่ควรรับประทาน เนื่องจากมีส่วนผสมของธาตุเหล็ก</t>
        </is>
      </c>
      <c r="H23" s="18" t="inlineStr">
        <is>
          <t>ไม่ควรรับประทาน เนื่องจากมีส่วนประกอบที่เกิด drug interaction กับยาที่ใช้รักษาประจำ</t>
        </is>
      </c>
      <c r="I23" s="15" t="inlineStr">
        <is>
          <t>4</t>
        </is>
      </c>
      <c r="J23" s="18"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ข้อนี้ไม่ใช่คำตอบที่ถูกต้องสำหรับภาวะ Anemia เนื่องจากกลไกการออกฤทธิ์, efficacy หรือข้อบ่งใช้ไม่ตรงกับโจทย์ที่กำหนด
• ข้อ ข. (สามารถรับประทานได้ เนื่องจากมีวิตามินและสารอาหารที่สำคัญที่ช่วยบำรุงโลหิตลดอาการโลหิตจาง): ข้อนี้ไม่ใช่คำตอบที่ถูกต้องสำหรับภาวะ Anemia เนื่องจากกลไกการออกฤทธิ์, efficacy หรือข้อบ่งใช้ไม่ตรงกับโจทย์ที่กำหนด
• ข้อ ค. (สามารถรับประทานได้เฉพาะเมื่อผู้ป่วยกำลังอยู่ในระหว่างการรักษาโรคธาลัสซีเมียจากแพทย์): ข้อนี้ไม่ใช่คำตอบที่ถูกต้องสำหรับภาวะ Anemia เนื่องจากกลไกการออกฤทธิ์, efficacy หรือข้อบ่งใช้ไม่ตรงกับโจทย์ที่กำหนด
• ข้อ จ. (ไม่ควรรับประทาน เนื่องจากมีส่วนประกอบที่เกิด drug interaction กับยาที่ใช้รักษาประจำ):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18" t="inlineStr"/>
      <c r="L23" s="18" t="inlineStr">
        <is>
          <t>Anemia</t>
        </is>
      </c>
      <c r="M23" s="18" t="inlineStr">
        <is>
          <t>Clinic</t>
        </is>
      </c>
      <c r="N23" s="18" t="inlineStr">
        <is>
          <t>ข้อ 21 ชุด 1 (เฉลยข้อ ง)</t>
        </is>
      </c>
      <c r="O23" s="18" t="inlineStr">
        <is>
          <t>Mock</t>
        </is>
      </c>
      <c r="P23" s="18" t="inlineStr">
        <is>
          <t>ชุด 1</t>
        </is>
      </c>
    </row>
    <row r="24">
      <c r="A24" s="15" t="inlineStr">
        <is>
          <t>22</t>
        </is>
      </c>
      <c r="B24" s="18" t="inlineStr">
        <is>
          <t>เภสัชกรแนะนำให้ผู้ป่วยระมัดระวังการใช้ยาตัวใดเป็นพิเศษ</t>
        </is>
      </c>
      <c r="C24" s="18" t="inlineStr"/>
      <c r="D24" s="18" t="inlineStr">
        <is>
          <t>FBC</t>
        </is>
      </c>
      <c r="E24" s="18" t="inlineStr">
        <is>
          <t>Aminoglycosides</t>
        </is>
      </c>
      <c r="F24" s="18" t="inlineStr">
        <is>
          <t>Paracetamol</t>
        </is>
      </c>
      <c r="G24" s="18" t="inlineStr">
        <is>
          <t>Vitamin C</t>
        </is>
      </c>
      <c r="H24" s="18" t="inlineStr">
        <is>
          <t>Calcium supplements</t>
        </is>
      </c>
      <c r="I24" s="15" t="inlineStr">
        <is>
          <t>1</t>
        </is>
      </c>
      <c r="J24" s="18"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ข้อนี้ไม่ใช่คำตอบที่ถูกต้องสำหรับภาวะ Anemia เนื่องจากกลไกการออกฤทธิ์, efficacy หรือข้อบ่งใช้ไม่ตรงกับโจทย์ที่กำหนด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(Vitamin C): ข้อนี้ไม่ใช่คำตอบที่ถูกต้องสำหรับภาวะ Anemia เนื่องจากกลไกการออกฤทธิ์, efficacy หรือข้อบ่งใช้ไม่ตรงกับโจทย์ที่กำหนด
• ข้อ จ. (Calcium supplements):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18" t="inlineStr"/>
      <c r="L24" s="18" t="inlineStr">
        <is>
          <t>Anemia</t>
        </is>
      </c>
      <c r="M24" s="18" t="inlineStr">
        <is>
          <t>Clinic</t>
        </is>
      </c>
      <c r="N24" s="18" t="inlineStr">
        <is>
          <t>ข้อ 22 ชุด 1 (เฉลยข้อ ก)</t>
        </is>
      </c>
      <c r="O24" s="18" t="inlineStr">
        <is>
          <t>Mock</t>
        </is>
      </c>
      <c r="P24" s="18" t="inlineStr">
        <is>
          <t>ชุด 1</t>
        </is>
      </c>
    </row>
    <row r="25">
      <c r="A25" s="15" t="inlineStr">
        <is>
          <t>23</t>
        </is>
      </c>
      <c r="B25" s="18" t="inlineStr">
        <is>
          <t>ข้อแนะนำสำหรับวิธีการรักษาโรคธาลัสซีเมีย นอกเหนือจากการใช้ยารับประทาน</t>
        </is>
      </c>
      <c r="C25" s="18" t="inlineStr"/>
      <c r="D25" s="18" t="inlineStr">
        <is>
          <t>ผู้ป่วยไม่ควรได้รับเลือดอย่างเด็ดขาด เนื่องจากมีโอกาสเกิด agglutination ของเม็ดเลือดแดงสูงกว่าปกติ</t>
        </is>
      </c>
      <c r="E25" s="18" t="inlineStr">
        <is>
          <t>ผู้ป่วยไม่ควรได้รับเลือดอย่างเด็ดขาด เนื่องจากมีความเสี่ยงต่อการติดเชื้อ</t>
        </is>
      </c>
      <c r="F25" s="18" t="inlineStr">
        <is>
          <t>ผู้ป่วยควรได้รับเลือด เพื่อช่วยเพิ่มปริมาณเม็ดเลือดแดง</t>
        </is>
      </c>
      <c r="G25" s="18" t="inlineStr">
        <is>
          <t>ผู้ป่วยควรออกกำลังกายสม่ำเสมอ เพื่อช่วยเพิ่มการสร้างเม็ดเลือดแดง</t>
        </is>
      </c>
      <c r="H25" s="18" t="inlineStr">
        <is>
          <t>ผู้ป่วยควรได้รับ erythropoietin เพื่อเร่งการสร้างเม็ดเลือดแดง</t>
        </is>
      </c>
      <c r="I25" s="15" t="inlineStr">
        <is>
          <t>3</t>
        </is>
      </c>
      <c r="J25" s="18"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ข้อนี้ไม่ใช่คำตอบที่ถูกต้องสำหรับภาวะ Anemia เนื่องจากกลไกการออกฤทธิ์, efficacy หรือข้อบ่งใช้ไม่ตรงกับโจทย์ที่กำหนด
• ข้อ ข. (ผู้ป่วยไม่ควรได้รับเลือดอย่างเด็ดขาด เนื่องจากมีความเสี่ยงต่อการติดเชื้อ): ข้อนี้ไม่ใช่คำตอบที่ถูกต้องสำหรับภาวะ Anemia เนื่องจากกลไกการออกฤทธิ์, efficacy หรือข้อบ่งใช้ไม่ตรงกับโจทย์ที่กำหนด
• ข้อ ง. (ผู้ป่วยควรออกกำลังกายสม่ำเสมอ เพื่อช่วยเพิ่มการสร้างเม็ดเลือดแดง): ข้อนี้ไม่ใช่คำตอบที่ถูกต้องสำหรับภาวะ Anemia เนื่องจากกลไกการออกฤทธิ์, efficacy หรือข้อบ่งใช้ไม่ตรงกับโจทย์ที่กำหนด
• ข้อ จ. (ผู้ป่วยควรได้รับ erythropoietin เพื่อเร่งการสร้างเม็ดเลือดแดง):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18" t="inlineStr"/>
      <c r="L25" s="18" t="inlineStr">
        <is>
          <t>Anemia</t>
        </is>
      </c>
      <c r="M25" s="18" t="inlineStr">
        <is>
          <t>Clinic</t>
        </is>
      </c>
      <c r="N25" s="18" t="inlineStr">
        <is>
          <t>ข้อ 23 ชุด 1 (เฉลยข้อ ค)</t>
        </is>
      </c>
      <c r="O25" s="18" t="inlineStr">
        <is>
          <t>Mock</t>
        </is>
      </c>
      <c r="P25" s="18" t="inlineStr">
        <is>
          <t>ชุด 1</t>
        </is>
      </c>
    </row>
    <row r="26">
      <c r="A26" s="15" t="inlineStr">
        <is>
          <t>24</t>
        </is>
      </c>
      <c r="B26" s="18" t="inlineStr">
        <is>
          <t>สถานการณ์ที่ 6 ผู้ป่วย CKD with IDA with DM with HTN อายุ 60 ปี หนัก 60 กิโลกรัม Scr = 2.5 mg/dl
ภาวะ Anemia ในผู้ป่วยรายนี้ ควรแก้ไขอย่างไร</t>
        </is>
      </c>
      <c r="C26" s="18" t="inlineStr"/>
      <c r="D26" s="18" t="inlineStr">
        <is>
          <t>EPO</t>
        </is>
      </c>
      <c r="E26" s="18" t="inlineStr">
        <is>
          <t>Fresh Frozen Plasma</t>
        </is>
      </c>
      <c r="F26" s="18" t="inlineStr">
        <is>
          <t>Platelet concentrates</t>
        </is>
      </c>
      <c r="G26" s="18" t="inlineStr">
        <is>
          <t>Whole blood</t>
        </is>
      </c>
      <c r="H26" s="18" t="inlineStr">
        <is>
          <t>Leukocyte poor blood</t>
        </is>
      </c>
      <c r="I26" s="15" t="inlineStr">
        <is>
          <t>1</t>
        </is>
      </c>
      <c r="J26" s="18"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ข้อนี้ไม่ใช่คำตอบที่ถูกต้องสำหรับภาวะ Anemia เนื่องจากกลไกการออกฤทธิ์, efficacy หรือข้อบ่งใช้ไม่ตรงกับโจทย์ที่กำหนด
• ข้อ ค. (Platelet concentrates): ข้อนี้ไม่ใช่คำตอบที่ถูกต้องสำหรับภาวะ Anemia เนื่องจากกลไกการออกฤทธิ์, efficacy หรือข้อบ่งใช้ไม่ตรงกับโจทย์ที่กำหนด
• ข้อ ง. (Whole blood): ข้อนี้ไม่ใช่คำตอบที่ถูกต้องสำหรับภาวะ Anemia เนื่องจากกลไกการออกฤทธิ์, efficacy หรือข้อบ่งใช้ไม่ตรงกับโจทย์ที่กำหนด
• ข้อ จ. (Leukocyte poor blood):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18" t="inlineStr"/>
      <c r="L26" s="18" t="inlineStr">
        <is>
          <t>Anemia</t>
        </is>
      </c>
      <c r="M26" s="18" t="inlineStr">
        <is>
          <t>Clinic</t>
        </is>
      </c>
      <c r="N26" s="18" t="inlineStr">
        <is>
          <t>ข้อ 24 ชุด 1 (เฉลยข้อ ก)</t>
        </is>
      </c>
      <c r="O26" s="18" t="inlineStr">
        <is>
          <t>Mock</t>
        </is>
      </c>
      <c r="P26" s="18" t="inlineStr">
        <is>
          <t>ชุด 1</t>
        </is>
      </c>
    </row>
    <row r="27">
      <c r="A27" s="15" t="inlineStr">
        <is>
          <t>25</t>
        </is>
      </c>
      <c r="B27" s="18"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18" t="inlineStr"/>
      <c r="D27" s="18" t="inlineStr">
        <is>
          <t>Folate deficiency anemia</t>
        </is>
      </c>
      <c r="E27" s="18" t="inlineStr">
        <is>
          <t>Thalassemia</t>
        </is>
      </c>
      <c r="F27" s="18" t="inlineStr">
        <is>
          <t>Vitamin B6 deficiency anemia</t>
        </is>
      </c>
      <c r="G27" s="18" t="inlineStr">
        <is>
          <t>Vitamin B12 deficiency anemia</t>
        </is>
      </c>
      <c r="H27" s="18" t="inlineStr">
        <is>
          <t>Iron deficiency anemia</t>
        </is>
      </c>
      <c r="I27" s="15" t="inlineStr">
        <is>
          <t>5</t>
        </is>
      </c>
      <c r="J27" s="18"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ข้อนี้ไม่ใช่คำตอบที่ถูกต้องสำหรับภาวะ Anemia เนื่องจากกลไกการออกฤทธิ์, efficacy หรือข้อบ่งใช้ไม่ตรงกับโจทย์ที่กำหนด
• ข้อ ข. (Thalassemia): ข้อนี้ไม่ใช่คำตอบที่ถูกต้องสำหรับภาวะ Anemia เนื่องจากกลไกการออกฤทธิ์, efficacy หรือข้อบ่งใช้ไม่ตรงกับโจทย์ที่กำหนด
• ข้อ ค. (Vitamin B6 deficiency anemia): ข้อนี้ไม่ใช่คำตอบที่ถูกต้องสำหรับภาวะ Anemia เนื่องจากกลไกการออกฤทธิ์, efficacy หรือข้อบ่งใช้ไม่ตรงกับโจทย์ที่กำหนด
• ข้อ ง. (Vitamin B12 deficiency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18" t="inlineStr"/>
      <c r="L27" s="18" t="inlineStr">
        <is>
          <t>Anemia</t>
        </is>
      </c>
      <c r="M27" s="18" t="inlineStr">
        <is>
          <t>Clinic</t>
        </is>
      </c>
      <c r="N27" s="18" t="inlineStr">
        <is>
          <t>ข้อ 25 ชุด 1 (เฉลยข้อ จ)</t>
        </is>
      </c>
      <c r="O27" s="18" t="inlineStr">
        <is>
          <t>Mock</t>
        </is>
      </c>
      <c r="P27" s="18" t="inlineStr">
        <is>
          <t>ชุด 1</t>
        </is>
      </c>
    </row>
    <row r="28">
      <c r="A28" s="15" t="inlineStr">
        <is>
          <t>26</t>
        </is>
      </c>
      <c r="B28" s="18" t="inlineStr">
        <is>
          <t>ผู้ป่วยรายนี้ ควรได้รับยาใด</t>
        </is>
      </c>
      <c r="C28" s="18" t="inlineStr"/>
      <c r="D28" s="18" t="inlineStr">
        <is>
          <t>Ferrous sulfate</t>
        </is>
      </c>
      <c r="E28" s="18" t="inlineStr">
        <is>
          <t>Folic acid</t>
        </is>
      </c>
      <c r="F28" s="18" t="inlineStr">
        <is>
          <t>Cobalamine</t>
        </is>
      </c>
      <c r="G28" s="18" t="inlineStr">
        <is>
          <t>Pyridoxine</t>
        </is>
      </c>
      <c r="H28" s="18" t="inlineStr">
        <is>
          <t>Deferoxamine</t>
        </is>
      </c>
      <c r="I28" s="15" t="inlineStr">
        <is>
          <t>1</t>
        </is>
      </c>
      <c r="J28" s="18"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ข้อนี้ไม่ใช่คำตอบที่ถูกต้องสำหรับภาวะ Anemia เนื่องจากกลไกการออกฤทธิ์, efficacy หรือข้อบ่งใช้ไม่ตรงกับโจทย์ที่กำหนด
• ข้อ ค. (Cobalamine): ข้อนี้ไม่ใช่คำตอบที่ถูกต้องสำหรับภาวะ Anemia เนื่องจากกลไกการออกฤทธิ์, efficacy หรือข้อบ่งใช้ไม่ตรงกับโจทย์ที่กำหนด
• ข้อ ง. (Pyridoxine): ข้อนี้ไม่ใช่คำตอบที่ถูกต้องสำหรับภาวะ Anemia เนื่องจากกลไกการออกฤทธิ์, efficacy หรือข้อบ่งใช้ไม่ตรงกับโจทย์ที่กำหนด
• ข้อ จ. (Deferoxamine):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18" t="inlineStr"/>
      <c r="L28" s="18" t="inlineStr">
        <is>
          <t>Anemia</t>
        </is>
      </c>
      <c r="M28" s="18" t="inlineStr">
        <is>
          <t>Clinic</t>
        </is>
      </c>
      <c r="N28" s="18" t="inlineStr">
        <is>
          <t>ข้อ 26 ชุด 1 (เฉลยข้อ ก)</t>
        </is>
      </c>
      <c r="O28" s="18" t="inlineStr">
        <is>
          <t>Mock</t>
        </is>
      </c>
      <c r="P28" s="18" t="inlineStr">
        <is>
          <t>ชุด 1</t>
        </is>
      </c>
    </row>
    <row r="29">
      <c r="A29" s="15" t="inlineStr">
        <is>
          <t>27</t>
        </is>
      </c>
      <c r="B29" s="18" t="inlineStr">
        <is>
          <t>โรคใดต่อไปนี้ ห้ามใช้ยาเสริมธาตุเหล็กโดยเด็ดขาด</t>
        </is>
      </c>
      <c r="C29" s="18" t="inlineStr"/>
      <c r="D29" s="18" t="inlineStr">
        <is>
          <t>Folate deficiency anemia</t>
        </is>
      </c>
      <c r="E29" s="18" t="inlineStr">
        <is>
          <t>Thalassemia</t>
        </is>
      </c>
      <c r="F29" s="18" t="inlineStr">
        <is>
          <t>Osteoporosis</t>
        </is>
      </c>
      <c r="G29" s="18" t="inlineStr">
        <is>
          <t>Peptic ulcer</t>
        </is>
      </c>
      <c r="H29" s="18" t="inlineStr">
        <is>
          <t>Iron deficiency anemia</t>
        </is>
      </c>
      <c r="I29" s="15" t="inlineStr">
        <is>
          <t>2</t>
        </is>
      </c>
      <c r="J29" s="18"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ข้อนี้ไม่ใช่คำตอบที่ถูกต้องสำหรับภาวะ Anemia เนื่องจากกลไกการออกฤทธิ์, efficacy หรือข้อบ่งใช้ไม่ตรงกับโจทย์ที่กำหนด
• ข้อ ค. (Osteoporosis): ข้อนี้ไม่ใช่คำตอบที่ถูกต้องสำหรับภาวะ Anemia เนื่องจากกลไกการออกฤทธิ์, efficacy หรือข้อบ่งใช้ไม่ตรงกับโจทย์ที่กำหนด
• ข้อ ง. (Peptic ulcer): ข้อนี้ไม่ใช่คำตอบที่ถูกต้องสำหรับภาวะ Anemia เนื่องจากกลไกการออกฤทธิ์, efficacy หรือข้อบ่งใช้ไม่ตรงกับโจทย์ที่กำหนด
• ข้อ จ. (Iron deficiency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18" t="inlineStr"/>
      <c r="L29" s="18" t="inlineStr">
        <is>
          <t>Anemia</t>
        </is>
      </c>
      <c r="M29" s="18" t="inlineStr">
        <is>
          <t>Clinic</t>
        </is>
      </c>
      <c r="N29" s="18" t="inlineStr">
        <is>
          <t>ข้อ 27 ชุด 1 (เฉลยข้อ ข)</t>
        </is>
      </c>
      <c r="O29" s="18" t="inlineStr">
        <is>
          <t>Mock</t>
        </is>
      </c>
      <c r="P29" s="18" t="inlineStr">
        <is>
          <t>ชุด 1</t>
        </is>
      </c>
    </row>
    <row r="30">
      <c r="A30" s="15" t="inlineStr">
        <is>
          <t>28</t>
        </is>
      </c>
      <c r="B30" s="18" t="inlineStr">
        <is>
          <t>ข้อใดไม่ใช่ผลข้างเคียงหลักจากการใช้ยาเสริมธาตุเหล็ก</t>
        </is>
      </c>
      <c r="C30" s="18" t="inlineStr"/>
      <c r="D30" s="18" t="inlineStr">
        <is>
          <t>อุจจาระดำ</t>
        </is>
      </c>
      <c r="E30" s="18" t="inlineStr">
        <is>
          <t>ท้องเสีย</t>
        </is>
      </c>
      <c r="F30" s="18" t="inlineStr">
        <is>
          <t>ท้องผูก</t>
        </is>
      </c>
      <c r="G30" s="18" t="inlineStr">
        <is>
          <t>คลื่นไส้ อาเจียน</t>
        </is>
      </c>
      <c r="H30" s="18" t="inlineStr">
        <is>
          <t>ตับอักเสบ</t>
        </is>
      </c>
      <c r="I30" s="15" t="inlineStr">
        <is>
          <t>5</t>
        </is>
      </c>
      <c r="J30" s="18"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ข้อนี้ไม่ใช่คำตอบที่ถูกต้องสำหรับภาวะ Anemia เนื่องจากกลไกการออกฤทธิ์, efficacy หรือข้อบ่งใช้ไม่ตรงกับโจทย์ที่กำหนด
• ข้อ ข. (ท้องเสีย): ข้อนี้ไม่ใช่คำตอบที่ถูกต้องสำหรับภาวะ Anemia เนื่องจากกลไกการออกฤทธิ์, efficacy หรือข้อบ่งใช้ไม่ตรงกับโจทย์ที่กำหนด
• ข้อ ค. (ท้องผูก): ข้อนี้ไม่ใช่คำตอบที่ถูกต้องสำหรับภาวะ Anemia เนื่องจากกลไกการออกฤทธิ์, efficacy หรือข้อบ่งใช้ไม่ตรงกับโจทย์ที่กำหนด
• ข้อ ง. (คลื่นไส้ อาเจียน):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18" t="inlineStr"/>
      <c r="L30" s="18" t="inlineStr">
        <is>
          <t>Anemia</t>
        </is>
      </c>
      <c r="M30" s="18" t="inlineStr">
        <is>
          <t>Clinic</t>
        </is>
      </c>
      <c r="N30" s="18" t="inlineStr">
        <is>
          <t>ข้อ 28 ชุด 1 (เฉลยข้อ จ)</t>
        </is>
      </c>
      <c r="O30" s="18" t="inlineStr">
        <is>
          <t>Mock</t>
        </is>
      </c>
      <c r="P30" s="18" t="inlineStr">
        <is>
          <t>ชุด 1</t>
        </is>
      </c>
    </row>
    <row r="31">
      <c r="A31" s="15" t="inlineStr">
        <is>
          <t>29</t>
        </is>
      </c>
      <c r="B31" s="18" t="inlineStr">
        <is>
          <t>ข้อใดต่อไปนี้ เพิ่มการดูดซึมธาตุเหล็ก</t>
        </is>
      </c>
      <c r="C31" s="18" t="inlineStr"/>
      <c r="D31" s="18" t="inlineStr">
        <is>
          <t>Tetracycline</t>
        </is>
      </c>
      <c r="E31" s="18" t="inlineStr">
        <is>
          <t>Folic acid</t>
        </is>
      </c>
      <c r="F31" s="18" t="inlineStr">
        <is>
          <t>Vitamin B12</t>
        </is>
      </c>
      <c r="G31" s="18" t="inlineStr">
        <is>
          <t>Vitamin C</t>
        </is>
      </c>
      <c r="H31" s="18" t="inlineStr">
        <is>
          <t>Omeprazole</t>
        </is>
      </c>
      <c r="I31" s="15" t="inlineStr">
        <is>
          <t>4</t>
        </is>
      </c>
      <c r="J31" s="18"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ข้อนี้ไม่ใช่คำตอบที่ถูกต้องสำหรับภาวะ Anemia เนื่องจากกลไกการออกฤทธิ์, efficacy หรือข้อบ่งใช้ไม่ตรงกับโจทย์ที่กำหนด
• ข้อ ข. (Folic acid): ข้อนี้ไม่ใช่คำตอบที่ถูกต้องสำหรับภาวะ Anemia เนื่องจากกลไกการออกฤทธิ์, efficacy หรือข้อบ่งใช้ไม่ตรงกับโจทย์ที่กำหนด
• ข้อ ค. (Vitamin B12): ข้อนี้ไม่ใช่คำตอบที่ถูกต้องสำหรับภาวะ Anemia เนื่องจากกลไกการออกฤทธิ์, efficacy หรือข้อบ่งใช้ไม่ตรงกับโจทย์ที่กำหนด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18" t="inlineStr"/>
      <c r="L31" s="18" t="inlineStr">
        <is>
          <t>Anemia</t>
        </is>
      </c>
      <c r="M31" s="18" t="inlineStr">
        <is>
          <t>Clinic</t>
        </is>
      </c>
      <c r="N31" s="18" t="inlineStr">
        <is>
          <t>ข้อ 29 ชุด 1 (เฉลยข้อ ง)</t>
        </is>
      </c>
      <c r="O31" s="18" t="inlineStr">
        <is>
          <t>Mock</t>
        </is>
      </c>
      <c r="P31" s="18" t="inlineStr">
        <is>
          <t>ชุด 1</t>
        </is>
      </c>
    </row>
    <row r="32">
      <c r="A32" s="15" t="inlineStr">
        <is>
          <t>30</t>
        </is>
      </c>
      <c r="B32" s="18" t="inlineStr">
        <is>
          <t>ยาเพิ่มธาตุเหล็กในข้อต่อไปนี้ มีปริมาณเหล็กมากที่สุด</t>
        </is>
      </c>
      <c r="C32" s="18" t="inlineStr"/>
      <c r="D32" s="18" t="inlineStr">
        <is>
          <t>Ferrous fumarate</t>
        </is>
      </c>
      <c r="E32" s="18" t="inlineStr">
        <is>
          <t>Ferrous gluconate</t>
        </is>
      </c>
      <c r="F32" s="18" t="inlineStr">
        <is>
          <t>Ferrous citrate</t>
        </is>
      </c>
      <c r="G32" s="18" t="inlineStr">
        <is>
          <t>Ferrous sulfate. 7H2O</t>
        </is>
      </c>
      <c r="H32" s="18" t="inlineStr">
        <is>
          <t>Anhydrous ferrous sulfate</t>
        </is>
      </c>
      <c r="I32" s="15" t="inlineStr">
        <is>
          <t>1</t>
        </is>
      </c>
      <c r="J32" s="18"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ข้อนี้ไม่ใช่คำตอบที่ถูกต้องสำหรับภาวะ Anemia เนื่องจากกลไกการออกฤทธิ์, efficacy หรือข้อบ่งใช้ไม่ตรงกับโจทย์ที่กำหนด
• ข้อ ค. (Ferrous citrate): ข้อนี้ไม่ใช่คำตอบที่ถูกต้องสำหรับภาวะ Anemia เนื่องจากกลไกการออกฤทธิ์, efficacy หรือข้อบ่งใช้ไม่ตรงกับโจทย์ที่กำหนด
• ข้อ ง. (Ferrous sulfate. 7H2O): ข้อนี้ไม่ใช่คำตอบที่ถูกต้องสำหรับภาวะ Anemia เนื่องจากกลไกการออกฤทธิ์, efficacy หรือข้อบ่งใช้ไม่ตรงกับโจทย์ที่กำหนด
• ข้อ จ. (Anhydrous ferrous sulfate):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18" t="inlineStr"/>
      <c r="L32" s="18" t="inlineStr">
        <is>
          <t>Anemia</t>
        </is>
      </c>
      <c r="M32" s="18" t="inlineStr">
        <is>
          <t>Clinic</t>
        </is>
      </c>
      <c r="N32" s="18" t="inlineStr">
        <is>
          <t>ข้อ 30 ชุด 1 (เฉลยข้อ ก)</t>
        </is>
      </c>
      <c r="O32" s="18" t="inlineStr">
        <is>
          <t>Mock</t>
        </is>
      </c>
      <c r="P32" s="18" t="inlineStr">
        <is>
          <t>ชุด 1</t>
        </is>
      </c>
    </row>
    <row r="33">
      <c r="A33" s="15" t="inlineStr">
        <is>
          <t>31</t>
        </is>
      </c>
      <c r="B33" s="18"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18" t="inlineStr"/>
      <c r="D33" s="18" t="inlineStr">
        <is>
          <t>ติดสีจางกว่าปกติ</t>
        </is>
      </c>
      <c r="E33" s="18" t="inlineStr">
        <is>
          <t>ติดสีเข้มกว่าปกติ</t>
        </is>
      </c>
      <c r="F33" s="18" t="inlineStr">
        <is>
          <t>มีลักษณะโตกว่าปกติ</t>
        </is>
      </c>
      <c r="G33" s="18" t="inlineStr">
        <is>
          <t>รูปร่างบิดเบี้ยวไม่แน่นอน</t>
        </is>
      </c>
      <c r="H33" s="18" t="inlineStr">
        <is>
          <t>พบเศษของเม็ดเลือดแดงที่แตก</t>
        </is>
      </c>
      <c r="I33" s="15" t="inlineStr">
        <is>
          <t>5</t>
        </is>
      </c>
      <c r="J33" s="18"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ข้อนี้ไม่ใช่คำตอบที่ถูกต้องสำหรับภาวะ Anemia เนื่องจากกลไกการออกฤทธิ์, efficacy หรือข้อบ่งใช้ไม่ตรงกับโจทย์ที่กำหนด
• ข้อ ข. (ติดสีเข้มกว่าปกติ): ข้อนี้ไม่ใช่คำตอบที่ถูกต้องสำหรับภาวะ Anemia เนื่องจากกลไกการออกฤทธิ์, efficacy หรือข้อบ่งใช้ไม่ตรงกับโจทย์ที่กำหนด
• ข้อ ค. (มีลักษณะโตกว่าปกติ): ข้อนี้ไม่ใช่คำตอบที่ถูกต้องสำหรับภาวะ Anemia เนื่องจากกลไกการออกฤทธิ์, efficacy หรือข้อบ่งใช้ไม่ตรงกับโจทย์ที่กำหนด
• ข้อ ง. (รูปร่างบิดเบี้ยวไม่แน่นอน):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18" t="inlineStr"/>
      <c r="L33" s="18" t="inlineStr">
        <is>
          <t>Anemia</t>
        </is>
      </c>
      <c r="M33" s="18" t="inlineStr">
        <is>
          <t>Clinic</t>
        </is>
      </c>
      <c r="N33" s="18" t="inlineStr">
        <is>
          <t>ข้อ 31 ชุด 1 (เฉลยข้อ จ)</t>
        </is>
      </c>
      <c r="O33" s="18" t="inlineStr">
        <is>
          <t>Mock</t>
        </is>
      </c>
      <c r="P33" s="18" t="inlineStr">
        <is>
          <t>ชุด 1</t>
        </is>
      </c>
    </row>
    <row r="34">
      <c r="A34" s="15" t="inlineStr">
        <is>
          <t>32</t>
        </is>
      </c>
      <c r="B34" s="18" t="inlineStr">
        <is>
          <t>G6PD มีบทบาทต่อเม็ดเลือดแดงอย่างไร</t>
        </is>
      </c>
      <c r="C34" s="18" t="inlineStr"/>
      <c r="D34" s="18" t="inlineStr">
        <is>
          <t>เปลี่ยนกลูโคสเป็นพลังงาน</t>
        </is>
      </c>
      <c r="E34" s="18" t="inlineStr">
        <is>
          <t>ป้องกันการเปลี่ยน Hgb เป็น methemoglobin</t>
        </is>
      </c>
      <c r="F34" s="18" t="inlineStr">
        <is>
          <t>คงสภาพของโครงสร้าง globin</t>
        </is>
      </c>
      <c r="G34" s="18" t="inlineStr">
        <is>
          <t>ทำให้ globin จับกับ tetraglobin</t>
        </is>
      </c>
      <c r="H34" s="18" t="inlineStr">
        <is>
          <t>ทำให้ ferrous จับกับ Hgb ได้</t>
        </is>
      </c>
      <c r="I34" s="15" t="inlineStr">
        <is>
          <t>1</t>
        </is>
      </c>
      <c r="J34" s="18"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ข้อนี้ไม่ใช่คำตอบที่ถูกต้องสำหรับภาวะ Anemia เนื่องจากกลไกการออกฤทธิ์, efficacy หรือข้อบ่งใช้ไม่ตรงกับโจทย์ที่กำหนด
• ข้อ ค. (คงสภาพของโครงสร้าง globin): ข้อนี้ไม่ใช่คำตอบที่ถูกต้องสำหรับภาวะ Anemia เนื่องจากกลไกการออกฤทธิ์, efficacy หรือข้อบ่งใช้ไม่ตรงกับโจทย์ที่กำหนด
• ข้อ ง. (ทำให้ globin จับกับ tetraglobin): ข้อนี้ไม่ใช่คำตอบที่ถูกต้องสำหรับภาวะ Anemia เนื่องจากกลไกการออกฤทธิ์, efficacy หรือข้อบ่งใช้ไม่ตรงกับโจทย์ที่กำหนด
• ข้อ จ. (ทำให้ ferrous จับกับ Hgb 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18" t="inlineStr"/>
      <c r="L34" s="18" t="inlineStr">
        <is>
          <t>Anemia</t>
        </is>
      </c>
      <c r="M34" s="18" t="inlineStr">
        <is>
          <t>Clinic</t>
        </is>
      </c>
      <c r="N34" s="18" t="inlineStr">
        <is>
          <t>ข้อ 32 ชุด 1 (เฉลยข้อ ก)</t>
        </is>
      </c>
      <c r="O34" s="18" t="inlineStr">
        <is>
          <t>Mock</t>
        </is>
      </c>
      <c r="P34" s="18" t="inlineStr">
        <is>
          <t>ชุด 1</t>
        </is>
      </c>
    </row>
    <row r="35">
      <c r="A35" s="15" t="inlineStr">
        <is>
          <t>33</t>
        </is>
      </c>
      <c r="B35" s="18"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18" t="inlineStr"/>
      <c r="D35" s="18" t="inlineStr">
        <is>
          <t>ตั้งครรภ์</t>
        </is>
      </c>
      <c r="E35" s="18" t="inlineStr">
        <is>
          <t>ขาดสารอาหาร</t>
        </is>
      </c>
      <c r="F35" s="18" t="inlineStr">
        <is>
          <t>โรคริชสีดวง</t>
        </is>
      </c>
      <c r="G35" s="18" t="inlineStr">
        <is>
          <t>โรคกระเพาะอาหาร</t>
        </is>
      </c>
      <c r="H35" s="18" t="inlineStr">
        <is>
          <t>กรรมพันธุ์</t>
        </is>
      </c>
      <c r="I35" s="15" t="inlineStr">
        <is>
          <t>5</t>
        </is>
      </c>
      <c r="J35" s="18"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ข้อนี้ไม่ใช่คำตอบที่ถูกต้องสำหรับภาวะ Anemia เนื่องจากกลไกการออกฤทธิ์, efficacy หรือข้อบ่งใช้ไม่ตรงกับโจทย์ที่กำหนด
• ข้อ ข. (ขาดสารอาหาร): ข้อนี้ไม่ใช่คำตอบที่ถูกต้องสำหรับภาวะ Anemia เนื่องจากกลไกการออกฤทธิ์, efficacy หรือข้อบ่งใช้ไม่ตรงกับโจทย์ที่กำหนด
• ข้อ ค. (โรคริชสีดวง): ข้อนี้ไม่ใช่คำตอบที่ถูกต้องสำหรับภาวะ Anemia เนื่องจากกลไกการออกฤทธิ์, efficacy หรือข้อบ่งใช้ไม่ตรงกับโจทย์ที่กำหนด
• ข้อ ง. (โรคกระเพาะอาหาร):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18" t="inlineStr"/>
      <c r="L35" s="18" t="inlineStr">
        <is>
          <t>Anemia</t>
        </is>
      </c>
      <c r="M35" s="18" t="inlineStr">
        <is>
          <t>Clinic</t>
        </is>
      </c>
      <c r="N35" s="18" t="inlineStr">
        <is>
          <t>ข้อ 33 ชุด 1 (เฉลยข้อ จ)</t>
        </is>
      </c>
      <c r="O35" s="18" t="inlineStr">
        <is>
          <t>Mock</t>
        </is>
      </c>
      <c r="P35" s="18" t="inlineStr">
        <is>
          <t>ชุด 1</t>
        </is>
      </c>
    </row>
    <row r="36">
      <c r="A36" s="15" t="inlineStr">
        <is>
          <t>34</t>
        </is>
      </c>
      <c r="B36" s="18" t="inlineStr">
        <is>
          <t>ลักษณะของเม็ดเลือดเป็นอย่างไร</t>
        </is>
      </c>
      <c r="C36" s="18" t="inlineStr"/>
      <c r="D36" s="18" t="inlineStr">
        <is>
          <t>เม็ดเลือดแดงติดสีเข้มและมีขนาดเล็ก</t>
        </is>
      </c>
      <c r="E36" s="18" t="inlineStr">
        <is>
          <t>เม็ดเลือดแดงติดสีจางและมีขนาดเล็ก</t>
        </is>
      </c>
      <c r="F36" s="18" t="inlineStr">
        <is>
          <t>เม็ดเลือดแดงติดสีจางและมีขนาดใหญ่</t>
        </is>
      </c>
      <c r="G36" s="18" t="inlineStr">
        <is>
          <t>เม็ดเลือดแดงติดสีเข้มและมีขนาดใหญ่</t>
        </is>
      </c>
      <c r="H36" s="18" t="inlineStr">
        <is>
          <t>เม็ดเลือดแดงติดสีเข้มและมีขนาดปกติ</t>
        </is>
      </c>
      <c r="I36" s="15" t="inlineStr">
        <is>
          <t>2</t>
        </is>
      </c>
      <c r="J36" s="18"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ข้อนี้ไม่ใช่คำตอบที่ถูกต้องสำหรับภาวะ Anemia เนื่องจากกลไกการออกฤทธิ์, efficacy หรือข้อบ่งใช้ไม่ตรงกับโจทย์ที่กำหนด
• ข้อ ค. (เม็ดเลือดแดงติดสีจางและมีขนาดใหญ่): ข้อนี้ไม่ใช่คำตอบที่ถูกต้องสำหรับภาวะ Anemia เนื่องจากกลไกการออกฤทธิ์, efficacy หรือข้อบ่งใช้ไม่ตรงกับโจทย์ที่กำหนด
• ข้อ ง. (เม็ดเลือดแดงติดสีเข้มและมีขนาดใหญ่): ข้อนี้ไม่ใช่คำตอบที่ถูกต้องสำหรับภาวะ Anemia เนื่องจากกลไกการออกฤทธิ์, efficacy หรือข้อบ่งใช้ไม่ตรงกับโจทย์ที่กำหนด
• ข้อ จ. (เม็ดเลือดแดงติดสีเข้มและมีขนาดปกติ):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18" t="inlineStr"/>
      <c r="L36" s="18" t="inlineStr">
        <is>
          <t>Anemia</t>
        </is>
      </c>
      <c r="M36" s="18" t="inlineStr">
        <is>
          <t>Clinic</t>
        </is>
      </c>
      <c r="N36" s="18" t="inlineStr">
        <is>
          <t>ข้อ 34 ชุด 1 (เฉลยข้อ ข)</t>
        </is>
      </c>
      <c r="O36" s="18" t="inlineStr">
        <is>
          <t>Mock</t>
        </is>
      </c>
      <c r="P36" s="18" t="inlineStr">
        <is>
          <t>ชุด 1</t>
        </is>
      </c>
    </row>
    <row r="37">
      <c r="A37" s="15" t="inlineStr">
        <is>
          <t>35</t>
        </is>
      </c>
      <c r="B37" s="18" t="inlineStr">
        <is>
          <t>ยาในข้อใดไม่เหมาะสมในผู้ป่วยรายนี้</t>
        </is>
      </c>
      <c r="C37" s="18" t="inlineStr"/>
      <c r="D37" s="18" t="inlineStr">
        <is>
          <t>Cyanocobalamin</t>
        </is>
      </c>
      <c r="E37" s="18" t="inlineStr">
        <is>
          <t>Ferrous fumarate</t>
        </is>
      </c>
      <c r="F37" s="18" t="inlineStr">
        <is>
          <t>Ferrous gluconate</t>
        </is>
      </c>
      <c r="G37" s="18" t="inlineStr">
        <is>
          <t>Folic acid</t>
        </is>
      </c>
      <c r="H37" s="18" t="inlineStr">
        <is>
          <t>Blood transfusion (Packed Red Cells)</t>
        </is>
      </c>
      <c r="I37" s="15" t="inlineStr">
        <is>
          <t>1</t>
        </is>
      </c>
      <c r="J37" s="18"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ข้อนี้ไม่ใช่คำตอบที่ถูกต้องสำหรับภาวะ Anemia เนื่องจากกลไกการออกฤทธิ์, efficacy หรือข้อบ่งใช้ไม่ตรงกับโจทย์ที่กำหนด
• ข้อ ค. (Ferrous gluconate): ข้อนี้ไม่ใช่คำตอบที่ถูกต้องสำหรับภาวะ Anemia เนื่องจากกลไกการออกฤทธิ์, efficacy หรือข้อบ่งใช้ไม่ตรงกับโจทย์ที่กำหนด
• ข้อ ง. (Folic acid):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18" t="inlineStr"/>
      <c r="L37" s="18" t="inlineStr">
        <is>
          <t>Anemia</t>
        </is>
      </c>
      <c r="M37" s="18" t="inlineStr">
        <is>
          <t>Clinic</t>
        </is>
      </c>
      <c r="N37" s="18" t="inlineStr">
        <is>
          <t>ข้อ 35 ชุด 1 (เฉลยข้อ ก ง)</t>
        </is>
      </c>
      <c r="O37" s="18" t="inlineStr">
        <is>
          <t>Mock</t>
        </is>
      </c>
      <c r="P37" s="18" t="inlineStr">
        <is>
          <t>ชุด 1</t>
        </is>
      </c>
    </row>
    <row r="38">
      <c r="A38" s="15" t="inlineStr">
        <is>
          <t>36</t>
        </is>
      </c>
      <c r="B38" s="18" t="inlineStr">
        <is>
          <t>ยาตัวใดไม่มีผลต่อการดูดซึมธาตุเหล็ก</t>
        </is>
      </c>
      <c r="C38" s="18" t="inlineStr"/>
      <c r="D38" s="18" t="inlineStr">
        <is>
          <t>Antacid</t>
        </is>
      </c>
      <c r="E38" s="18" t="inlineStr">
        <is>
          <t>Ascorbic acid</t>
        </is>
      </c>
      <c r="F38" s="18" t="inlineStr">
        <is>
          <t>Cimetidine</t>
        </is>
      </c>
      <c r="G38" s="18" t="inlineStr">
        <is>
          <t>Penicillamine</t>
        </is>
      </c>
      <c r="H38" s="18" t="inlineStr">
        <is>
          <t>Norfloxacin</t>
        </is>
      </c>
      <c r="I38" s="15" t="inlineStr">
        <is>
          <t>4</t>
        </is>
      </c>
      <c r="J38" s="18"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ข้อนี้ไม่ใช่คำตอบที่ถูกต้องสำหรับภาวะ Anemia เนื่องจากกลไกการออกฤทธิ์, efficacy หรือข้อบ่งใช้ไม่ตรงกับโจทย์ที่กำหนด
• ข้อ ข. (Ascorbic acid): ข้อนี้ไม่ใช่คำตอบที่ถูกต้องสำหรับภาวะ Anemia เนื่องจากกลไกการออกฤทธิ์, efficacy หรือข้อบ่งใช้ไม่ตรงกับโจทย์ที่กำหนด
• ข้อ ค. (Cimetidine): ข้อนี้ไม่ใช่คำตอบที่ถูกต้องสำหรับภาวะ Anemia เนื่องจากกลไกการออกฤทธิ์, efficacy หรือข้อบ่งใช้ไม่ตรงกับโจทย์ที่กำหนด
• ข้อ จ. (Norfloxacin):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18" t="inlineStr"/>
      <c r="L38" s="18" t="inlineStr">
        <is>
          <t>Anemia</t>
        </is>
      </c>
      <c r="M38" s="18" t="inlineStr">
        <is>
          <t>Clinic</t>
        </is>
      </c>
      <c r="N38" s="18" t="inlineStr">
        <is>
          <t>ข้อ 36 ชุด 1 (เฉลยข้อ ง)</t>
        </is>
      </c>
      <c r="O38" s="18" t="inlineStr">
        <is>
          <t>Mock</t>
        </is>
      </c>
      <c r="P38" s="18" t="inlineStr">
        <is>
          <t>ชุด 1</t>
        </is>
      </c>
    </row>
    <row r="39">
      <c r="A39" s="15" t="inlineStr">
        <is>
          <t>37</t>
        </is>
      </c>
      <c r="B39" s="18" t="inlineStr">
        <is>
          <t>ยา ferrous sulfate ไม่ควรจ่ายให้ผู้ป่วยในข้อใด</t>
        </is>
      </c>
      <c r="C39" s="18" t="inlineStr"/>
      <c r="D39" s="18" t="inlineStr">
        <is>
          <t>Thalassemia</t>
        </is>
      </c>
      <c r="E39" s="18" t="inlineStr">
        <is>
          <t>Thyrotoxicosis</t>
        </is>
      </c>
      <c r="F39" s="18" t="inlineStr">
        <is>
          <t>Leucopenia</t>
        </is>
      </c>
      <c r="G39" s="18" t="inlineStr">
        <is>
          <t>Thrombocytopenia</t>
        </is>
      </c>
      <c r="H39" s="18" t="inlineStr">
        <is>
          <t>Hemophilia</t>
        </is>
      </c>
      <c r="I39" s="15" t="inlineStr">
        <is>
          <t>1</t>
        </is>
      </c>
      <c r="J39" s="18"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ข้อนี้ไม่ใช่คำตอบที่ถูกต้องสำหรับภาวะ Anemia เนื่องจากกลไกการออกฤทธิ์, efficacy หรือข้อบ่งใช้ไม่ตรงกับโจทย์ที่กำหนด
• ข้อ ค. (Leucopenia): ข้อนี้ไม่ใช่คำตอบที่ถูกต้องสำหรับภาวะ Anemia เนื่องจากกลไกการออกฤทธิ์, efficacy หรือข้อบ่งใช้ไม่ตรงกับโจทย์ที่กำหนด
• ข้อ ง. (Thrombocytopenia): ข้อนี้ไม่ใช่คำตอบที่ถูกต้องสำหรับภาวะ Anemia เนื่องจากกลไกการออกฤทธิ์, efficacy หรือข้อบ่งใช้ไม่ตรงกับโจทย์ที่กำหนด
• ข้อ จ. (Hemophilia):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18" t="inlineStr"/>
      <c r="L39" s="18" t="inlineStr">
        <is>
          <t>Anemia</t>
        </is>
      </c>
      <c r="M39" s="18" t="inlineStr">
        <is>
          <t>Clinic</t>
        </is>
      </c>
      <c r="N39" s="18" t="inlineStr">
        <is>
          <t>ข้อ 37 ชุด 1 (เฉลยข้อ ก)</t>
        </is>
      </c>
      <c r="O39" s="18" t="inlineStr">
        <is>
          <t>Mock</t>
        </is>
      </c>
      <c r="P39" s="18" t="inlineStr">
        <is>
          <t>ชุด 1</t>
        </is>
      </c>
    </row>
    <row r="40">
      <c r="A40" s="15" t="inlineStr">
        <is>
          <t>38</t>
        </is>
      </c>
      <c r="B40" s="18" t="inlineStr">
        <is>
          <t>Ferrous supplement ตัวใด ที่มีปริมาณ elemental iron มากที่สุด</t>
        </is>
      </c>
      <c r="C40" s="18" t="inlineStr"/>
      <c r="D40" s="18" t="inlineStr">
        <is>
          <t>Ferrous fumarate</t>
        </is>
      </c>
      <c r="E40" s="18" t="inlineStr">
        <is>
          <t>Ferrous sulfate (exsiccated)</t>
        </is>
      </c>
      <c r="F40" s="18" t="inlineStr">
        <is>
          <t>Ferrous gluconate</t>
        </is>
      </c>
      <c r="G40" s="18" t="inlineStr">
        <is>
          <t>Ferrous sulfate</t>
        </is>
      </c>
      <c r="H40" s="18" t="inlineStr">
        <is>
          <t>Ferrous citrate</t>
        </is>
      </c>
      <c r="I40" s="15" t="inlineStr">
        <is>
          <t>1</t>
        </is>
      </c>
      <c r="J40" s="18"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ข้อนี้ไม่ใช่คำตอบที่ถูกต้องสำหรับภาวะ Anemia เนื่องจากกลไกการออกฤทธิ์, efficacy หรือข้อบ่งใช้ไม่ตรงกับโจทย์ที่กำหนด
• ข้อ ค. (Ferrous gluconate): ข้อนี้ไม่ใช่คำตอบที่ถูกต้องสำหรับภาวะ Anemia เนื่องจากกลไกการออกฤทธิ์, efficacy หรือข้อบ่งใช้ไม่ตรงกับโจทย์ที่กำหนด
• ข้อ ง. (Ferrous sulfate): ข้อนี้ไม่ใช่คำตอบที่ถูกต้องสำหรับภาวะ Anemia เนื่องจากกลไกการออกฤทธิ์, efficacy หรือข้อบ่งใช้ไม่ตรงกับโจทย์ที่กำหนด
• ข้อ จ. (Ferrous citrate):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18" t="inlineStr"/>
      <c r="L40" s="18" t="inlineStr">
        <is>
          <t>Anemia</t>
        </is>
      </c>
      <c r="M40" s="18" t="inlineStr">
        <is>
          <t>Clinic</t>
        </is>
      </c>
      <c r="N40" s="18" t="inlineStr">
        <is>
          <t>ข้อ 38 ชุด 1 (เฉลยข้อ ก)</t>
        </is>
      </c>
      <c r="O40" s="18" t="inlineStr">
        <is>
          <t>Mock</t>
        </is>
      </c>
      <c r="P40" s="18" t="inlineStr">
        <is>
          <t>ชุด 1</t>
        </is>
      </c>
    </row>
    <row r="41">
      <c r="A41" s="15" t="inlineStr">
        <is>
          <t>40</t>
        </is>
      </c>
      <c r="B41" s="18" t="inlineStr">
        <is>
          <t>of oxidation is increased by the addition of alkali or by exposure to light. (ใช้ตอบข้อ 57-58)
ภาชนะใดเหมาะสมแก่การบรรจุ ferrous sulfate</t>
        </is>
      </c>
      <c r="C41" s="18" t="inlineStr"/>
      <c r="D41" s="18" t="inlineStr">
        <is>
          <t>Tight container</t>
        </is>
      </c>
      <c r="E41" s="18" t="inlineStr">
        <is>
          <t>Children resist container</t>
        </is>
      </c>
      <c r="F41" s="18" t="inlineStr">
        <is>
          <t>Glass container</t>
        </is>
      </c>
      <c r="G41" s="18" t="inlineStr">
        <is>
          <t>Amber glass container</t>
        </is>
      </c>
      <c r="H41" s="18" t="inlineStr">
        <is>
          <t>Opaque plastic container</t>
        </is>
      </c>
      <c r="I41" s="15" t="inlineStr">
        <is>
          <t>1</t>
        </is>
      </c>
      <c r="J41" s="18"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(Tight container): ข้อนี้ไม่ใช่คำตอบที่ถูกต้องสำหรับภาวะ Anemia เนื่องจากกลไกการออกฤทธิ์, efficacy หรือข้อบ่งใช้ไม่ตรงกับโจทย์ที่กำหนด
• ข้อ ค. (Children resist container): ข้อนี้ไม่ใช่คำตอบที่ถูกต้องสำหรับภาวะ Anemia เนื่องจากกลไกการออกฤทธิ์, efficacy หรือข้อบ่งใช้ไม่ตรงกับโจทย์ที่กำหนด
• ข้อ ง. (Glass container): ข้อนี้ไม่ใช่คำตอบที่ถูกต้องสำหรับภาวะ Anemia เนื่องจากกลไกการออกฤทธิ์, efficacy หรือข้อบ่งใช้ไม่ตรงกับโจทย์ที่กำหนด
• ข้อ จ. (Amber glass container):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18" t="inlineStr"/>
      <c r="L41" s="18" t="inlineStr">
        <is>
          <t>Anemia</t>
        </is>
      </c>
      <c r="M41" s="18" t="inlineStr">
        <is>
          <t>Anemia</t>
        </is>
      </c>
      <c r="N41" s="18" t="inlineStr">
        <is>
          <t>Mock PLE-CC 1 ข้อ 58</t>
        </is>
      </c>
      <c r="O41" s="18" t="inlineStr">
        <is>
          <t>Mock</t>
        </is>
      </c>
      <c r="P41" s="18" t="inlineStr">
        <is>
          <t>Mock RxCU83</t>
        </is>
      </c>
      <c r="Q41" s="18" t="inlineStr"/>
    </row>
    <row r="42">
      <c r="A42" s="15" t="inlineStr">
        <is>
          <t>41</t>
        </is>
      </c>
      <c r="B42" s="18"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18" t="inlineStr"/>
      <c r="D42" s="18" t="inlineStr">
        <is>
          <t>Anemia</t>
        </is>
      </c>
      <c r="E42" s="18" t="inlineStr">
        <is>
          <t>Folic acid 5 mg OD</t>
        </is>
      </c>
      <c r="F42" s="18" t="inlineStr">
        <is>
          <t>Vitamin B12 1000 mcg IM</t>
        </is>
      </c>
      <c r="G42" s="18" t="inlineStr">
        <is>
          <t>Deferoxamine 500 mg SC</t>
        </is>
      </c>
      <c r="H42" s="18" t="inlineStr">
        <is>
          <t>Erythropoietin 4000 units SC</t>
        </is>
      </c>
      <c r="I42" s="15" t="inlineStr">
        <is>
          <t>1</t>
        </is>
      </c>
      <c r="J42" s="18"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18" t="inlineStr"/>
      <c r="L42" s="18" t="inlineStr">
        <is>
          <t>Anemia</t>
        </is>
      </c>
      <c r="M42" s="18" t="inlineStr">
        <is>
          <t>Anemia</t>
        </is>
      </c>
      <c r="N42" s="18" t="inlineStr">
        <is>
          <t>Mock PLE-CC 1 ข้อ 59</t>
        </is>
      </c>
      <c r="O42" s="18" t="inlineStr">
        <is>
          <t>Mock</t>
        </is>
      </c>
      <c r="P42" s="18" t="inlineStr">
        <is>
          <t>Mock RxCU83</t>
        </is>
      </c>
    </row>
    <row r="43">
      <c r="A43" s="15" t="inlineStr">
        <is>
          <t>42</t>
        </is>
      </c>
      <c r="B43" s="18"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18" t="inlineStr"/>
      <c r="D43" s="18" t="inlineStr">
        <is>
          <t>Serum levels of folate and vitamin B12</t>
        </is>
      </c>
      <c r="E43" s="18" t="inlineStr">
        <is>
          <t>WBC</t>
        </is>
      </c>
      <c r="F43" s="18" t="inlineStr">
        <is>
          <t>Serum Albumin</t>
        </is>
      </c>
      <c r="G43" s="18" t="inlineStr">
        <is>
          <t>Serum Ferritin และ Transferrin Saturation</t>
        </is>
      </c>
      <c r="H43" s="18" t="inlineStr">
        <is>
          <t>Serum Ferritin และ Vitamin C</t>
        </is>
      </c>
      <c r="I43" s="15" t="inlineStr">
        <is>
          <t>2</t>
        </is>
      </c>
      <c r="J43" s="18"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(Anemia): ข้อนี้ไม่ใช่คำตอบที่ถูกต้องสำหรับภาวะ Anemia เนื่องจากกลไกการออกฤทธิ์, efficacy หรือข้อบ่งใช้ไม่ตรงกับโจทย์ที่กำหนด
• ข้อ ข. (Serum levels of folate and vitamin B12): ข้อนี้ไม่ใช่คำตอบที่ถูกต้องสำหรับภาวะ Anemia เนื่องจากกลไกการออกฤทธิ์, efficacy หรือข้อบ่งใช้ไม่ตรงกับโจทย์ที่กำหนด
• ข้อ ง. (Serum Albumin): ข้อนี้ไม่ใช่คำตอบที่ถูกต้องสำหรับภาวะ Anemia เนื่องจากกลไกการออกฤทธิ์, efficacy หรือข้อบ่งใช้ไม่ตรงกับโจทย์ที่กำหนด
• ข้อ จ. (Serum Ferritin และ Transferrin Saturation):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18" t="inlineStr"/>
      <c r="L43" s="18" t="inlineStr">
        <is>
          <t>Anemia</t>
        </is>
      </c>
      <c r="M43" s="18" t="inlineStr">
        <is>
          <t>Anemia</t>
        </is>
      </c>
      <c r="N43" s="18" t="inlineStr">
        <is>
          <t>Mock PLE-CC 1 ข้อ 60</t>
        </is>
      </c>
      <c r="O43" s="18" t="inlineStr">
        <is>
          <t>Mock</t>
        </is>
      </c>
      <c r="P43" s="18" t="inlineStr">
        <is>
          <t>Mock RxCU83</t>
        </is>
      </c>
      <c r="Q43" s="18" t="inlineStr"/>
    </row>
    <row r="44">
      <c r="A44" s="15" t="inlineStr">
        <is>
          <t>43</t>
        </is>
      </c>
      <c r="B44" s="18"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18" t="inlineStr"/>
      <c r="D44" s="18" t="inlineStr">
        <is>
          <t>Hb เป็นตัวแปรเชิงกลุ่ม (categorical variable) เสมอ จึงควรใช้ Chi-square test ในการเปรียบเทียบระหว่างเพศ</t>
        </is>
      </c>
      <c r="E44" s="18" t="inlineStr">
        <is>
          <t>Hb เป็นตัวแปรเชิงจำนวน (continuous variable) และควรใช้ Paired-T test ในการเปรียบเทียบระหว่างเพศ</t>
        </is>
      </c>
      <c r="F44" s="18" t="inlineStr">
        <is>
          <t>หากจำแนก Hb เป็นกลุ่ม สามารถใช้ Chi-square test ในการศึกษาความสัมพันธ์ระหว่างเพศ</t>
        </is>
      </c>
      <c r="G44" s="18" t="inlineStr">
        <is>
          <t>Hb เป็นข้อมูลเชิงจำนวน แต่ควรใช้ Mann-Whitney U Test ในการวิเคราะห์เนื่องจากข้อมูลทางชีววิทยามักไม่ปกติ</t>
        </is>
      </c>
      <c r="H44" s="18" t="inlineStr">
        <is>
          <t>Hb เป็นตัวแปร ordinal เนื่องจากมีค่าจากต ่าไปสูง</t>
        </is>
      </c>
      <c r="I44" s="15" t="inlineStr">
        <is>
          <t>3</t>
        </is>
      </c>
      <c r="J44" s="18"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(Anemia): ข้อนี้ไม่ใช่คำตอบที่ถูกต้องสำหรับภาวะ Anemia เนื่องจากกลไกการออกฤทธิ์, efficacy หรือข้อบ่งใช้ไม่ตรงกับโจทย์ที่กำหนด
• ข้อ ข. (Hb เป็นตัวแปรเชิงกลุ่ม (categorical variable) เสมอ จึงควรใช้ Chi-square test ในการเปรียบเทียบระหว่างเพศ): ข้อนี้ไม่ใช่คำตอบที่ถูกต้องสำหรับภาวะ Anemia เนื่องจากกลไกการออกฤทธิ์, efficacy หรือข้อบ่งใช้ไม่ตรงกับโจทย์ที่กำหนด
• ข้อ ค. (Hb เป็นตัวแปรเชิงจำนวน (continuous variable) และควรใช้ Paired-T test ในการเปรียบเทียบระหว่างเพศ): ข้อนี้ไม่ใช่คำตอบที่ถูกต้องสำหรับภาวะ Anemia เนื่องจากกลไกการออกฤทธิ์, efficacy หรือข้อบ่งใช้ไม่ตรงกับโจทย์ที่กำหนด
• ข้อ จ. (Hb เป็นข้อมูลเชิงจำนวน แต่ควรใช้ Mann-Whitney U Test ในการวิเคราะห์เนื่องจากข้อมูลทางชีววิทยามักไม่ปกติ):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18" t="inlineStr"/>
      <c r="L44" s="18" t="inlineStr">
        <is>
          <t>Anemia</t>
        </is>
      </c>
      <c r="M44" s="18" t="inlineStr">
        <is>
          <t>Anemia</t>
        </is>
      </c>
      <c r="N44" s="18" t="inlineStr">
        <is>
          <t>Mock PLE-CC 1 ข้อ 65</t>
        </is>
      </c>
      <c r="O44" s="18" t="inlineStr">
        <is>
          <t>Mock</t>
        </is>
      </c>
      <c r="P44" s="18" t="inlineStr">
        <is>
          <t>Mock RxCU83</t>
        </is>
      </c>
      <c r="Q44" s="18" t="inlineStr"/>
    </row>
    <row r="45">
      <c r="A45" s="15" t="inlineStr">
        <is>
          <t>44</t>
        </is>
      </c>
      <c r="B45" s="18" t="inlineStr">
        <is>
          <t>ผู้ป่วยรายนี้เป็นโลหิตจางประเภทใด</t>
        </is>
      </c>
      <c r="C45" s="18" t="inlineStr"/>
      <c r="D45" s="18" t="inlineStr">
        <is>
          <t>megaloblastic anemia</t>
        </is>
      </c>
      <c r="E45" s="18" t="inlineStr">
        <is>
          <t>hemolytic anemia</t>
        </is>
      </c>
      <c r="F45" s="18" t="inlineStr">
        <is>
          <t>microcytic anemia</t>
        </is>
      </c>
      <c r="G45" s="18" t="inlineStr">
        <is>
          <t>macrocytic anemia</t>
        </is>
      </c>
      <c r="H45" s="18" t="inlineStr">
        <is>
          <t>aplastic anemia</t>
        </is>
      </c>
      <c r="I45" s="15" t="inlineStr">
        <is>
          <t>1</t>
        </is>
      </c>
      <c r="J45" s="18"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(megaloblastic anemia): ข้อนี้ไม่ใช่คำตอบที่ถูกต้องสำหรับภาวะ Anemia เนื่องจากกลไกการออกฤทธิ์, efficacy หรือข้อบ่งใช้ไม่ตรงกับโจทย์ที่กำหนด
• ข้อ ค. (hemolytic anemia): ข้อนี้ไม่ใช่คำตอบที่ถูกต้องสำหรับภาวะ Anemia เนื่องจากกลไกการออกฤทธิ์, efficacy หรือข้อบ่งใช้ไม่ตรงกับโจทย์ที่กำหนด
• ข้อ ง. (microcytic anemia): ข้อนี้ไม่ใช่คำตอบที่ถูกต้องสำหรับภาวะ Anemia เนื่องจากกลไกการออกฤทธิ์, efficacy หรือข้อบ่งใช้ไม่ตรงกับโจทย์ที่กำหนด
• ข้อ จ. (macrocytic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18" t="inlineStr"/>
      <c r="L45" s="18" t="inlineStr">
        <is>
          <t>Anemia</t>
        </is>
      </c>
      <c r="M45" s="18" t="inlineStr">
        <is>
          <t>Anemia</t>
        </is>
      </c>
      <c r="N45" s="18" t="inlineStr">
        <is>
          <t>PLE_CC1_2567_Key ข้อ 33</t>
        </is>
      </c>
      <c r="O45" s="18" t="inlineStr">
        <is>
          <t>ข้อสอบจริง</t>
        </is>
      </c>
      <c r="P45" s="18" t="inlineStr">
        <is>
          <t>ปี 2567</t>
        </is>
      </c>
      <c r="Q45" s="18" t="inlineStr"/>
    </row>
    <row r="46">
      <c r="A46" s="15" t="inlineStr">
        <is>
          <t>45</t>
        </is>
      </c>
      <c r="B46" s="18" t="inlineStr">
        <is>
          <t>แพทย์ต้องการให้ได้ elemental iron 180-200 mg จ่าย ferrous sulfate เท่าไร (MW: FeSO4 7H2O = 278, Fe = 56)</t>
        </is>
      </c>
      <c r="C46" s="18" t="inlineStr"/>
      <c r="D46" s="18" t="inlineStr">
        <is>
          <t>100x3</t>
        </is>
      </c>
      <c r="E46" s="18" t="inlineStr">
        <is>
          <t>300x3</t>
        </is>
      </c>
      <c r="F46" s="18" t="inlineStr">
        <is>
          <t>100x4</t>
        </is>
      </c>
      <c r="G46" s="18" t="inlineStr">
        <is>
          <t>200x2</t>
        </is>
      </c>
      <c r="H46" s="18" t="inlineStr">
        <is>
          <t>200x3 PLE-PC1 Preparation 2567</t>
        </is>
      </c>
      <c r="I46" s="15" t="inlineStr">
        <is>
          <t>1</t>
        </is>
      </c>
      <c r="J46" s="18"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(100x3): ข้อนี้ไม่ใช่คำตอบที่ถูกต้องสำหรับภาวะ Anemia เนื่องจากกลไกการออกฤทธิ์, efficacy หรือข้อบ่งใช้ไม่ตรงกับโจทย์ที่กำหนด
• ข้อ ค. (300x3): ข้อนี้ไม่ใช่คำตอบที่ถูกต้องสำหรับภาวะ Anemia เนื่องจากกลไกการออกฤทธิ์, efficacy หรือข้อบ่งใช้ไม่ตรงกับโจทย์ที่กำหนด
• ข้อ ง. (100x4): ข้อนี้ไม่ใช่คำตอบที่ถูกต้องสำหรับภาวะ Anemia เนื่องจากกลไกการออกฤทธิ์, efficacy หรือข้อบ่งใช้ไม่ตรงกับโจทย์ที่กำหนด
• ข้อ จ. (200x2):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18" t="inlineStr"/>
      <c r="L46" s="18" t="inlineStr">
        <is>
          <t>Anemia</t>
        </is>
      </c>
      <c r="M46" s="18" t="inlineStr">
        <is>
          <t>Anemia</t>
        </is>
      </c>
      <c r="N46" s="18" t="inlineStr">
        <is>
          <t>PLE_CC1_2567_Key ข้อ 34</t>
        </is>
      </c>
      <c r="O46" s="18" t="inlineStr">
        <is>
          <t>ข้อสอบจริง</t>
        </is>
      </c>
      <c r="P46" s="18" t="inlineStr">
        <is>
          <t>ปี 2567</t>
        </is>
      </c>
      <c r="Q46" s="18" t="inlineStr"/>
    </row>
    <row r="47">
      <c r="A47" s="15" t="inlineStr">
        <is>
          <t>46</t>
        </is>
      </c>
      <c r="B47" s="18" t="inlineStr">
        <is>
          <t>Ferrous Sulfate 7H2O หาน้ำในตำรับต้องใช้วิธีทดสอบใด</t>
        </is>
      </c>
      <c r="C47" s="18" t="inlineStr"/>
      <c r="D47" s="18" t="inlineStr">
        <is>
          <t>KARL FISHER</t>
        </is>
      </c>
      <c r="E47" s="18" t="inlineStr">
        <is>
          <t>Loss on drying</t>
        </is>
      </c>
      <c r="F47" s="18" t="inlineStr">
        <is>
          <t>จำ choice ไม่ได้</t>
        </is>
      </c>
      <c r="G47" s="18" t="inlineStr">
        <is>
          <t>จำ choice ไม่ได้</t>
        </is>
      </c>
      <c r="H47" s="18" t="inlineStr">
        <is>
          <t>*จำ choice ไม่ได้*</t>
        </is>
      </c>
      <c r="I47" s="15" t="inlineStr">
        <is>
          <t>1</t>
        </is>
      </c>
      <c r="J47" s="18"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(KARL FISHER): ข้อนี้ไม่ใช่คำตอบที่ถูกต้องสำหรับภาวะ Anemia เนื่องจากกลไกการออกฤทธิ์, efficacy หรือข้อบ่งใช้ไม่ตรงกับโจทย์ที่กำหนด
• ข้อ ค. (Loss on drying): ข้อนี้ไม่ใช่คำตอบที่ถูกต้องสำหรับภาวะ Anemia เนื่องจากกลไกการออกฤทธิ์, efficacy หรือข้อบ่งใช้ไม่ตรงกับโจทย์ที่กำหนด
• ข้อ ง. (จำ choice ไม่ได้): ข้อนี้ไม่ใช่คำตอบที่ถูกต้องสำหรับภาวะ Anemia เนื่องจากกลไกการออกฤทธิ์, efficacy หรือข้อบ่งใช้ไม่ตรงกับโจทย์ที่กำหนด
• ข้อ จ. (จำ choice ไม่ได้):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18" t="inlineStr"/>
      <c r="L47" s="18" t="inlineStr">
        <is>
          <t>Anemia</t>
        </is>
      </c>
      <c r="M47" s="18" t="inlineStr">
        <is>
          <t>Anemia</t>
        </is>
      </c>
      <c r="N47" s="18" t="inlineStr">
        <is>
          <t>PLE_CC1_2567_Key ข้อ 35</t>
        </is>
      </c>
      <c r="O47" s="18" t="inlineStr">
        <is>
          <t>ข้อสอบจริง</t>
        </is>
      </c>
      <c r="P47" s="18" t="inlineStr">
        <is>
          <t>ปี 2567</t>
        </is>
      </c>
      <c r="Q47" s="18" t="inlineStr"/>
    </row>
    <row r="48">
      <c r="A48" s="15" t="inlineStr">
        <is>
          <t>47</t>
        </is>
      </c>
      <c r="B48" s="18" t="inlineStr">
        <is>
          <t>ผู้ป่วยรายนี้ควรจัดการอย่างไร เดิมใช้ยา HCTZ ตัวเดียว</t>
        </is>
      </c>
      <c r="C48" s="18" t="inlineStr"/>
      <c r="D48" s="18" t="inlineStr">
        <is>
          <t>หยุด HCTZ เพิ่ม enalapril</t>
        </is>
      </c>
      <c r="E48" s="18" t="inlineStr">
        <is>
          <t>เพิ่มขนาด HCTZ เป็น 1x2</t>
        </is>
      </c>
      <c r="F48" s="18" t="inlineStr">
        <is>
          <t>หยุด HCTZ เพิ่ม CCB</t>
        </is>
      </c>
      <c r="G48" s="18" t="inlineStr">
        <is>
          <t>เปลี่ยน HCTZ เป็น carvedilol</t>
        </is>
      </c>
      <c r="H48" s="18" t="inlineStr">
        <is>
          <t>ใช้ HCTZ เท่าเดิม แต่เพิ่ม amlodipine</t>
        </is>
      </c>
      <c r="I48" s="15" t="inlineStr">
        <is>
          <t>1</t>
        </is>
      </c>
      <c r="J48" s="18"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(หยุด HCTZ เพิ่ม enalapril): เป็น ACE inhibitor ลด Angiotensin II และ intraglomerular pressure มี renal protective efficacy เด่นชัดใน diabetic kidney disease แต่อาจเกิด dry cough จากการสะสมของ bradykinin
• ข้อ ค. (เพิ่มขนาด HCTZ เป็น 1x2): ข้อนี้ไม่ใช่คำตอบที่ถูกต้องสำหรับภาวะ Anemia เนื่องจากกลไกการออกฤทธิ์, efficacy หรือข้อบ่งใช้ไม่ตรงกับโจทย์ที่กำหนด
• ข้อ ง. (หยุด HCTZ เพิ่ม CCB): ข้อนี้ไม่ใช่คำตอบที่ถูกต้องสำหรับภาวะ Anemia เนื่องจากกลไกการออกฤทธิ์, efficacy หรือข้อบ่งใช้ไม่ตรงกับโจทย์ที่กำหนด
• ข้อ จ. (เปลี่ยน HCTZ เป็น carvedilol): เป็น non-selective beta-blocker ร่วมกับ alpha-1 blocker ช่วยลด afterload เป็น first-line GDMT ใน HFrEF ที่มี efficacy สูงในการลด mortality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18" t="inlineStr"/>
      <c r="L48" s="18" t="inlineStr">
        <is>
          <t>Anemia</t>
        </is>
      </c>
      <c r="M48" s="18" t="inlineStr">
        <is>
          <t>Anemia</t>
        </is>
      </c>
      <c r="N48" s="18" t="inlineStr">
        <is>
          <t>PLE_CC1_2567_Key ข้อ 82</t>
        </is>
      </c>
      <c r="O48" s="18" t="inlineStr">
        <is>
          <t>ข้อสอบจริง</t>
        </is>
      </c>
      <c r="P48" s="18" t="inlineStr">
        <is>
          <t>ปี 2567</t>
        </is>
      </c>
      <c r="Q48" s="18" t="inlineStr"/>
    </row>
    <row r="49">
      <c r="A49" s="15" t="inlineStr">
        <is>
          <t>48</t>
        </is>
      </c>
      <c r="B49" s="18" t="inlineStr">
        <is>
          <t>Ferrous Sulfate 7H2O หาน้ำในตำรับต้องใช้วิธีทดสอบใด</t>
        </is>
      </c>
      <c r="C49" s="18" t="inlineStr"/>
      <c r="D49" s="18" t="inlineStr">
        <is>
          <t>โรคนี้ให้รักษาด้วยการใช้น้ำตาเทียม</t>
        </is>
      </c>
      <c r="E49" s="18" t="inlineStr">
        <is>
          <t>ยาป้ายตาสามารถป้ายได้ขณะสวมคอนแทคเลนส์</t>
        </is>
      </c>
      <c r="F49" s="18" t="inlineStr">
        <is>
          <t>สามารถล้างคอนแทคเลนส์ด้วยน้ำเปล่าทุกวัน</t>
        </is>
      </c>
      <c r="G49" s="18" t="inlineStr">
        <is>
          <t>โรคนี้สามารถหายได้เองโดยไม่ต้องพบแพทย์</t>
        </is>
      </c>
      <c r="H49" s="18"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15" t="inlineStr">
        <is>
          <t>1</t>
        </is>
      </c>
      <c r="J49" s="18"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(โรคนี้ให้รักษาด้วยการใช้น้ำตาเทียม): ข้อนี้ไม่ใช่คำตอบที่ถูกต้องสำหรับภาวะ Anemia เนื่องจากกลไกการออกฤทธิ์, efficacy หรือข้อบ่งใช้ไม่ตรงกับโจทย์ที่กำหนด
• ข้อ ค. (ยาป้ายตาสามารถป้ายได้ขณะสวมคอนแทคเลนส์): ข้อนี้ไม่ใช่คำตอบที่ถูกต้องสำหรับภาวะ Anemia เนื่องจากกลไกการออกฤทธิ์, efficacy หรือข้อบ่งใช้ไม่ตรงกับโจทย์ที่กำหนด
• ข้อ ง. (สามารถล้างคอนแทคเลนส์ด้วยน้ำเปล่าทุกวัน): ข้อนี้ไม่ใช่คำตอบที่ถูกต้องสำหรับภาวะ Anemia เนื่องจากกลไกการออกฤทธิ์, efficacy หรือข้อบ่งใช้ไม่ตรงกับโจทย์ที่กำหนด
• ข้อ จ. (โรคนี้สามารถหายได้เองโดยไม่ต้องพบแพทย์):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18" t="inlineStr"/>
      <c r="L49" s="18" t="inlineStr">
        <is>
          <t>Anemia</t>
        </is>
      </c>
      <c r="M49" s="18" t="inlineStr">
        <is>
          <t>Anemia</t>
        </is>
      </c>
      <c r="N49" s="18" t="inlineStr">
        <is>
          <t>PLE_CC1_2567_Set1_Key ข้อ 35</t>
        </is>
      </c>
      <c r="O49" s="18" t="inlineStr">
        <is>
          <t>ข้อสอบจริง</t>
        </is>
      </c>
      <c r="P49" s="18" t="inlineStr">
        <is>
          <t>ปี 2567</t>
        </is>
      </c>
      <c r="Q49" s="18" t="inlineStr"/>
    </row>
    <row r="50">
      <c r="A50" s="15" t="inlineStr">
        <is>
          <t>49</t>
        </is>
      </c>
      <c r="B50" s="18" t="inlineStr">
        <is>
          <t>เพศหญิงโลหิตจางค่าHb ตัวเลือก</t>
        </is>
      </c>
      <c r="C50" s="18" t="inlineStr"/>
      <c r="D50" s="18" t="inlineStr">
        <is>
          <t>Anemia</t>
        </is>
      </c>
      <c r="E50" s="18" t="inlineStr">
        <is>
          <t>Ferrous sulfate 300 mg TID</t>
        </is>
      </c>
      <c r="F50" s="18" t="inlineStr">
        <is>
          <t>Vitamin C 500 mg OD</t>
        </is>
      </c>
      <c r="G50" s="18" t="inlineStr">
        <is>
          <t>Pyridoxine 50 mg OD</t>
        </is>
      </c>
      <c r="H50" s="18" t="inlineStr">
        <is>
          <t>Hydroxyurea 500 mg OD</t>
        </is>
      </c>
      <c r="I50" s="15" t="inlineStr">
        <is>
          <t>1</t>
        </is>
      </c>
      <c r="J50" s="18"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18" t="inlineStr"/>
      <c r="L50" s="18" t="inlineStr">
        <is>
          <t>Anemia</t>
        </is>
      </c>
      <c r="M50" s="18" t="inlineStr">
        <is>
          <t>Anemia</t>
        </is>
      </c>
      <c r="N50" s="18" t="inlineStr">
        <is>
          <t>PLE-CC1 ปี 2566 Day 1 ข้อ 22</t>
        </is>
      </c>
      <c r="O50" s="18" t="inlineStr">
        <is>
          <t>ข้อสอบจริง</t>
        </is>
      </c>
      <c r="P50" s="18" t="inlineStr">
        <is>
          <t>ปี 2566</t>
        </is>
      </c>
    </row>
    <row r="51">
      <c r="A51" s="15" t="inlineStr">
        <is>
          <t>50</t>
        </is>
      </c>
      <c r="B51" s="18" t="inlineStr">
        <is>
          <t>ให้สมการเคมีมาแล้วถามว่าเป็นการtitrate แบบใด ตัวเลือก(น่าจะเป็นCerium กับFerrous)</t>
        </is>
      </c>
      <c r="C51" s="18" t="inlineStr"/>
      <c r="D51" s="18" t="inlineStr">
        <is>
          <t>Anemia</t>
        </is>
      </c>
      <c r="E51" s="18" t="inlineStr">
        <is>
          <t>Hydroxyurea 500 mg OD</t>
        </is>
      </c>
      <c r="F51" s="18" t="inlineStr">
        <is>
          <t>Blood transfusion (Packed Red Cells)</t>
        </is>
      </c>
      <c r="G51" s="18" t="inlineStr">
        <is>
          <t>Ferrous fumarate 200 mg TID</t>
        </is>
      </c>
      <c r="H51" s="18" t="inlineStr">
        <is>
          <t>Folic acid 5 mg OD</t>
        </is>
      </c>
      <c r="I51" s="15" t="inlineStr">
        <is>
          <t>1</t>
        </is>
      </c>
      <c r="J51" s="18"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18" t="inlineStr"/>
      <c r="L51" s="18" t="inlineStr">
        <is>
          <t>Anemia</t>
        </is>
      </c>
      <c r="M51" s="18" t="inlineStr">
        <is>
          <t>Anemia</t>
        </is>
      </c>
      <c r="N51" s="18" t="inlineStr">
        <is>
          <t>PLE-CC1 ปี 2566 Day 1 ข้อ 24</t>
        </is>
      </c>
      <c r="O51" s="18" t="inlineStr">
        <is>
          <t>ข้อสอบจริง</t>
        </is>
      </c>
      <c r="P51" s="18" t="inlineStr">
        <is>
          <t>ปี 2566</t>
        </is>
      </c>
    </row>
    <row r="52">
      <c r="A52" s="15" t="inlineStr">
        <is>
          <t>51</t>
        </is>
      </c>
      <c r="B52" s="18" t="inlineStr">
        <is>
          <t>โรคอ้วน, การดื่มแอลกอฮอล์, HCTZ</t>
        </is>
      </c>
      <c r="C52" s="18" t="inlineStr"/>
      <c r="D52" s="18" t="inlineStr">
        <is>
          <t>Anemia</t>
        </is>
      </c>
      <c r="E52" s="18" t="inlineStr">
        <is>
          <t>Folic acid 5 mg OD</t>
        </is>
      </c>
      <c r="F52" s="18" t="inlineStr">
        <is>
          <t>Vitamin B12 1000 mcg IM</t>
        </is>
      </c>
      <c r="G52" s="18" t="inlineStr">
        <is>
          <t>Deferoxamine 500 mg SC</t>
        </is>
      </c>
      <c r="H52" s="18" t="inlineStr">
        <is>
          <t>Erythropoietin 4000 units SC</t>
        </is>
      </c>
      <c r="I52" s="15" t="inlineStr">
        <is>
          <t>1</t>
        </is>
      </c>
      <c r="J52" s="18"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18" t="inlineStr"/>
      <c r="L52" s="18" t="inlineStr">
        <is>
          <t>Anemia</t>
        </is>
      </c>
      <c r="M52" s="18" t="inlineStr">
        <is>
          <t>Anemia</t>
        </is>
      </c>
      <c r="N52" s="18" t="inlineStr">
        <is>
          <t>PLE-CC1 ปี 2566 Day 1 ข้อ 4</t>
        </is>
      </c>
      <c r="O52" s="18" t="inlineStr">
        <is>
          <t>ข้อสอบจริง</t>
        </is>
      </c>
      <c r="P52" s="18" t="inlineStr">
        <is>
          <t>ปี 2566</t>
        </is>
      </c>
    </row>
    <row r="53">
      <c r="A53" s="15" t="inlineStr">
        <is>
          <t>52</t>
        </is>
      </c>
      <c r="B53" s="18" t="inlineStr">
        <is>
          <t>ขอใดคือกลไกของยา HCTZ</t>
        </is>
      </c>
      <c r="C53" s="18" t="inlineStr"/>
      <c r="D53" s="18" t="inlineStr">
        <is>
          <t>ยับยั้ง Na/K/2Cl ที่ loop of Henle</t>
        </is>
      </c>
      <c r="E53" s="18" t="inlineStr">
        <is>
          <t>ยับยั้งการดูดกลับ Na ที่ collecting duct</t>
        </is>
      </c>
      <c r="F53" s="18" t="inlineStr">
        <is>
          <t>ลดการดูดกลับ Na ที่ distal loop</t>
        </is>
      </c>
      <c r="G53" s="18" t="inlineStr">
        <is>
          <t>ยับยั้ง Na/Cl cotransporter</t>
        </is>
      </c>
      <c r="H53" s="18"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15" t="inlineStr">
        <is>
          <t>1</t>
        </is>
      </c>
      <c r="J53" s="18"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 Na/K/2Cl ที่ loop of Henle): ข้อนี้ไม่ใช่คำตอบที่ถูกต้องสำหรับภาวะ Anemia เนื่องจากกลไกการออกฤทธิ์, efficacy หรือข้อบ่งใช้ไม่ตรงกับโจทย์ที่กำหนด
• ข้อ ค. (ยับยั้งการดูดกลับ Na ที่ collecting duct): ข้อนี้ไม่ใช่คำตอบที่ถูกต้องสำหรับภาวะ Anemia เนื่องจากกลไกการออกฤทธิ์, efficacy หรือข้อบ่งใช้ไม่ตรงกับโจทย์ที่กำหนด
• ข้อ ง. (ลดการดูดกลับ Na ที่ distal loop): ข้อนี้ไม่ใช่คำตอบที่ถูกต้องสำหรับภาวะ Anemia เนื่องจากกลไกการออกฤทธิ์, efficacy หรือข้อบ่งใช้ไม่ตรงกับโจทย์ที่กำหนด
• ข้อ จ. (ยับยั้ง Na/Cl cotransporter):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18" t="inlineStr"/>
      <c r="L53" s="18" t="inlineStr">
        <is>
          <t>Anemia</t>
        </is>
      </c>
      <c r="M53" s="18" t="inlineStr">
        <is>
          <t>Anemia</t>
        </is>
      </c>
      <c r="N53" s="18" t="inlineStr">
        <is>
          <t>PLE_CC1_2565_Day1_Key ข้อ 5</t>
        </is>
      </c>
      <c r="O53" s="18" t="inlineStr">
        <is>
          <t>ข้อสอบจริง</t>
        </is>
      </c>
      <c r="P53" s="18" t="inlineStr">
        <is>
          <t>ปี 2565</t>
        </is>
      </c>
      <c r="Q53" s="18" t="inlineStr"/>
    </row>
    <row r="54">
      <c r="A54" s="15" t="inlineStr">
        <is>
          <t>53</t>
        </is>
      </c>
      <c r="B54" s="18" t="inlineStr">
        <is>
          <t>สารใดช-วยดูดซึมเหล็กดีที่สุด macrocytic anemia microcytic hypochromic anemia + occult blood positive → Iron deﬁciency anemia iron overload ใWใน CKD-related anemia (Z[วย \งไAเLน CKD) macrocytic anemia</t>
        </is>
      </c>
      <c r="C54" s="18" t="inlineStr"/>
      <c r="D54" s="18" t="inlineStr">
        <is>
          <t>B6</t>
        </is>
      </c>
      <c r="E54" s="18" t="inlineStr">
        <is>
          <t>vitamin c</t>
        </is>
      </c>
      <c r="F54" s="18" t="inlineStr">
        <is>
          <t>vitamin d</t>
        </is>
      </c>
      <c r="G54" s="18" t="inlineStr">
        <is>
          <t>Ca</t>
        </is>
      </c>
      <c r="H54" s="18" t="inlineStr">
        <is>
          <t>zinc</t>
        </is>
      </c>
      <c r="I54" s="15" t="inlineStr">
        <is>
          <t>1</t>
        </is>
      </c>
      <c r="J54" s="18"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(B6): ข้อนี้ไม่ใช่คำตอบที่ถูกต้องสำหรับภาวะ Anemia เนื่องจากกลไกการออกฤทธิ์, efficacy หรือข้อบ่งใช้ไม่ตรงกับโจทย์ที่กำหนด
• ข้อ ค. (vitamin c): ข้อนี้ไม่ใช่คำตอบที่ถูกต้องสำหรับภาวะ Anemia เนื่องจากกลไกการออกฤทธิ์, efficacy หรือข้อบ่งใช้ไม่ตรงกับโจทย์ที่กำหนด
• ข้อ ง. (vitamin d): ข้อนี้ไม่ใช่คำตอบที่ถูกต้องสำหรับภาวะ Anemia เนื่องจากกลไกการออกฤทธิ์, efficacy หรือข้อบ่งใช้ไม่ตรงกับโจทย์ที่กำหนด
• ข้อ จ. (Ca):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18" t="inlineStr"/>
      <c r="L54" s="18" t="inlineStr">
        <is>
          <t>Anemia</t>
        </is>
      </c>
      <c r="M54" s="18" t="inlineStr">
        <is>
          <t>Anemia</t>
        </is>
      </c>
      <c r="N54" s="18" t="inlineStr">
        <is>
          <t>PLE_CC1_2565_Day2_Key ข้อ 13</t>
        </is>
      </c>
      <c r="O54" s="18" t="inlineStr">
        <is>
          <t>ข้อสอบจริง</t>
        </is>
      </c>
      <c r="P54" s="18" t="inlineStr">
        <is>
          <t>ปี 2565</t>
        </is>
      </c>
      <c r="Q54" s="18" t="inlineStr"/>
    </row>
    <row r="55">
      <c r="A55" s="15" t="inlineStr">
        <is>
          <t>54</t>
        </is>
      </c>
      <c r="B55" s="18"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18" t="inlineStr"/>
      <c r="D55" s="18" t="inlineStr">
        <is>
          <t>7 วัน</t>
        </is>
      </c>
      <c r="E55" s="18" t="inlineStr">
        <is>
          <t>14 วัน</t>
        </is>
      </c>
      <c r="F55" s="18" t="inlineStr">
        <is>
          <t>1 เดือน</t>
        </is>
      </c>
      <c r="G55" s="18" t="inlineStr">
        <is>
          <t>3 เดือน</t>
        </is>
      </c>
      <c r="H55" s="18" t="inlineStr">
        <is>
          <t>1 ปç</t>
        </is>
      </c>
      <c r="I55" s="15" t="inlineStr">
        <is>
          <t>1</t>
        </is>
      </c>
      <c r="J55" s="18"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(7 วัน): ข้อนี้ไม่ใช่คำตอบที่ถูกต้องสำหรับภาวะ Anemia เนื่องจากกลไกการออกฤทธิ์, efficacy หรือข้อบ่งใช้ไม่ตรงกับโจทย์ที่กำหนด
• ข้อ ค. (14 วัน): ข้อนี้ไม่ใช่คำตอบที่ถูกต้องสำหรับภาวะ Anemia เนื่องจากกลไกการออกฤทธิ์, efficacy หรือข้อบ่งใช้ไม่ตรงกับโจทย์ที่กำหนด
• ข้อ ง. (1 เดือน): ข้อนี้ไม่ใช่คำตอบที่ถูกต้องสำหรับภาวะ Anemia เนื่องจากกลไกการออกฤทธิ์, efficacy หรือข้อบ่งใช้ไม่ตรงกับโจทย์ที่กำหนด
• ข้อ จ. (3 เดือน):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18" t="inlineStr"/>
      <c r="L55" s="18" t="inlineStr">
        <is>
          <t>Anemia</t>
        </is>
      </c>
      <c r="M55" s="18" t="inlineStr">
        <is>
          <t>Anemia</t>
        </is>
      </c>
      <c r="N55" s="18" t="inlineStr">
        <is>
          <t>PLE_CC1_2565_Day2_Key ข้อ 14</t>
        </is>
      </c>
      <c r="O55" s="18" t="inlineStr">
        <is>
          <t>ข้อสอบจริง</t>
        </is>
      </c>
      <c r="P55" s="18" t="inlineStr">
        <is>
          <t>ปี 2565</t>
        </is>
      </c>
      <c r="Q55" s="18" t="inlineStr"/>
    </row>
    <row r="56">
      <c r="A56" s="15" t="inlineStr">
        <is>
          <t>55</t>
        </is>
      </c>
      <c r="B56" s="18"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18" t="inlineStr"/>
      <c r="D56" s="18" t="inlineStr">
        <is>
          <t>vitB12 IV</t>
        </is>
      </c>
      <c r="E56" s="18" t="inlineStr">
        <is>
          <t>VitB12 PO</t>
        </is>
      </c>
      <c r="F56" s="18" t="inlineStr">
        <is>
          <t>จำ choice ไม-ได$</t>
        </is>
      </c>
      <c r="G56" s="18" t="inlineStr">
        <is>
          <t>จำ choice ไม-ได$</t>
        </is>
      </c>
      <c r="H56" s="18" t="inlineStr">
        <is>
          <t>* จำ choice ไม-ได$ * กรณีศึกษา 4 ให$ค-า Lab มา K=5.5, Ca =10.5 (ค-าปกติ 8.5-10.5) , PO4 = สูงกว-าค-าปกติ</t>
        </is>
      </c>
      <c r="I56" s="15" t="inlineStr">
        <is>
          <t>1</t>
        </is>
      </c>
      <c r="J56" s="18"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IV): ข้อนี้ไม่ใช่คำตอบที่ถูกต้องสำหรับภาวะ Anemia เนื่องจากกลไกการออกฤทธิ์, efficacy หรือข้อบ่งใช้ไม่ตรงกับโจทย์ที่กำหนด
• ข้อ ค. (VitB12 PO): ข้อนี้ไม่ใช่คำตอบที่ถูกต้องสำหรับภาวะ Anemia เนื่องจากกลไกการออกฤทธิ์, efficacy หรือข้อบ่งใช้ไม่ตรงกับโจทย์ที่กำหนด
• ข้อ ง. (จำ choice ไม-ได$): ข้อนี้ไม่ใช่คำตอบที่ถูกต้องสำหรับภาวะ Anemia เนื่องจากกลไกการออกฤทธิ์, efficacy หรือข้อบ่งใช้ไม่ตรงกับโจทย์ที่กำหนด
• ข้อ จ. (จำ choice ไม-ได$):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18" t="inlineStr"/>
      <c r="L56" s="18" t="inlineStr">
        <is>
          <t>Anemia</t>
        </is>
      </c>
      <c r="M56" s="18" t="inlineStr">
        <is>
          <t>Anemia</t>
        </is>
      </c>
      <c r="N56" s="18" t="inlineStr">
        <is>
          <t>PLE_CC1_2565_Day2_Key ข้อ 15</t>
        </is>
      </c>
      <c r="O56" s="18" t="inlineStr">
        <is>
          <t>ข้อสอบจริง</t>
        </is>
      </c>
      <c r="P56" s="18" t="inlineStr">
        <is>
          <t>ปี 2565</t>
        </is>
      </c>
      <c r="Q56" s="18" t="inlineStr"/>
    </row>
    <row r="57">
      <c r="A57" s="15" t="inlineStr">
        <is>
          <t>56</t>
        </is>
      </c>
      <c r="B57" s="18" t="inlineStr">
        <is>
          <t>Anemia (Ferrous def, B12 def)</t>
        </is>
      </c>
      <c r="C57" s="18" t="inlineStr"/>
      <c r="D57" s="18" t="inlineStr">
        <is>
          <t>Anemia</t>
        </is>
      </c>
      <c r="E57" s="18" t="inlineStr">
        <is>
          <t>Vitamin C 500 mg OD</t>
        </is>
      </c>
      <c r="F57" s="18" t="inlineStr">
        <is>
          <t>Pyridoxine 50 mg OD</t>
        </is>
      </c>
      <c r="G57" s="18" t="inlineStr">
        <is>
          <t>Hydroxyurea 500 mg OD</t>
        </is>
      </c>
      <c r="H57" s="18" t="inlineStr">
        <is>
          <t>Blood transfusion (Packed Red Cells)</t>
        </is>
      </c>
      <c r="I57" s="15" t="inlineStr">
        <is>
          <t>1</t>
        </is>
      </c>
      <c r="J57" s="18"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18" t="inlineStr"/>
      <c r="L57" s="18" t="inlineStr">
        <is>
          <t>Anemia</t>
        </is>
      </c>
      <c r="M57" s="18" t="inlineStr">
        <is>
          <t>Anemia</t>
        </is>
      </c>
      <c r="N57" s="18" t="inlineStr">
        <is>
          <t>PLE_CC1_2565_Day2_Key ข้อ 3</t>
        </is>
      </c>
      <c r="O57" s="18" t="inlineStr">
        <is>
          <t>ข้อสอบจริง</t>
        </is>
      </c>
      <c r="P57" s="18" t="inlineStr">
        <is>
          <t>ปี 2565</t>
        </is>
      </c>
    </row>
    <row r="58">
      <c r="A58" s="15" t="inlineStr">
        <is>
          <t>57</t>
        </is>
      </c>
      <c r="B58" s="18" t="inlineStr">
        <is>
          <t>เป้าหมาย Hb ในการรักษาโลหิตจางของผู้หญิง</t>
        </is>
      </c>
      <c r="C58" s="18" t="inlineStr"/>
      <c r="D58" s="18" t="inlineStr">
        <is>
          <t>Anemia</t>
        </is>
      </c>
      <c r="E58" s="18" t="inlineStr">
        <is>
          <t>12-16 mg/dL</t>
        </is>
      </c>
      <c r="F58" s="18" t="inlineStr">
        <is>
          <t>13-17 mg/dL</t>
        </is>
      </c>
      <c r="G58" s="18" t="inlineStr">
        <is>
          <t>Folic acid 5 mg OD</t>
        </is>
      </c>
      <c r="H58" s="18" t="inlineStr">
        <is>
          <t>Vitamin B12 1000 mcg IM</t>
        </is>
      </c>
      <c r="I58" s="15" t="inlineStr">
        <is>
          <t>1</t>
        </is>
      </c>
      <c r="J58" s="18"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ข้อนี้ไม่ใช่คำตอบที่ถูกต้องสำหรับภาวะ Anemia เนื่องจากกลไกการออกฤทธิ์, efficacy หรือข้อบ่งใช้ไม่ตรงกับโจทย์ที่กำหนด
• ข้อ ค. (13-17 mg/dL):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18" t="inlineStr"/>
      <c r="L58" s="18" t="inlineStr">
        <is>
          <t>Anemia</t>
        </is>
      </c>
      <c r="M58" s="18" t="inlineStr">
        <is>
          <t>Anemia</t>
        </is>
      </c>
      <c r="N58" s="18" t="inlineStr">
        <is>
          <t>PLE_CC1_2564_All_Key ข้อ 45</t>
        </is>
      </c>
      <c r="O58" s="18" t="inlineStr">
        <is>
          <t>ข้อสอบจริง</t>
        </is>
      </c>
      <c r="P58" s="18" t="inlineStr">
        <is>
          <t>ปี 2564</t>
        </is>
      </c>
    </row>
    <row r="59">
      <c r="A59" s="15" t="inlineStr">
        <is>
          <t>58</t>
        </is>
      </c>
      <c r="B59" s="18"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18" t="inlineStr"/>
      <c r="D59" s="18" t="inlineStr">
        <is>
          <t>Antacid</t>
        </is>
      </c>
      <c r="E59" s="18" t="inlineStr">
        <is>
          <t>prokinetic drug</t>
        </is>
      </c>
      <c r="F59" s="18" t="inlineStr">
        <is>
          <t>H2-receptor antagonists</t>
        </is>
      </c>
      <c r="G59" s="18" t="inlineStr">
        <is>
          <t>Proton pump inhibitors</t>
        </is>
      </c>
      <c r="H59" s="18" t="inlineStr">
        <is>
          <t>H2-receptor antagonists ร่วมกับ Prokinetic drugs</t>
        </is>
      </c>
      <c r="I59" s="15" t="inlineStr">
        <is>
          <t>1</t>
        </is>
      </c>
      <c r="J59" s="18"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(Antacid): ข้อนี้ไม่ใช่คำตอบที่ถูกต้องสำหรับภาวะ Anemia เนื่องจากกลไกการออกฤทธิ์, efficacy หรือข้อบ่งใช้ไม่ตรงกับโจทย์ที่กำหนด
• ข้อ ค. (prokinetic drug): ข้อนี้ไม่ใช่คำตอบที่ถูกต้องสำหรับภาวะ Anemia เนื่องจากกลไกการออกฤทธิ์, efficacy หรือข้อบ่งใช้ไม่ตรงกับโจทย์ที่กำหนด
• ข้อ ง. (H2-receptor antagonists): ข้อนี้ไม่ใช่คำตอบที่ถูกต้องสำหรับภาวะ Anemia เนื่องจากกลไกการออกฤทธิ์, efficacy หรือข้อบ่งใช้ไม่ตรงกับโจทย์ที่กำหนด
• ข้อ จ. (Proton pump inhibitors):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18" t="inlineStr"/>
      <c r="L59" s="18" t="inlineStr">
        <is>
          <t>Anemia</t>
        </is>
      </c>
      <c r="M59" s="18" t="inlineStr">
        <is>
          <t>Anemia</t>
        </is>
      </c>
      <c r="N59" s="18" t="inlineStr">
        <is>
          <t>PLE_CC1_2564_All_Key ข้อ 104</t>
        </is>
      </c>
      <c r="O59" s="18" t="inlineStr">
        <is>
          <t>ข้อสอบจริง</t>
        </is>
      </c>
      <c r="P59" s="18" t="inlineStr">
        <is>
          <t>ปี 2564</t>
        </is>
      </c>
      <c r="Q59" s="18" t="inlineStr"/>
    </row>
    <row r="60">
      <c r="A60" s="15" t="inlineStr">
        <is>
          <t>58</t>
        </is>
      </c>
      <c r="B60" s="18" t="inlineStr">
        <is>
          <t>คู่ยาใดที่เกิด DI ที่มีความสำคัญทางคลินิกมากสุด X -sim X x high high - Ator ~ X i -environ myopathy 12 X rhabdo 289 M . G72 X</t>
        </is>
      </c>
      <c r="C60" s="18" t="inlineStr"/>
      <c r="D60" s="18" t="inlineStr">
        <is>
          <t>Simvastatin + gemfibrozil</t>
        </is>
      </c>
      <c r="E60" s="18" t="inlineStr">
        <is>
          <t>Omeprazole + clopidrogrel</t>
        </is>
      </c>
      <c r="F60" s="18" t="inlineStr">
        <is>
          <t>Clopidrogrel + aspirin</t>
        </is>
      </c>
      <c r="G60" s="18" t="inlineStr">
        <is>
          <t>Simvastatin + amlodipine</t>
        </is>
      </c>
      <c r="H60" s="18" t="inlineStr">
        <is>
          <t>Aspirin + clopidrogrel</t>
        </is>
      </c>
      <c r="I60" s="15" t="inlineStr">
        <is>
          <t>1</t>
        </is>
      </c>
      <c r="J60" s="18"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18" t="inlineStr"/>
      <c r="L60" s="18" t="inlineStr">
        <is>
          <t>Anemia</t>
        </is>
      </c>
      <c r="M60" s="18" t="inlineStr">
        <is>
          <t>Clinic</t>
        </is>
      </c>
      <c r="N60" s="18" t="inlineStr">
        <is>
          <t>ข้อ 68 (PLE_CC1_2562_Key.md)</t>
        </is>
      </c>
      <c r="O60" s="18" t="inlineStr">
        <is>
          <t>ข้อสอบจริง</t>
        </is>
      </c>
      <c r="P60" s="18" t="inlineStr">
        <is>
          <t>ปี 2562</t>
        </is>
      </c>
    </row>
    <row r="61">
      <c r="A61" s="15" t="inlineStr">
        <is>
          <t>59</t>
        </is>
      </c>
      <c r="B61" s="18" t="inlineStr">
        <is>
          <t>ผูป%วยรายนี้น!าจะเกิดภาวะโลหิตจางจากสาเหตุใด</t>
        </is>
      </c>
      <c r="C61" s="18" t="inlineStr"/>
      <c r="D61" s="18" t="inlineStr">
        <is>
          <t>โรคเรื้อรัง</t>
        </is>
      </c>
      <c r="E61" s="18" t="inlineStr">
        <is>
          <t>ขาดโฟเลต</t>
        </is>
      </c>
      <c r="F61" s="18" t="inlineStr">
        <is>
          <t>ขาดธาตุเหล็ก</t>
        </is>
      </c>
      <c r="G61" s="18" t="inlineStr">
        <is>
          <t>ขาดวิตามินบี 12</t>
        </is>
      </c>
      <c r="H61" s="18" t="inlineStr">
        <is>
          <t>เม็ดเลือดแดงแตก</t>
        </is>
      </c>
      <c r="I61" s="15" t="inlineStr">
        <is>
          <t>1</t>
        </is>
      </c>
      <c r="J61" s="18"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ข้อนี้ไม่ใช่คำตอบที่ถูกต้องสำหรับภาวะ Anemia เนื่องจากกลไกการออกฤทธิ์, efficacy หรือข้อบ่งใช้ไม่ตรงกับโจทย์ที่กำหนด
• ข้อ ค. (ขาดธาตุเหล็ก): ข้อนี้ไม่ใช่คำตอบที่ถูกต้องสำหรับภาวะ Anemia เนื่องจากกลไกการออกฤทธิ์, efficacy หรือข้อบ่งใช้ไม่ตรงกับโจทย์ที่กำหนด
• ข้อ ง. (ขาดวิตามินบี 12): ข้อนี้ไม่ใช่คำตอบที่ถูกต้องสำหรับภาวะ Anemia เนื่องจากกลไกการออกฤทธิ์, efficacy หรือข้อบ่งใช้ไม่ตรงกับโจทย์ที่กำหนด
• ข้อ จ. (เม็ดเลือดแดงแตก):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18" t="inlineStr"/>
      <c r="L61" s="18" t="inlineStr">
        <is>
          <t>Anemia</t>
        </is>
      </c>
      <c r="M61" s="18" t="inlineStr">
        <is>
          <t>Clinic</t>
        </is>
      </c>
      <c r="N61" s="18" t="inlineStr">
        <is>
          <t>ข้อ 12 (PLE_CC1_2561_Key.md)</t>
        </is>
      </c>
      <c r="O61" s="18" t="inlineStr">
        <is>
          <t>ข้อสอบจริง</t>
        </is>
      </c>
      <c r="P61" s="18" t="inlineStr">
        <is>
          <t>ปี 2561</t>
        </is>
      </c>
    </row>
    <row r="62">
      <c r="A62" s="15" t="inlineStr">
        <is>
          <t>60</t>
        </is>
      </c>
      <c r="B62" s="18" t="inlineStr">
        <is>
          <t>ขอใดคือคำแนะนำในการรับประทานยา ferrous sulfate</t>
        </is>
      </c>
      <c r="C62" s="18" t="inlineStr"/>
      <c r="D62" s="18" t="inlineStr">
        <is>
          <t>ยาทำใหปtสสาวะสีเหลืองเขม</t>
        </is>
      </c>
      <c r="E62" s="18" t="inlineStr">
        <is>
          <t>หามรับประทานร!วมกับน้ำผลไม</t>
        </is>
      </c>
      <c r="F62" s="18" t="inlineStr">
        <is>
          <t>หากถ!ายดำไม!ตองตกใจ เปEนเพราะตัวยา</t>
        </is>
      </c>
      <c r="G62" s="18" t="inlineStr">
        <is>
          <t>รับประทานพรอมกับนมช!วยเพิ่มการดูดซึม</t>
        </is>
      </c>
      <c r="H62" s="18" t="inlineStr">
        <is>
          <t>รับประทานพรอมกับอาหารจะเพิ่มการดูดซึม t</t>
        </is>
      </c>
      <c r="I62" s="15" t="inlineStr">
        <is>
          <t>1</t>
        </is>
      </c>
      <c r="J62" s="18"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ข้อนี้ไม่ใช่คำตอบที่ถูกต้องสำหรับภาวะ Anemia เนื่องจากกลไกการออกฤทธิ์, efficacy หรือข้อบ่งใช้ไม่ตรงกับโจทย์ที่กำหนด
• ข้อ ค. (หากถ!ายดำไม!ตองตกใจ เปEนเพราะตัวยา): ข้อนี้ไม่ใช่คำตอบที่ถูกต้องสำหรับภาวะ Anemia เนื่องจากกลไกการออกฤทธิ์, efficacy หรือข้อบ่งใช้ไม่ตรงกับโจทย์ที่กำหนด
• ข้อ ง. (รับประทานพรอมกับนมช!วยเพิ่มการดูดซึม): ข้อนี้ไม่ใช่คำตอบที่ถูกต้องสำหรับภาวะ Anemia เนื่องจากกลไกการออกฤทธิ์, efficacy หรือข้อบ่งใช้ไม่ตรงกับโจทย์ที่กำหนด
• ข้อ จ. (รับประทานพรอมกับอาหารจะเพิ่มการดูดซึม t):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18" t="inlineStr"/>
      <c r="L62" s="18" t="inlineStr">
        <is>
          <t>Anemia</t>
        </is>
      </c>
      <c r="M62" s="18" t="inlineStr">
        <is>
          <t>Clinic</t>
        </is>
      </c>
      <c r="N62" s="18" t="inlineStr">
        <is>
          <t>ข้อ 15 (PLE_CC1_2561_Key.md)</t>
        </is>
      </c>
      <c r="O62" s="18" t="inlineStr">
        <is>
          <t>ข้อสอบจริง</t>
        </is>
      </c>
      <c r="P62" s="18" t="inlineStr">
        <is>
          <t>ปี 2561</t>
        </is>
      </c>
    </row>
    <row r="63">
      <c r="A63" s="15" t="inlineStr">
        <is>
          <t>61</t>
        </is>
      </c>
      <c r="B63" s="18" t="inlineStr">
        <is>
          <t>ขอใดคือผลขางเคียงจากยา ferrous sulfate</t>
        </is>
      </c>
      <c r="C63" s="18" t="inlineStr"/>
      <c r="D63" s="18" t="inlineStr">
        <is>
          <t>Diarrhea</t>
        </is>
      </c>
      <c r="E63" s="18" t="inlineStr">
        <is>
          <t>Headache</t>
        </is>
      </c>
      <c r="F63" s="18" t="inlineStr">
        <is>
          <t>Tachycardia</t>
        </is>
      </c>
      <c r="G63" s="18" t="inlineStr">
        <is>
          <t>Constipation</t>
        </is>
      </c>
      <c r="H63" s="18" t="inlineStr">
        <is>
          <t>Hypokalemia</t>
        </is>
      </c>
      <c r="I63" s="15" t="inlineStr">
        <is>
          <t>1</t>
        </is>
      </c>
      <c r="J63" s="18"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ข้อนี้ไม่ใช่คำตอบที่ถูกต้องสำหรับภาวะ Anemia เนื่องจากกลไกการออกฤทธิ์, efficacy หรือข้อบ่งใช้ไม่ตรงกับโจทย์ที่กำหนด
• ข้อ ค. (Tachycardia): ข้อนี้ไม่ใช่คำตอบที่ถูกต้องสำหรับภาวะ Anemia เนื่องจากกลไกการออกฤทธิ์, efficacy หรือข้อบ่งใช้ไม่ตรงกับโจทย์ที่กำหนด
• ข้อ ง. (Constipation): ข้อนี้ไม่ใช่คำตอบที่ถูกต้องสำหรับภาวะ Anemia เนื่องจากกลไกการออกฤทธิ์, efficacy หรือข้อบ่งใช้ไม่ตรงกับโจทย์ที่กำหนด
• ข้อ จ. (Hypokalemia):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18" t="inlineStr"/>
      <c r="L63" s="18" t="inlineStr">
        <is>
          <t>Anemia</t>
        </is>
      </c>
      <c r="M63" s="18" t="inlineStr">
        <is>
          <t>Clinic</t>
        </is>
      </c>
      <c r="N63" s="18" t="inlineStr">
        <is>
          <t>ข้อ 14 (PLE_CC1_2561_Key.md)</t>
        </is>
      </c>
      <c r="O63" s="18" t="inlineStr">
        <is>
          <t>ข้อสอบจริง</t>
        </is>
      </c>
      <c r="P63" s="18" t="inlineStr">
        <is>
          <t>ปี 2561</t>
        </is>
      </c>
    </row>
    <row r="64">
      <c r="A64" s="15" t="inlineStr">
        <is>
          <t>62</t>
        </is>
      </c>
      <c r="B64" s="18" t="inlineStr">
        <is>
          <t>ส!วนประกอบของสูตรเคลือบฟuลTมของยา ferrous sulfate ขอใด ถูกตอง</t>
        </is>
      </c>
      <c r="C64" s="18" t="inlineStr"/>
      <c r="D64" s="18" t="inlineStr">
        <is>
          <t>Talcum ทำหนาที่เปEนสารก!อฟuลTม</t>
        </is>
      </c>
      <c r="E64" s="18" t="inlineStr">
        <is>
          <t>Ethyl alcohol ทำหนาที่เปEน antioxidant</t>
        </is>
      </c>
      <c r="F64" s="18" t="inlineStr">
        <is>
          <t>Propylene glycol ทำหนาที่เปEน plasticizer</t>
        </is>
      </c>
      <c r="G64" s="18" t="inlineStr">
        <is>
          <t>Titanium dioxide ทำหนาที่เปEน สารก!อฟuลTม</t>
        </is>
      </c>
      <c r="H64" s="18" t="inlineStr">
        <is>
          <t>Hydroxymethylpropyl cellulose ทำหนาที่เปEนสารทึบ แสง</t>
        </is>
      </c>
      <c r="I64" s="15" t="inlineStr">
        <is>
          <t>1</t>
        </is>
      </c>
      <c r="J64" s="18"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ข้อนี้ไม่ใช่คำตอบที่ถูกต้องสำหรับภาวะ Anemia เนื่องจากกลไกการออกฤทธิ์, efficacy หรือข้อบ่งใช้ไม่ตรงกับโจทย์ที่กำหนด
• ข้อ ค. (Propylene glycol ทำหนาที่เปEน plasticizer): ข้อนี้ไม่ใช่คำตอบที่ถูกต้องสำหรับภาวะ Anemia เนื่องจากกลไกการออกฤทธิ์, efficacy หรือข้อบ่งใช้ไม่ตรงกับโจทย์ที่กำหนด
• ข้อ ง. (Titanium dioxide ทำหนาที่เปEน สารก!อฟuลTม): ข้อนี้ไม่ใช่คำตอบที่ถูกต้องสำหรับภาวะ Anemia เนื่องจากกลไกการออกฤทธิ์, efficacy หรือข้อบ่งใช้ไม่ตรงกับโจทย์ที่กำหนด
• ข้อ จ. (Hydroxymethylpropyl cellulose ทำหนาที่เปEนสารทึบ แสง):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18" t="inlineStr"/>
      <c r="L64" s="18" t="inlineStr">
        <is>
          <t>Anemia</t>
        </is>
      </c>
      <c r="M64" s="18" t="inlineStr">
        <is>
          <t>Clinic</t>
        </is>
      </c>
      <c r="N64" s="18" t="inlineStr">
        <is>
          <t>ข้อ 16 (PLE_CC1_2561_Key.md)</t>
        </is>
      </c>
      <c r="O64" s="18" t="inlineStr">
        <is>
          <t>ข้อสอบจริง</t>
        </is>
      </c>
      <c r="P64" s="18" t="inlineStr">
        <is>
          <t>ปี 2561</t>
        </is>
      </c>
    </row>
    <row r="65">
      <c r="A65" s="15" t="inlineStr">
        <is>
          <t>63</t>
        </is>
      </c>
      <c r="B65" s="18" t="inlineStr">
        <is>
          <t>การสังเคราะห์ HCTZ จงระบุว่า A คือข้อใด</t>
        </is>
      </c>
      <c r="C65" s="18" t="inlineStr"/>
      <c r="D65" s="18" t="inlineStr">
        <is>
          <t>H-CO-H</t>
        </is>
      </c>
      <c r="E65" s="18" t="inlineStr">
        <is>
          <t>H-CO-OH</t>
        </is>
      </c>
      <c r="F65" s="18" t="inlineStr">
        <is>
          <t>Cl-C-Cl</t>
        </is>
      </c>
      <c r="G65" s="18" t="inlineStr">
        <is>
          <t>C-CO-H 18 MCQ11 2/2560 By CU Rx73 MCQ11 2/2560 By CU Rx73</t>
        </is>
      </c>
      <c r="H65" s="18" t="inlineStr">
        <is>
          <t>Deferoxamine 500 mg SC</t>
        </is>
      </c>
      <c r="I65" s="15" t="inlineStr">
        <is>
          <t>1</t>
        </is>
      </c>
      <c r="J65" s="18"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ข้อนี้ไม่ใช่คำตอบที่ถูกต้องสำหรับภาวะ Anemia เนื่องจากกลไกการออกฤทธิ์, efficacy หรือข้อบ่งใช้ไม่ตรงกับโจทย์ที่กำหนด
• ข้อ ค. (Cl-C-Cl): ข้อนี้ไม่ใช่คำตอบที่ถูกต้องสำหรับภาวะ Anemia เนื่องจากกลไกการออกฤทธิ์, efficacy หรือข้อบ่งใช้ไม่ตรงกับโจทย์ที่กำหนด
• ข้อ ง. (C-CO-H 18 MCQ11 2/2560 By CU Rx73 MCQ11 2/2560 By CU Rx73):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18" t="inlineStr"/>
      <c r="L65" s="18" t="inlineStr">
        <is>
          <t>Anemia</t>
        </is>
      </c>
      <c r="M65" s="18" t="inlineStr">
        <is>
          <t>Clinic</t>
        </is>
      </c>
      <c r="N65" s="18" t="inlineStr">
        <is>
          <t>ข้อ 7 (PLE_CC1_2560 22 April Set 2.md)</t>
        </is>
      </c>
      <c r="O65" s="18" t="inlineStr">
        <is>
          <t>ข้อสอบจริง</t>
        </is>
      </c>
      <c r="P65" s="18" t="inlineStr">
        <is>
          <t>ปี 2560</t>
        </is>
      </c>
    </row>
    <row r="66">
      <c r="A66" s="15" t="inlineStr">
        <is>
          <t>64</t>
        </is>
      </c>
      <c r="B66" s="18" t="inlineStr">
        <is>
          <t>ข้อใดถูกเกี่ยวกับโครงสร้างยา spironolactone กับ canrenone ---------------------------→</t>
        </is>
      </c>
      <c r="C66" s="18" t="inlineStr"/>
      <c r="D66" s="18" t="inlineStr">
        <is>
          <t>ตัวยาออกฤทธิ์โดยจับกับ receptor ภายนอกของ Henle loop</t>
        </is>
      </c>
      <c r="E66" s="18" t="inlineStr">
        <is>
          <t>ถ้า lactone ring เปิดออก จะได้สารที่ มีฤทธิ์</t>
        </is>
      </c>
      <c r="F66" s="18" t="inlineStr">
        <is>
          <t>Canrenone เป็น inactive metabolite</t>
        </is>
      </c>
      <c r="G66" s="18" t="inlineStr">
        <is>
          <t>Spironolactone มีความเป็น lipophilic ต่ำกว่า canrenone</t>
        </is>
      </c>
      <c r="H66" s="18" t="inlineStr">
        <is>
          <t>Spironolactone มีฤทธิ์น้อยกว่า canrenone ห้ามนำไปทำซ้ำทุกกรณี เว้นแต่จะได้รับอนุญาต</t>
        </is>
      </c>
      <c r="I66" s="15" t="inlineStr">
        <is>
          <t>1</t>
        </is>
      </c>
      <c r="J66" s="18"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ข้อนี้ไม่ใช่คำตอบที่ถูกต้องสำหรับภาวะ Anemia เนื่องจากกลไกการออกฤทธิ์, efficacy หรือข้อบ่งใช้ไม่ตรงกับโจทย์ที่กำหนด
• ข้อ ค. (Canrenone เป็น inactive metabolite): ข้อนี้ไม่ใช่คำตอบที่ถูกต้องสำหรับภาวะ Anemia เนื่องจากกลไกการออกฤทธิ์, efficacy หรือข้อบ่งใช้ไม่ตรงกับโจทย์ที่กำหนด
• ข้อ ง. (Spironolactone มีความเป็น lipophilic ต่ำกว่า canrenone): เป็น Mineralocorticoid receptor antagonist (MRA) ใช้เป็น 4th-line ใน resistant HTN หรือ GDMT ใน HFrEF ต้อง monitor potassium และเสี่ยงต่อ gynecomastia
• ข้อ จ. (Spironolactone มีฤทธิ์น้อยกว่า canrenone ห้ามนำไปทำซ้ำทุกกรณี เว้นแต่จะได้รับอนุญาต): เป็น Mineralocorticoid receptor antagonist (MRA) ใช้เป็น 4th-line ใน resistant HTN หรือ GDMT ใน HFrEF ต้อง monitor potassium และเสี่ยงต่อ gynecomastia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18" t="inlineStr"/>
      <c r="L66" s="18" t="inlineStr">
        <is>
          <t>Anemia</t>
        </is>
      </c>
      <c r="M66" s="18" t="inlineStr">
        <is>
          <t>Clinic</t>
        </is>
      </c>
      <c r="N66" s="18" t="inlineStr">
        <is>
          <t>ข้อ 91 (PLE_CC1_2558_Key.md)</t>
        </is>
      </c>
      <c r="O66" s="18" t="inlineStr">
        <is>
          <t>ข้อสอบจริง</t>
        </is>
      </c>
      <c r="P66" s="18" t="inlineStr">
        <is>
          <t>ปี 2558</t>
        </is>
      </c>
    </row>
    <row r="67">
      <c r="A67" s="15" t="inlineStr">
        <is>
          <t>65</t>
        </is>
      </c>
      <c r="B67" s="18" t="inlineStr">
        <is>
          <t>Ferrous sulfate กระปุกละ 100 เม็ด เป็นยาประเภทใด</t>
        </is>
      </c>
      <c r="C67" s="18" t="inlineStr"/>
      <c r="D67" s="18" t="inlineStr">
        <is>
          <t>ยาเสพติดให้โทษ ประเภทที่ 3</t>
        </is>
      </c>
      <c r="E67" s="18" t="inlineStr">
        <is>
          <t>ยาอันตราย</t>
        </is>
      </c>
      <c r="F67" s="18" t="inlineStr">
        <is>
          <t>ยาควบคุมพิเศษ</t>
        </is>
      </c>
      <c r="G67" s="18" t="inlineStr">
        <is>
          <t>วัตถุออกฤทธิ์ต่อจิตและประสาท ประเภท 3</t>
        </is>
      </c>
      <c r="H67" s="18"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15" t="inlineStr">
        <is>
          <t>1</t>
        </is>
      </c>
      <c r="J67" s="18"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(วัตถุออกฤทธิ์ต่อจิตและประสาท ประเภท 3): ข้อนี้ไม่ใช่คำตอบที่ถูกต้องสำหรับภาวะ Anemia เนื่องจากกลไกการออกฤทธิ์, efficacy หรือข้อบ่งใช้ไม่ตรงกับโจทย์ที่กำหนด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18" t="inlineStr"/>
      <c r="L67" s="18" t="inlineStr">
        <is>
          <t>Anemia</t>
        </is>
      </c>
      <c r="M67" s="18" t="inlineStr">
        <is>
          <t>Clinic</t>
        </is>
      </c>
      <c r="N67" s="18" t="inlineStr">
        <is>
          <t>ข้อ 4 (LAW-CU-71.md)</t>
        </is>
      </c>
      <c r="O67" s="18" t="inlineStr">
        <is>
          <t>Mock</t>
        </is>
      </c>
      <c r="P67" s="18" t="inlineStr">
        <is>
          <t>Mock กฎหมาย CU71</t>
        </is>
      </c>
    </row>
    <row r="68">
      <c r="A68" s="15" t="inlineStr">
        <is>
          <t>66</t>
        </is>
      </c>
      <c r="B68" s="18"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18" t="inlineStr"/>
      <c r="D68" s="18" t="inlineStr">
        <is>
          <t>Hydroxyurea 500 mg OD</t>
        </is>
      </c>
      <c r="E68" s="18" t="inlineStr">
        <is>
          <t>Blood transfusion (Packed Red Cells)</t>
        </is>
      </c>
      <c r="F68" s="18" t="inlineStr">
        <is>
          <t>Ferrous fumarate 200 mg TID</t>
        </is>
      </c>
      <c r="G68" s="18" t="inlineStr">
        <is>
          <t>Folic acid 5 mg OD</t>
        </is>
      </c>
      <c r="H68" s="18" t="inlineStr">
        <is>
          <t>Vitamin B12 1000 mcg IM</t>
        </is>
      </c>
      <c r="I68" s="15" t="inlineStr">
        <is>
          <t>1</t>
        </is>
      </c>
      <c r="J68" s="18"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18" t="inlineStr"/>
      <c r="L68" s="18" t="inlineStr">
        <is>
          <t>Anemia</t>
        </is>
      </c>
      <c r="M68" s="18" t="inlineStr">
        <is>
          <t>Clinic</t>
        </is>
      </c>
      <c r="N68" s="18" t="inlineStr">
        <is>
          <t>ข้อ 67 (PLE_CC1_2557.md)</t>
        </is>
      </c>
      <c r="O68" s="18" t="inlineStr">
        <is>
          <t>ข้อสอบจริง</t>
        </is>
      </c>
      <c r="P68" s="18" t="inlineStr">
        <is>
          <t>ปี 2557</t>
        </is>
      </c>
    </row>
    <row r="69">
      <c r="A69" s="15" t="inlineStr">
        <is>
          <t>67</t>
        </is>
      </c>
      <c r="B69" s="18" t="inlineStr">
        <is>
          <t>Ferrous sulfate</t>
        </is>
      </c>
      <c r="C69" s="18" t="inlineStr"/>
      <c r="D69" s="18" t="inlineStr">
        <is>
          <t>Folic acid 5 mg OD</t>
        </is>
      </c>
      <c r="E69" s="18" t="inlineStr">
        <is>
          <t>Vitamin B12 1000 mcg IM</t>
        </is>
      </c>
      <c r="F69" s="18" t="inlineStr">
        <is>
          <t>Deferoxamine 500 mg SC</t>
        </is>
      </c>
      <c r="G69" s="18" t="inlineStr">
        <is>
          <t>Erythropoietin 4000 units SC</t>
        </is>
      </c>
      <c r="H69" s="18" t="inlineStr">
        <is>
          <t>Ferrous sulfate 300 mg TID</t>
        </is>
      </c>
      <c r="I69" s="15" t="inlineStr">
        <is>
          <t>1</t>
        </is>
      </c>
      <c r="J69" s="18"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18" t="inlineStr"/>
      <c r="L69" s="18" t="inlineStr">
        <is>
          <t>Anemia</t>
        </is>
      </c>
      <c r="M69" s="18" t="inlineStr">
        <is>
          <t>Clinic</t>
        </is>
      </c>
      <c r="N69" s="18" t="inlineStr">
        <is>
          <t>ข้อ 2 (PLE_CC1_2556.md)</t>
        </is>
      </c>
      <c r="O69" s="18" t="inlineStr">
        <is>
          <t>ข้อสอบจริง</t>
        </is>
      </c>
      <c r="P69" s="18" t="inlineStr">
        <is>
          <t>ปี 2556</t>
        </is>
      </c>
    </row>
    <row r="70">
      <c r="A70" s="15" t="inlineStr">
        <is>
          <t>68</t>
        </is>
      </c>
      <c r="B70" s="18" t="inlineStr">
        <is>
          <t>ข้อใดเป็นกลไกของHCTZ</t>
        </is>
      </c>
      <c r="C70" s="18" t="inlineStr"/>
      <c r="D70" s="18" t="inlineStr">
        <is>
          <t>Erythropoietin 4000 units SC</t>
        </is>
      </c>
      <c r="E70" s="18" t="inlineStr">
        <is>
          <t>Ferrous sulfate 300 mg TID</t>
        </is>
      </c>
      <c r="F70" s="18" t="inlineStr">
        <is>
          <t>Vitamin C 500 mg OD</t>
        </is>
      </c>
      <c r="G70" s="18" t="inlineStr">
        <is>
          <t>Pyridoxine 50 mg OD</t>
        </is>
      </c>
      <c r="H70" s="18" t="inlineStr">
        <is>
          <t>Hydroxyurea 500 mg OD</t>
        </is>
      </c>
      <c r="I70" s="15" t="inlineStr">
        <is>
          <t>1</t>
        </is>
      </c>
      <c r="J70" s="18"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18" t="inlineStr"/>
      <c r="L70" s="18" t="inlineStr">
        <is>
          <t>Anemia</t>
        </is>
      </c>
      <c r="M70" s="18" t="inlineStr">
        <is>
          <t>Clinic</t>
        </is>
      </c>
      <c r="N70" s="18" t="inlineStr">
        <is>
          <t>ข้อ 9 (PLE_CC1_2556.md)</t>
        </is>
      </c>
      <c r="O70" s="18" t="inlineStr">
        <is>
          <t>ข้อสอบจริง</t>
        </is>
      </c>
      <c r="P70" s="18" t="inlineStr">
        <is>
          <t>ปี 2556</t>
        </is>
      </c>
    </row>
    <row r="71">
      <c r="A71" s="15" t="inlineStr">
        <is>
          <t>69</t>
        </is>
      </c>
      <c r="B71" s="18" t="inlineStr">
        <is>
          <t>จากโครงสร้างของยา HCTZ สามารถวิเคราะห์หาหมู่โครงสร้างได้โดยวิธีการใด</t>
        </is>
      </c>
      <c r="C71" s="18" t="inlineStr"/>
      <c r="D71" s="18" t="inlineStr">
        <is>
          <t>Finger print จาก FTIR</t>
        </is>
      </c>
      <c r="E71" s="18" t="inlineStr">
        <is>
          <t>Chromatogram จาก TLC</t>
        </is>
      </c>
      <c r="F71" s="18" t="inlineStr">
        <is>
          <t>UV</t>
        </is>
      </c>
      <c r="G71" s="18" t="inlineStr">
        <is>
          <t>..............</t>
        </is>
      </c>
      <c r="H71" s="18" t="inlineStr">
        <is>
          <t>.................</t>
        </is>
      </c>
      <c r="I71" s="15" t="inlineStr">
        <is>
          <t>1</t>
        </is>
      </c>
      <c r="J71" s="18"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ข้อนี้ไม่ใช่คำตอบที่ถูกต้องสำหรับภาวะ Anemia เนื่องจากกลไกการออกฤทธิ์, efficacy หรือข้อบ่งใช้ไม่ตรงกับโจทย์ที่กำหนด
• ข้อ ค. (UV): ข้อนี้ไม่ใช่คำตอบที่ถูกต้องสำหรับภาวะ Anemia เนื่องจากกลไกการออกฤทธิ์, efficacy หรือข้อบ่งใช้ไม่ตรงกับโจทย์ที่กำหนด
• ข้อ ง. (..............): ข้อนี้ไม่ใช่คำตอบที่ถูกต้องสำหรับภาวะ Anemia เนื่องจากกลไกการออกฤทธิ์, efficacy หรือข้อบ่งใช้ไม่ตรงกับโจทย์ที่กำหนด
• ข้อ จ. (.................):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18" t="inlineStr"/>
      <c r="L71" s="18" t="inlineStr">
        <is>
          <t>Anemia</t>
        </is>
      </c>
      <c r="M71" s="18" t="inlineStr">
        <is>
          <t>Clinic</t>
        </is>
      </c>
      <c r="N71" s="18" t="inlineStr">
        <is>
          <t>ข้อ 32 (PLE_CC1_2555 Day 1.md)</t>
        </is>
      </c>
      <c r="O71" s="18" t="inlineStr">
        <is>
          <t>ข้อสอบจริง</t>
        </is>
      </c>
      <c r="P71" s="18" t="inlineStr">
        <is>
          <t>ปี 2555</t>
        </is>
      </c>
    </row>
    <row r="72">
      <c r="A72" s="15" t="inlineStr">
        <is>
          <t>70</t>
        </is>
      </c>
      <c r="B72" s="18" t="inlineStr">
        <is>
          <t>ได้รับยา HCTZ เพิ่มขึ้น</t>
        </is>
      </c>
      <c r="C72" s="18" t="inlineStr"/>
      <c r="D72" s="18" t="inlineStr">
        <is>
          <t>Ferrous fumarate 200 mg TID</t>
        </is>
      </c>
      <c r="E72" s="18" t="inlineStr">
        <is>
          <t>Folic acid 5 mg OD</t>
        </is>
      </c>
      <c r="F72" s="18" t="inlineStr">
        <is>
          <t>Vitamin B12 1000 mcg IM</t>
        </is>
      </c>
      <c r="G72" s="18" t="inlineStr">
        <is>
          <t>Deferoxamine 500 mg SC</t>
        </is>
      </c>
      <c r="H72" s="18" t="inlineStr">
        <is>
          <t>Erythropoietin 4000 units SC</t>
        </is>
      </c>
      <c r="I72" s="15" t="inlineStr">
        <is>
          <t>1</t>
        </is>
      </c>
      <c r="J72" s="18"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18" t="inlineStr"/>
      <c r="L72" s="18" t="inlineStr">
        <is>
          <t>Anemia</t>
        </is>
      </c>
      <c r="M72" s="18" t="inlineStr">
        <is>
          <t>Clinic</t>
        </is>
      </c>
      <c r="N72" s="18" t="inlineStr">
        <is>
          <t>ข้อ 3 (PLE_CC1_2555 Day 2.md)</t>
        </is>
      </c>
      <c r="O72" s="18" t="inlineStr">
        <is>
          <t>ข้อสอบจริง</t>
        </is>
      </c>
      <c r="P72" s="18" t="inlineStr">
        <is>
          <t>ปี 2555</t>
        </is>
      </c>
    </row>
    <row r="73">
      <c r="A73" s="15" t="inlineStr">
        <is>
          <t>71</t>
        </is>
      </c>
      <c r="B73" s="18" t="inlineStr">
        <is>
          <t>Fe รูปเกลือใดที่ให้ elemental iron มากที่สุด</t>
        </is>
      </c>
      <c r="C73" s="18" t="inlineStr"/>
      <c r="D73" s="18" t="inlineStr">
        <is>
          <t>fumarate</t>
        </is>
      </c>
      <c r="E73" s="18" t="inlineStr">
        <is>
          <t>sulfate</t>
        </is>
      </c>
      <c r="F73" s="18"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18" t="inlineStr">
        <is>
          <t>Vitamin C 500 mg OD</t>
        </is>
      </c>
      <c r="H73" s="18" t="inlineStr">
        <is>
          <t>Pyridoxine 50 mg OD</t>
        </is>
      </c>
      <c r="I73" s="15" t="inlineStr">
        <is>
          <t>1</t>
        </is>
      </c>
      <c r="J73" s="18"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ข้อนี้ไม่ใช่คำตอบที่ถูกต้องสำหรับภาวะ Anemia เนื่องจากกลไกการออกฤทธิ์, efficacy หรือข้อบ่งใช้ไม่ตรงกับโจทย์ที่กำหนด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ข้อนี้ไม่ใช่คำตอบที่ถูกต้องสำหรับภาวะ Anemia เนื่องจากกลไกการออกฤทธิ์, efficacy หรือข้อบ่งใช้ไม่ตรงกับโจทย์ที่กำหนด
• ข้อ ง. (Vitamin C 500 mg OD): ข้อนี้ไม่ใช่คำตอบที่ถูกต้องสำหรับภาวะ Anemia เนื่องจากกลไกการออกฤทธิ์, efficacy หรือข้อบ่งใช้ไม่ตรงกับโจทย์ที่กำหนด
• ข้อ จ. (Pyridoxine 50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18" t="inlineStr"/>
      <c r="L73" s="18" t="inlineStr">
        <is>
          <t>Anemia</t>
        </is>
      </c>
      <c r="M73" s="18" t="inlineStr">
        <is>
          <t>Clinic</t>
        </is>
      </c>
      <c r="N73" s="18" t="inlineStr">
        <is>
          <t>ข้อ 3 (PLE_CC1_2554 SET2.md)</t>
        </is>
      </c>
      <c r="O73" s="18" t="inlineStr">
        <is>
          <t>ข้อสอบจริง</t>
        </is>
      </c>
      <c r="P73" s="18" t="inlineStr">
        <is>
          <t>ปี 2554</t>
        </is>
      </c>
    </row>
    <row r="74">
      <c r="A74" s="15" t="inlineStr">
        <is>
          <t>72</t>
        </is>
      </c>
      <c r="B74" s="18"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18" t="inlineStr"/>
      <c r="D74" s="18" t="inlineStr">
        <is>
          <t>Vitamin C 500 mg OD</t>
        </is>
      </c>
      <c r="E74" s="18" t="inlineStr">
        <is>
          <t>Pyridoxine 50 mg OD</t>
        </is>
      </c>
      <c r="F74" s="18" t="inlineStr">
        <is>
          <t>Hydroxyurea 500 mg OD</t>
        </is>
      </c>
      <c r="G74" s="18" t="inlineStr">
        <is>
          <t>Blood transfusion (Packed Red Cells)</t>
        </is>
      </c>
      <c r="H74" s="18" t="inlineStr">
        <is>
          <t>Ferrous fumarate 200 mg TID</t>
        </is>
      </c>
      <c r="I74" s="15" t="inlineStr">
        <is>
          <t>1</t>
        </is>
      </c>
      <c r="J74" s="18"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ง.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18" t="inlineStr"/>
      <c r="L74" s="18" t="inlineStr">
        <is>
          <t>Anemia</t>
        </is>
      </c>
      <c r="M74" s="18" t="inlineStr">
        <is>
          <t>Clinic</t>
        </is>
      </c>
      <c r="N74" s="18" t="inlineStr">
        <is>
          <t>ข้อ 6 (PLE_CC1_2554 SET2.md)</t>
        </is>
      </c>
      <c r="O74" s="18" t="inlineStr">
        <is>
          <t>ข้อสอบจริง</t>
        </is>
      </c>
      <c r="P74" s="18" t="inlineStr">
        <is>
          <t>ปี 2554</t>
        </is>
      </c>
    </row>
    <row r="75">
      <c r="A75" s="15" t="inlineStr">
        <is>
          <t>73</t>
        </is>
      </c>
      <c r="B75" s="18" t="inlineStr">
        <is>
          <t>ข้อใดไม่เกี่ยวกับการเกิดภาวะโลหิตจางในครั้งนี้</t>
        </is>
      </c>
      <c r="C75" s="18" t="inlineStr"/>
      <c r="D75" s="18" t="inlineStr">
        <is>
          <t>Blood transfusion (Packed Red Cells)</t>
        </is>
      </c>
      <c r="E75" s="18" t="inlineStr">
        <is>
          <t>Ferrous fumarate 200 mg TID</t>
        </is>
      </c>
      <c r="F75" s="18" t="inlineStr">
        <is>
          <t>Folic acid 5 mg OD</t>
        </is>
      </c>
      <c r="G75" s="18" t="inlineStr">
        <is>
          <t>Vitamin B12 1000 mcg IM</t>
        </is>
      </c>
      <c r="H75" s="18" t="inlineStr">
        <is>
          <t>Deferoxamine 500 mg SC</t>
        </is>
      </c>
      <c r="I75" s="15" t="inlineStr">
        <is>
          <t>1</t>
        </is>
      </c>
      <c r="J75" s="18"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18" t="inlineStr"/>
      <c r="L75" s="18" t="inlineStr">
        <is>
          <t>Anemia</t>
        </is>
      </c>
      <c r="M75" s="18" t="inlineStr">
        <is>
          <t>Clinic</t>
        </is>
      </c>
      <c r="N75" s="18" t="inlineStr">
        <is>
          <t>ข้อ 1 (PLE_CC1_2533.md)</t>
        </is>
      </c>
      <c r="O75" s="18" t="inlineStr">
        <is>
          <t>ข้อสอบจริง</t>
        </is>
      </c>
      <c r="P75" s="18" t="inlineStr">
        <is>
          <t>ปี 2533</t>
        </is>
      </c>
    </row>
    <row r="76">
      <c r="A76" s="15" t="inlineStr">
        <is>
          <t>74</t>
        </is>
      </c>
      <c r="B76" s="18" t="inlineStr">
        <is>
          <t>ชะพลู (5) (มีเพื่อนบอกว่าชะพลู มี Ca เยอะ จะลดการดูดซึมธาตุเหล็ก)</t>
        </is>
      </c>
      <c r="C76" s="18" t="inlineStr"/>
      <c r="D76" s="18" t="inlineStr">
        <is>
          <t>Vitamin B12 1000 mcg IM</t>
        </is>
      </c>
      <c r="E76" s="18" t="inlineStr">
        <is>
          <t>Deferoxamine 500 mg SC</t>
        </is>
      </c>
      <c r="F76" s="18" t="inlineStr">
        <is>
          <t>Erythropoietin 4000 units SC</t>
        </is>
      </c>
      <c r="G76" s="18" t="inlineStr">
        <is>
          <t>Ferrous sulfate 300 mg TID</t>
        </is>
      </c>
      <c r="H76" s="18" t="inlineStr">
        <is>
          <t>Vitamin C 500 mg OD</t>
        </is>
      </c>
      <c r="I76" s="15" t="inlineStr">
        <is>
          <t>1</t>
        </is>
      </c>
      <c r="J76" s="18"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ข้อ จ. (Vitamin C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18" t="inlineStr"/>
      <c r="L76" s="18" t="inlineStr">
        <is>
          <t>Anemia</t>
        </is>
      </c>
      <c r="M76" s="18" t="inlineStr">
        <is>
          <t>Clinic</t>
        </is>
      </c>
      <c r="N76" s="18" t="inlineStr">
        <is>
          <t>ข้อ 5 (PLE_CC1_2533.md)</t>
        </is>
      </c>
      <c r="O76" s="18" t="inlineStr">
        <is>
          <t>ข้อสอบจริง</t>
        </is>
      </c>
      <c r="P76" s="18" t="inlineStr">
        <is>
          <t>ปี 2533</t>
        </is>
      </c>
    </row>
    <row r="77">
      <c r="A77" s="15" t="inlineStr">
        <is>
          <t>75</t>
        </is>
      </c>
      <c r="B77" s="18" t="inlineStr">
        <is>
          <t>Progesterone ในผลิตภัณฑ์ยาคุมกำเนิดใดจัดอยู่ในกลุ่ม spironolactone derivative</t>
        </is>
      </c>
      <c r="C77" s="18" t="inlineStr"/>
      <c r="D77" s="18" t="inlineStr">
        <is>
          <t>Levonorgestrel</t>
        </is>
      </c>
      <c r="E77" s="18" t="inlineStr">
        <is>
          <t>Cyprosterone acetate</t>
        </is>
      </c>
      <c r="F77" s="18" t="inlineStr">
        <is>
          <t>Gestrodene</t>
        </is>
      </c>
      <c r="G77" s="18" t="inlineStr">
        <is>
          <t>Desogestrel</t>
        </is>
      </c>
      <c r="H77" s="18" t="inlineStr">
        <is>
          <t>Drospirenone</t>
        </is>
      </c>
      <c r="I77" s="15" t="inlineStr">
        <is>
          <t>1</t>
        </is>
      </c>
      <c r="J77" s="18"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ข้อนี้ไม่ใช่คำตอบที่ถูกต้องสำหรับภาวะ Anemia เนื่องจากกลไกการออกฤทธิ์, efficacy หรือข้อบ่งใช้ไม่ตรงกับโจทย์ที่กำหนด
• ข้อ ค. (Gestrodene): ข้อนี้ไม่ใช่คำตอบที่ถูกต้องสำหรับภาวะ Anemia เนื่องจากกลไกการออกฤทธิ์, efficacy หรือข้อบ่งใช้ไม่ตรงกับโจทย์ที่กำหนด
• ข้อ ง. (Desogestrel): ข้อนี้ไม่ใช่คำตอบที่ถูกต้องสำหรับภาวะ Anemia เนื่องจากกลไกการออกฤทธิ์, efficacy หรือข้อบ่งใช้ไม่ตรงกับโจทย์ที่กำหนด
• ข้อ จ. (Drospirenone): ข้อนี้ไม่ใช่คำตอบที่ถูกต้องสำหรับภาวะ Anemia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18" t="inlineStr"/>
      <c r="L77" s="18" t="inlineStr">
        <is>
          <t>Anemia</t>
        </is>
      </c>
      <c r="M77" s="18" t="inlineStr">
        <is>
          <t>Clinic</t>
        </is>
      </c>
      <c r="N77" s="18" t="inlineStr">
        <is>
          <t>ข้อ 6 (PLE_CC1_Practice_Exam.md)</t>
        </is>
      </c>
      <c r="O77" s="18" t="inlineStr">
        <is>
          <t>Mock</t>
        </is>
      </c>
      <c r="P77" s="18" t="inlineStr">
        <is>
          <t>Mock สภาเภสัชฯ Practice</t>
        </is>
      </c>
    </row>
    <row r="78">
      <c r="A78" s="15" t="inlineStr">
        <is>
          <t>76</t>
        </is>
      </c>
      <c r="B78" s="18" t="inlineStr">
        <is>
          <t>ข้อใดไม่ใช่ยาเสริมธาตุเหล็กในรูปแบบยาฉีด</t>
        </is>
      </c>
      <c r="C78" s="18" t="inlineStr"/>
      <c r="D78" s="18" t="inlineStr">
        <is>
          <t>Iron dextran</t>
        </is>
      </c>
      <c r="E78" s="18" t="inlineStr">
        <is>
          <t>Iron sucrose complex</t>
        </is>
      </c>
      <c r="F78" s="18" t="inlineStr">
        <is>
          <t>iron sodium gluconate complex</t>
        </is>
      </c>
      <c r="G78" s="18" t="inlineStr">
        <is>
          <t>ferrous fumarate</t>
        </is>
      </c>
      <c r="H78" s="18" t="inlineStr">
        <is>
          <t>ทุกข้อเป็นยาฉีด 31.ข้อใดไม่ใช่อาการข้างเคียงจากการได้รับยาเสริมธาตุเหล็กรูปแบบยาฉีด</t>
        </is>
      </c>
      <c r="I78" s="15" t="inlineStr">
        <is>
          <t>3</t>
        </is>
      </c>
      <c r="J78" s="18"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ข้อนี้ไม่ใช่คำตอบที่ถูกต้องสำหรับภาวะ Anemia เนื่องจากกลไกการออกฤทธิ์, efficacy หรือข้อบ่งใช้ไม่ตรงกับโจทย์ที่กำหนด
• ข้อ ข. (Iron sucrose complex): ข้อนี้ไม่ใช่คำตอบที่ถูกต้องสำหรับภาวะ Anemia เนื่องจากกลไกการออกฤทธิ์, efficacy หรือข้อบ่งใช้ไม่ตรงกับโจทย์ที่กำหนด
• ข้อ ง. (ferrous fumarate): ข้อนี้ไม่ใช่คำตอบที่ถูกต้องสำหรับภาวะ Anemia เนื่องจากกลไกการออกฤทธิ์, efficacy หรือข้อบ่งใช้ไม่ตรงกับโจทย์ที่กำหนด
• ข้อ จ. (ทุกข้อเป็นยาฉีด 31.ข้อใดไม่ใช่อาการข้างเคียงจากการได้รับยาเสริมธาตุเหล็กรูปแบบยาฉีด):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18" t="inlineStr"/>
      <c r="L78" s="18" t="inlineStr">
        <is>
          <t>Anemia</t>
        </is>
      </c>
      <c r="M78" s="18" t="inlineStr">
        <is>
          <t>Clinic</t>
        </is>
      </c>
      <c r="N78" s="18" t="inlineStr">
        <is>
          <t>ข้อ 30 (PLE_CC1_Practice_Exam.md)</t>
        </is>
      </c>
      <c r="O78" s="18" t="inlineStr">
        <is>
          <t>Mock</t>
        </is>
      </c>
      <c r="P78" s="18" t="inlineStr">
        <is>
          <t>Mock สภาเภสัชฯ Practice</t>
        </is>
      </c>
    </row>
    <row r="79">
      <c r="A79" s="15" t="inlineStr">
        <is>
          <t>77</t>
        </is>
      </c>
      <c r="B79" s="18" t="inlineStr">
        <is>
          <t>Spironolactone ออกฤทธิ์ที่collecting tubule</t>
        </is>
      </c>
      <c r="C79" s="18" t="inlineStr"/>
      <c r="D79" s="18" t="inlineStr">
        <is>
          <t>Folic acid 5 mg OD</t>
        </is>
      </c>
      <c r="E79" s="18" t="inlineStr">
        <is>
          <t>Vitamin B12 1000 mcg IM</t>
        </is>
      </c>
      <c r="F79" s="18" t="inlineStr">
        <is>
          <t>Deferoxamine 500 mg SC</t>
        </is>
      </c>
      <c r="G79" s="18" t="inlineStr">
        <is>
          <t>Erythropoietin 4000 units SC</t>
        </is>
      </c>
      <c r="H79" s="18" t="inlineStr">
        <is>
          <t>Ferrous sulfate 300 mg TID</t>
        </is>
      </c>
      <c r="I79" s="15" t="inlineStr">
        <is>
          <t>1</t>
        </is>
      </c>
      <c r="J79" s="18"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18" t="inlineStr"/>
      <c r="L79" s="18" t="inlineStr">
        <is>
          <t>Anemia</t>
        </is>
      </c>
      <c r="M79" s="18" t="inlineStr">
        <is>
          <t>Clinic</t>
        </is>
      </c>
      <c r="N79" s="18" t="inlineStr">
        <is>
          <t>ข้อ 3 (PLE_CC1_Key_Rx20_UBU.md)</t>
        </is>
      </c>
      <c r="O79" s="18" t="inlineStr">
        <is>
          <t>Mock</t>
        </is>
      </c>
      <c r="P79" s="18" t="inlineStr">
        <is>
          <t>Mock Rx20 UBU</t>
        </is>
      </c>
    </row>
    <row r="80">
      <c r="A80" s="15" t="inlineStr">
        <is>
          <t>78</t>
        </is>
      </c>
      <c r="B80" s="18" t="inlineStr">
        <is>
          <t>การได้รับยา HCTZ</t>
        </is>
      </c>
      <c r="C80" s="18" t="inlineStr"/>
      <c r="D80" s="18" t="inlineStr">
        <is>
          <t>Erythropoietin 4000 units SC</t>
        </is>
      </c>
      <c r="E80" s="18" t="inlineStr">
        <is>
          <t>Ferrous sulfate 300 mg TID</t>
        </is>
      </c>
      <c r="F80" s="18" t="inlineStr">
        <is>
          <t>Vitamin C 500 mg OD</t>
        </is>
      </c>
      <c r="G80" s="18" t="inlineStr">
        <is>
          <t>Pyridoxine 50 mg OD</t>
        </is>
      </c>
      <c r="H80" s="18" t="inlineStr">
        <is>
          <t>Hydroxyurea 500 mg OD</t>
        </is>
      </c>
      <c r="I80" s="15" t="inlineStr">
        <is>
          <t>1</t>
        </is>
      </c>
      <c r="J80" s="18"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18" t="inlineStr"/>
      <c r="L80" s="18" t="inlineStr">
        <is>
          <t>Anemia</t>
        </is>
      </c>
      <c r="M80" s="18" t="inlineStr">
        <is>
          <t>Clinic</t>
        </is>
      </c>
      <c r="N80" s="18" t="inlineStr">
        <is>
          <t>ข้อ 2 (PLE_CC1_Key_Rx20_UBU.md)</t>
        </is>
      </c>
      <c r="O80" s="18" t="inlineStr">
        <is>
          <t>Mock</t>
        </is>
      </c>
      <c r="P80" s="18" t="inlineStr">
        <is>
          <t>Mock Rx20 UBU</t>
        </is>
      </c>
    </row>
    <row r="81">
      <c r="A81" s="15" t="inlineStr">
        <is>
          <t>79</t>
        </is>
      </c>
      <c r="B81" s="18" t="inlineStr">
        <is>
          <t>Spironalactone ใน AKI จะใช้ Loop diuretics</t>
        </is>
      </c>
      <c r="C81" s="18" t="inlineStr"/>
      <c r="D81" s="18" t="inlineStr">
        <is>
          <t>Pyridoxine 50 mg OD</t>
        </is>
      </c>
      <c r="E81" s="18" t="inlineStr">
        <is>
          <t>Hydroxyurea 500 mg OD</t>
        </is>
      </c>
      <c r="F81" s="18" t="inlineStr">
        <is>
          <t>Blood transfusion (Packed Red Cells)</t>
        </is>
      </c>
      <c r="G81" s="18" t="inlineStr">
        <is>
          <t>Ferrous fumarate 200 mg TID</t>
        </is>
      </c>
      <c r="H81" s="18" t="inlineStr">
        <is>
          <t>Folic acid 5 mg OD</t>
        </is>
      </c>
      <c r="I81" s="15" t="inlineStr">
        <is>
          <t>1</t>
        </is>
      </c>
      <c r="J81" s="18"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18" t="inlineStr"/>
      <c r="L81" s="18" t="inlineStr">
        <is>
          <t>Anemia</t>
        </is>
      </c>
      <c r="M81" s="18" t="inlineStr">
        <is>
          <t>Clinic</t>
        </is>
      </c>
      <c r="N81" s="18" t="inlineStr">
        <is>
          <t>ข้อ 5 (PLE_CC1_Key_Rx20_UBU.md)</t>
        </is>
      </c>
      <c r="O81" s="18" t="inlineStr">
        <is>
          <t>Mock</t>
        </is>
      </c>
      <c r="P81" s="18" t="inlineStr">
        <is>
          <t>Mock Rx20 UBU</t>
        </is>
      </c>
    </row>
    <row r="82">
      <c r="A82" s="15" t="inlineStr">
        <is>
          <t>80</t>
        </is>
      </c>
      <c r="B82" s="18" t="inlineStr">
        <is>
          <t>HCTZ ยับยั้งการดูดกลับของน้ำที่ collecting duct</t>
        </is>
      </c>
      <c r="C82" s="18" t="inlineStr"/>
      <c r="D82" s="18" t="inlineStr">
        <is>
          <t>Ferrous fumarate 200 mg TID</t>
        </is>
      </c>
      <c r="E82" s="18" t="inlineStr">
        <is>
          <t>Folic acid 5 mg OD</t>
        </is>
      </c>
      <c r="F82" s="18" t="inlineStr">
        <is>
          <t>Vitamin B12 1000 mcg IM</t>
        </is>
      </c>
      <c r="G82" s="18" t="inlineStr">
        <is>
          <t>Deferoxamine 500 mg SC</t>
        </is>
      </c>
      <c r="H82" s="18" t="inlineStr">
        <is>
          <t>Erythropoietin 4000 units SC</t>
        </is>
      </c>
      <c r="I82" s="15" t="inlineStr">
        <is>
          <t>1</t>
        </is>
      </c>
      <c r="J82" s="18"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18" t="inlineStr"/>
      <c r="L82" s="18" t="inlineStr">
        <is>
          <t>Anemia</t>
        </is>
      </c>
      <c r="M82" s="18" t="inlineStr">
        <is>
          <t>Clinic</t>
        </is>
      </c>
      <c r="N82" s="18" t="inlineStr">
        <is>
          <t>ข้อ 1 (PLE_CC1_Key_Rx20_UBU.md)</t>
        </is>
      </c>
      <c r="O82" s="18" t="inlineStr">
        <is>
          <t>Mock</t>
        </is>
      </c>
      <c r="P82" s="18" t="inlineStr">
        <is>
          <t>Mock Rx20 UBU</t>
        </is>
      </c>
    </row>
    <row r="83">
      <c r="A83" s="15" t="inlineStr">
        <is>
          <t>81</t>
        </is>
      </c>
      <c r="B83" s="18" t="inlineStr">
        <is>
          <t>ต่อมาแพทย์สั่งจ่ายยา HCTZ 25 mg 1x1 เภสัชกรควรติดตามค่าทางห้องปฏิบัติการใดของผู้ป่วย</t>
        </is>
      </c>
      <c r="C83" s="18" t="inlineStr"/>
      <c r="D83" s="18" t="inlineStr">
        <is>
          <t>Deferoxamine 500 mg SC</t>
        </is>
      </c>
      <c r="E83" s="18" t="inlineStr">
        <is>
          <t>Erythropoietin 4000 units SC</t>
        </is>
      </c>
      <c r="F83" s="18" t="inlineStr">
        <is>
          <t>Ferrous sulfate 300 mg TID</t>
        </is>
      </c>
      <c r="G83" s="18" t="inlineStr">
        <is>
          <t>Vitamin C 500 mg OD</t>
        </is>
      </c>
      <c r="H83" s="18" t="inlineStr">
        <is>
          <t>Pyridoxine 50 mg OD</t>
        </is>
      </c>
      <c r="I83" s="15" t="inlineStr">
        <is>
          <t>1</t>
        </is>
      </c>
      <c r="J83" s="18"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ข้อนี้ไม่ใช่คำตอบที่ถูกต้องสำหรับภาวะ Anemia เนื่องจากกลไกการออกฤทธิ์, efficacy หรือข้อบ่งใช้ไม่ตรงกับโจทย์ที่กำหนด
• ข้อ ค. (Ferrous sulfate 300 mg TID): ข้อนี้ไม่ใช่คำตอบที่ถูกต้องสำหรับภาวะ Anemia เนื่องจากกลไกการออกฤทธิ์, efficacy หรือข้อบ่งใช้ไม่ตรงกับโจทย์ที่กำหนด
• ข้อ ง. (Vitamin C 500 mg OD): ข้อนี้ไม่ใช่คำตอบที่ถูกต้องสำหรับภาวะ Anemia เนื่องจากกลไกการออกฤทธิ์, efficacy หรือข้อบ่งใช้ไม่ตรงกับโจทย์ที่กำหนด
• ข้อ จ. (Pyridoxine 50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18" t="inlineStr"/>
      <c r="L83" s="18" t="inlineStr">
        <is>
          <t>Anemia</t>
        </is>
      </c>
      <c r="M83" s="18" t="inlineStr">
        <is>
          <t>Clinic</t>
        </is>
      </c>
      <c r="N83" s="18" t="inlineStr">
        <is>
          <t>ข้อ 4 (PLE_CC1_Key_Rx20_UBU.md)</t>
        </is>
      </c>
      <c r="O83" s="18" t="inlineStr">
        <is>
          <t>Mock</t>
        </is>
      </c>
      <c r="P83" s="18" t="inlineStr">
        <is>
          <t>Mock Rx20 UBU</t>
        </is>
      </c>
    </row>
    <row r="84">
      <c r="A84" s="15" t="inlineStr">
        <is>
          <t>82</t>
        </is>
      </c>
      <c r="B84" s="18" t="inlineStr">
        <is>
          <t>7.ยา HCTZ เป็นยาที่จัดอยู่ใน BSC class 3 หมายถึงอะไร</t>
        </is>
      </c>
      <c r="C84" s="18" t="inlineStr"/>
      <c r="D84" s="18" t="inlineStr">
        <is>
          <t>Vitamin C 500 mg OD</t>
        </is>
      </c>
      <c r="E84" s="18" t="inlineStr">
        <is>
          <t>Pyridoxine 50 mg OD</t>
        </is>
      </c>
      <c r="F84" s="18" t="inlineStr">
        <is>
          <t>Hydroxyurea 500 mg OD</t>
        </is>
      </c>
      <c r="G84" s="18" t="inlineStr">
        <is>
          <t>Blood transfusion (Packed Red Cells)</t>
        </is>
      </c>
      <c r="H84" s="18" t="inlineStr">
        <is>
          <t>Ferrous fumarate 200 mg TID</t>
        </is>
      </c>
      <c r="I84" s="15" t="inlineStr">
        <is>
          <t>1</t>
        </is>
      </c>
      <c r="J84" s="18"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ง.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18" t="inlineStr"/>
      <c r="L84" s="18" t="inlineStr">
        <is>
          <t>Anemia</t>
        </is>
      </c>
      <c r="M84" s="18" t="inlineStr">
        <is>
          <t>Clinic</t>
        </is>
      </c>
      <c r="N84" s="18" t="inlineStr">
        <is>
          <t>ข้อ 4 (PLE_CC1_Key_Rx20_UBU.md)</t>
        </is>
      </c>
      <c r="O84" s="18" t="inlineStr">
        <is>
          <t>Mock</t>
        </is>
      </c>
      <c r="P84" s="18" t="inlineStr">
        <is>
          <t>Mock Rx20 UBU</t>
        </is>
      </c>
    </row>
    <row r="85">
      <c r="A85" s="15" t="inlineStr">
        <is>
          <t>83</t>
        </is>
      </c>
      <c r="B85" s="18" t="inlineStr">
        <is>
          <t>8.ยา HCTZ เป็นยาที่ต้องควบคุมคุณภาพ ตาม USP ข้อใด</t>
        </is>
      </c>
      <c r="C85" s="18" t="inlineStr"/>
      <c r="D85" s="18" t="inlineStr">
        <is>
          <t>Blood transfusion (Packed Red Cells)</t>
        </is>
      </c>
      <c r="E85" s="18" t="inlineStr">
        <is>
          <t>Ferrous fumarate 200 mg TID</t>
        </is>
      </c>
      <c r="F85" s="18" t="inlineStr">
        <is>
          <t>Folic acid 5 mg OD</t>
        </is>
      </c>
      <c r="G85" s="18" t="inlineStr">
        <is>
          <t>Vitamin B12 1000 mcg IM</t>
        </is>
      </c>
      <c r="H85" s="18" t="inlineStr">
        <is>
          <t>Deferoxamine 500 mg SC</t>
        </is>
      </c>
      <c r="I85" s="15" t="inlineStr">
        <is>
          <t>1</t>
        </is>
      </c>
      <c r="J85" s="18"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18" t="inlineStr"/>
      <c r="L85" s="18" t="inlineStr">
        <is>
          <t>Anemia</t>
        </is>
      </c>
      <c r="M85" s="18" t="inlineStr">
        <is>
          <t>Clinic</t>
        </is>
      </c>
      <c r="N85" s="18" t="inlineStr">
        <is>
          <t>ข้อ 5 (PLE_CC1_Key_Rx20_UBU.md)</t>
        </is>
      </c>
      <c r="O85" s="18" t="inlineStr">
        <is>
          <t>Mock</t>
        </is>
      </c>
      <c r="P85" s="18" t="inlineStr">
        <is>
          <t>Mock Rx20 UBU</t>
        </is>
      </c>
    </row>
    <row r="86">
      <c r="A86" s="15" t="inlineStr">
        <is>
          <t>84</t>
        </is>
      </c>
      <c r="B86" s="18" t="inlineStr">
        <is>
          <t>ปรับขนาด HCTZ ขึ้น</t>
        </is>
      </c>
      <c r="C86" s="18" t="inlineStr"/>
      <c r="D86" s="18" t="inlineStr">
        <is>
          <t>Vitamin B12 1000 mcg IM</t>
        </is>
      </c>
      <c r="E86" s="18" t="inlineStr">
        <is>
          <t>Deferoxamine 500 mg SC</t>
        </is>
      </c>
      <c r="F86" s="18" t="inlineStr">
        <is>
          <t>Erythropoietin 4000 units SC</t>
        </is>
      </c>
      <c r="G86" s="18" t="inlineStr">
        <is>
          <t>Ferrous sulfate 300 mg TID</t>
        </is>
      </c>
      <c r="H86" s="18" t="inlineStr">
        <is>
          <t>Vitamin C 500 mg OD</t>
        </is>
      </c>
      <c r="I86" s="15" t="inlineStr">
        <is>
          <t>1</t>
        </is>
      </c>
      <c r="J86" s="18"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ข้อ จ. (Vitamin C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18" t="inlineStr"/>
      <c r="L86" s="18" t="inlineStr">
        <is>
          <t>Anemia</t>
        </is>
      </c>
      <c r="M86" s="18" t="inlineStr">
        <is>
          <t>Clinic</t>
        </is>
      </c>
      <c r="N86" s="18" t="inlineStr">
        <is>
          <t>ข้อ 3 (PLE_CC1_Key_Rx20_UBU.md)</t>
        </is>
      </c>
      <c r="O86" s="18" t="inlineStr">
        <is>
          <t>Mock</t>
        </is>
      </c>
      <c r="P86" s="18" t="inlineStr">
        <is>
          <t>Mock Rx20 UBU</t>
        </is>
      </c>
    </row>
    <row r="87">
      <c r="A87" s="15" t="inlineStr">
        <is>
          <t>85</t>
        </is>
      </c>
      <c r="B87" s="18" t="inlineStr">
        <is>
          <t>ferrous sulfate</t>
        </is>
      </c>
      <c r="C87" s="18" t="inlineStr"/>
      <c r="D87" s="18" t="inlineStr">
        <is>
          <t>Ferrous sulfate 300 mg TID</t>
        </is>
      </c>
      <c r="E87" s="18" t="inlineStr">
        <is>
          <t>Vitamin C 500 mg OD</t>
        </is>
      </c>
      <c r="F87" s="18" t="inlineStr">
        <is>
          <t>Pyridoxine 50 mg OD</t>
        </is>
      </c>
      <c r="G87" s="18" t="inlineStr">
        <is>
          <t>Hydroxyurea 500 mg OD</t>
        </is>
      </c>
      <c r="H87" s="18" t="inlineStr">
        <is>
          <t>Blood transfusion (Packed Red Cells)</t>
        </is>
      </c>
      <c r="I87" s="15" t="inlineStr">
        <is>
          <t>1</t>
        </is>
      </c>
      <c r="J87" s="18"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18" t="inlineStr"/>
      <c r="L87" s="18" t="inlineStr">
        <is>
          <t>Anemia</t>
        </is>
      </c>
      <c r="M87" s="18" t="inlineStr">
        <is>
          <t>Clinic</t>
        </is>
      </c>
      <c r="N87" s="18" t="inlineStr">
        <is>
          <t>ข้อ 3 (PLE_CC1_Key_Rx20_UBU.md)</t>
        </is>
      </c>
      <c r="O87" s="18" t="inlineStr">
        <is>
          <t>Mock</t>
        </is>
      </c>
      <c r="P87" s="18" t="inlineStr">
        <is>
          <t>Mock Rx20 UBU</t>
        </is>
      </c>
    </row>
    <row r="88">
      <c r="A88" s="15" t="inlineStr">
        <is>
          <t>86</t>
        </is>
      </c>
      <c r="B88" s="18" t="inlineStr">
        <is>
          <t>ferrous anhydrous sulphate ซึ่งตามคำแนะนำถ้าผู้ป่วยมี Hb&lt;10 g/dl สามารถพิจารณาให้ ESA ได้</t>
        </is>
      </c>
      <c r="C88" s="18" t="inlineStr"/>
      <c r="D88" s="18" t="inlineStr">
        <is>
          <t>Hydroxyurea 500 mg OD</t>
        </is>
      </c>
      <c r="E88" s="18" t="inlineStr">
        <is>
          <t>Blood transfusion (Packed Red Cells)</t>
        </is>
      </c>
      <c r="F88" s="18" t="inlineStr">
        <is>
          <t>Ferrous fumarate 200 mg TID</t>
        </is>
      </c>
      <c r="G88" s="18" t="inlineStr">
        <is>
          <t>Folic acid 5 mg OD</t>
        </is>
      </c>
      <c r="H88" s="18" t="inlineStr">
        <is>
          <t>Vitamin B12 1000 mcg IM</t>
        </is>
      </c>
      <c r="I88" s="15" t="inlineStr">
        <is>
          <t>5</t>
        </is>
      </c>
      <c r="J88" s="18"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ข้อนี้ไม่ใช่คำตอบที่ถูกต้องสำหรับภาวะ Anemia เนื่องจากกลไกการออกฤทธิ์, efficacy หรือข้อบ่งใช้ไม่ตรงกับโจทย์ที่กำหนด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18" t="inlineStr"/>
      <c r="L88" s="18" t="inlineStr">
        <is>
          <t>Anemia</t>
        </is>
      </c>
      <c r="M88" s="18" t="inlineStr">
        <is>
          <t>Clinic</t>
        </is>
      </c>
      <c r="N88" s="18" t="inlineStr">
        <is>
          <t>ข้อ 5 (PLE_CC1_Key_Rx20_UBU.md)</t>
        </is>
      </c>
      <c r="O88" s="18" t="inlineStr">
        <is>
          <t>Mock</t>
        </is>
      </c>
      <c r="P88" s="18" t="inlineStr">
        <is>
          <t>Mock Rx20 UBU</t>
        </is>
      </c>
    </row>
    <row r="89">
      <c r="A89" s="15" t="inlineStr">
        <is>
          <t>87</t>
        </is>
      </c>
      <c r="B89" s="18" t="inlineStr">
        <is>
          <t>ผู้ป่วยต้องรับการรักษาแบบใดเพื่อรักษาภาวะโลหิตจาง</t>
        </is>
      </c>
      <c r="C89" s="18" t="inlineStr"/>
      <c r="D89" s="18" t="inlineStr">
        <is>
          <t>Folic acid 5 mg OD</t>
        </is>
      </c>
      <c r="E89" s="18" t="inlineStr">
        <is>
          <t>Vitamin B12 1000 mcg IM</t>
        </is>
      </c>
      <c r="F89" s="18" t="inlineStr">
        <is>
          <t>Deferoxamine 500 mg SC</t>
        </is>
      </c>
      <c r="G89" s="18" t="inlineStr">
        <is>
          <t>Erythropoietin 4000 units SC</t>
        </is>
      </c>
      <c r="H89" s="18" t="inlineStr">
        <is>
          <t>Ferrous sulfate 300 mg TID</t>
        </is>
      </c>
      <c r="I89" s="15" t="inlineStr">
        <is>
          <t>1</t>
        </is>
      </c>
      <c r="J89" s="18"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18" t="inlineStr"/>
      <c r="L89" s="18" t="inlineStr">
        <is>
          <t>Anemia</t>
        </is>
      </c>
      <c r="M89" s="18" t="inlineStr">
        <is>
          <t>Clinic</t>
        </is>
      </c>
      <c r="N89" s="18" t="inlineStr">
        <is>
          <t>ข้อ 7 (PLE_CC1_Key_Rx20_UBU.md)</t>
        </is>
      </c>
      <c r="O89" s="18" t="inlineStr">
        <is>
          <t>Mock</t>
        </is>
      </c>
      <c r="P89" s="18" t="inlineStr">
        <is>
          <t>Mock Rx20 UBU</t>
        </is>
      </c>
    </row>
    <row r="90">
      <c r="A90" s="15" t="inlineStr">
        <is>
          <t>88</t>
        </is>
      </c>
      <c r="B90" s="18" t="inlineStr">
        <is>
          <t>เพิ่มขนาดยา HCTZ</t>
        </is>
      </c>
      <c r="C90" s="18" t="inlineStr"/>
      <c r="D90" s="18" t="inlineStr">
        <is>
          <t>Erythropoietin 4000 units SC</t>
        </is>
      </c>
      <c r="E90" s="18" t="inlineStr">
        <is>
          <t>Ferrous sulfate 300 mg TID</t>
        </is>
      </c>
      <c r="F90" s="18" t="inlineStr">
        <is>
          <t>Vitamin C 500 mg OD</t>
        </is>
      </c>
      <c r="G90" s="18" t="inlineStr">
        <is>
          <t>Pyridoxine 50 mg OD</t>
        </is>
      </c>
      <c r="H90" s="18" t="inlineStr">
        <is>
          <t>Hydroxyurea 500 mg OD</t>
        </is>
      </c>
      <c r="I90" s="15" t="inlineStr">
        <is>
          <t>1</t>
        </is>
      </c>
      <c r="J90" s="18"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18" t="inlineStr"/>
      <c r="L90" s="18" t="inlineStr">
        <is>
          <t>Anemia</t>
        </is>
      </c>
      <c r="M90" s="18" t="inlineStr">
        <is>
          <t>Clinic</t>
        </is>
      </c>
      <c r="N90" s="18" t="inlineStr">
        <is>
          <t>ข้อ 1 (PLE_CC1_Key_Rx20_UBU.md)</t>
        </is>
      </c>
      <c r="O90" s="18" t="inlineStr">
        <is>
          <t>Mock</t>
        </is>
      </c>
      <c r="P90" s="18" t="inlineStr">
        <is>
          <t>Mock Rx20 UBU</t>
        </is>
      </c>
    </row>
    <row r="91">
      <c r="A91" s="15" t="inlineStr">
        <is>
          <t>89</t>
        </is>
      </c>
      <c r="B91" s="18" t="inlineStr">
        <is>
          <t>60. สารพฤกษาเคมีที่มีผลรบกวนการดูดซึมธาตุเหล็ก</t>
        </is>
      </c>
      <c r="C91" s="18" t="inlineStr"/>
      <c r="D91" s="18" t="inlineStr">
        <is>
          <t>Pyridoxine 50 mg OD</t>
        </is>
      </c>
      <c r="E91" s="18" t="inlineStr">
        <is>
          <t>Hydroxyurea 500 mg OD</t>
        </is>
      </c>
      <c r="F91" s="18" t="inlineStr">
        <is>
          <t>Blood transfusion (Packed Red Cells)</t>
        </is>
      </c>
      <c r="G91" s="18" t="inlineStr">
        <is>
          <t>Ferrous fumarate 200 mg TID</t>
        </is>
      </c>
      <c r="H91" s="18" t="inlineStr">
        <is>
          <t>Folic acid 5 mg OD</t>
        </is>
      </c>
      <c r="I91" s="15" t="inlineStr">
        <is>
          <t>1</t>
        </is>
      </c>
      <c r="J91" s="18"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18" t="inlineStr"/>
      <c r="L91" s="18" t="inlineStr">
        <is>
          <t>Anemia</t>
        </is>
      </c>
      <c r="M91" s="18" t="inlineStr">
        <is>
          <t>Clinic</t>
        </is>
      </c>
      <c r="N91" s="18" t="inlineStr">
        <is>
          <t>ข้อ 5 (PLE_CC1_Key_Rx20_UBU.md)</t>
        </is>
      </c>
      <c r="O91" s="18" t="inlineStr">
        <is>
          <t>Mock</t>
        </is>
      </c>
      <c r="P91" s="18" t="inlineStr">
        <is>
          <t>Mock Rx20 UBU</t>
        </is>
      </c>
    </row>
    <row r="92">
      <c r="A92" s="15" t="inlineStr">
        <is>
          <t>90</t>
        </is>
      </c>
      <c r="B92" s="18" t="inlineStr">
        <is>
          <t>โรคโลหิตจางธาลัสซีเมีย เกิดจากความผิดปกติใด</t>
        </is>
      </c>
      <c r="C92" s="18" t="inlineStr"/>
      <c r="D92" s="18" t="inlineStr">
        <is>
          <t>เกิดจากการขาดฮอร_โมน Erythropoietin ทำให$การสร$างเม็ดเลือดแดงไมGสมบูรณ_</t>
        </is>
      </c>
      <c r="E92" s="18" t="inlineStr">
        <is>
          <t>เกิดจากการขาดเหล็กทำให$การสร$างเม็ดเลือดแดงไมGสมบูรณ_</t>
        </is>
      </c>
      <c r="F92" s="18" t="inlineStr">
        <is>
          <t>เกิดจากการขาด Cyanocobalamin ทำให$การสร$างเม็ดเลือดแดงไมGสมบูรณ_</t>
        </is>
      </c>
      <c r="G92" s="18" t="inlineStr">
        <is>
          <t>เกิดจากการสร$างสาย Hb ที่ผิดปกติ</t>
        </is>
      </c>
      <c r="H92" s="18" t="inlineStr">
        <is>
          <t>เกิดจากรGางกายมีภาวะพรGองเอนไซม_ G6PD Globin ของ Hb (Heme+Globin)</t>
        </is>
      </c>
      <c r="I92" s="15" t="inlineStr">
        <is>
          <t>2</t>
        </is>
      </c>
      <c r="J92" s="18"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ข้อนี้ไม่ใช่คำตอบที่ถูกต้องสำหรับภาวะ Anemia เนื่องจากกลไกการออกฤทธิ์, efficacy หรือข้อบ่งใช้ไม่ตรงกับโจทย์ที่กำหนด
• ข้อ ค. (เกิดจากการขาด Cyanocobalamin ทำให$การสร$างเม็ดเลือดแดงไมGสมบูรณ_): ข้อนี้ไม่ใช่คำตอบที่ถูกต้องสำหรับภาวะ Anemia เนื่องจากกลไกการออกฤทธิ์, efficacy หรือข้อบ่งใช้ไม่ตรงกับโจทย์ที่กำหนด
• ข้อ ง. (เกิดจากการสร$างสาย Hb ที่ผิดปกติ): ข้อนี้ไม่ใช่คำตอบที่ถูกต้องสำหรับภาวะ Anemia เนื่องจากกลไกการออกฤทธิ์, efficacy หรือข้อบ่งใช้ไม่ตรงกับโจทย์ที่กำหนด
• ข้อ จ. (เกิดจากรGางกายมีภาวะพรGองเอนไซม_ G6PD Globin ของ Hb (Heme+Globin)):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18" t="inlineStr"/>
      <c r="L92" s="18" t="inlineStr">
        <is>
          <t>Anemia</t>
        </is>
      </c>
      <c r="M92" s="18" t="inlineStr">
        <is>
          <t>Clinic</t>
        </is>
      </c>
      <c r="N92" s="18" t="inlineStr">
        <is>
          <t>ข้อ 82 (PLE_CC1_Key_Rx20_UBU.md)</t>
        </is>
      </c>
      <c r="O92" s="18" t="inlineStr">
        <is>
          <t>Mock</t>
        </is>
      </c>
      <c r="P92" s="18" t="inlineStr">
        <is>
          <t>Mock Rx20 UBU</t>
        </is>
      </c>
    </row>
    <row r="93">
      <c r="A93" s="15" t="inlineStr">
        <is>
          <t>91</t>
        </is>
      </c>
      <c r="B93" s="18" t="inlineStr">
        <is>
          <t>การวินิจฉัยภาวะโลหิตจางธาลัสซีเมียวินิจฉัยจากอะไร</t>
        </is>
      </c>
      <c r="C93" s="18" t="inlineStr"/>
      <c r="D93" s="18" t="inlineStr">
        <is>
          <t>CBC</t>
        </is>
      </c>
      <c r="E93" s="18" t="inlineStr">
        <is>
          <t>% Iron</t>
        </is>
      </c>
      <c r="F93" s="18" t="inlineStr">
        <is>
          <t>Hb typing</t>
        </is>
      </c>
      <c r="G93" s="18" t="inlineStr">
        <is>
          <t>PBS (Peripheral blood smear)</t>
        </is>
      </c>
      <c r="H93" s="18" t="inlineStr">
        <is>
          <t>ขอแย5งนะคะ คิดว=าควรตอบ ค. Hb typing</t>
        </is>
      </c>
      <c r="I93" s="15" t="inlineStr">
        <is>
          <t>2</t>
        </is>
      </c>
      <c r="J93" s="18"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ข้อนี้ไม่ใช่คำตอบที่ถูกต้องสำหรับภาวะ Anemia เนื่องจากกลไกการออกฤทธิ์, efficacy หรือข้อบ่งใช้ไม่ตรงกับโจทย์ที่กำหนด
• ข้อ ค. (Hb typing): ข้อนี้ไม่ใช่คำตอบที่ถูกต้องสำหรับภาวะ Anemia เนื่องจากกลไกการออกฤทธิ์, efficacy หรือข้อบ่งใช้ไม่ตรงกับโจทย์ที่กำหนด
• ข้อ ง. (PBS (Peripheral blood smear)): ข้อนี้ไม่ใช่คำตอบที่ถูกต้องสำหรับภาวะ Anemia เนื่องจากกลไกการออกฤทธิ์, efficacy หรือข้อบ่งใช้ไม่ตรงกับโจทย์ที่กำหนด
• ข้อ จ. (ขอแย5งนะคะ คิดว=าควรตอบ ค. Hb typing):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18" t="inlineStr"/>
      <c r="L93" s="18" t="inlineStr">
        <is>
          <t>Anemia</t>
        </is>
      </c>
      <c r="M93" s="18" t="inlineStr">
        <is>
          <t>Clinic</t>
        </is>
      </c>
      <c r="N93" s="18" t="inlineStr">
        <is>
          <t>ข้อ 83 (PLE_CC1_Key_Rx20_UBU.md)</t>
        </is>
      </c>
      <c r="O93" s="18" t="inlineStr">
        <is>
          <t>Mock</t>
        </is>
      </c>
      <c r="P93" s="18" t="inlineStr">
        <is>
          <t>Mock Rx20 UBU</t>
        </is>
      </c>
    </row>
    <row r="94">
      <c r="A94" s="15" t="inlineStr">
        <is>
          <t>92</t>
        </is>
      </c>
      <c r="B94" s="18" t="inlineStr">
        <is>
          <t>Desogestrel สามารถลดการบวมน้ำได้เนื่องจากเป็นอนุพันธ์ของ spironoolactone</t>
        </is>
      </c>
      <c r="C94" s="18" t="inlineStr"/>
      <c r="D94" s="18" t="inlineStr">
        <is>
          <t>Vitamin C 500 mg OD</t>
        </is>
      </c>
      <c r="E94" s="18" t="inlineStr">
        <is>
          <t>Pyridoxine 50 mg OD</t>
        </is>
      </c>
      <c r="F94" s="18" t="inlineStr">
        <is>
          <t>Hydroxyurea 500 mg OD</t>
        </is>
      </c>
      <c r="G94" s="18" t="inlineStr">
        <is>
          <t>Blood transfusion (Packed Red Cells)</t>
        </is>
      </c>
      <c r="H94" s="18" t="inlineStr">
        <is>
          <t>Ferrous fumarate 200 mg TID</t>
        </is>
      </c>
      <c r="I94" s="15" t="inlineStr">
        <is>
          <t>4</t>
        </is>
      </c>
      <c r="J94" s="18"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ข้อนี้ไม่ใช่คำตอบที่ถูกต้องสำหรับภาวะ Anemia เนื่องจากกลไกการออกฤทธิ์, efficacy หรือข้อบ่งใช้ไม่ตรงกับโจทย์ที่กำหนด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18" t="inlineStr"/>
      <c r="L94" s="18" t="inlineStr">
        <is>
          <t>Anemia</t>
        </is>
      </c>
      <c r="M94" s="18" t="inlineStr">
        <is>
          <t>Clinic</t>
        </is>
      </c>
      <c r="N94" s="18" t="inlineStr">
        <is>
          <t>ข้อ 3 (PLE_CC1_Key_Rx20_UBU.md)</t>
        </is>
      </c>
      <c r="O94" s="18" t="inlineStr">
        <is>
          <t>Mock</t>
        </is>
      </c>
      <c r="P94" s="18" t="inlineStr">
        <is>
          <t>Mock Rx20 UBU</t>
        </is>
      </c>
    </row>
    <row r="95">
      <c r="A95" s="15" t="inlineStr">
        <is>
          <t>93</t>
        </is>
      </c>
      <c r="B95" s="18" t="inlineStr">
        <is>
          <t>HCTZ และ spironolactone</t>
        </is>
      </c>
      <c r="C95" s="18" t="inlineStr"/>
      <c r="D95" s="18" t="inlineStr">
        <is>
          <t>Blood transfusion (Packed Red Cells)</t>
        </is>
      </c>
      <c r="E95" s="18" t="inlineStr">
        <is>
          <t>Ferrous fumarate 200 mg TID</t>
        </is>
      </c>
      <c r="F95" s="18" t="inlineStr">
        <is>
          <t>Folic acid 5 mg OD</t>
        </is>
      </c>
      <c r="G95" s="18" t="inlineStr">
        <is>
          <t>Vitamin B12 1000 mcg IM</t>
        </is>
      </c>
      <c r="H95" s="18" t="inlineStr">
        <is>
          <t>Deferoxamine 500 mg SC</t>
        </is>
      </c>
      <c r="I95" s="15" t="inlineStr">
        <is>
          <t>1</t>
        </is>
      </c>
      <c r="J95" s="18"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18" t="inlineStr"/>
      <c r="L95" s="18" t="inlineStr">
        <is>
          <t>Anemia</t>
        </is>
      </c>
      <c r="M95" s="18" t="inlineStr">
        <is>
          <t>Clinic</t>
        </is>
      </c>
      <c r="N95" s="18" t="inlineStr">
        <is>
          <t>ข้อ 2 (PLE_CC1_Key_Rx20_UBU.md)</t>
        </is>
      </c>
      <c r="O95" s="18" t="inlineStr">
        <is>
          <t>Mock</t>
        </is>
      </c>
      <c r="P95" s="18" t="inlineStr">
        <is>
          <t>Mock Rx20 UBU</t>
        </is>
      </c>
    </row>
    <row r="96">
      <c r="A96" s="15" t="inlineStr">
        <is>
          <t>94</t>
        </is>
      </c>
      <c r="B96" s="18" t="inlineStr">
        <is>
          <t>HCTZ https://www.livestrong.com/article/313917-calcium-channel-blockers-gerd/</t>
        </is>
      </c>
      <c r="C96" s="18" t="inlineStr"/>
      <c r="D96" s="18" t="inlineStr">
        <is>
          <t>Vitamin B12 1000 mcg IM</t>
        </is>
      </c>
      <c r="E96" s="18" t="inlineStr">
        <is>
          <t>Deferoxamine 500 mg SC</t>
        </is>
      </c>
      <c r="F96" s="18" t="inlineStr">
        <is>
          <t>Erythropoietin 4000 units SC</t>
        </is>
      </c>
      <c r="G96" s="18" t="inlineStr">
        <is>
          <t>Ferrous sulfate 300 mg TID</t>
        </is>
      </c>
      <c r="H96" s="18" t="inlineStr">
        <is>
          <t>Vitamin C 500 mg OD</t>
        </is>
      </c>
      <c r="I96" s="15" t="inlineStr">
        <is>
          <t>5</t>
        </is>
      </c>
      <c r="J96" s="18"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ข้อนี้ไม่ใช่คำตอบที่ถูกต้องสำหรับภาวะ Anemia เนื่องจากกลไกการออกฤทธิ์, efficacy หรือข้อบ่งใช้ไม่ตรงกับโจทย์ที่กำหนด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18" t="inlineStr"/>
      <c r="L96" s="18" t="inlineStr">
        <is>
          <t>Anemia</t>
        </is>
      </c>
      <c r="M96" s="18" t="inlineStr">
        <is>
          <t>Clinic</t>
        </is>
      </c>
      <c r="N96" s="18" t="inlineStr">
        <is>
          <t>ข้อ 5 (PLE_CC1_Key_Rx20_UBU.md)</t>
        </is>
      </c>
      <c r="O96" s="18" t="inlineStr">
        <is>
          <t>Mock</t>
        </is>
      </c>
      <c r="P96" s="18" t="inlineStr">
        <is>
          <t>Mock Rx20 UBU</t>
        </is>
      </c>
    </row>
    <row r="97">
      <c r="A97" s="15" t="inlineStr">
        <is>
          <t>95</t>
        </is>
      </c>
      <c r="B97" s="18" t="inlineStr">
        <is>
          <t>Ferrous sulfate 200 mg 1 tab tid 90</t>
        </is>
      </c>
      <c r="C97" s="18" t="inlineStr"/>
      <c r="D97" s="18" t="inlineStr">
        <is>
          <t>Ferrous sulfate 300 mg TID</t>
        </is>
      </c>
      <c r="E97" s="18" t="inlineStr">
        <is>
          <t>Vitamin C 500 mg OD</t>
        </is>
      </c>
      <c r="F97" s="18" t="inlineStr">
        <is>
          <t>Pyridoxine 50 mg OD</t>
        </is>
      </c>
      <c r="G97" s="18" t="inlineStr">
        <is>
          <t>Hydroxyurea 500 mg OD</t>
        </is>
      </c>
      <c r="H97" s="18" t="inlineStr">
        <is>
          <t>Blood transfusion (Packed Red Cells)</t>
        </is>
      </c>
      <c r="I97" s="15" t="inlineStr">
        <is>
          <t>1</t>
        </is>
      </c>
      <c r="J97" s="18"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18" t="inlineStr"/>
      <c r="L97" s="18" t="inlineStr">
        <is>
          <t>Anemia</t>
        </is>
      </c>
      <c r="M97" s="18" t="inlineStr">
        <is>
          <t>Clinic</t>
        </is>
      </c>
      <c r="N97" s="18" t="inlineStr">
        <is>
          <t>ข้อ 5 (PLE_CC1_Key_Rx20_UBU.md)</t>
        </is>
      </c>
      <c r="O97" s="18" t="inlineStr">
        <is>
          <t>Mock</t>
        </is>
      </c>
      <c r="P97" s="18" t="inlineStr">
        <is>
          <t>Mock Rx20 UBU</t>
        </is>
      </c>
    </row>
    <row r="98">
      <c r="A98" s="15" t="inlineStr">
        <is>
          <t>96</t>
        </is>
      </c>
      <c r="B98" s="18" t="inlineStr">
        <is>
          <t>Hb &lt; 13 หรือ Hct &lt; 41% ในผู้ชาย</t>
        </is>
      </c>
      <c r="C98" s="18" t="inlineStr"/>
      <c r="D98" s="18" t="inlineStr">
        <is>
          <t>Hydroxyurea 500 mg OD</t>
        </is>
      </c>
      <c r="E98" s="18" t="inlineStr">
        <is>
          <t>Blood transfusion (Packed Red Cells)</t>
        </is>
      </c>
      <c r="F98" s="18" t="inlineStr">
        <is>
          <t>Ferrous fumarate 200 mg TID</t>
        </is>
      </c>
      <c r="G98" s="18" t="inlineStr">
        <is>
          <t>Folic acid 5 mg OD</t>
        </is>
      </c>
      <c r="H98" s="18" t="inlineStr">
        <is>
          <t>Vitamin B12 1000 mcg IM</t>
        </is>
      </c>
      <c r="I98" s="15" t="inlineStr">
        <is>
          <t>1</t>
        </is>
      </c>
      <c r="J98" s="18"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18" t="inlineStr"/>
      <c r="L98" s="18" t="inlineStr">
        <is>
          <t>Anemia</t>
        </is>
      </c>
      <c r="M98" s="18" t="inlineStr">
        <is>
          <t>Clinic</t>
        </is>
      </c>
      <c r="N98" s="18" t="inlineStr">
        <is>
          <t>ข้อ 1 (PLE_CC1_Key_Rx20_UBU.md)</t>
        </is>
      </c>
      <c r="O98" s="18" t="inlineStr">
        <is>
          <t>Mock</t>
        </is>
      </c>
      <c r="P98" s="18" t="inlineStr">
        <is>
          <t>Mock Rx20 UBU</t>
        </is>
      </c>
    </row>
    <row r="99">
      <c r="A99" s="15" t="inlineStr">
        <is>
          <t>97</t>
        </is>
      </c>
      <c r="B99" s="18"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18" t="inlineStr"/>
      <c r="D99" s="18" t="inlineStr">
        <is>
          <t>เหนื่อย</t>
        </is>
      </c>
      <c r="E99" s="18" t="inlineStr">
        <is>
          <t>ใจสั่น</t>
        </is>
      </c>
      <c r="F99" s="18" t="inlineStr">
        <is>
          <t>ชาปลายเท้า</t>
        </is>
      </c>
      <c r="G99" s="18" t="inlineStr">
        <is>
          <t>ปวดศีรษะ</t>
        </is>
      </c>
      <c r="H99" s="18"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15" t="inlineStr">
        <is>
          <t>2</t>
        </is>
      </c>
      <c r="J99" s="18"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ข้อนี้ไม่ใช่คำตอบที่ถูกต้องสำหรับภาวะ Anemia เนื่องจากกลไกการออกฤทธิ์, efficacy หรือข้อบ่งใช้ไม่ตรงกับโจทย์ที่กำหนด
• ข้อ ค. (ชาปลายเท้า): ข้อนี้ไม่ใช่คำตอบที่ถูกต้องสำหรับภาวะ Anemia เนื่องจากกลไกการออกฤทธิ์, efficacy หรือข้อบ่งใช้ไม่ตรงกับโจทย์ที่กำหนด
• ข้อ ง. (ปวดศีรษะ): ข้อนี้ไม่ใช่คำตอบที่ถูกต้องสำหรับภาวะ Anemia เนื่องจากกลไกการออกฤทธิ์, efficacy หรือข้อบ่งใช้ไม่ตรงกับโจทย์ที่กำหนด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18" t="inlineStr"/>
      <c r="L99" s="18" t="inlineStr">
        <is>
          <t>Anemia</t>
        </is>
      </c>
      <c r="M99" s="18" t="inlineStr">
        <is>
          <t>Clinic</t>
        </is>
      </c>
      <c r="N99" s="18" t="inlineStr">
        <is>
          <t>ข้อ 4 (PLE_CC1_Key_Rx20_UBU.md)</t>
        </is>
      </c>
      <c r="O99" s="18" t="inlineStr">
        <is>
          <t>Mock</t>
        </is>
      </c>
      <c r="P99" s="18" t="inlineStr">
        <is>
          <t>Mock Rx20 UBU</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20"/>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1</t>
        </is>
      </c>
      <c r="B3" s="18"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18" t="inlineStr"/>
      <c r="D3" s="18" t="inlineStr">
        <is>
          <t>HRIG คู่กับ tetanus วัคซีน</t>
        </is>
      </c>
      <c r="E3" s="18" t="inlineStr">
        <is>
          <t>ERIG คู่กับ tetanus วัคซีน</t>
        </is>
      </c>
      <c r="F3" s="18" t="inlineStr">
        <is>
          <t>HRIG คู่กับ pertussis วัคซีน</t>
        </is>
      </c>
      <c r="G3" s="18" t="inlineStr">
        <is>
          <t>HRIG คู่กับ ERIG</t>
        </is>
      </c>
      <c r="H3" s="18" t="inlineStr">
        <is>
          <t>ไม่ต้องฉีดเพิ่มแล้ว</t>
        </is>
      </c>
      <c r="I3" s="15" t="inlineStr">
        <is>
          <t>1</t>
        </is>
      </c>
      <c r="J3" s="18"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ข้อนี้ไม่ใช่คำตอบที่ถูกต้องสำหรับภาวะ EPI Vaccines เนื่องจากกลไกการออกฤทธิ์, efficacy หรือข้อบ่งใช้ไม่ตรงกับโจทย์ที่กำหนด
• ข้อ ค. (HRIG คู่กับ pertussis วัคซีน): ข้อนี้ไม่ใช่คำตอบที่ถูกต้องสำหรับภาวะ EPI Vaccines เนื่องจากกลไกการออกฤทธิ์, efficacy หรือข้อบ่งใช้ไม่ตรงกับโจทย์ที่กำหนด
• ข้อ ง. (HRIG คู่กับ ERIG): ข้อนี้ไม่ใช่คำตอบที่ถูกต้องสำหรับภาวะ EPI Vaccines เนื่องจากกลไกการออกฤทธิ์, efficacy หรือข้อบ่งใช้ไม่ตรงกับโจทย์ที่กำหนด
• ข้อ จ. (ไม่ต้องฉีดเพิ่มแล้ว):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8" t="inlineStr"/>
      <c r="L3" s="18" t="inlineStr">
        <is>
          <t>EPI Vaccines</t>
        </is>
      </c>
      <c r="M3" s="18" t="inlineStr">
        <is>
          <t>Clinic</t>
        </is>
      </c>
      <c r="N3" s="18" t="inlineStr">
        <is>
          <t>ข้อ 1 ชุด 1 (เฉลยข้อ ก ข)</t>
        </is>
      </c>
      <c r="O3" s="18" t="inlineStr">
        <is>
          <t>Mock</t>
        </is>
      </c>
      <c r="P3" s="18" t="inlineStr">
        <is>
          <t>ชุด 1</t>
        </is>
      </c>
    </row>
    <row r="4">
      <c r="A4" s="15" t="inlineStr">
        <is>
          <t>2</t>
        </is>
      </c>
      <c r="B4" s="18" t="inlineStr">
        <is>
          <t>วัคซีนพิษสุนัขบ้าเป็นเชื้อชนิดใด</t>
        </is>
      </c>
      <c r="C4" s="18" t="inlineStr"/>
      <c r="D4" s="18" t="inlineStr">
        <is>
          <t>Live attenuated vaccine</t>
        </is>
      </c>
      <c r="E4" s="18" t="inlineStr">
        <is>
          <t>Toxoids</t>
        </is>
      </c>
      <c r="F4" s="18" t="inlineStr">
        <is>
          <t>Killed vaccine</t>
        </is>
      </c>
      <c r="G4" s="18" t="inlineStr">
        <is>
          <t>Subunit</t>
        </is>
      </c>
      <c r="H4" s="18" t="inlineStr">
        <is>
          <t>Immunoglobulin</t>
        </is>
      </c>
      <c r="I4" s="15" t="inlineStr">
        <is>
          <t>1</t>
        </is>
      </c>
      <c r="J4" s="18"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ข้อนี้ไม่ใช่คำตอบที่ถูกต้องสำหรับภาวะ EPI Vaccines เนื่องจากกลไกการออกฤทธิ์, efficacy หรือข้อบ่งใช้ไม่ตรงกับโจทย์ที่กำหนด
• ข้อ ค. (Killed vaccine): ข้อนี้ไม่ใช่คำตอบที่ถูกต้องสำหรับภาวะ EPI Vaccines เนื่องจากกลไกการออกฤทธิ์, efficacy หรือข้อบ่งใช้ไม่ตรงกับโจทย์ที่กำหนด
• ข้อ ง. (Subunit): ข้อนี้ไม่ใช่คำตอบที่ถูกต้องสำหรับภาวะ EPI Vaccines เนื่องจากกลไกการออกฤทธิ์, efficacy หรือข้อบ่งใช้ไม่ตรงกับโจทย์ที่กำหนด
• ข้อ จ. (Immunoglobulin):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8" t="inlineStr"/>
      <c r="L4" s="18" t="inlineStr">
        <is>
          <t>EPI Vaccines</t>
        </is>
      </c>
      <c r="M4" s="18" t="inlineStr">
        <is>
          <t>Clinic</t>
        </is>
      </c>
      <c r="N4" s="18" t="inlineStr">
        <is>
          <t>ข้อ 2 ชุด 1 (เฉลยข้อ ก)</t>
        </is>
      </c>
      <c r="O4" s="18" t="inlineStr">
        <is>
          <t>Mock</t>
        </is>
      </c>
      <c r="P4" s="18" t="inlineStr">
        <is>
          <t>ชุด 1</t>
        </is>
      </c>
    </row>
    <row r="5">
      <c r="A5" s="15" t="inlineStr">
        <is>
          <t>3</t>
        </is>
      </c>
      <c r="B5" s="18" t="inlineStr">
        <is>
          <t>แม่ต้องพาลูกมาฉีดกี่ครั้ง</t>
        </is>
      </c>
      <c r="C5" s="18" t="inlineStr"/>
      <c r="D5" s="18" t="inlineStr">
        <is>
          <t>Montelukast 10 mg HS</t>
        </is>
      </c>
      <c r="E5" s="18" t="inlineStr">
        <is>
          <t>Hydroxyzine 25 mg HS</t>
        </is>
      </c>
      <c r="F5" s="18" t="inlineStr">
        <is>
          <t>Diphenhydramine 25 mg IV</t>
        </is>
      </c>
      <c r="G5" s="18" t="inlineStr">
        <is>
          <t>Cetirizine 10 mg OD</t>
        </is>
      </c>
      <c r="H5" s="18" t="inlineStr">
        <is>
          <t>Loratadine 10 mg OD</t>
        </is>
      </c>
      <c r="I5" s="15" t="inlineStr">
        <is>
          <t>4</t>
        </is>
      </c>
      <c r="J5" s="18"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ข. (Hydroxyzine 25 mg HS): ข้อนี้ไม่ใช่คำตอบที่ถูกต้องสำหรับภาวะ EPI Vaccines เนื่องจากกลไกการออกฤทธิ์, efficacy หรือข้อบ่งใช้ไม่ตรงกับโจทย์ที่กำหนด
• ข้อ ค. (Diphenhydramine 25 mg IV): ข้อนี้ไม่ใช่คำตอบที่ถูกต้องสำหรับภาวะ EPI Vaccines เนื่องจากกลไกการออกฤทธิ์, efficacy หรือข้อบ่งใช้ไม่ตรงกับโจทย์ที่กำหนด
• ข้อ จ. (Loratadine 10 mg OD):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8" t="inlineStr"/>
      <c r="L5" s="18" t="inlineStr">
        <is>
          <t>EPI Vaccines</t>
        </is>
      </c>
      <c r="M5" s="18" t="inlineStr">
        <is>
          <t>Clinic</t>
        </is>
      </c>
      <c r="N5" s="18" t="inlineStr">
        <is>
          <t>ข้อ 3 ชุด 1 (เฉลยข้อ ง)</t>
        </is>
      </c>
      <c r="O5" s="18" t="inlineStr">
        <is>
          <t>Mock</t>
        </is>
      </c>
      <c r="P5" s="18" t="inlineStr">
        <is>
          <t>ชุด 1</t>
        </is>
      </c>
    </row>
    <row r="6">
      <c r="A6" s="15" t="inlineStr">
        <is>
          <t>4</t>
        </is>
      </c>
      <c r="B6" s="18" t="inlineStr">
        <is>
          <t>ถ้าครั้งที่ 2 ของการฉีดวัคซีน เด็กไม่สามารถมาตามตารางนัดได้ ข้อใดสามารถทำได้เพื่อให้เด็กมีภูมิคุ้มกันอยู่</t>
        </is>
      </c>
      <c r="C6" s="18" t="inlineStr"/>
      <c r="D6" s="18" t="inlineStr">
        <is>
          <t>ให้มารับการฉีดวัคซีนก่อนกำหนด 1 วัน</t>
        </is>
      </c>
      <c r="E6" s="18" t="inlineStr">
        <is>
          <t>ให้มารับการฉีดวัคซีนครั้งที่ 3 แทน</t>
        </is>
      </c>
      <c r="F6" s="18" t="inlineStr">
        <is>
          <t>เริ่มต้นการฉีดวัคซีนใหม่</t>
        </is>
      </c>
      <c r="G6" s="18" t="inlineStr">
        <is>
          <t>ให้มารับการฉีดวัคซีนหลังกำหนดให้เร็วที่สุด</t>
        </is>
      </c>
      <c r="H6" s="18" t="inlineStr">
        <is>
          <t>ให้มารับการฉีดวัคซีนหลังกำหนด 5 วัน</t>
        </is>
      </c>
      <c r="I6" s="15" t="inlineStr">
        <is>
          <t>4</t>
        </is>
      </c>
      <c r="J6" s="18"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ข้อนี้ไม่ใช่คำตอบที่ถูกต้องสำหรับภาวะ EPI Vaccines เนื่องจากกลไกการออกฤทธิ์, efficacy หรือข้อบ่งใช้ไม่ตรงกับโจทย์ที่กำหนด
• ข้อ ข. (ให้มารับการฉีดวัคซีนครั้งที่ 3 แทน): ข้อนี้ไม่ใช่คำตอบที่ถูกต้องสำหรับภาวะ EPI Vaccines เนื่องจากกลไกการออกฤทธิ์, efficacy หรือข้อบ่งใช้ไม่ตรงกับโจทย์ที่กำหนด
• ข้อ ค. (เริ่มต้นการฉีดวัคซีนใหม่): ข้อนี้ไม่ใช่คำตอบที่ถูกต้องสำหรับภาวะ EPI Vaccines เนื่องจากกลไกการออกฤทธิ์, efficacy หรือข้อบ่งใช้ไม่ตรงกับโจทย์ที่กำหนด
• ข้อ จ. (ให้มารับการฉีดวัคซีนหลังกำหนด 5 วัน):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8" t="inlineStr"/>
      <c r="L6" s="18" t="inlineStr">
        <is>
          <t>EPI Vaccines</t>
        </is>
      </c>
      <c r="M6" s="18" t="inlineStr">
        <is>
          <t>Clinic</t>
        </is>
      </c>
      <c r="N6" s="18" t="inlineStr">
        <is>
          <t>ข้อ 4 ชุด 1 (เฉลยข้อ ง)</t>
        </is>
      </c>
      <c r="O6" s="18" t="inlineStr">
        <is>
          <t>Mock</t>
        </is>
      </c>
      <c r="P6" s="18" t="inlineStr">
        <is>
          <t>ชุด 1</t>
        </is>
      </c>
    </row>
    <row r="7">
      <c r="A7" s="15" t="inlineStr">
        <is>
          <t>5</t>
        </is>
      </c>
      <c r="B7" s="18"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8" t="inlineStr"/>
      <c r="D7" s="18" t="inlineStr">
        <is>
          <t>ฉีดใหม่ทั้งชุด 5 เข็ม</t>
        </is>
      </c>
      <c r="E7" s="18" t="inlineStr">
        <is>
          <t>ไม่ต้องฉีดวัคซีน</t>
        </is>
      </c>
      <c r="F7" s="18" t="inlineStr">
        <is>
          <t>ฉีดซ้ำใหม่เพียงหนึ่งเข็ม</t>
        </is>
      </c>
      <c r="G7" s="18" t="inlineStr">
        <is>
          <t>ฉีดวัคซีนอีกสองเข็ม</t>
        </is>
      </c>
      <c r="H7" s="18" t="inlineStr">
        <is>
          <t>แล้วแต่กรณี</t>
        </is>
      </c>
      <c r="I7" s="15" t="inlineStr">
        <is>
          <t>3</t>
        </is>
      </c>
      <c r="J7" s="18"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ข้อนี้ไม่ใช่คำตอบที่ถูกต้องสำหรับภาวะ EPI Vaccines เนื่องจากกลไกการออกฤทธิ์, efficacy หรือข้อบ่งใช้ไม่ตรงกับโจทย์ที่กำหนด
• ข้อ ข. (ไม่ต้องฉีดวัคซีน): ข้อนี้ไม่ใช่คำตอบที่ถูกต้องสำหรับภาวะ EPI Vaccines เนื่องจากกลไกการออกฤทธิ์, efficacy หรือข้อบ่งใช้ไม่ตรงกับโจทย์ที่กำหนด
• ข้อ ง. (ฉีดวัคซีนอีกสองเข็ม): ข้อนี้ไม่ใช่คำตอบที่ถูกต้องสำหรับภาวะ EPI Vaccines เนื่องจากกลไกการออกฤทธิ์, efficacy หรือข้อบ่งใช้ไม่ตรงกับโจทย์ที่กำหนด
• ข้อ จ. (แล้วแต่กรณี):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8" t="inlineStr"/>
      <c r="L7" s="18" t="inlineStr">
        <is>
          <t>EPI Vaccines</t>
        </is>
      </c>
      <c r="M7" s="18" t="inlineStr">
        <is>
          <t>Clinic</t>
        </is>
      </c>
      <c r="N7" s="18" t="inlineStr">
        <is>
          <t>ข้อ 5 ชุด 1 (เฉลยข้อ ค)</t>
        </is>
      </c>
      <c r="O7" s="18" t="inlineStr">
        <is>
          <t>Mock</t>
        </is>
      </c>
      <c r="P7" s="18" t="inlineStr">
        <is>
          <t>ชุด 1</t>
        </is>
      </c>
    </row>
    <row r="8">
      <c r="A8" s="15" t="inlineStr">
        <is>
          <t>6</t>
        </is>
      </c>
      <c r="B8" s="18" t="inlineStr">
        <is>
          <t>ข้อใดผิดเกี่ยวกับชีววัตถุ</t>
        </is>
      </c>
      <c r="C8" s="18" t="inlineStr"/>
      <c r="D8" s="18" t="inlineStr">
        <is>
          <t>เป็นวัตถุที่สังเคราะห์ทางเคมีได้ง่าย</t>
        </is>
      </c>
      <c r="E8" s="18" t="inlineStr">
        <is>
          <t>ตัวอย่างของชีววัตถุ คือ antitoxins , bacterial vaccines , blood products , hormone extracts</t>
        </is>
      </c>
      <c r="F8" s="18" t="inlineStr">
        <is>
          <t>Insulin จัดเป็นชีววัตถุ</t>
        </is>
      </c>
      <c r="G8" s="18" t="inlineStr">
        <is>
          <t>วัตถุที่ได้จากสิ่งมีชีวิตและใช้สำหรับป้องกันหรือรักษาโรค</t>
        </is>
      </c>
      <c r="H8" s="18" t="inlineStr">
        <is>
          <t>ไม่มีข้อผิด</t>
        </is>
      </c>
      <c r="I8" s="15" t="inlineStr">
        <is>
          <t>1</t>
        </is>
      </c>
      <c r="J8" s="18"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ข้อนี้ไม่ใช่คำตอบที่ถูกต้องสำหรับภาวะ Allergic rhinitis เนื่องจากกลไกการออกฤทธิ์, efficacy หรือข้อบ่งใช้ไม่ตรงกับโจทย์ที่กำหนด
• ข้อ ค. (Insulin จัดเป็นชีววัตถุ): ข้อนี้ไม่ใช่คำตอบที่ถูกต้องสำหรับภาวะ Allergic rhinitis เนื่องจากกลไกการออกฤทธิ์, efficacy หรือข้อบ่งใช้ไม่ตรงกับโจทย์ที่กำหนด
• ข้อ ง. (วัตถุที่ได้จากสิ่งมีชีวิตและใช้สำหรับป้องกันหรือรักษาโรค): ข้อนี้ไม่ใช่คำตอบที่ถูกต้องสำหรับภาวะ Allergic rhinitis เนื่องจากกลไกการออกฤทธิ์, efficacy หรือข้อบ่งใช้ไม่ตรงกับโจทย์ที่กำหนด
• ข้อ จ. (ไม่มีข้อผิด):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8" t="inlineStr"/>
      <c r="L8" s="18" t="inlineStr">
        <is>
          <t>Allergic rhinitis</t>
        </is>
      </c>
      <c r="M8" s="18" t="inlineStr">
        <is>
          <t>Clinic</t>
        </is>
      </c>
      <c r="N8" s="18" t="inlineStr">
        <is>
          <t>ข้อ 6 ชุด 1 (เฉลยข้อ ก)</t>
        </is>
      </c>
      <c r="O8" s="18" t="inlineStr">
        <is>
          <t>Mock</t>
        </is>
      </c>
      <c r="P8" s="18" t="inlineStr">
        <is>
          <t>ชุด 1</t>
        </is>
      </c>
    </row>
    <row r="9">
      <c r="A9" s="15" t="inlineStr">
        <is>
          <t>7</t>
        </is>
      </c>
      <c r="B9" s="18" t="inlineStr">
        <is>
          <t>วัตถุประสงค์ในการเติม adjuvant คือข้อใด</t>
        </is>
      </c>
      <c r="C9" s="18" t="inlineStr"/>
      <c r="D9" s="18" t="inlineStr">
        <is>
          <t>เพื่อเพิ่มการละลาย</t>
        </is>
      </c>
      <c r="E9" s="18" t="inlineStr">
        <is>
          <t>ทำให้ไวรัสอ่อนฤทธิ์ลง</t>
        </is>
      </c>
      <c r="F9" s="18" t="inlineStr">
        <is>
          <t>เพื่อเพิ่มความคงตัว</t>
        </is>
      </c>
      <c r="G9" s="18" t="inlineStr">
        <is>
          <t>เพื่อเป็นสารต้านจุลชีพ</t>
        </is>
      </c>
      <c r="H9" s="18" t="inlineStr">
        <is>
          <t>เพื่อเพิ่มการตอบสนองต่อภูมิคุ้มกัน</t>
        </is>
      </c>
      <c r="I9" s="15" t="inlineStr">
        <is>
          <t>5</t>
        </is>
      </c>
      <c r="J9" s="18"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ข้อนี้ไม่ใช่คำตอบที่ถูกต้องสำหรับภาวะ EPI Vaccines เนื่องจากกลไกการออกฤทธิ์, efficacy หรือข้อบ่งใช้ไม่ตรงกับโจทย์ที่กำหนด
• ข้อ ข. (ทำให้ไวรัสอ่อนฤทธิ์ลง): ข้อนี้ไม่ใช่คำตอบที่ถูกต้องสำหรับภาวะ EPI Vaccines เนื่องจากกลไกการออกฤทธิ์, efficacy หรือข้อบ่งใช้ไม่ตรงกับโจทย์ที่กำหนด
• ข้อ ค. (เพื่อเพิ่มความคงตัว): ข้อนี้ไม่ใช่คำตอบที่ถูกต้องสำหรับภาวะ EPI Vaccines เนื่องจากกลไกการออกฤทธิ์, efficacy หรือข้อบ่งใช้ไม่ตรงกับโจทย์ที่กำหนด
• ข้อ ง. (เพื่อเป็นสารต้านจุลชีพ):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8" t="inlineStr"/>
      <c r="L9" s="18" t="inlineStr">
        <is>
          <t>EPI Vaccines</t>
        </is>
      </c>
      <c r="M9" s="18" t="inlineStr">
        <is>
          <t>Clinic</t>
        </is>
      </c>
      <c r="N9" s="18" t="inlineStr">
        <is>
          <t>ข้อ 7 ชุด 1 (เฉลยข้อ จ)</t>
        </is>
      </c>
      <c r="O9" s="18" t="inlineStr">
        <is>
          <t>Mock</t>
        </is>
      </c>
      <c r="P9" s="18" t="inlineStr">
        <is>
          <t>ชุด 1</t>
        </is>
      </c>
    </row>
    <row r="10">
      <c r="A10" s="15" t="inlineStr">
        <is>
          <t>8</t>
        </is>
      </c>
      <c r="B10" s="18" t="inlineStr">
        <is>
          <t>หากท่านเป็นเภสัชกรณ์ ท่านจะเก็บวัคซีนใดในช่องแช่แข็ง เพื่อเพิ่มอายุยาให้นานขึ้น</t>
        </is>
      </c>
      <c r="C10" s="18" t="inlineStr"/>
      <c r="D10" s="18" t="inlineStr">
        <is>
          <t>DTP</t>
        </is>
      </c>
      <c r="E10" s="18" t="inlineStr">
        <is>
          <t>OPV</t>
        </is>
      </c>
      <c r="F10" s="18" t="inlineStr">
        <is>
          <t>HBV</t>
        </is>
      </c>
      <c r="G10" s="18" t="inlineStr">
        <is>
          <t>Typhoid vaccine</t>
        </is>
      </c>
      <c r="H10" s="18" t="inlineStr">
        <is>
          <t>Rabies vaccine</t>
        </is>
      </c>
      <c r="I10" s="15" t="inlineStr">
        <is>
          <t>2</t>
        </is>
      </c>
      <c r="J10" s="18"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วัคซีนรวมคอตีบ-บาดทะยัก ฉีดกระตุ้นทุก 10 ปี หรือใช้ในหญิงตั้งครรภ์และผู้ใหญ่
• ข้อ ค. (HBV): ข้อนี้ไม่ใช่คำตอบที่ถูกต้องสำหรับภาวะ EPI Vaccines เนื่องจากกลไกการออกฤทธิ์, efficacy หรือข้อบ่งใช้ไม่ตรงกับโจทย์ที่กำหนด
• ข้อ ง. (Typhoid vaccine): ข้อนี้ไม่ใช่คำตอบที่ถูกต้องสำหรับภาวะ EPI Vaccines เนื่องจากกลไกการออกฤทธิ์, efficacy หรือข้อบ่งใช้ไม่ตรงกับโจทย์ที่กำหนด
• ข้อ จ. (Rabies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8" t="inlineStr"/>
      <c r="L10" s="18" t="inlineStr">
        <is>
          <t>EPI Vaccines</t>
        </is>
      </c>
      <c r="M10" s="18" t="inlineStr">
        <is>
          <t>Clinic</t>
        </is>
      </c>
      <c r="N10" s="18" t="inlineStr">
        <is>
          <t>ข้อ 8 ชุด 1 (เฉลยข้อ ข)</t>
        </is>
      </c>
      <c r="O10" s="18" t="inlineStr">
        <is>
          <t>Mock</t>
        </is>
      </c>
      <c r="P10" s="18" t="inlineStr">
        <is>
          <t>ชุด 1</t>
        </is>
      </c>
    </row>
    <row r="11">
      <c r="A11" s="15" t="inlineStr">
        <is>
          <t>9</t>
        </is>
      </c>
      <c r="B11" s="18" t="inlineStr">
        <is>
          <t>ข้อใดไม่ใช่ live-attenuated vaccine</t>
        </is>
      </c>
      <c r="C11" s="18" t="inlineStr"/>
      <c r="D11" s="18" t="inlineStr">
        <is>
          <t>BCG</t>
        </is>
      </c>
      <c r="E11" s="18" t="inlineStr">
        <is>
          <t>MMR</t>
        </is>
      </c>
      <c r="F11" s="18" t="inlineStr">
        <is>
          <t>DTP</t>
        </is>
      </c>
      <c r="G11" s="18" t="inlineStr">
        <is>
          <t>Varicella vaccine</t>
        </is>
      </c>
      <c r="H11" s="18" t="inlineStr">
        <is>
          <t>Polio</t>
        </is>
      </c>
      <c r="I11" s="15" t="inlineStr">
        <is>
          <t>3</t>
        </is>
      </c>
      <c r="J11" s="18"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เป็น live attenuated vaccine ฉีด ID ตั้งแต่แรกเกิด (at birth) ป้องกัน severe forms of TB (TB meningitis และ miliary TB)
• ข้อ ข. (MMR): เป็น Live attenuated vaccine รวมหัด-คางทูม-หัดเยอรมัน ให้เข็มที่ 1 ที่อายุ 9-12 เดือน และเข็มที่ 2 ที่ 18 เดือน (contraindication ในหญิงตั้งครรภ์)
• ข้อ ง. (Varicella vaccine): ข้อนี้ไม่ใช่คำตอบที่ถูกต้องสำหรับภาวะ Hypersensitivity เนื่องจากกลไกการออกฤทธิ์, efficacy หรือข้อบ่งใช้ไม่ตรงกับโจทย์ที่กำหนด
• ข้อ จ. (Polio): ข้อนี้ไม่ใช่คำตอบที่ถูกต้องสำหรับภาวะ Hypersensitivity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8" t="inlineStr"/>
      <c r="L11" s="18" t="inlineStr">
        <is>
          <t>Hypersensitivity</t>
        </is>
      </c>
      <c r="M11" s="18" t="inlineStr">
        <is>
          <t>Clinic</t>
        </is>
      </c>
      <c r="N11" s="18" t="inlineStr">
        <is>
          <t>ข้อ 9 ชุด 1 (เฉลยข้อ ค)</t>
        </is>
      </c>
      <c r="O11" s="18" t="inlineStr">
        <is>
          <t>Mock</t>
        </is>
      </c>
      <c r="P11" s="18" t="inlineStr">
        <is>
          <t>ชุด 1</t>
        </is>
      </c>
    </row>
    <row r="12">
      <c r="A12" s="15" t="inlineStr">
        <is>
          <t>10</t>
        </is>
      </c>
      <c r="B12" s="18" t="inlineStr">
        <is>
          <t>วัคซีนใดไม่ได้อยู่ในโปรแกรมเสริมสร้างภูมิคุ้มกัน</t>
        </is>
      </c>
      <c r="C12" s="18" t="inlineStr"/>
      <c r="D12" s="18" t="inlineStr">
        <is>
          <t>หัด</t>
        </is>
      </c>
      <c r="E12" s="18" t="inlineStr">
        <is>
          <t>คางทูม</t>
        </is>
      </c>
      <c r="F12" s="18" t="inlineStr">
        <is>
          <t>โปลิโอ</t>
        </is>
      </c>
      <c r="G12" s="18" t="inlineStr">
        <is>
          <t>อีสุกอีใส</t>
        </is>
      </c>
      <c r="H12" s="18" t="inlineStr">
        <is>
          <t>บาดทะยัก</t>
        </is>
      </c>
      <c r="I12" s="15" t="inlineStr">
        <is>
          <t>4</t>
        </is>
      </c>
      <c r="J12" s="18"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ข้อนี้ไม่ใช่คำตอบที่ถูกต้องสำหรับภาวะ EPI Vaccines เนื่องจากกลไกการออกฤทธิ์, efficacy หรือข้อบ่งใช้ไม่ตรงกับโจทย์ที่กำหนด
• ข้อ ข. (คางทูม): ข้อนี้ไม่ใช่คำตอบที่ถูกต้องสำหรับภาวะ EPI Vaccines เนื่องจากกลไกการออกฤทธิ์, efficacy หรือข้อบ่งใช้ไม่ตรงกับโจทย์ที่กำหนด
• ข้อ ค. (โปลิโอ): ข้อนี้ไม่ใช่คำตอบที่ถูกต้องสำหรับภาวะ EPI Vaccines เนื่องจากกลไกการออกฤทธิ์, efficacy หรือข้อบ่งใช้ไม่ตรงกับโจทย์ที่กำหนด
• ข้อ จ. (บาดทะยัก):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8" t="inlineStr"/>
      <c r="L12" s="18" t="inlineStr">
        <is>
          <t>EPI Vaccines</t>
        </is>
      </c>
      <c r="M12" s="18" t="inlineStr">
        <is>
          <t>Clinic</t>
        </is>
      </c>
      <c r="N12" s="18" t="inlineStr">
        <is>
          <t>ข้อ 10 ชุด 1 (เฉลยข้อ ง)</t>
        </is>
      </c>
      <c r="O12" s="18" t="inlineStr">
        <is>
          <t>Mock</t>
        </is>
      </c>
      <c r="P12" s="18" t="inlineStr">
        <is>
          <t>ชุด 1</t>
        </is>
      </c>
    </row>
    <row r="13">
      <c r="A13" s="15" t="inlineStr">
        <is>
          <t>11</t>
        </is>
      </c>
      <c r="B13" s="18"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8" t="inlineStr"/>
      <c r="D13" s="18" t="inlineStr">
        <is>
          <t>BCG และ HBV</t>
        </is>
      </c>
      <c r="E13" s="18" t="inlineStr">
        <is>
          <t>BCG และ OPV</t>
        </is>
      </c>
      <c r="F13" s="18" t="inlineStr">
        <is>
          <t>OPV และ MMR</t>
        </is>
      </c>
      <c r="G13" s="18" t="inlineStr">
        <is>
          <t>HBV และ MMR</t>
        </is>
      </c>
      <c r="H13" s="18" t="inlineStr">
        <is>
          <t>DTP และ OPV</t>
        </is>
      </c>
      <c r="I13" s="15" t="inlineStr">
        <is>
          <t>1</t>
        </is>
      </c>
      <c r="J13" s="18"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8" t="inlineStr"/>
      <c r="L13" s="18" t="inlineStr">
        <is>
          <t>EPI Vaccines</t>
        </is>
      </c>
      <c r="M13" s="18" t="inlineStr">
        <is>
          <t>Clinic</t>
        </is>
      </c>
      <c r="N13" s="18" t="inlineStr">
        <is>
          <t>ข้อ 11 ชุด 1 (เฉลยข้อ ก)</t>
        </is>
      </c>
      <c r="O13" s="18" t="inlineStr">
        <is>
          <t>Mock</t>
        </is>
      </c>
      <c r="P13" s="18" t="inlineStr">
        <is>
          <t>ชุด 1</t>
        </is>
      </c>
    </row>
    <row r="14">
      <c r="A14" s="15" t="inlineStr">
        <is>
          <t>12</t>
        </is>
      </c>
      <c r="B14" s="18"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18" t="inlineStr"/>
      <c r="D14" s="18" t="inlineStr">
        <is>
          <t>IPV vaccine</t>
        </is>
      </c>
      <c r="E14" s="18" t="inlineStr">
        <is>
          <t>MMR vaccine</t>
        </is>
      </c>
      <c r="F14" s="18" t="inlineStr">
        <is>
          <t>HBV vaccine</t>
        </is>
      </c>
      <c r="G14" s="18" t="inlineStr">
        <is>
          <t>Haemophilus influenzae B vaccine</t>
        </is>
      </c>
      <c r="H14" s="18" t="inlineStr">
        <is>
          <t>Japanese encephalitis vaccine</t>
        </is>
      </c>
      <c r="I14" s="15" t="inlineStr">
        <is>
          <t>2</t>
        </is>
      </c>
      <c r="J14" s="18"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เป็น Inactivated polio vaccine ชนิดฉีด ให้ที่อายุ 2 เดือน และ 4 เดือน เพื่อลดความเสี่ยง Vaccine-Associated Paralytic Poliomyelitis (VAPP)
• ข้อ ค. (HBV vaccine): ข้อนี้ไม่ใช่คำตอบที่ถูกต้องสำหรับภาวะ EPI Vaccines เนื่องจากกลไกการออกฤทธิ์, efficacy หรือข้อบ่งใช้ไม่ตรงกับโจทย์ที่กำหนด
• ข้อ ง. (Haemophilus influenzae B vaccine): วัคซีนไข้หวัดใหญ่ชนิด inactivated ฉีดปีละ 1 ครั้ง ในกลุ่มเสี่ยง 7 กลุ่มโรคเรื้อรัง และเด็กอายุ 6 เดือน - 2 ปี
• ข้อ จ. (Japanese encephalitis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8" t="inlineStr"/>
      <c r="L14" s="18" t="inlineStr">
        <is>
          <t>EPI Vaccines</t>
        </is>
      </c>
      <c r="M14" s="18" t="inlineStr">
        <is>
          <t>Clinic</t>
        </is>
      </c>
      <c r="N14" s="18" t="inlineStr">
        <is>
          <t>ข้อ 12 ชุด 1 (เฉลยข้อ ข)</t>
        </is>
      </c>
      <c r="O14" s="18" t="inlineStr">
        <is>
          <t>Mock</t>
        </is>
      </c>
      <c r="P14" s="18" t="inlineStr">
        <is>
          <t>ชุด 1</t>
        </is>
      </c>
    </row>
    <row r="15">
      <c r="A15" s="15" t="inlineStr">
        <is>
          <t>13</t>
        </is>
      </c>
      <c r="B15" s="18" t="inlineStr">
        <is>
          <t>ควรฉีดวัคซีนที่กล้ามเนื้อชนิดใด</t>
        </is>
      </c>
      <c r="C15" s="18" t="inlineStr"/>
      <c r="D15" s="18" t="inlineStr">
        <is>
          <t>Deltoid</t>
        </is>
      </c>
      <c r="E15" s="18" t="inlineStr">
        <is>
          <t>Gluteus maximus</t>
        </is>
      </c>
      <c r="F15" s="18" t="inlineStr">
        <is>
          <t>Gluteus medis</t>
        </is>
      </c>
      <c r="G15" s="18" t="inlineStr">
        <is>
          <t>Gastrocnemius</t>
        </is>
      </c>
      <c r="H15" s="18" t="inlineStr">
        <is>
          <t>Anterolateral</t>
        </is>
      </c>
      <c r="I15" s="15" t="inlineStr">
        <is>
          <t>1</t>
        </is>
      </c>
      <c r="J15" s="18"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ข้อนี้ไม่ใช่คำตอบที่ถูกต้องสำหรับภาวะ EPI Vaccines เนื่องจากกลไกการออกฤทธิ์, efficacy หรือข้อบ่งใช้ไม่ตรงกับโจทย์ที่กำหนด
• ข้อ ค. (Gluteus medis): ข้อนี้ไม่ใช่คำตอบที่ถูกต้องสำหรับภาวะ EPI Vaccines เนื่องจากกลไกการออกฤทธิ์, efficacy หรือข้อบ่งใช้ไม่ตรงกับโจทย์ที่กำหนด
• ข้อ ง. (Gastrocnemius): ข้อนี้ไม่ใช่คำตอบที่ถูกต้องสำหรับภาวะ EPI Vaccines เนื่องจากกลไกการออกฤทธิ์, efficacy หรือข้อบ่งใช้ไม่ตรงกับโจทย์ที่กำหนด
• ข้อ จ. (Anterolateral):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8" t="inlineStr"/>
      <c r="L15" s="18" t="inlineStr">
        <is>
          <t>EPI Vaccines</t>
        </is>
      </c>
      <c r="M15" s="18" t="inlineStr">
        <is>
          <t>Clinic</t>
        </is>
      </c>
      <c r="N15" s="18" t="inlineStr">
        <is>
          <t>ข้อ 13 ชุด 1 (เฉลยข้อ ก)</t>
        </is>
      </c>
      <c r="O15" s="18" t="inlineStr">
        <is>
          <t>Mock</t>
        </is>
      </c>
      <c r="P15" s="18" t="inlineStr">
        <is>
          <t>ชุด 1</t>
        </is>
      </c>
    </row>
    <row r="16">
      <c r="A16" s="15" t="inlineStr">
        <is>
          <t>14</t>
        </is>
      </c>
      <c r="B16" s="18" t="inlineStr">
        <is>
          <t>การฉีดวัคซีนกระตุ้นเข็มแรก จะมี antibody ชนิดใดเริ่มสร้างตัวแรก</t>
        </is>
      </c>
      <c r="C16" s="18" t="inlineStr"/>
      <c r="D16" s="18" t="inlineStr">
        <is>
          <t>Immunoglobulin A</t>
        </is>
      </c>
      <c r="E16" s="18" t="inlineStr">
        <is>
          <t>Immunoglobulin D</t>
        </is>
      </c>
      <c r="F16" s="18" t="inlineStr">
        <is>
          <t>Immunoglobulin E</t>
        </is>
      </c>
      <c r="G16" s="18" t="inlineStr">
        <is>
          <t>Immunoglobulin G</t>
        </is>
      </c>
      <c r="H16" s="18" t="inlineStr">
        <is>
          <t>Immunoglobulin M</t>
        </is>
      </c>
      <c r="I16" s="15" t="inlineStr">
        <is>
          <t>5</t>
        </is>
      </c>
      <c r="J16" s="18"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ข้อนี้ไม่ใช่คำตอบที่ถูกต้องสำหรับภาวะ EPI Vaccines เนื่องจากกลไกการออกฤทธิ์, efficacy หรือข้อบ่งใช้ไม่ตรงกับโจทย์ที่กำหนด
• ข้อ ข. (Immunoglobulin D): ข้อนี้ไม่ใช่คำตอบที่ถูกต้องสำหรับภาวะ EPI Vaccines เนื่องจากกลไกการออกฤทธิ์, efficacy หรือข้อบ่งใช้ไม่ตรงกับโจทย์ที่กำหนด
• ข้อ ค. (Immunoglobulin E): ข้อนี้ไม่ใช่คำตอบที่ถูกต้องสำหรับภาวะ EPI Vaccines เนื่องจากกลไกการออกฤทธิ์, efficacy หรือข้อบ่งใช้ไม่ตรงกับโจทย์ที่กำหนด
• ข้อ ง. (Immunoglobulin G):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8" t="inlineStr"/>
      <c r="L16" s="18" t="inlineStr">
        <is>
          <t>EPI Vaccines</t>
        </is>
      </c>
      <c r="M16" s="18" t="inlineStr">
        <is>
          <t>Clinic</t>
        </is>
      </c>
      <c r="N16" s="18" t="inlineStr">
        <is>
          <t>ข้อ 14 ชุด 1 (เฉลยข้อ จ)</t>
        </is>
      </c>
      <c r="O16" s="18" t="inlineStr">
        <is>
          <t>Mock</t>
        </is>
      </c>
      <c r="P16" s="18" t="inlineStr">
        <is>
          <t>ชุด 1</t>
        </is>
      </c>
    </row>
    <row r="17">
      <c r="A17" s="15" t="inlineStr">
        <is>
          <t>15</t>
        </is>
      </c>
      <c r="B17" s="18" t="inlineStr">
        <is>
          <t>ข้อใดผิดเกี่ยวกับการให้วัคซีนในเด็ก</t>
        </is>
      </c>
      <c r="C17" s="18" t="inlineStr"/>
      <c r="D17" s="18" t="inlineStr">
        <is>
          <t>วัคซีนที่มีชีวิตสามารถให้พร้อมกันในวันเดียวกันได้</t>
        </is>
      </c>
      <c r="E17" s="18" t="inlineStr">
        <is>
          <t>ถ้าฉีดวัคซีนในวันนัดไม่ได้ ให้มาก่อนจะได้กว่ามาฉีดช้ากว่ากำหนด</t>
        </is>
      </c>
      <c r="F17" s="18" t="inlineStr">
        <is>
          <t>วัคซีนชนิดกินเป็น IgA</t>
        </is>
      </c>
      <c r="G17" s="18" t="inlineStr">
        <is>
          <t>ถ้าเด็กเป็นไข้สูงยังไม่ฉีดวัคซีนให้ แต่ถ้าเป็นหวัด ไอ สามารถให้วัคซีนได้</t>
        </is>
      </c>
      <c r="H17" s="18" t="inlineStr">
        <is>
          <t>ในการฉีดวัคซีนครั้งที่ 2,3 สามารถเปลี่ยนยี่ห้อบริษัทอื่นได้ถ้าจำเป็น</t>
        </is>
      </c>
      <c r="I17" s="15" t="inlineStr">
        <is>
          <t>2</t>
        </is>
      </c>
      <c r="J17" s="18"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ข้อนี้ไม่ใช่คำตอบที่ถูกต้องสำหรับภาวะ EPI Vaccines เนื่องจากกลไกการออกฤทธิ์, efficacy หรือข้อบ่งใช้ไม่ตรงกับโจทย์ที่กำหนด
• ข้อ ค. (วัคซีนชนิดกินเป็น IgA): ข้อนี้ไม่ใช่คำตอบที่ถูกต้องสำหรับภาวะ EPI Vaccines เนื่องจากกลไกการออกฤทธิ์, efficacy หรือข้อบ่งใช้ไม่ตรงกับโจทย์ที่กำหนด
• ข้อ ง. (ถ้าเด็กเป็นไข้สูงยังไม่ฉีดวัคซีนให้ แต่ถ้าเป็นหวัด ไอ สามารถให้วัคซีนได้): ข้อนี้ไม่ใช่คำตอบที่ถูกต้องสำหรับภาวะ EPI Vaccines เนื่องจากกลไกการออกฤทธิ์, efficacy หรือข้อบ่งใช้ไม่ตรงกับโจทย์ที่กำหนด
• ข้อ จ. (ในการฉีดวัคซีนครั้งที่ 2,3 สามารถเปลี่ยนยี่ห้อบริษัทอื่นได้ถ้าจำเป็น):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8" t="inlineStr"/>
      <c r="L17" s="18" t="inlineStr">
        <is>
          <t>EPI Vaccines</t>
        </is>
      </c>
      <c r="M17" s="18" t="inlineStr">
        <is>
          <t>Clinic</t>
        </is>
      </c>
      <c r="N17" s="18" t="inlineStr">
        <is>
          <t>ข้อ 15 ชุด 1 (เฉลยข้อ ข ค)</t>
        </is>
      </c>
      <c r="O17" s="18" t="inlineStr">
        <is>
          <t>Mock</t>
        </is>
      </c>
      <c r="P17" s="18" t="inlineStr">
        <is>
          <t>ชุด 1</t>
        </is>
      </c>
    </row>
    <row r="18">
      <c r="A18" s="15" t="inlineStr">
        <is>
          <t>16</t>
        </is>
      </c>
      <c r="B18" s="18"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18" t="inlineStr"/>
      <c r="D18" s="18" t="inlineStr">
        <is>
          <t>ทำความสะอาดด้วย alcohol 70% วันละ 2 ครั้ง</t>
        </is>
      </c>
      <c r="E18" s="18" t="inlineStr">
        <is>
          <t>ไม่ต้องใส่ยาหรือปิดแผล ให้เช็ดด้วยสำลีชุบน้ำสะอาดก็เพียงพอ</t>
        </is>
      </c>
      <c r="F18" s="18" t="inlineStr">
        <is>
          <t>ใช้เข็มสะอาดเจาะฝีให้แตก แล้วทาด้วย povidone iodine วันละ 2 ครั้ง</t>
        </is>
      </c>
      <c r="G18" s="18" t="inlineStr">
        <is>
          <t>เมื่อฝีแตกให้เอาพาสเตอร์ปิดแผลไว้ เพื่อป้องกันแผลสกปรกและติดเชื้อ</t>
        </is>
      </c>
      <c r="H18" s="18" t="inlineStr">
        <is>
          <t>จ่ายยา cloxacillin syrup เพื่อรักษาฝี โดยให้รับประทานเป็นเวลา 1 สัปดาห์</t>
        </is>
      </c>
      <c r="I18" s="15" t="inlineStr">
        <is>
          <t>2</t>
        </is>
      </c>
      <c r="J18" s="18"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ข้อนี้ไม่ใช่คำตอบที่ถูกต้องสำหรับภาวะ EPI Vaccines เนื่องจากกลไกการออกฤทธิ์, efficacy หรือข้อบ่งใช้ไม่ตรงกับโจทย์ที่กำหนด
• ข้อ ค. (ใช้เข็มสะอาดเจาะฝีให้แตก แล้วทาด้วย povidone iodine วันละ 2 ครั้ง): เป็น Polyvinylpyrrolidone (PVP) ใช้เป็น Binder สำหรับ wet granulation ละลายได้ทั้งในน้ำและแอลกอฮอล์
• ข้อ ง. (เมื่อฝีแตกให้เอาพาสเตอร์ปิดแผลไว้ เพื่อป้องกันแผลสกปรกและติดเชื้อ): ข้อนี้ไม่ใช่คำตอบที่ถูกต้องสำหรับภาวะ EPI Vaccines เนื่องจากกลไกการออกฤทธิ์, efficacy หรือข้อบ่งใช้ไม่ตรงกับโจทย์ที่กำหนด
• ข้อ จ. (จ่ายยา cloxacillin syrup เพื่อรักษาฝี โดยให้รับประทานเป็นเวลา 1 สัปดาห์): เป็น penicillinase-resistant penicillin เป็น drug of choice สำหรับ Methicillin-Susceptible Staphylococcus aureus (MSSA) infections ต้องรับประทานตอนท้องว่าง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8" t="inlineStr"/>
      <c r="L18" s="18" t="inlineStr">
        <is>
          <t>EPI Vaccines</t>
        </is>
      </c>
      <c r="M18" s="18" t="inlineStr">
        <is>
          <t>Clinic</t>
        </is>
      </c>
      <c r="N18" s="18" t="inlineStr">
        <is>
          <t>ข้อ 16 ชุด 1 (เฉลยข้อ ข)</t>
        </is>
      </c>
      <c r="O18" s="18" t="inlineStr">
        <is>
          <t>Mock</t>
        </is>
      </c>
      <c r="P18" s="18" t="inlineStr">
        <is>
          <t>ชุด 1</t>
        </is>
      </c>
    </row>
    <row r="19">
      <c r="A19" s="15" t="inlineStr">
        <is>
          <t>17</t>
        </is>
      </c>
      <c r="B19" s="18"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18" t="inlineStr"/>
      <c r="D19" s="18" t="inlineStr">
        <is>
          <t>ต้องตั้งต้นฉีดเข็มที่ 1 ใหม่ เพราะเลยเวลานัดแล้ว</t>
        </is>
      </c>
      <c r="E19" s="18" t="inlineStr">
        <is>
          <t>ต้องตั้งต้นฉีดเข็มที่ 1 ใหม่ และเป็นวัคซีนคนละบริษัท</t>
        </is>
      </c>
      <c r="F19" s="18" t="inlineStr">
        <is>
          <t>สามารถฉีดเข็มที่ 2 ต่อได้เลย แต่ต้องไปฉีดที่โรงพยาบาลเดิมเพื่อที่จะได้รับวัคซีนของบริษัทเดิม</t>
        </is>
      </c>
      <c r="G19" s="18" t="inlineStr">
        <is>
          <t>สามารถฉีดเข็มที่ 2 ต่อได้เลย และวัคซีนคนละบริษัทสามารถใช้แทนกันได้</t>
        </is>
      </c>
      <c r="H19" s="18" t="inlineStr">
        <is>
          <t>ให้งดฉีดเข็มที่ 2 ไปเลย และให้ไปฉีดเข็มที่ 3 ตอนบุตรชายอายุ 6 เดือน</t>
        </is>
      </c>
      <c r="I19" s="15" t="inlineStr">
        <is>
          <t>4</t>
        </is>
      </c>
      <c r="J19" s="18"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ข้อนี้ไม่ใช่คำตอบที่ถูกต้องสำหรับภาวะ EPI Vaccines เนื่องจากกลไกการออกฤทธิ์, efficacy หรือข้อบ่งใช้ไม่ตรงกับโจทย์ที่กำหนด
• ข้อ ข. (ต้องตั้งต้นฉีดเข็มที่ 1 ใหม่ และเป็นวัคซีนคนละบริษัท): ข้อนี้ไม่ใช่คำตอบที่ถูกต้องสำหรับภาวะ EPI Vaccines เนื่องจากกลไกการออกฤทธิ์, efficacy หรือข้อบ่งใช้ไม่ตรงกับโจทย์ที่กำหนด
• ข้อ ค. (สามารถฉีดเข็มที่ 2 ต่อได้เลย แต่ต้องไปฉีดที่โรงพยาบาลเดิมเพื่อที่จะได้รับวัคซีนของบริษัทเดิม): ข้อนี้ไม่ใช่คำตอบที่ถูกต้องสำหรับภาวะ EPI Vaccines เนื่องจากกลไกการออกฤทธิ์, efficacy หรือข้อบ่งใช้ไม่ตรงกับโจทย์ที่กำหนด
• ข้อ จ. (ให้งดฉีดเข็มที่ 2 ไปเลย และให้ไปฉีดเข็มที่ 3 ตอนบุตรชายอายุ 6 เดือน):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8" t="inlineStr"/>
      <c r="L19" s="18" t="inlineStr">
        <is>
          <t>EPI Vaccines</t>
        </is>
      </c>
      <c r="M19" s="18" t="inlineStr">
        <is>
          <t>Clinic</t>
        </is>
      </c>
      <c r="N19" s="18" t="inlineStr">
        <is>
          <t>ข้อ 17 ชุด 1 (เฉลยข้อ ง)</t>
        </is>
      </c>
      <c r="O19" s="18" t="inlineStr">
        <is>
          <t>Mock</t>
        </is>
      </c>
      <c r="P19" s="18" t="inlineStr">
        <is>
          <t>ชุด 1</t>
        </is>
      </c>
    </row>
    <row r="20">
      <c r="A20" s="15" t="inlineStr">
        <is>
          <t>18</t>
        </is>
      </c>
      <c r="B20" s="18" t="inlineStr">
        <is>
          <t>วัคซีนชนิดใดมีวิธีการบริหารโดยให้ทางปาก</t>
        </is>
      </c>
      <c r="C20" s="18" t="inlineStr"/>
      <c r="D20" s="18" t="inlineStr">
        <is>
          <t>DTP</t>
        </is>
      </c>
      <c r="E20" s="18" t="inlineStr">
        <is>
          <t>HBV</t>
        </is>
      </c>
      <c r="F20" s="18" t="inlineStr">
        <is>
          <t>Hib</t>
        </is>
      </c>
      <c r="G20" s="18" t="inlineStr">
        <is>
          <t>OPV</t>
        </is>
      </c>
      <c r="H20" s="18" t="inlineStr">
        <is>
          <t>Influenza vaccine</t>
        </is>
      </c>
      <c r="I20" s="15" t="inlineStr">
        <is>
          <t>4</t>
        </is>
      </c>
      <c r="J20" s="18"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วัคซีนรวมคอตีบ-บาดทะยัก ฉีดกระตุ้นทุก 10 ปี หรือใช้ในหญิงตั้งครรภ์และผู้ใหญ่
• ข้อ ข. (HBV): ข้อนี้ไม่ใช่คำตอบที่ถูกต้องสำหรับภาวะ EPI Vaccines เนื่องจากกลไกการออกฤทธิ์, efficacy หรือข้อบ่งใช้ไม่ตรงกับโจทย์ที่กำหนด
• ข้อ ค. (Hib): ข้อนี้ไม่ใช่คำตอบที่ถูกต้องสำหรับภาวะ EPI Vaccines เนื่องจากกลไกการออกฤทธิ์, efficacy หรือข้อบ่งใช้ไม่ตรงกับโจทย์ที่กำหนด
• ข้อ จ. (Influenza vaccine): วัคซีนไข้หวัดใหญ่ชนิด inactivated ฉีดปีละ 1 ครั้ง ในกลุ่มเสี่ยง 7 กลุ่มโรคเรื้อรัง และเด็กอายุ 6 เดือน - 2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8" t="inlineStr"/>
      <c r="L20" s="18" t="inlineStr">
        <is>
          <t>EPI Vaccines</t>
        </is>
      </c>
      <c r="M20" s="18" t="inlineStr">
        <is>
          <t>Clinic</t>
        </is>
      </c>
      <c r="N20" s="18" t="inlineStr">
        <is>
          <t>ข้อ 18 ชุด 1 (เฉลยข้อ ง)</t>
        </is>
      </c>
      <c r="O20" s="18" t="inlineStr">
        <is>
          <t>Mock</t>
        </is>
      </c>
      <c r="P20" s="18" t="inlineStr">
        <is>
          <t>ชุด 1</t>
        </is>
      </c>
    </row>
    <row r="21">
      <c r="A21" s="15" t="inlineStr">
        <is>
          <t>19</t>
        </is>
      </c>
      <c r="B21" s="18" t="inlineStr">
        <is>
          <t>วัคซีนชนิดใดที่เมื่อได้รับแล้วจะมีโอกาสเป็นไข้น้อยที่สุด</t>
        </is>
      </c>
      <c r="C21" s="18" t="inlineStr"/>
      <c r="D21" s="18" t="inlineStr">
        <is>
          <t>OPV</t>
        </is>
      </c>
      <c r="E21" s="18" t="inlineStr">
        <is>
          <t>MMR</t>
        </is>
      </c>
      <c r="F21" s="18" t="inlineStr">
        <is>
          <t>Tetanus toxoid</t>
        </is>
      </c>
      <c r="G21" s="18" t="inlineStr">
        <is>
          <t>Rabies vaccines</t>
        </is>
      </c>
      <c r="H21" s="18" t="inlineStr">
        <is>
          <t>Phenol killed typhoid vaccine</t>
        </is>
      </c>
      <c r="I21" s="15" t="inlineStr">
        <is>
          <t>1</t>
        </is>
      </c>
      <c r="J21" s="18"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(Tetanus toxoid): ข้อนี้ไม่ใช่คำตอบที่ถูกต้องสำหรับภาวะ EPI Vaccines เนื่องจากกลไกการออกฤทธิ์, efficacy หรือข้อบ่งใช้ไม่ตรงกับโจทย์ที่กำหนด
• ข้อ ง. (Rabies vaccines): ข้อนี้ไม่ใช่คำตอบที่ถูกต้องสำหรับภาวะ EPI Vaccines เนื่องจากกลไกการออกฤทธิ์, efficacy หรือข้อบ่งใช้ไม่ตรงกับโจทย์ที่กำหนด
• ข้อ จ. (Phenol killed typhoid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8" t="inlineStr"/>
      <c r="L21" s="18" t="inlineStr">
        <is>
          <t>EPI Vaccines</t>
        </is>
      </c>
      <c r="M21" s="18" t="inlineStr">
        <is>
          <t>Clinic</t>
        </is>
      </c>
      <c r="N21" s="18" t="inlineStr">
        <is>
          <t>ข้อ 19 ชุด 1 (เฉลยข้อ ก)</t>
        </is>
      </c>
      <c r="O21" s="18" t="inlineStr">
        <is>
          <t>Mock</t>
        </is>
      </c>
      <c r="P21" s="18" t="inlineStr">
        <is>
          <t>ชุด 1</t>
        </is>
      </c>
    </row>
    <row r="22">
      <c r="A22" s="15" t="inlineStr">
        <is>
          <t>20</t>
        </is>
      </c>
      <c r="B22" s="18" t="inlineStr">
        <is>
          <t>ผู้ป่วยภูมิคุ้มกันบกพร่องไม่ควรใช้วัคซีนใด</t>
        </is>
      </c>
      <c r="C22" s="18" t="inlineStr"/>
      <c r="D22" s="18" t="inlineStr">
        <is>
          <t>MMR</t>
        </is>
      </c>
      <c r="E22" s="18" t="inlineStr">
        <is>
          <t>Tetanus toxoid</t>
        </is>
      </c>
      <c r="F22" s="18" t="inlineStr">
        <is>
          <t>Inactivated polio vaccine</t>
        </is>
      </c>
      <c r="G22" s="18" t="inlineStr">
        <is>
          <t>Acellular pertussis vaccine</t>
        </is>
      </c>
      <c r="H22" s="18" t="inlineStr">
        <is>
          <t>Phenol killed typhoid vaccine</t>
        </is>
      </c>
      <c r="I22" s="15" t="inlineStr">
        <is>
          <t>1</t>
        </is>
      </c>
      <c r="J22" s="18"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ข้อนี้ไม่ใช่คำตอบที่ถูกต้องสำหรับภาวะ EPI Vaccines เนื่องจากกลไกการออกฤทธิ์, efficacy หรือข้อบ่งใช้ไม่ตรงกับโจทย์ที่กำหนด
• ข้อ ค. (Inactivated polio vaccine): ข้อนี้ไม่ใช่คำตอบที่ถูกต้องสำหรับภาวะ EPI Vaccines เนื่องจากกลไกการออกฤทธิ์, efficacy หรือข้อบ่งใช้ไม่ตรงกับโจทย์ที่กำหนด
• ข้อ ง. (Acellular pertussis vaccine): ข้อนี้ไม่ใช่คำตอบที่ถูกต้องสำหรับภาวะ EPI Vaccines เนื่องจากกลไกการออกฤทธิ์, efficacy หรือข้อบ่งใช้ไม่ตรงกับโจทย์ที่กำหนด
• ข้อ จ. (Phenol killed typhoid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8" t="inlineStr"/>
      <c r="L22" s="18" t="inlineStr">
        <is>
          <t>EPI Vaccines</t>
        </is>
      </c>
      <c r="M22" s="18" t="inlineStr">
        <is>
          <t>Clinic</t>
        </is>
      </c>
      <c r="N22" s="18" t="inlineStr">
        <is>
          <t>ข้อ 20 ชุด 1 (เฉลยข้อ ก)</t>
        </is>
      </c>
      <c r="O22" s="18" t="inlineStr">
        <is>
          <t>Mock</t>
        </is>
      </c>
      <c r="P22" s="18" t="inlineStr">
        <is>
          <t>ชุด 1</t>
        </is>
      </c>
    </row>
    <row r="23">
      <c r="A23" s="15" t="inlineStr">
        <is>
          <t>21</t>
        </is>
      </c>
      <c r="B23" s="18" t="inlineStr">
        <is>
          <t>วัคซีนส่วนใหญ่ได้มาจากเชื้อไวรัสยกเว้นข้อใด</t>
        </is>
      </c>
      <c r="C23" s="18" t="inlineStr"/>
      <c r="D23" s="18" t="inlineStr">
        <is>
          <t>JE</t>
        </is>
      </c>
      <c r="E23" s="18" t="inlineStr">
        <is>
          <t>BCG</t>
        </is>
      </c>
      <c r="F23" s="18" t="inlineStr">
        <is>
          <t>HBV</t>
        </is>
      </c>
      <c r="G23" s="18" t="inlineStr">
        <is>
          <t>MMR</t>
        </is>
      </c>
      <c r="H23" s="18" t="inlineStr">
        <is>
          <t>OPV</t>
        </is>
      </c>
      <c r="I23" s="15" t="inlineStr">
        <is>
          <t>2</t>
        </is>
      </c>
      <c r="J23" s="18"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วัคซีนไข้สมองอักเสบเจอี ชนิดเชื้อเป็น (Live attenuated CD.JEV) ให้ 2 เข็ม ที่อายุ 9-12 เดือน และเข็ม 2 ห่างกัน 3-12 เดือน
• ข้อ ค. (HBV): ข้อนี้ไม่ใช่คำตอบที่ถูกต้องสำหรับภาวะ EPI Vaccines เนื่องจากกลไกการออกฤทธิ์, efficacy หรือข้อบ่งใช้ไม่ตรงกับโจทย์ที่กำหนด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8" t="inlineStr"/>
      <c r="L23" s="18" t="inlineStr">
        <is>
          <t>EPI Vaccines</t>
        </is>
      </c>
      <c r="M23" s="18" t="inlineStr">
        <is>
          <t>Clinic</t>
        </is>
      </c>
      <c r="N23" s="18" t="inlineStr">
        <is>
          <t>ข้อ 21 ชุด 1 (เฉลยข้อ ข)</t>
        </is>
      </c>
      <c r="O23" s="18" t="inlineStr">
        <is>
          <t>Mock</t>
        </is>
      </c>
      <c r="P23" s="18" t="inlineStr">
        <is>
          <t>ชุด 1</t>
        </is>
      </c>
    </row>
    <row r="24">
      <c r="A24" s="15" t="inlineStr">
        <is>
          <t>22</t>
        </is>
      </c>
      <c r="B24" s="18"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18" t="inlineStr"/>
      <c r="D24" s="18" t="inlineStr">
        <is>
          <t>สอบถามประวัติการแพ้ยา</t>
        </is>
      </c>
      <c r="E24" s="18" t="inlineStr">
        <is>
          <t>สอบถามโรคประจำตัว</t>
        </is>
      </c>
      <c r="F24" s="18" t="inlineStr">
        <is>
          <t>สอบถามประวัติการได้รับวัคซีน</t>
        </is>
      </c>
      <c r="G24" s="18" t="inlineStr">
        <is>
          <t>สอบถามการได้สัมผัสสัตว์ปีกที่มีชีวิต</t>
        </is>
      </c>
      <c r="H24" s="18" t="inlineStr">
        <is>
          <t>สอบถามเกี่ยวกับใกล้ชิดที่มีอาการผื่นแดง</t>
        </is>
      </c>
      <c r="I24" s="15" t="inlineStr">
        <is>
          <t>1</t>
        </is>
      </c>
      <c r="J24" s="18"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ข้อนี้ไม่ใช่คำตอบที่ถูกต้องสำหรับภาวะ Allergic rhinitis เนื่องจากกลไกการออกฤทธิ์, efficacy หรือข้อบ่งใช้ไม่ตรงกับโจทย์ที่กำหนด
• ข้อ ค. (สอบถามประวัติการได้รับวัคซีน): ข้อนี้ไม่ใช่คำตอบที่ถูกต้องสำหรับภาวะ Allergic rhinitis เนื่องจากกลไกการออกฤทธิ์, efficacy หรือข้อบ่งใช้ไม่ตรงกับโจทย์ที่กำหนด
• ข้อ ง. (สอบถามการได้สัมผัสสัตว์ปีกที่มีชีวิต): ข้อนี้ไม่ใช่คำตอบที่ถูกต้องสำหรับภาวะ Allergic rhinitis เนื่องจากกลไกการออกฤทธิ์, efficacy หรือข้อบ่งใช้ไม่ตรงกับโจทย์ที่กำหนด
• ข้อ จ. (สอบถามเกี่ยวกับใกล้ชิดที่มีอาการผื่นแดง):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8" t="inlineStr"/>
      <c r="L24" s="18" t="inlineStr">
        <is>
          <t>Allergic rhinitis</t>
        </is>
      </c>
      <c r="M24" s="18" t="inlineStr">
        <is>
          <t>Clinic</t>
        </is>
      </c>
      <c r="N24" s="18" t="inlineStr">
        <is>
          <t>ข้อ 22 ชุด 1 (เฉลยข้อ )</t>
        </is>
      </c>
      <c r="O24" s="18" t="inlineStr">
        <is>
          <t>Mock</t>
        </is>
      </c>
      <c r="P24" s="18" t="inlineStr">
        <is>
          <t>ชุด 1</t>
        </is>
      </c>
    </row>
    <row r="25">
      <c r="A25" s="15" t="inlineStr">
        <is>
          <t>23</t>
        </is>
      </c>
      <c r="B25" s="18"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8" t="inlineStr"/>
      <c r="D25" s="18" t="inlineStr">
        <is>
          <t>หวัดนก</t>
        </is>
      </c>
      <c r="E25" s="18" t="inlineStr">
        <is>
          <t>หัด</t>
        </is>
      </c>
      <c r="F25" s="18" t="inlineStr">
        <is>
          <t>อีสุกอีใส</t>
        </is>
      </c>
      <c r="G25" s="18" t="inlineStr">
        <is>
          <t>โรคภูมิคุ้มกันบกพร่อง</t>
        </is>
      </c>
      <c r="H25" s="18" t="inlineStr">
        <is>
          <t>โรคภูมิแพ้</t>
        </is>
      </c>
      <c r="I25" s="15" t="inlineStr">
        <is>
          <t>2</t>
        </is>
      </c>
      <c r="J25" s="18"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ข้อนี้ไม่ใช่คำตอบที่ถูกต้องสำหรับภาวะ Systemic lupus เนื่องจากกลไกการออกฤทธิ์, efficacy หรือข้อบ่งใช้ไม่ตรงกับโจทย์ที่กำหนด
• ข้อ ค. (อีสุกอีใส): ข้อนี้ไม่ใช่คำตอบที่ถูกต้องสำหรับภาวะ Systemic lupus เนื่องจากกลไกการออกฤทธิ์, efficacy หรือข้อบ่งใช้ไม่ตรงกับโจทย์ที่กำหนด
• ข้อ ง. (โรคภูมิคุ้มกันบกพร่อง): ข้อนี้ไม่ใช่คำตอบที่ถูกต้องสำหรับภาวะ Systemic lupus เนื่องจากกลไกการออกฤทธิ์, efficacy หรือข้อบ่งใช้ไม่ตรงกับโจทย์ที่กำหนด
• ข้อ จ. (โรคภูมิแพ้): ข้อนี้ไม่ใช่คำตอบที่ถูกต้องสำหรับภาวะ Systemic lupus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8" t="inlineStr"/>
      <c r="L25" s="18" t="inlineStr">
        <is>
          <t>Systemic lupus</t>
        </is>
      </c>
      <c r="M25" s="18" t="inlineStr">
        <is>
          <t>Clinic</t>
        </is>
      </c>
      <c r="N25" s="18" t="inlineStr">
        <is>
          <t>ข้อ 23 ชุด 1 (เฉลยข้อ ข)</t>
        </is>
      </c>
      <c r="O25" s="18" t="inlineStr">
        <is>
          <t>Mock</t>
        </is>
      </c>
      <c r="P25" s="18" t="inlineStr">
        <is>
          <t>ชุด 1</t>
        </is>
      </c>
    </row>
    <row r="26">
      <c r="A26" s="15" t="inlineStr">
        <is>
          <t>24</t>
        </is>
      </c>
      <c r="B26" s="18" t="inlineStr">
        <is>
          <t>ท่านคิดว่า จะแก้ปัญหานี้ได้อย่างไรให้เกิดผลดีที่สุด</t>
        </is>
      </c>
      <c r="C26" s="18" t="inlineStr"/>
      <c r="D26" s="18" t="inlineStr">
        <is>
          <t>ไม่ต้องตกใจ เป็นอาการข้างเคียงของวัคซีน</t>
        </is>
      </c>
      <c r="E26" s="18" t="inlineStr">
        <is>
          <t>จ่ายยาลดไข้ ถ้าไข้ไม่ลด ให้มาพบที่ร้านยาอีกครั้ง</t>
        </is>
      </c>
      <c r="F26" s="18" t="inlineStr">
        <is>
          <t>ให้เช็ดตัวเด็กเป็นระยะ ๆ ถ้าไข้ไม่ลดลง นำส่ง ร.พ.</t>
        </is>
      </c>
      <c r="G26" s="18" t="inlineStr">
        <is>
          <t>ให้เช็ดตัวเด็กเป็นระยะ ๆ จ่ายยาลดไข้ และโทรรายงานแพทย์หรือพยาบาล ปรึกษาและบันทึกประวัติการแพ้วัคซีน</t>
        </is>
      </c>
      <c r="H26" s="18" t="inlineStr">
        <is>
          <t>จ่ายยาลดไข้และให้เช็ดตัวเด็กเป็นระยะ ๆ อาการจะดีขึ้น</t>
        </is>
      </c>
      <c r="I26" s="15" t="inlineStr">
        <is>
          <t>5</t>
        </is>
      </c>
      <c r="J26" s="18"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ข้อนี้ไม่ใช่คำตอบที่ถูกต้องสำหรับภาวะ Allergic rhinitis เนื่องจากกลไกการออกฤทธิ์, efficacy หรือข้อบ่งใช้ไม่ตรงกับโจทย์ที่กำหนด
• ข้อ ข. (จ่ายยาลดไข้ ถ้าไข้ไม่ลด ให้มาพบที่ร้านยาอีกครั้ง): ข้อนี้ไม่ใช่คำตอบที่ถูกต้องสำหรับภาวะ Allergic rhinitis เนื่องจากกลไกการออกฤทธิ์, efficacy หรือข้อบ่งใช้ไม่ตรงกับโจทย์ที่กำหนด
• ข้อ ค. (ให้เช็ดตัวเด็กเป็นระยะ ๆ ถ้าไข้ไม่ลดลง นำส่ง ร.พ.): ข้อนี้ไม่ใช่คำตอบที่ถูกต้องสำหรับภาวะ Allergic rhinitis เนื่องจากกลไกการออกฤทธิ์, efficacy หรือข้อบ่งใช้ไม่ตรงกับโจทย์ที่กำหนด
• ข้อ ง. (ให้เช็ดตัวเด็กเป็นระยะ ๆ จ่ายยาลดไข้ และโทรรายงานแพทย์หรือพยาบาล ปรึกษาและบันทึกประวัติการแพ้วัคซีน):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8" t="inlineStr"/>
      <c r="L26" s="18" t="inlineStr">
        <is>
          <t>Allergic rhinitis</t>
        </is>
      </c>
      <c r="M26" s="18" t="inlineStr">
        <is>
          <t>Clinic</t>
        </is>
      </c>
      <c r="N26" s="18" t="inlineStr">
        <is>
          <t>ข้อ 24 ชุด 1 (เฉลยข้อ จ)</t>
        </is>
      </c>
      <c r="O26" s="18" t="inlineStr">
        <is>
          <t>Mock</t>
        </is>
      </c>
      <c r="P26" s="18" t="inlineStr">
        <is>
          <t>ชุด 1</t>
        </is>
      </c>
    </row>
    <row r="27">
      <c r="A27" s="15" t="inlineStr">
        <is>
          <t>25</t>
        </is>
      </c>
      <c r="B27" s="18" t="inlineStr">
        <is>
          <t>DTP และ MMR vaccine มีความแตกต่างกันทั้งประเภทของจุลินทรีย์ที่ใช้เตรียม ประเภทของวัคซีน ข้อใดไม่ถูกต้อง</t>
        </is>
      </c>
      <c r="C27" s="18" t="inlineStr"/>
      <c r="D27" s="18" t="inlineStr">
        <is>
          <t>DTP vaccine เตรียมจากไวรัส ส่วน MMR vaccine เตรียมจากแบคทีเรีย</t>
        </is>
      </c>
      <c r="E27" s="18"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18" t="inlineStr">
        <is>
          <t>DTP vaccine เป็น inactivated vaccine ส่วน MMR เป็น live-attenuated vaccine</t>
        </is>
      </c>
      <c r="G27" s="18" t="inlineStr">
        <is>
          <t>DTP vaccine เป็น toxoid ทั้งหมด ส่วน MMR vaccine เป็น subunit vaccine ทั้งหมด</t>
        </is>
      </c>
      <c r="H27" s="18" t="inlineStr">
        <is>
          <t>DTP vaccine เป็น subunit vaccine ส่วน MMR vaccine เป็น toxoid</t>
        </is>
      </c>
      <c r="I27" s="15" t="inlineStr">
        <is>
          <t>1</t>
        </is>
      </c>
      <c r="J27" s="18"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8" t="inlineStr"/>
      <c r="L27" s="18" t="inlineStr">
        <is>
          <t>EPI Vaccines</t>
        </is>
      </c>
      <c r="M27" s="18" t="inlineStr">
        <is>
          <t>Clinic</t>
        </is>
      </c>
      <c r="N27" s="18" t="inlineStr">
        <is>
          <t>ข้อ 25 ชุด 1 (เฉลยข้อ ก ข)</t>
        </is>
      </c>
      <c r="O27" s="18" t="inlineStr">
        <is>
          <t>Mock</t>
        </is>
      </c>
      <c r="P27" s="18" t="inlineStr">
        <is>
          <t>ชุด 1</t>
        </is>
      </c>
    </row>
    <row r="28">
      <c r="A28" s="15" t="inlineStr">
        <is>
          <t>26</t>
        </is>
      </c>
      <c r="B28" s="18" t="inlineStr">
        <is>
          <t>ในโปรแกรมสร้างภูมิคุ้มกัน วัคซีนบางประเภทเป็น live-attenuated vaccine มีข้อดีกว่าวัคซีนประเภทอื่นอย่างไร</t>
        </is>
      </c>
      <c r="C28" s="18" t="inlineStr"/>
      <c r="D28" s="18" t="inlineStr">
        <is>
          <t>ปลอดภัยมากกว่า</t>
        </is>
      </c>
      <c r="E28" s="18" t="inlineStr">
        <is>
          <t>กระตุ้นภูมิคุ้มกันระยะยาว</t>
        </is>
      </c>
      <c r="F28" s="18" t="inlineStr">
        <is>
          <t>อาการข้างเคียงน้อยกว่า</t>
        </is>
      </c>
      <c r="G28" s="18" t="inlineStr">
        <is>
          <t>เป็นภูมิคุ้มกันสำเร็จรูป คือภูมิคุ้มกันทันที</t>
        </is>
      </c>
      <c r="H28" s="18" t="inlineStr">
        <is>
          <t>กระตุ้นภูมิคุ้มกันเร็วกว่า</t>
        </is>
      </c>
      <c r="I28" s="15" t="inlineStr">
        <is>
          <t>2</t>
        </is>
      </c>
      <c r="J28" s="18"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ข้อนี้ไม่ใช่คำตอบที่ถูกต้องสำหรับภาวะ Hypersensitivity เนื่องจากกลไกการออกฤทธิ์, efficacy หรือข้อบ่งใช้ไม่ตรงกับโจทย์ที่กำหนด
• ข้อ ค. (อาการข้างเคียงน้อยกว่า): ข้อนี้ไม่ใช่คำตอบที่ถูกต้องสำหรับภาวะ Hypersensitivity เนื่องจากกลไกการออกฤทธิ์, efficacy หรือข้อบ่งใช้ไม่ตรงกับโจทย์ที่กำหนด
• ข้อ ง. (เป็นภูมิคุ้มกันสำเร็จรูป คือภูมิคุ้มกันทันที): ข้อนี้ไม่ใช่คำตอบที่ถูกต้องสำหรับภาวะ Hypersensitivity เนื่องจากกลไกการออกฤทธิ์, efficacy หรือข้อบ่งใช้ไม่ตรงกับโจทย์ที่กำหนด
• ข้อ จ. (กระตุ้นภูมิคุ้มกันเร็วกว่า): ข้อนี้ไม่ใช่คำตอบที่ถูกต้องสำหรับภาวะ Hypersensitivity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8" t="inlineStr"/>
      <c r="L28" s="18" t="inlineStr">
        <is>
          <t>Hypersensitivity</t>
        </is>
      </c>
      <c r="M28" s="18" t="inlineStr">
        <is>
          <t>Clinic</t>
        </is>
      </c>
      <c r="N28" s="18" t="inlineStr">
        <is>
          <t>ข้อ 26 ชุด 1 (เฉลยข้อ ข)</t>
        </is>
      </c>
      <c r="O28" s="18" t="inlineStr">
        <is>
          <t>Mock</t>
        </is>
      </c>
      <c r="P28" s="18" t="inlineStr">
        <is>
          <t>ชุด 1</t>
        </is>
      </c>
    </row>
    <row r="29">
      <c r="A29" s="15" t="inlineStr">
        <is>
          <t>27</t>
        </is>
      </c>
      <c r="B29" s="18" t="inlineStr">
        <is>
          <t>ในโปรแกรมสร้างภูมิคุ้มกันไม่ครอบคลุมวัคซีนป้องกันโรคใด</t>
        </is>
      </c>
      <c r="C29" s="18" t="inlineStr"/>
      <c r="D29" s="18" t="inlineStr">
        <is>
          <t>หัด</t>
        </is>
      </c>
      <c r="E29" s="18" t="inlineStr">
        <is>
          <t>โปลิโอ</t>
        </is>
      </c>
      <c r="F29" s="18" t="inlineStr">
        <is>
          <t>อีสุกอีใส</t>
        </is>
      </c>
      <c r="G29" s="18" t="inlineStr">
        <is>
          <t>บาดทะยัก</t>
        </is>
      </c>
      <c r="H29" s="18" t="inlineStr">
        <is>
          <t>คางทูม</t>
        </is>
      </c>
      <c r="I29" s="15" t="inlineStr">
        <is>
          <t>3</t>
        </is>
      </c>
      <c r="J29" s="18"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ข้อนี้ไม่ใช่คำตอบที่ถูกต้องสำหรับภาวะ EPI Vaccines เนื่องจากกลไกการออกฤทธิ์, efficacy หรือข้อบ่งใช้ไม่ตรงกับโจทย์ที่กำหนด
• ข้อ ข. (โปลิโอ): ข้อนี้ไม่ใช่คำตอบที่ถูกต้องสำหรับภาวะ EPI Vaccines เนื่องจากกลไกการออกฤทธิ์, efficacy หรือข้อบ่งใช้ไม่ตรงกับโจทย์ที่กำหนด
• ข้อ ง. (บาดทะยัก): ข้อนี้ไม่ใช่คำตอบที่ถูกต้องสำหรับภาวะ EPI Vaccines เนื่องจากกลไกการออกฤทธิ์, efficacy หรือข้อบ่งใช้ไม่ตรงกับโจทย์ที่กำหนด
• ข้อ จ. (คางทูม):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8" t="inlineStr"/>
      <c r="L29" s="18" t="inlineStr">
        <is>
          <t>EPI Vaccines</t>
        </is>
      </c>
      <c r="M29" s="18" t="inlineStr">
        <is>
          <t>Clinic</t>
        </is>
      </c>
      <c r="N29" s="18" t="inlineStr">
        <is>
          <t>ข้อ 27 ชุด 1 (เฉลยข้อ ค)</t>
        </is>
      </c>
      <c r="O29" s="18" t="inlineStr">
        <is>
          <t>Mock</t>
        </is>
      </c>
      <c r="P29" s="18" t="inlineStr">
        <is>
          <t>ชุด 1</t>
        </is>
      </c>
    </row>
    <row r="30">
      <c r="A30" s="15" t="inlineStr">
        <is>
          <t>28</t>
        </is>
      </c>
      <c r="B30" s="18"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8" t="inlineStr"/>
      <c r="D30" s="18" t="inlineStr">
        <is>
          <t>Chlorphenamine maleate tablet</t>
        </is>
      </c>
      <c r="E30" s="18" t="inlineStr">
        <is>
          <t>Hydroxyzine HCl tablet</t>
        </is>
      </c>
      <c r="F30" s="18" t="inlineStr">
        <is>
          <t>Neomycin/bacitracin ointment</t>
        </is>
      </c>
      <c r="G30" s="18" t="inlineStr">
        <is>
          <t>Calamine lotion</t>
        </is>
      </c>
      <c r="H30" s="18" t="inlineStr">
        <is>
          <t>Prednisolone cream</t>
        </is>
      </c>
      <c r="I30" s="15" t="inlineStr">
        <is>
          <t>5</t>
        </is>
      </c>
      <c r="J30" s="18"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ข้อนี้ไม่ใช่คำตอบที่ถูกต้องสำหรับภาวะ Allergic rhinitis เนื่องจากกลไกการออกฤทธิ์, efficacy หรือข้อบ่งใช้ไม่ตรงกับโจทย์ที่กำหนด
• ข้อ ข. (Hydroxyzine HCl tablet): ข้อนี้ไม่ใช่คำตอบที่ถูกต้องสำหรับภาวะ Allergic rhinitis เนื่องจากกลไกการออกฤทธิ์, efficacy หรือข้อบ่งใช้ไม่ตรงกับโจทย์ที่กำหนด
• ข้อ ค. (Neomycin/bacitracin ointment): ข้อนี้ไม่ใช่คำตอบที่ถูกต้องสำหรับภาวะ Allergic rhinitis เนื่องจากกลไกการออกฤทธิ์, efficacy หรือข้อบ่งใช้ไม่ตรงกับโจทย์ที่กำหนด
• ข้อ ง. (Calamine lotion):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18" t="inlineStr"/>
      <c r="L30" s="18" t="inlineStr">
        <is>
          <t>Allergic rhinitis</t>
        </is>
      </c>
      <c r="M30" s="18" t="inlineStr">
        <is>
          <t>Clinic</t>
        </is>
      </c>
      <c r="N30" s="18" t="inlineStr">
        <is>
          <t>ข้อ 28 ชุด 1 (เฉลยข้อ จ)</t>
        </is>
      </c>
      <c r="O30" s="18" t="inlineStr">
        <is>
          <t>Mock</t>
        </is>
      </c>
      <c r="P30" s="18" t="inlineStr">
        <is>
          <t>ชุด 1</t>
        </is>
      </c>
    </row>
    <row r="31">
      <c r="A31" s="15" t="inlineStr">
        <is>
          <t>29</t>
        </is>
      </c>
      <c r="B31" s="18"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18" t="inlineStr"/>
      <c r="D31" s="18" t="inlineStr">
        <is>
          <t>ประวัติการสูบบุหรี่เพราะสาร hydrazine ในบุหรี่กระตุ้นอาการ Lupus ได้</t>
        </is>
      </c>
      <c r="E31" s="18" t="inlineStr">
        <is>
          <t>การใช้ sunscreen SPF 15 ขึ้นไปก่อนออกแดด</t>
        </is>
      </c>
      <c r="F31" s="18" t="inlineStr">
        <is>
          <t>ประวัติความเจ็บป่วยด้วยโรคติดเชื้อในอดีต</t>
        </is>
      </c>
      <c r="G31" s="18" t="inlineStr">
        <is>
          <t>ประวัติการใช้ยาเพราะยาบางตัว เช่น hydralazine chlorpropamide หรือยาในกลุ่ม anticonvulsant สามารถกระตุ้นการเกิด lupus ได้</t>
        </is>
      </c>
      <c r="H31" s="18" t="inlineStr">
        <is>
          <t>ประวัติการได้รับเลือดในอดีต</t>
        </is>
      </c>
      <c r="I31" s="15" t="inlineStr">
        <is>
          <t>5</t>
        </is>
      </c>
      <c r="J31" s="18"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ข้อนี้ไม่ใช่คำตอบที่ถูกต้องสำหรับภาวะ Systemic lupus เนื่องจากกลไกการออกฤทธิ์, efficacy หรือข้อบ่งใช้ไม่ตรงกับโจทย์ที่กำหนด
• ข้อ ข. (การใช้ sunscreen SPF 15 ขึ้นไปก่อนออกแดด): ข้อนี้ไม่ใช่คำตอบที่ถูกต้องสำหรับภาวะ Systemic lupus เนื่องจากกลไกการออกฤทธิ์, efficacy หรือข้อบ่งใช้ไม่ตรงกับโจทย์ที่กำหนด
• ข้อ ค. (ประวัติความเจ็บป่วยด้วยโรคติดเชื้อในอดีต): ข้อนี้ไม่ใช่คำตอบที่ถูกต้องสำหรับภาวะ Systemic lupus เนื่องจากกลไกการออกฤทธิ์, efficacy หรือข้อบ่งใช้ไม่ตรงกับโจทย์ที่กำหนด
• ข้อ ง. (ประวัติการใช้ยาเพราะยาบางตัว เช่น hydralazine chlorpropamide หรือยาในกลุ่ม anticonvulsant สามารถกระตุ้นการเกิด lupus ได้):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18" t="inlineStr"/>
      <c r="L31" s="18" t="inlineStr">
        <is>
          <t>Systemic lupus</t>
        </is>
      </c>
      <c r="M31" s="18" t="inlineStr">
        <is>
          <t>Clinic</t>
        </is>
      </c>
      <c r="N31" s="18" t="inlineStr">
        <is>
          <t>ข้อ 29 ชุด 1 (เฉลยข้อ จ)</t>
        </is>
      </c>
      <c r="O31" s="18" t="inlineStr">
        <is>
          <t>Mock</t>
        </is>
      </c>
      <c r="P31" s="18" t="inlineStr">
        <is>
          <t>ชุด 1</t>
        </is>
      </c>
    </row>
    <row r="32">
      <c r="A32" s="15" t="inlineStr">
        <is>
          <t>30</t>
        </is>
      </c>
      <c r="B32" s="18"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8" t="inlineStr"/>
      <c r="D32" s="18" t="inlineStr">
        <is>
          <t>Ocular examination</t>
        </is>
      </c>
      <c r="E32" s="18" t="inlineStr">
        <is>
          <t>Chest x-ray</t>
        </is>
      </c>
      <c r="F32" s="18" t="inlineStr">
        <is>
          <t>Liver function test</t>
        </is>
      </c>
      <c r="G32" s="18" t="inlineStr">
        <is>
          <t>Urinalysis</t>
        </is>
      </c>
      <c r="H32" s="18" t="inlineStr">
        <is>
          <t>EKG</t>
        </is>
      </c>
      <c r="I32" s="15" t="inlineStr">
        <is>
          <t>1</t>
        </is>
      </c>
      <c r="J32" s="18"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ข้อนี้ไม่ใช่คำตอบที่ถูกต้องสำหรับภาวะ Systemic lupus เนื่องจากกลไกการออกฤทธิ์, efficacy หรือข้อบ่งใช้ไม่ตรงกับโจทย์ที่กำหนด
• ข้อ ค. (Liver function test): ข้อนี้ไม่ใช่คำตอบที่ถูกต้องสำหรับภาวะ Systemic lupus เนื่องจากกลไกการออกฤทธิ์, efficacy หรือข้อบ่งใช้ไม่ตรงกับโจทย์ที่กำหนด
• ข้อ ง. (Urinalysis): ข้อนี้ไม่ใช่คำตอบที่ถูกต้องสำหรับภาวะ Systemic lupus เนื่องจากกลไกการออกฤทธิ์, efficacy หรือข้อบ่งใช้ไม่ตรงกับโจทย์ที่กำหนด
• ข้อ จ. (EKG):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18" t="inlineStr"/>
      <c r="L32" s="18" t="inlineStr">
        <is>
          <t>Systemic lupus</t>
        </is>
      </c>
      <c r="M32" s="18" t="inlineStr">
        <is>
          <t>Clinic</t>
        </is>
      </c>
      <c r="N32" s="18" t="inlineStr">
        <is>
          <t>ข้อ 30 ชุด 1 (เฉลยข้อ ก)</t>
        </is>
      </c>
      <c r="O32" s="18" t="inlineStr">
        <is>
          <t>Mock</t>
        </is>
      </c>
      <c r="P32" s="18" t="inlineStr">
        <is>
          <t>ชุด 1</t>
        </is>
      </c>
    </row>
    <row r="33">
      <c r="A33" s="15" t="inlineStr">
        <is>
          <t>31</t>
        </is>
      </c>
      <c r="B33" s="18"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18" t="inlineStr"/>
      <c r="D33" s="18" t="inlineStr">
        <is>
          <t>Ioniazid</t>
        </is>
      </c>
      <c r="E33" s="18" t="inlineStr">
        <is>
          <t>Rifampicin</t>
        </is>
      </c>
      <c r="F33" s="18" t="inlineStr">
        <is>
          <t>Pyrazinamide</t>
        </is>
      </c>
      <c r="G33" s="18" t="inlineStr">
        <is>
          <t>Ethambutol</t>
        </is>
      </c>
      <c r="H33" s="18" t="inlineStr">
        <is>
          <t>Pyrazinamide ร่วมกับ ethambutol</t>
        </is>
      </c>
      <c r="I33" s="15" t="inlineStr">
        <is>
          <t>1</t>
        </is>
      </c>
      <c r="J33" s="18"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18" t="inlineStr"/>
      <c r="L33" s="18" t="inlineStr">
        <is>
          <t>Systemic lupus</t>
        </is>
      </c>
      <c r="M33" s="18" t="inlineStr">
        <is>
          <t>Clinic</t>
        </is>
      </c>
      <c r="N33" s="18" t="inlineStr">
        <is>
          <t>ข้อ 31 ชุด 1 (เฉลยข้อ ก)</t>
        </is>
      </c>
      <c r="O33" s="18" t="inlineStr">
        <is>
          <t>Mock</t>
        </is>
      </c>
      <c r="P33" s="18" t="inlineStr">
        <is>
          <t>ชุด 1</t>
        </is>
      </c>
    </row>
    <row r="34">
      <c r="A34" s="15" t="inlineStr">
        <is>
          <t>32</t>
        </is>
      </c>
      <c r="B34" s="18" t="inlineStr">
        <is>
          <t>แพทย์สั่งจ่าย prednisolone แต่โรงพยาบาลมียา dexamethasone เท่านั้นในฐานะเภสัชกรทำอย่างไร</t>
        </is>
      </c>
      <c r="C34" s="18" t="inlineStr"/>
      <c r="D34" s="18" t="inlineStr">
        <is>
          <t>ให้ยา dexamethasone แทนได้เพราะยาทั้งสองตัวเป็น steroid ประเภท short acting steroid เหมือนกัน</t>
        </is>
      </c>
      <c r="E34" s="18" t="inlineStr">
        <is>
          <t>ให้ยา dexamethasone แทนได้เพราะยาทั้งสองตัวเป็น steroid ประเภท long acting steroid เหมือนกัน</t>
        </is>
      </c>
      <c r="F34" s="18" t="inlineStr">
        <is>
          <t>ต้องคำนวณ equivalent dose ของยาทั้งสองตัวก่อนทำการเปลี่ยนยาเนื่องจากยาทั้งสองตัวมี potency ต่างกัน</t>
        </is>
      </c>
      <c r="G34" s="18" t="inlineStr">
        <is>
          <t>ไม่สามารถให้ยาแทนกันได้เพราะ prednisolone เป็น glucocorticoid แต่ dexamethasone เป็น mineralocorticoid</t>
        </is>
      </c>
      <c r="H34" s="18" t="inlineStr">
        <is>
          <t>ไม่สามารถให้ยาแทนกันได้และควรแจ้งให้แพทย์ทราบ</t>
        </is>
      </c>
      <c r="I34" s="15" t="inlineStr">
        <is>
          <t>3</t>
        </is>
      </c>
      <c r="J34" s="18"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เป็น long-acting potent glucocorticoid ไม่มี mineralocorticoid effect จึงไม่ทำให้น้ำคั่ง เหมาะสำหรับ brain edema, antiemetic, และ COVID-19 with hypoxemia
• ข้อ ข. (ให้ยา dexamethasone แทนได้เพราะยาทั้งสองตัวเป็น steroid ประเภท long acting steroid เหมือนกัน): เป็น long-acting potent glucocorticoid ไม่มี mineralocorticoid effect จึงไม่ทำให้น้ำคั่ง เหมาะสำหรับ brain edema, antiemetic, และ COVID-19 with hypoxemia
• ข้อ ง. (ไม่สามารถให้ยาแทนกันได้เพราะ prednisolone เป็น glucocorticoid แต่ dexamethasone เป็น mineralocorticoid): เป็น long-acting potent glucocorticoid ไม่มี mineralocorticoid effect จึงไม่ทำให้น้ำคั่ง เหมาะสำหรับ brain edema, antiemetic, และ COVID-19 with hypoxemia
• ข้อ จ. (ไม่สามารถให้ยาแทนกันได้และควรแจ้งให้แพทย์ทราบ):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18" t="inlineStr"/>
      <c r="L34" s="18" t="inlineStr">
        <is>
          <t>Systemic lupus</t>
        </is>
      </c>
      <c r="M34" s="18" t="inlineStr">
        <is>
          <t>Clinic</t>
        </is>
      </c>
      <c r="N34" s="18" t="inlineStr">
        <is>
          <t>ข้อ 32 ชุด 1 (เฉลยข้อ ค)</t>
        </is>
      </c>
      <c r="O34" s="18" t="inlineStr">
        <is>
          <t>Mock</t>
        </is>
      </c>
      <c r="P34" s="18" t="inlineStr">
        <is>
          <t>ชุด 1</t>
        </is>
      </c>
    </row>
    <row r="35">
      <c r="A35" s="15" t="inlineStr">
        <is>
          <t>33</t>
        </is>
      </c>
      <c r="B35" s="18" t="inlineStr">
        <is>
          <t>ยากดภูมิคุ้มกัน (immunosuppression) มีประโยชน์กับภาวะยกเว้น</t>
        </is>
      </c>
      <c r="C35" s="18" t="inlineStr"/>
      <c r="D35" s="18" t="inlineStr">
        <is>
          <t>การเปลี่ยนถ่ายอวัยวะ</t>
        </is>
      </c>
      <c r="E35" s="18" t="inlineStr">
        <is>
          <t>Rh hemolytic disease ในเด็กแรกเกิด</t>
        </is>
      </c>
      <c r="F35" s="18" t="inlineStr">
        <is>
          <t>Rheumatoid arthritis</t>
        </is>
      </c>
      <c r="G35" s="18" t="inlineStr">
        <is>
          <t>มะเร็ง</t>
        </is>
      </c>
      <c r="H35" s="18" t="inlineStr">
        <is>
          <t>SLE</t>
        </is>
      </c>
      <c r="I35" s="15" t="inlineStr">
        <is>
          <t>2</t>
        </is>
      </c>
      <c r="J35" s="18"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ข้อนี้ไม่ใช่คำตอบที่ถูกต้องสำหรับภาวะ Allergic rhinitis เนื่องจากกลไกการออกฤทธิ์, efficacy หรือข้อบ่งใช้ไม่ตรงกับโจทย์ที่กำหนด
• ข้อ ค. (Rheumatoid arthritis): ข้อนี้ไม่ใช่คำตอบที่ถูกต้องสำหรับภาวะ Allergic rhinitis เนื่องจากกลไกการออกฤทธิ์, efficacy หรือข้อบ่งใช้ไม่ตรงกับโจทย์ที่กำหนด
• ข้อ ง. (มะเร็ง): ข้อนี้ไม่ใช่คำตอบที่ถูกต้องสำหรับภาวะ Allergic rhinitis เนื่องจากกลไกการออกฤทธิ์, efficacy หรือข้อบ่งใช้ไม่ตรงกับโจทย์ที่กำหนด
• ข้อ จ. (SLE):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8" t="inlineStr"/>
      <c r="L35" s="18" t="inlineStr">
        <is>
          <t>Allergic rhinitis</t>
        </is>
      </c>
      <c r="M35" s="18" t="inlineStr">
        <is>
          <t>Clinic</t>
        </is>
      </c>
      <c r="N35" s="18" t="inlineStr">
        <is>
          <t>ข้อ 33 ชุด 1 (เฉลยข้อ ข)</t>
        </is>
      </c>
      <c r="O35" s="18" t="inlineStr">
        <is>
          <t>Mock</t>
        </is>
      </c>
      <c r="P35" s="18" t="inlineStr">
        <is>
          <t>ชุด 1</t>
        </is>
      </c>
    </row>
    <row r="36">
      <c r="A36" s="15" t="inlineStr">
        <is>
          <t>34</t>
        </is>
      </c>
      <c r="B36" s="18"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18" t="inlineStr"/>
      <c r="D36" s="18" t="inlineStr">
        <is>
          <t>ให้ยาขนาด 24 ชม. ทุกวัน วันละครั้ง</t>
        </is>
      </c>
      <c r="E36" s="18" t="inlineStr">
        <is>
          <t>ให้ยาขนาด 24 ชม. แบ่งให้ 2 ครั้ง ทุกวัน</t>
        </is>
      </c>
      <c r="F36" s="18" t="inlineStr">
        <is>
          <t>ให้ยาขนาด 24 ชม. วันเว้นวัน วันละครั้ง</t>
        </is>
      </c>
      <c r="G36" s="18" t="inlineStr">
        <is>
          <t>ให้ยาขนาด 48 ชม. วันเว้นวัน วันละครั้ง</t>
        </is>
      </c>
      <c r="H36" s="18" t="inlineStr">
        <is>
          <t>ให้ยาขนาด 48 ชม. วันเว้นวัน แบ่งให้ 2 ครั้ง</t>
        </is>
      </c>
      <c r="I36" s="15" t="inlineStr">
        <is>
          <t>1</t>
        </is>
      </c>
      <c r="J36" s="18"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ข้อนี้ไม่ใช่คำตอบที่ถูกต้องสำหรับภาวะ Systemic lupus เนื่องจากกลไกการออกฤทธิ์, efficacy หรือข้อบ่งใช้ไม่ตรงกับโจทย์ที่กำหนด
• ข้อ ค. (ให้ยาขนาด 24 ชม. วันเว้นวัน วันละครั้ง): ข้อนี้ไม่ใช่คำตอบที่ถูกต้องสำหรับภาวะ Systemic lupus เนื่องจากกลไกการออกฤทธิ์, efficacy หรือข้อบ่งใช้ไม่ตรงกับโจทย์ที่กำหนด
• ข้อ ง. (ให้ยาขนาด 48 ชม. วันเว้นวัน วันละครั้ง): ข้อนี้ไม่ใช่คำตอบที่ถูกต้องสำหรับภาวะ Systemic lupus เนื่องจากกลไกการออกฤทธิ์, efficacy หรือข้อบ่งใช้ไม่ตรงกับโจทย์ที่กำหนด
• ข้อ จ. (ให้ยาขนาด 48 ชม. วันเว้นวัน แบ่งให้ 2 ครั้ง):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18" t="inlineStr"/>
      <c r="L36" s="18" t="inlineStr">
        <is>
          <t>Systemic lupus</t>
        </is>
      </c>
      <c r="M36" s="18" t="inlineStr">
        <is>
          <t>Clinic</t>
        </is>
      </c>
      <c r="N36" s="18" t="inlineStr">
        <is>
          <t>ข้อ 34 ชุด 1 (เฉลยข้อ )</t>
        </is>
      </c>
      <c r="O36" s="18" t="inlineStr">
        <is>
          <t>Mock</t>
        </is>
      </c>
      <c r="P36" s="18" t="inlineStr">
        <is>
          <t>ชุด 1</t>
        </is>
      </c>
    </row>
    <row r="37">
      <c r="A37" s="15" t="inlineStr">
        <is>
          <t>35</t>
        </is>
      </c>
      <c r="B37" s="18" t="inlineStr">
        <is>
          <t>การให้ prednisolone ให้ผู้ป่วย SLE เพื่ออะไร</t>
        </is>
      </c>
      <c r="C37" s="18" t="inlineStr"/>
      <c r="D37" s="18" t="inlineStr">
        <is>
          <t>ลดปฏิกิริยา antibody immune complex</t>
        </is>
      </c>
      <c r="E37" s="18" t="inlineStr">
        <is>
          <t>ลดการทำลายของ LE cell</t>
        </is>
      </c>
      <c r="F37" s="18" t="inlineStr">
        <is>
          <t>ยับยั้งการจับ antigen กับ antibody</t>
        </is>
      </c>
      <c r="G37" s="18" t="inlineStr">
        <is>
          <t>ลดการสร้าง antibody</t>
        </is>
      </c>
      <c r="H37" s="18" t="inlineStr">
        <is>
          <t>ยับยั้ง histamine กับ bradykinin</t>
        </is>
      </c>
      <c r="I37" s="15" t="inlineStr">
        <is>
          <t>4</t>
        </is>
      </c>
      <c r="J37" s="18"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ข้อนี้ไม่ใช่คำตอบที่ถูกต้องสำหรับภาวะ Systemic lupus เนื่องจากกลไกการออกฤทธิ์, efficacy หรือข้อบ่งใช้ไม่ตรงกับโจทย์ที่กำหนด
• ข้อ ข. (ลดการทำลายของ LE cell): ข้อนี้ไม่ใช่คำตอบที่ถูกต้องสำหรับภาวะ Systemic lupus เนื่องจากกลไกการออกฤทธิ์, efficacy หรือข้อบ่งใช้ไม่ตรงกับโจทย์ที่กำหนด
• ข้อ ค. (ยับยั้งการจับ antigen กับ antibody): ข้อนี้ไม่ใช่คำตอบที่ถูกต้องสำหรับภาวะ Systemic lupus เนื่องจากกลไกการออกฤทธิ์, efficacy หรือข้อบ่งใช้ไม่ตรงกับโจทย์ที่กำหนด
• ข้อ จ. (ยับยั้ง histamine กับ bradykinin):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18" t="inlineStr"/>
      <c r="L37" s="18" t="inlineStr">
        <is>
          <t>Systemic lupus</t>
        </is>
      </c>
      <c r="M37" s="18" t="inlineStr">
        <is>
          <t>Clinic</t>
        </is>
      </c>
      <c r="N37" s="18" t="inlineStr">
        <is>
          <t>ข้อ 35 ชุด 1 (เฉลยข้อ ง)</t>
        </is>
      </c>
      <c r="O37" s="18" t="inlineStr">
        <is>
          <t>Mock</t>
        </is>
      </c>
      <c r="P37" s="18" t="inlineStr">
        <is>
          <t>ชุด 1</t>
        </is>
      </c>
    </row>
    <row r="38">
      <c r="A38" s="15" t="inlineStr">
        <is>
          <t>36</t>
        </is>
      </c>
      <c r="B38" s="18" t="inlineStr">
        <is>
          <t>ยากดภูมิคุ้มกัน (immunosuppressive) สามารถนำมาใช้ประโยชน์ในด้านใด</t>
        </is>
      </c>
      <c r="C38" s="18" t="inlineStr"/>
      <c r="D38" s="18" t="inlineStr">
        <is>
          <t>AIDs</t>
        </is>
      </c>
      <c r="E38" s="18" t="inlineStr">
        <is>
          <t>COPD</t>
        </is>
      </c>
      <c r="F38" s="18" t="inlineStr">
        <is>
          <t>TB</t>
        </is>
      </c>
      <c r="G38" s="18" t="inlineStr">
        <is>
          <t>Leprosy</t>
        </is>
      </c>
      <c r="H38" s="18" t="inlineStr">
        <is>
          <t>Organ tissue transplantation</t>
        </is>
      </c>
      <c r="I38" s="15" t="inlineStr">
        <is>
          <t>5</t>
        </is>
      </c>
      <c r="J38" s="18"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ข้อนี้ไม่ใช่คำตอบที่ถูกต้องสำหรับภาวะ Allergic rhinitis เนื่องจากกลไกการออกฤทธิ์, efficacy หรือข้อบ่งใช้ไม่ตรงกับโจทย์ที่กำหนด
• ข้อ ข. (COPD): ข้อนี้ไม่ใช่คำตอบที่ถูกต้องสำหรับภาวะ Allergic rhinitis เนื่องจากกลไกการออกฤทธิ์, efficacy หรือข้อบ่งใช้ไม่ตรงกับโจทย์ที่กำหนด
• ข้อ ค. (TB): ข้อนี้ไม่ใช่คำตอบที่ถูกต้องสำหรับภาวะ Allergic rhinitis เนื่องจากกลไกการออกฤทธิ์, efficacy หรือข้อบ่งใช้ไม่ตรงกับโจทย์ที่กำหนด
• ข้อ ง. (Leprosy):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8" t="inlineStr"/>
      <c r="L38" s="18" t="inlineStr">
        <is>
          <t>Allergic rhinitis</t>
        </is>
      </c>
      <c r="M38" s="18" t="inlineStr">
        <is>
          <t>Clinic</t>
        </is>
      </c>
      <c r="N38" s="18" t="inlineStr">
        <is>
          <t>ข้อ 36 ชุด 1 (เฉลยข้อ จ)</t>
        </is>
      </c>
      <c r="O38" s="18" t="inlineStr">
        <is>
          <t>Mock</t>
        </is>
      </c>
      <c r="P38" s="18" t="inlineStr">
        <is>
          <t>ชุด 1</t>
        </is>
      </c>
    </row>
    <row r="39">
      <c r="A39" s="15" t="inlineStr">
        <is>
          <t>37</t>
        </is>
      </c>
      <c r="B39" s="18" t="inlineStr">
        <is>
          <t>Cyclosporine ยากดภูมิคุ้มกันข้อใดถูกต้อง</t>
        </is>
      </c>
      <c r="C39" s="18" t="inlineStr"/>
      <c r="D39" s="18" t="inlineStr">
        <is>
          <t>ออกฤทธิ์กดการทำงานของ B-cell อย่างเฉพาะเจาะจง</t>
        </is>
      </c>
      <c r="E39" s="18" t="inlineStr">
        <is>
          <t>ค่าของ pharmacokinetic profile สม่ำเสมอในผู้ป่วยทุกราย</t>
        </is>
      </c>
      <c r="F39" s="18" t="inlineStr">
        <is>
          <t>มีฤทธิ์ต่อตับและไตน้อย</t>
        </is>
      </c>
      <c r="G39" s="18" t="inlineStr">
        <is>
          <t>ประสิทธิภาพในการปลูกถ่ายอวัยวะ</t>
        </is>
      </c>
      <c r="H39" s="18" t="inlineStr">
        <is>
          <t>ถูกทุกข้อ</t>
        </is>
      </c>
      <c r="I39" s="15" t="inlineStr">
        <is>
          <t>4</t>
        </is>
      </c>
      <c r="J39" s="18"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ข้อนี้ไม่ใช่คำตอบที่ถูกต้องสำหรับภาวะ Allergic rhinitis เนื่องจากกลไกการออกฤทธิ์, efficacy หรือข้อบ่งใช้ไม่ตรงกับโจทย์ที่กำหนด
• ข้อ ข. (ค่าของ pharmacokinetic profile สม่ำเสมอในผู้ป่วยทุกราย): ข้อนี้ไม่ใช่คำตอบที่ถูกต้องสำหรับภาวะ Allergic rhinitis เนื่องจากกลไกการออกฤทธิ์, efficacy หรือข้อบ่งใช้ไม่ตรงกับโจทย์ที่กำหนด
• ข้อ ค. (มีฤทธิ์ต่อตับและไตน้อย): ข้อนี้ไม่ใช่คำตอบที่ถูกต้องสำหรับภาวะ Allergic rhinitis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8" t="inlineStr"/>
      <c r="L39" s="18" t="inlineStr">
        <is>
          <t>Allergic rhinitis</t>
        </is>
      </c>
      <c r="M39" s="18" t="inlineStr">
        <is>
          <t>Clinic</t>
        </is>
      </c>
      <c r="N39" s="18" t="inlineStr">
        <is>
          <t>ข้อ 37 ชุด 1 (เฉลยข้อ ง)</t>
        </is>
      </c>
      <c r="O39" s="18" t="inlineStr">
        <is>
          <t>Mock</t>
        </is>
      </c>
      <c r="P39" s="18" t="inlineStr">
        <is>
          <t>ชุด 1</t>
        </is>
      </c>
    </row>
    <row r="40">
      <c r="A40" s="15" t="inlineStr">
        <is>
          <t>38</t>
        </is>
      </c>
      <c r="B40" s="18" t="inlineStr">
        <is>
          <t>ข้อใดเป็นผลข้างเคียงของ corticosteroid ยกเว้น</t>
        </is>
      </c>
      <c r="C40" s="18" t="inlineStr"/>
      <c r="D40" s="18" t="inlineStr">
        <is>
          <t>Suppression of pituitary-adrenaline</t>
        </is>
      </c>
      <c r="E40" s="18" t="inlineStr">
        <is>
          <t>Increase susceptibility to infection</t>
        </is>
      </c>
      <c r="F40" s="18" t="inlineStr">
        <is>
          <t>Peptic ulceration</t>
        </is>
      </c>
      <c r="G40" s="18" t="inlineStr">
        <is>
          <t>Muscle hypertrophy</t>
        </is>
      </c>
      <c r="H40" s="18" t="inlineStr">
        <is>
          <t>Physiological disturbances</t>
        </is>
      </c>
      <c r="I40" s="15" t="inlineStr">
        <is>
          <t>4</t>
        </is>
      </c>
      <c r="J40" s="18"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ข้อนี้ไม่ใช่คำตอบที่ถูกต้องสำหรับภาวะ Allergic rhinitis เนื่องจากกลไกการออกฤทธิ์, efficacy หรือข้อบ่งใช้ไม่ตรงกับโจทย์ที่กำหนด
• ข้อ ข. (Increase susceptibility to infection): ข้อนี้ไม่ใช่คำตอบที่ถูกต้องสำหรับภาวะ Allergic rhinitis เนื่องจากกลไกการออกฤทธิ์, efficacy หรือข้อบ่งใช้ไม่ตรงกับโจทย์ที่กำหนด
• ข้อ ค. (Peptic ulceration): ข้อนี้ไม่ใช่คำตอบที่ถูกต้องสำหรับภาวะ Allergic rhinitis เนื่องจากกลไกการออกฤทธิ์, efficacy หรือข้อบ่งใช้ไม่ตรงกับโจทย์ที่กำหนด
• ข้อ จ. (Physiological disturbances):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18" t="inlineStr"/>
      <c r="L40" s="18" t="inlineStr">
        <is>
          <t>Allergic rhinitis</t>
        </is>
      </c>
      <c r="M40" s="18" t="inlineStr">
        <is>
          <t>Clinic</t>
        </is>
      </c>
      <c r="N40" s="18" t="inlineStr">
        <is>
          <t>ข้อ 38 ชุด 1 (เฉลยข้อ ง)</t>
        </is>
      </c>
      <c r="O40" s="18" t="inlineStr">
        <is>
          <t>Mock</t>
        </is>
      </c>
      <c r="P40" s="18" t="inlineStr">
        <is>
          <t>ชุด 1</t>
        </is>
      </c>
    </row>
    <row r="41">
      <c r="A41" s="15" t="inlineStr">
        <is>
          <t>39</t>
        </is>
      </c>
      <c r="B41" s="18"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18" t="inlineStr"/>
      <c r="D41" s="18" t="inlineStr">
        <is>
          <t>มีน้ำมูก</t>
        </is>
      </c>
      <c r="E41" s="18" t="inlineStr">
        <is>
          <t>ปวดข้อ</t>
        </is>
      </c>
      <c r="F41" s="18" t="inlineStr">
        <is>
          <t>มีไข้</t>
        </is>
      </c>
      <c r="G41" s="18" t="inlineStr">
        <is>
          <t>น้ำหนักลด</t>
        </is>
      </c>
      <c r="H41" s="18" t="inlineStr">
        <is>
          <t>ผีเสื้อที่หน้า</t>
        </is>
      </c>
      <c r="I41" s="15" t="inlineStr">
        <is>
          <t>1</t>
        </is>
      </c>
      <c r="J41" s="18"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ข้อนี้ไม่ใช่คำตอบที่ถูกต้องสำหรับภาวะ Allergic rhinitis เนื่องจากกลไกการออกฤทธิ์, efficacy หรือข้อบ่งใช้ไม่ตรงกับโจทย์ที่กำหนด
• ข้อ ค. (มีไข้): ข้อนี้ไม่ใช่คำตอบที่ถูกต้องสำหรับภาวะ Allergic rhinitis เนื่องจากกลไกการออกฤทธิ์, efficacy หรือข้อบ่งใช้ไม่ตรงกับโจทย์ที่กำหนด
• ข้อ ง. (น้ำหนักลด): ข้อนี้ไม่ใช่คำตอบที่ถูกต้องสำหรับภาวะ Allergic rhinitis เนื่องจากกลไกการออกฤทธิ์, efficacy หรือข้อบ่งใช้ไม่ตรงกับโจทย์ที่กำหนด
• ข้อ จ. (ผีเสื้อที่หน้า):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18" t="inlineStr"/>
      <c r="L41" s="18" t="inlineStr">
        <is>
          <t>Allergic rhinitis</t>
        </is>
      </c>
      <c r="M41" s="18" t="inlineStr">
        <is>
          <t>Clinic</t>
        </is>
      </c>
      <c r="N41" s="18" t="inlineStr">
        <is>
          <t>ข้อ 39 ชุด 1 (เฉลยข้อ ก)</t>
        </is>
      </c>
      <c r="O41" s="18" t="inlineStr">
        <is>
          <t>Mock</t>
        </is>
      </c>
      <c r="P41" s="18" t="inlineStr">
        <is>
          <t>ชุด 1</t>
        </is>
      </c>
    </row>
    <row r="42">
      <c r="A42" s="15" t="inlineStr">
        <is>
          <t>40</t>
        </is>
      </c>
      <c r="B42" s="18" t="inlineStr">
        <is>
          <t>ถ้าต้องการใช้ยารักษาโรคในกรณีเฉียบพลันใช้ยา</t>
        </is>
      </c>
      <c r="C42" s="18" t="inlineStr"/>
      <c r="D42" s="18" t="inlineStr">
        <is>
          <t>Indomethacin</t>
        </is>
      </c>
      <c r="E42" s="18" t="inlineStr">
        <is>
          <t>Ibuprofen</t>
        </is>
      </c>
      <c r="F42" s="18" t="inlineStr">
        <is>
          <t>Diclofenac or Piroxicam</t>
        </is>
      </c>
      <c r="G42" s="18" t="inlineStr">
        <is>
          <t>Aspirin</t>
        </is>
      </c>
      <c r="H42" s="18" t="inlineStr">
        <is>
          <t>Methylprednisolone</t>
        </is>
      </c>
      <c r="I42" s="15" t="inlineStr">
        <is>
          <t>5</t>
        </is>
      </c>
      <c r="J42" s="18"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18" t="inlineStr"/>
      <c r="L42" s="18" t="inlineStr">
        <is>
          <t>Systemic lupus</t>
        </is>
      </c>
      <c r="M42" s="18" t="inlineStr">
        <is>
          <t>Clinic</t>
        </is>
      </c>
      <c r="N42" s="18" t="inlineStr">
        <is>
          <t>ข้อ 40 ชุด 1 (เฉลยข้อ จ)</t>
        </is>
      </c>
      <c r="O42" s="18" t="inlineStr">
        <is>
          <t>Mock</t>
        </is>
      </c>
      <c r="P42" s="18" t="inlineStr">
        <is>
          <t>ชุด 1</t>
        </is>
      </c>
    </row>
    <row r="43">
      <c r="A43" s="15" t="inlineStr">
        <is>
          <t>42</t>
        </is>
      </c>
      <c r="B43" s="18"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8" t="inlineStr"/>
      <c r="D43" s="18" t="inlineStr">
        <is>
          <t>Allergic rhinitis-mild intermittent</t>
        </is>
      </c>
      <c r="E43" s="18" t="inlineStr">
        <is>
          <t>Allergic rhinitis-mod-severe intermittent</t>
        </is>
      </c>
      <c r="F43" s="18" t="inlineStr">
        <is>
          <t>Allergic rhinitis-mod-severe persistent</t>
        </is>
      </c>
      <c r="G43" s="18" t="inlineStr">
        <is>
          <t>Allergic Asthma-mild persistent</t>
        </is>
      </c>
      <c r="H43" s="18" t="inlineStr">
        <is>
          <t>Allergic asthma-mod-severe intermittent</t>
        </is>
      </c>
      <c r="I43" s="15" t="inlineStr">
        <is>
          <t>1</t>
        </is>
      </c>
      <c r="J43" s="18"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ค. (Allergic rhinitis-mod-severe intermittent): ข้อนี้ไม่ใช่คำตอบที่ถูกต้องสำหรับภาวะ Allergic rhinitis เนื่องจากกลไกการออกฤทธิ์, efficacy หรือข้อบ่งใช้ไม่ตรงกับโจทย์ที่กำหนด
• ข้อ ง. (Allergic rhinitis-mod-severe persistent): ข้อนี้ไม่ใช่คำตอบที่ถูกต้องสำหรับภาวะ Allergic rhinitis เนื่องจากกลไกการออกฤทธิ์, efficacy หรือข้อบ่งใช้ไม่ตรงกับโจทย์ที่กำหนด
• ข้อ จ. (Allergic Asthma-mild persistent):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8" t="inlineStr"/>
      <c r="L43" s="18" t="inlineStr">
        <is>
          <t>Allergic rhinitis</t>
        </is>
      </c>
      <c r="M43" s="18" t="inlineStr">
        <is>
          <t>Allergic rhinitis</t>
        </is>
      </c>
      <c r="N43" s="18" t="inlineStr">
        <is>
          <t>Mock PLE-CC 1 ข้อ 41</t>
        </is>
      </c>
      <c r="O43" s="18" t="inlineStr">
        <is>
          <t>Mock</t>
        </is>
      </c>
      <c r="P43" s="18" t="inlineStr">
        <is>
          <t>Mock RxCU83</t>
        </is>
      </c>
      <c r="Q43" s="18" t="inlineStr"/>
    </row>
    <row r="44">
      <c r="A44" s="15" t="inlineStr">
        <is>
          <t>43</t>
        </is>
      </c>
      <c r="B44" s="18" t="inlineStr">
        <is>
          <t>ควรให้ยาอะไรตามการรักษาอาการภูมิแพ้กำเริบในประเทศไทย พ.ศ.2565</t>
        </is>
      </c>
      <c r="C44" s="18" t="inlineStr"/>
      <c r="D44" s="18" t="inlineStr">
        <is>
          <t>CPM 4 mg ตามเดิม</t>
        </is>
      </c>
      <c r="E44" s="18" t="inlineStr">
        <is>
          <t>หยุด CPM และใช้ Fexofenadine 180 mg 1 เม็ดก่อน เมื่อมีอาการ</t>
        </is>
      </c>
      <c r="F44" s="18" t="inlineStr">
        <is>
          <t>Fexo 180 mg 1 เม็ดก่อนนอน ต่อเนื่อง 2 สัปดาห์</t>
        </is>
      </c>
      <c r="G44" s="18" t="inlineStr">
        <is>
          <t>Montelukast 10 mg วันละ 1 เม็ด ประเมินอีกครั้ง 2 สัปดาห์</t>
        </is>
      </c>
      <c r="H44" s="18" t="inlineStr">
        <is>
          <t>Mometasone พ่นจมูกเช้า-เย็น ประเมินอีกครั้ง 2 สัปดาห๋"</t>
        </is>
      </c>
      <c r="I44" s="15" t="inlineStr">
        <is>
          <t>3</t>
        </is>
      </c>
      <c r="J44" s="18"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(CPM 4 mg ตามเดิม): ข้อนี้ไม่ใช่คำตอบที่ถูกต้องสำหรับภาวะ Allergic rhinitis เนื่องจากกลไกการออกฤทธิ์, efficacy หรือข้อบ่งใช้ไม่ตรงกับโจทย์ที่กำหนด
• ข้อ ค. (หยุด CPM และใช้ Fexofenadine 180 mg 1 เม็ดก่อน เมื่อมีอาการ): เป็น 2nd generation non-sedating H1-antihistamine ไม่ผ่าน blood-brain barrier จึงแทบไม่มีฤทธิ์ง่วงซึม หลีกเลี่ยงการรับประทานพร้อมน้ำผลไม้รสเปรี้ยว (grapefruit, orange juice)
• ข้อ จ. (Montelukast 10 mg วันละ 1 เม็ด ประเมินอีกครั้ง 2 สัปดาห์):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8" t="inlineStr"/>
      <c r="L44" s="18" t="inlineStr">
        <is>
          <t>Allergic rhinitis</t>
        </is>
      </c>
      <c r="M44" s="18" t="inlineStr">
        <is>
          <t>Allergic rhinitis</t>
        </is>
      </c>
      <c r="N44" s="18" t="inlineStr">
        <is>
          <t>Mock PLE-CC 1 ข้อ 42</t>
        </is>
      </c>
      <c r="O44" s="18" t="inlineStr">
        <is>
          <t>Mock</t>
        </is>
      </c>
      <c r="P44" s="18" t="inlineStr">
        <is>
          <t>Mock RxCU83</t>
        </is>
      </c>
      <c r="Q44" s="18" t="inlineStr"/>
    </row>
    <row r="45">
      <c r="A45" s="15" t="inlineStr">
        <is>
          <t>44</t>
        </is>
      </c>
      <c r="B45" s="18" t="inlineStr">
        <is>
          <t>ผลข้างเคียงของการใช้ยา oxymetazoline ติดต่อกันหลายวัน</t>
        </is>
      </c>
      <c r="C45" s="18" t="inlineStr"/>
      <c r="D45" s="18" t="inlineStr">
        <is>
          <t>Glaucoma</t>
        </is>
      </c>
      <c r="E45" s="18" t="inlineStr">
        <is>
          <t>Epistaxis</t>
        </is>
      </c>
      <c r="F45" s="18" t="inlineStr">
        <is>
          <t>Rebound congestion</t>
        </is>
      </c>
      <c r="G45" s="18" t="inlineStr">
        <is>
          <t>HPA axis suppression</t>
        </is>
      </c>
      <c r="H45" s="18" t="inlineStr">
        <is>
          <t>nasal septal perforation</t>
        </is>
      </c>
      <c r="I45" s="15" t="inlineStr">
        <is>
          <t>1</t>
        </is>
      </c>
      <c r="J45" s="18"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ค. (Epistaxis): ข้อนี้ไม่ใช่คำตอบที่ถูกต้องสำหรับภาวะ Allergic rhinitis เนื่องจากกลไกการออกฤทธิ์, efficacy หรือข้อบ่งใช้ไม่ตรงกับโจทย์ที่กำหนด
• ข้อ ง. (Rebound congestion): ข้อนี้ไม่ใช่คำตอบที่ถูกต้องสำหรับภาวะ Allergic rhinitis เนื่องจากกลไกการออกฤทธิ์, efficacy หรือข้อบ่งใช้ไม่ตรงกับโจทย์ที่กำหนด
• ข้อ จ. (HPA axis suppression):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8" t="inlineStr"/>
      <c r="L45" s="18" t="inlineStr">
        <is>
          <t>Allergic rhinitis</t>
        </is>
      </c>
      <c r="M45" s="18" t="inlineStr">
        <is>
          <t>Allergic rhinitis</t>
        </is>
      </c>
      <c r="N45" s="18" t="inlineStr">
        <is>
          <t>Mock PLE-CC 1 ข้อ 43</t>
        </is>
      </c>
      <c r="O45" s="18" t="inlineStr">
        <is>
          <t>Mock</t>
        </is>
      </c>
      <c r="P45" s="18" t="inlineStr">
        <is>
          <t>Mock RxCU83</t>
        </is>
      </c>
      <c r="Q45" s="18" t="inlineStr"/>
    </row>
    <row r="46">
      <c r="A46" s="15" t="inlineStr">
        <is>
          <t>45</t>
        </is>
      </c>
      <c r="B46" s="18" t="inlineStr">
        <is>
          <t>กลไกการออกฤทธิ์ของยาแก้คัดจมูก oxymetazoline</t>
        </is>
      </c>
      <c r="C46" s="18" t="inlineStr"/>
      <c r="D46" s="18" t="inlineStr">
        <is>
          <t>Alpha1,Alpha2 agonist</t>
        </is>
      </c>
      <c r="E46" s="18" t="inlineStr">
        <is>
          <t>Beta1 agonist</t>
        </is>
      </c>
      <c r="F46" s="18" t="inlineStr">
        <is>
          <t>Muscarinic agonist</t>
        </is>
      </c>
      <c r="G46" s="18" t="inlineStr">
        <is>
          <t>Acetylcholinesterase inhibitor</t>
        </is>
      </c>
      <c r="H46" s="18" t="inlineStr">
        <is>
          <t>Neuromuscular blocker</t>
        </is>
      </c>
      <c r="I46" s="15" t="inlineStr">
        <is>
          <t>1</t>
        </is>
      </c>
      <c r="J46" s="18"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(Alpha1,Alpha2 agonist): ข้อนี้ไม่ใช่คำตอบที่ถูกต้องสำหรับภาวะ Allergic rhinitis เนื่องจากกลไกการออกฤทธิ์, efficacy หรือข้อบ่งใช้ไม่ตรงกับโจทย์ที่กำหนด
• ข้อ ค. (Beta1 agonist): ข้อนี้ไม่ใช่คำตอบที่ถูกต้องสำหรับภาวะ Allergic rhinitis เนื่องจากกลไกการออกฤทธิ์, efficacy หรือข้อบ่งใช้ไม่ตรงกับโจทย์ที่กำหนด
• ข้อ ง. (Muscarinic agonist): ข้อนี้ไม่ใช่คำตอบที่ถูกต้องสำหรับภาวะ Allergic rhinitis เนื่องจากกลไกการออกฤทธิ์, efficacy หรือข้อบ่งใช้ไม่ตรงกับโจทย์ที่กำหนด
• ข้อ จ. (Acetylcholinesterase inhibitor):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8" t="inlineStr"/>
      <c r="L46" s="18" t="inlineStr">
        <is>
          <t>Allergic rhinitis</t>
        </is>
      </c>
      <c r="M46" s="18" t="inlineStr">
        <is>
          <t>Allergic rhinitis</t>
        </is>
      </c>
      <c r="N46" s="18" t="inlineStr">
        <is>
          <t>Mock PLE-CC 1 ข้อ 44</t>
        </is>
      </c>
      <c r="O46" s="18" t="inlineStr">
        <is>
          <t>Mock</t>
        </is>
      </c>
      <c r="P46" s="18" t="inlineStr">
        <is>
          <t>Mock RxCU83</t>
        </is>
      </c>
      <c r="Q46" s="18" t="inlineStr"/>
    </row>
    <row r="47">
      <c r="A47" s="15" t="inlineStr">
        <is>
          <t>46</t>
        </is>
      </c>
      <c r="B47" s="18" t="inlineStr">
        <is>
          <t>CPM เป็น first gen antihistamine ห้ามใช้ในผู้ป่วยโรคใด</t>
        </is>
      </c>
      <c r="C47" s="18" t="inlineStr"/>
      <c r="D47" s="18" t="inlineStr">
        <is>
          <t>กลั้นปัสสาวะไม่อยู่</t>
        </is>
      </c>
      <c r="E47" s="18" t="inlineStr">
        <is>
          <t>หอบหืด</t>
        </is>
      </c>
      <c r="F47" s="18" t="inlineStr">
        <is>
          <t>ต่อมลูกหมากโต</t>
        </is>
      </c>
      <c r="G47" s="18" t="inlineStr">
        <is>
          <t>หัวใจเต้นผิดจังหวะ</t>
        </is>
      </c>
      <c r="H47" s="18" t="inlineStr">
        <is>
          <t>ใช้ยาปฏิชีวนะ (erythromycin,fluconazole)</t>
        </is>
      </c>
      <c r="I47" s="15" t="inlineStr">
        <is>
          <t>1</t>
        </is>
      </c>
      <c r="J47" s="18"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(กลั้นปัสสาวะไม่อยู่): ข้อนี้ไม่ใช่คำตอบที่ถูกต้องสำหรับภาวะ Allergic rhinitis เนื่องจากกลไกการออกฤทธิ์, efficacy หรือข้อบ่งใช้ไม่ตรงกับโจทย์ที่กำหนด
• ข้อ ค. (หอบหืด): ข้อนี้ไม่ใช่คำตอบที่ถูกต้องสำหรับภาวะ Allergic rhinitis เนื่องจากกลไกการออกฤทธิ์, efficacy หรือข้อบ่งใช้ไม่ตรงกับโจทย์ที่กำหนด
• ข้อ ง. (ต่อมลูกหมากโต): ข้อนี้ไม่ใช่คำตอบที่ถูกต้องสำหรับภาวะ Allergic rhinitis เนื่องจากกลไกการออกฤทธิ์, efficacy หรือข้อบ่งใช้ไม่ตรงกับโจทย์ที่กำหนด
• ข้อ จ. (หัวใจเต้นผิดจังหวะ):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8" t="inlineStr"/>
      <c r="L47" s="18" t="inlineStr">
        <is>
          <t>Allergic rhinitis</t>
        </is>
      </c>
      <c r="M47" s="18" t="inlineStr">
        <is>
          <t>Allergic rhinitis</t>
        </is>
      </c>
      <c r="N47" s="18" t="inlineStr">
        <is>
          <t>Mock PLE-CC 1 ข้อ 45</t>
        </is>
      </c>
      <c r="O47" s="18" t="inlineStr">
        <is>
          <t>Mock</t>
        </is>
      </c>
      <c r="P47" s="18" t="inlineStr">
        <is>
          <t>Mock RxCU83</t>
        </is>
      </c>
      <c r="Q47" s="18" t="inlineStr"/>
    </row>
    <row r="48">
      <c r="A48" s="15" t="inlineStr">
        <is>
          <t>47</t>
        </is>
      </c>
      <c r="B48" s="18" t="inlineStr">
        <is>
          <t>อาหารหรือปัจจัยใดกระตุ้นให้เกิด allergic rhinitis ได้</t>
        </is>
      </c>
      <c r="C48" s="18" t="inlineStr"/>
      <c r="D48" s="18" t="inlineStr">
        <is>
          <t>เครื่องดื่มแอลกอฮอล์</t>
        </is>
      </c>
      <c r="E48" s="18" t="inlineStr">
        <is>
          <t>อาหารที่มีสารกันบูด sulfite เช่น ไวน์ อาหารแปรรูป</t>
        </is>
      </c>
      <c r="F48" s="18" t="inlineStr">
        <is>
          <t>อาหารที่มีรสจัดหรือเผ็ดที่กระตุ้นอาการคัดจมูก</t>
        </is>
      </c>
      <c r="G48" s="18" t="inlineStr">
        <is>
          <t>สูบบุหรี่และควันบุหรี่</t>
        </is>
      </c>
      <c r="H48" s="18" t="inlineStr">
        <is>
          <t>ถูกทุกข้อ</t>
        </is>
      </c>
      <c r="I48" s="15" t="inlineStr">
        <is>
          <t>3</t>
        </is>
      </c>
      <c r="J48" s="18"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(เครื่องดื่มแอลกอฮอล์): ข้อนี้ไม่ใช่คำตอบที่ถูกต้องสำหรับภาวะ Allergic rhinitis เนื่องจากกลไกการออกฤทธิ์, efficacy หรือข้อบ่งใช้ไม่ตรงกับโจทย์ที่กำหนด
• ข้อ ค. (อาหารที่มีสารกันบูด sulfite เช่น ไวน์ อาหารแปรรูป): ข้อนี้ไม่ใช่คำตอบที่ถูกต้องสำหรับภาวะ Allergic rhinitis เนื่องจากกลไกการออกฤทธิ์, efficacy หรือข้อบ่งใช้ไม่ตรงกับโจทย์ที่กำหนด
• ข้อ จ. (สูบบุหรี่และควันบุหรี่):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8" t="inlineStr"/>
      <c r="L48" s="18" t="inlineStr">
        <is>
          <t>Allergic rhinitis</t>
        </is>
      </c>
      <c r="M48" s="18" t="inlineStr">
        <is>
          <t>Allergic rhinitis</t>
        </is>
      </c>
      <c r="N48" s="18" t="inlineStr">
        <is>
          <t>Mock PLE-CC 1 ข้อ 50</t>
        </is>
      </c>
      <c r="O48" s="18" t="inlineStr">
        <is>
          <t>Mock</t>
        </is>
      </c>
      <c r="P48" s="18" t="inlineStr">
        <is>
          <t>Mock RxCU83</t>
        </is>
      </c>
      <c r="Q48" s="18" t="inlineStr"/>
    </row>
    <row r="49">
      <c r="A49" s="15" t="inlineStr">
        <is>
          <t>48</t>
        </is>
      </c>
      <c r="B49" s="18"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18" t="inlineStr"/>
      <c r="D49" s="18" t="inlineStr">
        <is>
          <t>ขายได้เพราะเป็นยาสามัญประจำบ้าน</t>
        </is>
      </c>
      <c r="E49" s="18" t="inlineStr">
        <is>
          <t>ขายได้เพราะเป็นยาอันตรายตามกฎหมาย</t>
        </is>
      </c>
      <c r="F49" s="18" t="inlineStr">
        <is>
          <t>ขายไม่ได้เพราะปริมาณเกินกฎหมายกำหนดไว้</t>
        </is>
      </c>
      <c r="G49" s="18" t="inlineStr">
        <is>
          <t>ขายไม่ได้เพราะไม่ได้คำนึงถึงความปลอดภัยผู้มาซื้อ</t>
        </is>
      </c>
      <c r="H49" s="18" t="inlineStr">
        <is>
          <t>ขายไม่ได้เพราะไม่มีใบสั่งซื้อจากแพทย์</t>
        </is>
      </c>
      <c r="I49" s="15" t="inlineStr">
        <is>
          <t>1</t>
        </is>
      </c>
      <c r="J49" s="18"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(ขายได้เพราะเป็นยาสามัญประจำบ้าน): ข้อนี้ไม่ใช่คำตอบที่ถูกต้องสำหรับภาวะ Allergic rhinitis เนื่องจากกลไกการออกฤทธิ์, efficacy หรือข้อบ่งใช้ไม่ตรงกับโจทย์ที่กำหนด
• ข้อ ค. (ขายได้เพราะเป็นยาอันตรายตามกฎหมาย):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(ขายไม่ได้เพราะปริมาณเกินกฎหมายกำหนดไว้): ข้อนี้ไม่ใช่คำตอบที่ถูกต้องสำหรับภาวะ Allergic rhinitis เนื่องจากกลไกการออกฤทธิ์, efficacy หรือข้อบ่งใช้ไม่ตรงกับโจทย์ที่กำหนด
• ข้อ จ. (ขายไม่ได้เพราะไม่ได้คำนึงถึงความปลอดภัยผู้มาซื้อ):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8" t="inlineStr"/>
      <c r="L49" s="18" t="inlineStr">
        <is>
          <t>Allergic rhinitis</t>
        </is>
      </c>
      <c r="M49" s="18" t="inlineStr">
        <is>
          <t>Allergic rhinitis</t>
        </is>
      </c>
      <c r="N49" s="18" t="inlineStr">
        <is>
          <t>PLE_CC1_2567_Key ข้อ 11</t>
        </is>
      </c>
      <c r="O49" s="18" t="inlineStr">
        <is>
          <t>ข้อสอบจริง</t>
        </is>
      </c>
      <c r="P49" s="18" t="inlineStr">
        <is>
          <t>ปี 2567</t>
        </is>
      </c>
      <c r="Q49" s="18" t="inlineStr"/>
    </row>
    <row r="50">
      <c r="A50" s="15" t="inlineStr">
        <is>
          <t>49</t>
        </is>
      </c>
      <c r="B50" s="18"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18" t="inlineStr"/>
      <c r="D50" s="18" t="inlineStr">
        <is>
          <t>ขายได้เพราะเป็นยาสามัญประจำบ้าน</t>
        </is>
      </c>
      <c r="E50" s="18" t="inlineStr">
        <is>
          <t>ขายได้เพราะเป็นยาอันตรายตามกฎหมาย</t>
        </is>
      </c>
      <c r="F50" s="18" t="inlineStr">
        <is>
          <t>ขายไม่ได้เพราะปริมาณเกินกฎหมายกำหนดไว้</t>
        </is>
      </c>
      <c r="G50" s="18" t="inlineStr">
        <is>
          <t>ขายไม่ได้เพราะไม่ได้คำนึงถึงความปลอดภัยผู้มาซื้อ</t>
        </is>
      </c>
      <c r="H50" s="18" t="inlineStr">
        <is>
          <t>ขายไม่ได้เพราะไม่มีใบสั่งซื้อจากแพทย์</t>
        </is>
      </c>
      <c r="I50" s="15" t="inlineStr">
        <is>
          <t>1</t>
        </is>
      </c>
      <c r="J50" s="18"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(ขายได้เพราะเป็นยาสามัญประจำบ้าน): ข้อนี้ไม่ใช่คำตอบที่ถูกต้องสำหรับภาวะ Allergic rhinitis เนื่องจากกลไกการออกฤทธิ์, efficacy หรือข้อบ่งใช้ไม่ตรงกับโจทย์ที่กำหนด
• ข้อ ค. (ขายได้เพราะเป็นยาอันตรายตามกฎหมาย):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(ขายไม่ได้เพราะปริมาณเกินกฎหมายกำหนดไว้): ข้อนี้ไม่ใช่คำตอบที่ถูกต้องสำหรับภาวะ Allergic rhinitis เนื่องจากกลไกการออกฤทธิ์, efficacy หรือข้อบ่งใช้ไม่ตรงกับโจทย์ที่กำหนด
• ข้อ จ. (ขายไม่ได้เพราะไม่ได้คำนึงถึงความปลอดภัยผู้มาซื้อ):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18" t="inlineStr"/>
      <c r="L50" s="18" t="inlineStr">
        <is>
          <t>Allergic rhinitis</t>
        </is>
      </c>
      <c r="M50" s="18" t="inlineStr">
        <is>
          <t>Allergic rhinitis</t>
        </is>
      </c>
      <c r="N50" s="18" t="inlineStr">
        <is>
          <t>PLE_CC1_2567_Set1_Key ข้อ 11</t>
        </is>
      </c>
      <c r="O50" s="18" t="inlineStr">
        <is>
          <t>ข้อสอบจริง</t>
        </is>
      </c>
      <c r="P50" s="18" t="inlineStr">
        <is>
          <t>ปี 2567</t>
        </is>
      </c>
      <c r="Q50" s="18" t="inlineStr"/>
    </row>
    <row r="51">
      <c r="A51" s="15" t="inlineStr">
        <is>
          <t>50</t>
        </is>
      </c>
      <c r="B51" s="18"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18" t="inlineStr"/>
      <c r="D51" s="18" t="inlineStr">
        <is>
          <t>Fluticasone furoate nasal spray</t>
        </is>
      </c>
      <c r="E51" s="18" t="inlineStr">
        <is>
          <t>Budesonide nasal spray</t>
        </is>
      </c>
      <c r="F51" s="18" t="inlineStr">
        <is>
          <t>Epinephrine 0.3 mg IM stat</t>
        </is>
      </c>
      <c r="G51" s="18" t="inlineStr">
        <is>
          <t>Dexamethasone 4 mg IV</t>
        </is>
      </c>
      <c r="H51" s="18" t="inlineStr">
        <is>
          <t>Bromocriptine</t>
        </is>
      </c>
      <c r="I51" s="15" t="inlineStr">
        <is>
          <t>1</t>
        </is>
      </c>
      <c r="J51" s="18"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18" t="inlineStr"/>
      <c r="L51" s="18" t="inlineStr">
        <is>
          <t>Allergic rhinitis</t>
        </is>
      </c>
      <c r="M51" s="18" t="inlineStr">
        <is>
          <t>Allergic rhinitis</t>
        </is>
      </c>
      <c r="N51" s="18" t="inlineStr">
        <is>
          <t>PLE_CC1_2567_Set1_Key ข้อ 14</t>
        </is>
      </c>
      <c r="O51" s="18" t="inlineStr">
        <is>
          <t>ข้อสอบจริง</t>
        </is>
      </c>
      <c r="P51" s="18" t="inlineStr">
        <is>
          <t>ปี 2567</t>
        </is>
      </c>
      <c r="Q51" s="18" t="inlineStr"/>
    </row>
    <row r="52">
      <c r="A52" s="15" t="inlineStr">
        <is>
          <t>51</t>
        </is>
      </c>
      <c r="B52" s="18" t="inlineStr">
        <is>
          <t>คุณครูมาขอซื้อ CPM 4 มก. 5 กระปุก กระปุกละ 100 เม็ด เนื่องจากกำลังจะเปิดเรียน เภสัชกรขายให้ เภสัช กรผิดหรือไม่</t>
        </is>
      </c>
      <c r="C52" s="18" t="inlineStr"/>
      <c r="D52" s="18" t="inlineStr">
        <is>
          <t>Allergic rhinitis</t>
        </is>
      </c>
      <c r="E52" s="18" t="inlineStr">
        <is>
          <t>Dexamethasone 4 mg IV</t>
        </is>
      </c>
      <c r="F52" s="18" t="inlineStr">
        <is>
          <t>Prednisolone 20 mg OD</t>
        </is>
      </c>
      <c r="G52" s="18" t="inlineStr">
        <is>
          <t>Montelukast 10 mg HS</t>
        </is>
      </c>
      <c r="H52" s="18" t="inlineStr">
        <is>
          <t>Hydroxyzine 25 mg HS</t>
        </is>
      </c>
      <c r="I52" s="15" t="inlineStr">
        <is>
          <t>1</t>
        </is>
      </c>
      <c r="J52" s="18"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8" t="inlineStr"/>
      <c r="L52" s="18" t="inlineStr">
        <is>
          <t>Allergic rhinitis</t>
        </is>
      </c>
      <c r="M52" s="18" t="inlineStr">
        <is>
          <t>Allergic rhinitis</t>
        </is>
      </c>
      <c r="N52" s="18" t="inlineStr">
        <is>
          <t>PLE_CC1_2567_Set1_Key ข้อ 47</t>
        </is>
      </c>
      <c r="O52" s="18" t="inlineStr">
        <is>
          <t>ข้อสอบจริง</t>
        </is>
      </c>
      <c r="P52" s="18" t="inlineStr">
        <is>
          <t>ปี 2567</t>
        </is>
      </c>
    </row>
    <row r="53">
      <c r="A53" s="15" t="inlineStr">
        <is>
          <t>52</t>
        </is>
      </c>
      <c r="B53" s="18" t="inlineStr">
        <is>
          <t>ข้อใดเป็นเกณฑ์ในการวินิจฉัยว่าผู้ป่วยคนนี้เป็นโรคไตเรื้อรัง CPM UACR = 282 ☆</t>
        </is>
      </c>
      <c r="C53" s="18" t="inlineStr"/>
      <c r="D53" s="18" t="inlineStr">
        <is>
          <t>Allergic rhinitis</t>
        </is>
      </c>
      <c r="E53" s="18" t="inlineStr">
        <is>
          <t>Hydroxyzine 25 mg HS</t>
        </is>
      </c>
      <c r="F53" s="18" t="inlineStr">
        <is>
          <t>Diphenhydramine 25 mg IV</t>
        </is>
      </c>
      <c r="G53" s="18" t="inlineStr">
        <is>
          <t>Cetirizine 10 mg OD</t>
        </is>
      </c>
      <c r="H53" s="18" t="inlineStr">
        <is>
          <t>Loratadine 10 mg OD</t>
        </is>
      </c>
      <c r="I53" s="15" t="inlineStr">
        <is>
          <t>1</t>
        </is>
      </c>
      <c r="J53" s="18"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18" t="inlineStr"/>
      <c r="L53" s="18" t="inlineStr">
        <is>
          <t>Allergic rhinitis</t>
        </is>
      </c>
      <c r="M53" s="18" t="inlineStr">
        <is>
          <t>Allergic rhinitis</t>
        </is>
      </c>
      <c r="N53" s="18" t="inlineStr">
        <is>
          <t>PLE_CC1_2567_Set1_Key ข้อ 50</t>
        </is>
      </c>
      <c r="O53" s="18" t="inlineStr">
        <is>
          <t>ข้อสอบจริง</t>
        </is>
      </c>
      <c r="P53" s="18" t="inlineStr">
        <is>
          <t>ปี 2567</t>
        </is>
      </c>
    </row>
    <row r="54">
      <c r="A54" s="15" t="inlineStr">
        <is>
          <t>53</t>
        </is>
      </c>
      <c r="B54" s="18"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18" t="inlineStr"/>
      <c r="D54" s="18" t="inlineStr">
        <is>
          <t>Sildenafil</t>
        </is>
      </c>
      <c r="E54" s="18" t="inlineStr">
        <is>
          <t>Alprazolam</t>
        </is>
      </c>
      <c r="F54" s="18" t="inlineStr">
        <is>
          <t>Tramadol</t>
        </is>
      </c>
      <c r="G54" s="18" t="inlineStr">
        <is>
          <t>Dexamethasone</t>
        </is>
      </c>
      <c r="H54" s="18" t="inlineStr">
        <is>
          <t>Prednisolone eดfา combine 3นเอา synergistic effect เลยHกfา gก เหhผลjงkอ:lวยR Na mUงไnอยากเ^มขนาด HCTZ</t>
        </is>
      </c>
      <c r="I54" s="15" t="inlineStr">
        <is>
          <t>1</t>
        </is>
      </c>
      <c r="J54" s="18"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(Sildenafil): ข้อนี้ไม่ใช่คำตอบที่ถูกต้องสำหรับภาวะ Hypersensitivity เนื่องจากกลไกการออกฤทธิ์, efficacy หรือข้อบ่งใช้ไม่ตรงกับโจทย์ที่กำหนด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18" t="inlineStr"/>
      <c r="L54" s="18" t="inlineStr">
        <is>
          <t>Hypersensitivity</t>
        </is>
      </c>
      <c r="M54" s="18" t="inlineStr">
        <is>
          <t>Allergic rhinitis</t>
        </is>
      </c>
      <c r="N54" s="18" t="inlineStr">
        <is>
          <t>PLE_CC1_2567_Set1_Key ข้อ 81</t>
        </is>
      </c>
      <c r="O54" s="18" t="inlineStr">
        <is>
          <t>ข้อสอบจริง</t>
        </is>
      </c>
      <c r="P54" s="18" t="inlineStr">
        <is>
          <t>ปี 2567</t>
        </is>
      </c>
      <c r="Q54" s="18" t="inlineStr"/>
    </row>
    <row r="55">
      <c r="A55" s="15" t="inlineStr">
        <is>
          <t>54</t>
        </is>
      </c>
      <c r="B55" s="18" t="inlineStr">
        <is>
          <t>CPM 10 เม็ด?????</t>
        </is>
      </c>
      <c r="C55" s="18" t="inlineStr"/>
      <c r="D55" s="18" t="inlineStr">
        <is>
          <t>Allergic rhinitis</t>
        </is>
      </c>
      <c r="E55" s="18" t="inlineStr">
        <is>
          <t>Fluticasone furoate nasal spray</t>
        </is>
      </c>
      <c r="F55" s="18" t="inlineStr">
        <is>
          <t>Budesonide nasal spray</t>
        </is>
      </c>
      <c r="G55" s="18" t="inlineStr">
        <is>
          <t>Epinephrine 0.3 mg IM stat</t>
        </is>
      </c>
      <c r="H55" s="18" t="inlineStr">
        <is>
          <t>Dexamethasone 4 mg IV</t>
        </is>
      </c>
      <c r="I55" s="15" t="inlineStr">
        <is>
          <t>1</t>
        </is>
      </c>
      <c r="J55" s="18"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8" t="inlineStr"/>
      <c r="L55" s="18" t="inlineStr">
        <is>
          <t>Allergic rhinitis</t>
        </is>
      </c>
      <c r="M55" s="18" t="inlineStr">
        <is>
          <t>Allergic rhinitis</t>
        </is>
      </c>
      <c r="N55" s="18" t="inlineStr">
        <is>
          <t>PLE-CC1 ปี 2566 Day 2 ข้อ 2</t>
        </is>
      </c>
      <c r="O55" s="18" t="inlineStr">
        <is>
          <t>ข้อสอบจริง</t>
        </is>
      </c>
      <c r="P55" s="18" t="inlineStr">
        <is>
          <t>ปี 2566</t>
        </is>
      </c>
    </row>
    <row r="56">
      <c r="A56" s="15" t="inlineStr">
        <is>
          <t>55</t>
        </is>
      </c>
      <c r="B56" s="18"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18" t="inlineStr"/>
      <c r="D56" s="18" t="inlineStr">
        <is>
          <t>Allergic rhinitis</t>
        </is>
      </c>
      <c r="E56" s="18" t="inlineStr">
        <is>
          <t>Dexamethasone 4 mg IV</t>
        </is>
      </c>
      <c r="F56" s="18" t="inlineStr">
        <is>
          <t>Prednisolone 20 mg OD</t>
        </is>
      </c>
      <c r="G56" s="18" t="inlineStr">
        <is>
          <t>Montelukast 10 mg HS</t>
        </is>
      </c>
      <c r="H56" s="18" t="inlineStr">
        <is>
          <t>Hydroxyzine 25 mg HS</t>
        </is>
      </c>
      <c r="I56" s="15" t="inlineStr">
        <is>
          <t>1</t>
        </is>
      </c>
      <c r="J56" s="18"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8" t="inlineStr"/>
      <c r="L56" s="18" t="inlineStr">
        <is>
          <t>Allergic rhinitis</t>
        </is>
      </c>
      <c r="M56" s="18" t="inlineStr">
        <is>
          <t>Allergic rhinitis</t>
        </is>
      </c>
      <c r="N56" s="18" t="inlineStr">
        <is>
          <t>PLE-CC1 ปี 2566 Day 2 ข้อ 68</t>
        </is>
      </c>
      <c r="O56" s="18" t="inlineStr">
        <is>
          <t>ข้อสอบจริง</t>
        </is>
      </c>
      <c r="P56" s="18" t="inlineStr">
        <is>
          <t>ปี 2566</t>
        </is>
      </c>
    </row>
    <row r="57">
      <c r="A57" s="15" t="inlineStr">
        <is>
          <t>56</t>
        </is>
      </c>
      <c r="B57" s="18" t="inlineStr">
        <is>
          <t>มารดาเป็นภูมิแพ้</t>
        </is>
      </c>
      <c r="C57" s="18" t="inlineStr"/>
      <c r="D57" s="18" t="inlineStr">
        <is>
          <t>Allergic rhinitis</t>
        </is>
      </c>
      <c r="E57" s="18" t="inlineStr">
        <is>
          <t>Hydroxyzine 25 mg HS</t>
        </is>
      </c>
      <c r="F57" s="18" t="inlineStr">
        <is>
          <t>Diphenhydramine 25 mg IV</t>
        </is>
      </c>
      <c r="G57" s="18" t="inlineStr">
        <is>
          <t>Cetirizine 10 mg OD</t>
        </is>
      </c>
      <c r="H57" s="18" t="inlineStr">
        <is>
          <t>Loratadine 10 mg OD</t>
        </is>
      </c>
      <c r="I57" s="15" t="inlineStr">
        <is>
          <t>1</t>
        </is>
      </c>
      <c r="J57" s="18"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8" t="inlineStr"/>
      <c r="L57" s="18" t="inlineStr">
        <is>
          <t>Allergic rhinitis</t>
        </is>
      </c>
      <c r="M57" s="18" t="inlineStr">
        <is>
          <t>Allergic rhinitis</t>
        </is>
      </c>
      <c r="N57" s="18" t="inlineStr">
        <is>
          <t>PLE-CC1 ปี 2566 Day 2 ข้อ 5</t>
        </is>
      </c>
      <c r="O57" s="18" t="inlineStr">
        <is>
          <t>ข้อสอบจริง</t>
        </is>
      </c>
      <c r="P57" s="18" t="inlineStr">
        <is>
          <t>ปี 2566</t>
        </is>
      </c>
    </row>
    <row r="58">
      <c r="A58" s="15" t="inlineStr">
        <is>
          <t>57</t>
        </is>
      </c>
      <c r="B58" s="18" t="inlineStr">
        <is>
          <t>(ชื่อยาantihistamine) nasal spray</t>
        </is>
      </c>
      <c r="C58" s="18" t="inlineStr"/>
      <c r="D58" s="18" t="inlineStr">
        <is>
          <t>Allergic rhinitis</t>
        </is>
      </c>
      <c r="E58" s="18" t="inlineStr">
        <is>
          <t>Loratadine 10 mg OD</t>
        </is>
      </c>
      <c r="F58" s="18" t="inlineStr">
        <is>
          <t>Fexofenadine 180 mg OD</t>
        </is>
      </c>
      <c r="G58" s="18" t="inlineStr">
        <is>
          <t>Chlorpheniramine 4 mg TID</t>
        </is>
      </c>
      <c r="H58" s="18" t="inlineStr">
        <is>
          <t>Fluticasone furoate nasal spray</t>
        </is>
      </c>
      <c r="I58" s="15" t="inlineStr">
        <is>
          <t>1</t>
        </is>
      </c>
      <c r="J58" s="18"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8" t="inlineStr"/>
      <c r="L58" s="18" t="inlineStr">
        <is>
          <t>Allergic rhinitis</t>
        </is>
      </c>
      <c r="M58" s="18" t="inlineStr">
        <is>
          <t>Allergic rhinitis</t>
        </is>
      </c>
      <c r="N58" s="18" t="inlineStr">
        <is>
          <t>PLE-CC1 ปี 2566 Day 2 ข้อ 2</t>
        </is>
      </c>
      <c r="O58" s="18" t="inlineStr">
        <is>
          <t>ข้อสอบจริง</t>
        </is>
      </c>
      <c r="P58" s="18" t="inlineStr">
        <is>
          <t>ปี 2566</t>
        </is>
      </c>
    </row>
    <row r="59">
      <c r="A59" s="15" t="inlineStr">
        <is>
          <t>58</t>
        </is>
      </c>
      <c r="B59" s="18" t="inlineStr">
        <is>
          <t>Antihistamine =ง&gt;ตรเ?ยวและ&gt;ตรผสม เฉพาะFปแบบยาH รายการยา antihistamine ตามแนบIายประกาศJKงL</t>
        </is>
      </c>
      <c r="C59" s="18" t="inlineStr"/>
      <c r="D59" s="18" t="inlineStr">
        <is>
          <t>Tramadol เดี่ยวและผสม</t>
        </is>
      </c>
      <c r="E59" s="18" t="inlineStr">
        <is>
          <t>Dextromethorphan เดี่ยวและผสม</t>
        </is>
      </c>
      <c r="F59" s="18" t="inlineStr">
        <is>
          <t>CPM เดี่ยวและผสม เฉพาะยาน้ำ</t>
        </is>
      </c>
      <c r="G59" s="18" t="inlineStr">
        <is>
          <t>Cetirizine เดี่ยวและผสม เฉพาะยาน้ำ</t>
        </is>
      </c>
      <c r="H59" s="18" t="inlineStr">
        <is>
          <t>Diphenhydramine เดี่ยวและผสม เฉพาะยาน้ำ</t>
        </is>
      </c>
      <c r="I59" s="15" t="inlineStr">
        <is>
          <t>1</t>
        </is>
      </c>
      <c r="J59" s="18"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ข้อนี้ไม่ใช่คำตอบที่ถูกต้องสำหรับภาวะ Allergic rhinitis เนื่องจากกลไกการออกฤทธิ์, efficacy หรือข้อบ่งใช้ไม่ตรงกับโจทย์ที่กำหนด
• ข้อ ง. (CPM เดี่ยวและผสม เฉพาะยาน้ำ): ข้อนี้ไม่ใช่คำตอบที่ถูกต้องสำหรับภาวะ Allergic rhinitis เนื่องจากกลไกการออกฤทธิ์, efficacy หรือข้อบ่งใช้ไม่ตรงกับโจทย์ที่กำหนด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8" t="inlineStr"/>
      <c r="L59" s="18" t="inlineStr">
        <is>
          <t>Allergic rhinitis</t>
        </is>
      </c>
      <c r="M59" s="18" t="inlineStr">
        <is>
          <t>Allergic rhinitis</t>
        </is>
      </c>
      <c r="N59" s="18" t="inlineStr">
        <is>
          <t>PLE_CC1_2565_Day1_Key ข้อ 3</t>
        </is>
      </c>
      <c r="O59" s="18" t="inlineStr">
        <is>
          <t>ข้อสอบจริง</t>
        </is>
      </c>
      <c r="P59" s="18" t="inlineStr">
        <is>
          <t>ปี 2565</t>
        </is>
      </c>
      <c r="Q59" s="18" t="inlineStr"/>
    </row>
    <row r="60">
      <c r="A60" s="15" t="inlineStr">
        <is>
          <t>59</t>
        </is>
      </c>
      <c r="B60" s="18"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18" t="inlineStr"/>
      <c r="D60" s="18" t="inlineStr">
        <is>
          <t>Dexamethasone 4 mg IV</t>
        </is>
      </c>
      <c r="E60" s="18" t="inlineStr">
        <is>
          <t>Prednisolone 20 mg OD</t>
        </is>
      </c>
      <c r="F60" s="18" t="inlineStr">
        <is>
          <t>Montelukast 10 mg HS</t>
        </is>
      </c>
      <c r="G60" s="18" t="inlineStr">
        <is>
          <t>Hydroxyzine 25 mg HS</t>
        </is>
      </c>
      <c r="H60" s="18" t="inlineStr">
        <is>
          <t>A และ C C เ"น Pyridine ring ไAใC imidazole แD EดGา;าจะเ"น8แห;ง4บ HางIงจากKป7 (เส=ม) ?ห@บ H2 receptor (Slide medchem)</t>
        </is>
      </c>
      <c r="I60" s="15" t="inlineStr">
        <is>
          <t>2</t>
        </is>
      </c>
      <c r="J60" s="18"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(Dexamethasone 4 mg IV): เป็น long-acting potent glucocorticoid ไม่มี mineralocorticoid effect จึงไม่ทำให้น้ำคั่ง เหมาะสำหรับ brain edema, antiemetic, และ COVID-19 with hypoxemia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18" t="inlineStr"/>
      <c r="L60" s="18" t="inlineStr">
        <is>
          <t>Allergic rhinitis</t>
        </is>
      </c>
      <c r="M60" s="18" t="inlineStr">
        <is>
          <t>Allergic rhinitis</t>
        </is>
      </c>
      <c r="N60" s="18" t="inlineStr">
        <is>
          <t>PLE_CC1_2565_Day1_Key ข้อ 88</t>
        </is>
      </c>
      <c r="O60" s="18" t="inlineStr">
        <is>
          <t>ข้อสอบจริง</t>
        </is>
      </c>
      <c r="P60" s="18" t="inlineStr">
        <is>
          <t>ปี 2565</t>
        </is>
      </c>
      <c r="Q60" s="18" t="inlineStr"/>
    </row>
    <row r="61">
      <c r="A61" s="15" t="inlineStr">
        <is>
          <t>60</t>
        </is>
      </c>
      <c r="B61" s="18" t="inlineStr">
        <is>
          <t>Allergic rhinitis</t>
        </is>
      </c>
      <c r="C61" s="18" t="inlineStr"/>
      <c r="D61" s="18" t="inlineStr">
        <is>
          <t>Allergic rhinitis</t>
        </is>
      </c>
      <c r="E61" s="18" t="inlineStr">
        <is>
          <t>Hydroxyzine 25 mg HS</t>
        </is>
      </c>
      <c r="F61" s="18" t="inlineStr">
        <is>
          <t>Diphenhydramine 25 mg IV</t>
        </is>
      </c>
      <c r="G61" s="18" t="inlineStr">
        <is>
          <t>Cetirizine 10 mg OD</t>
        </is>
      </c>
      <c r="H61" s="18" t="inlineStr">
        <is>
          <t>Loratadine 10 mg OD</t>
        </is>
      </c>
      <c r="I61" s="15" t="inlineStr">
        <is>
          <t>1</t>
        </is>
      </c>
      <c r="J61" s="18"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8" t="inlineStr"/>
      <c r="L61" s="18" t="inlineStr">
        <is>
          <t>Allergic rhinitis</t>
        </is>
      </c>
      <c r="M61" s="18" t="inlineStr">
        <is>
          <t>Allergic rhinitis</t>
        </is>
      </c>
      <c r="N61" s="18" t="inlineStr">
        <is>
          <t>PLE_CC1_2565_Day1_Key ข้อ 10</t>
        </is>
      </c>
      <c r="O61" s="18" t="inlineStr">
        <is>
          <t>ข้อสอบจริง</t>
        </is>
      </c>
      <c r="P61" s="18" t="inlineStr">
        <is>
          <t>ปี 2565</t>
        </is>
      </c>
    </row>
    <row r="62">
      <c r="A62" s="15" t="inlineStr">
        <is>
          <t>61</t>
        </is>
      </c>
      <c r="B62" s="18" t="inlineStr">
        <is>
          <t>common cold คัดจมูก จะให้ใช้อะไรดี</t>
        </is>
      </c>
      <c r="C62" s="18" t="inlineStr"/>
      <c r="D62" s="18" t="inlineStr">
        <is>
          <t>Allergic rhinitis</t>
        </is>
      </c>
      <c r="E62" s="18" t="inlineStr">
        <is>
          <t>oxymetazoline / b) CPM tablet / c) loratadine tablet</t>
        </is>
      </c>
      <c r="F62" s="18" t="inlineStr">
        <is>
          <t>Fexofenadine 180 mg OD</t>
        </is>
      </c>
      <c r="G62" s="18" t="inlineStr">
        <is>
          <t>Chlorpheniramine 4 mg TID</t>
        </is>
      </c>
      <c r="H62" s="18" t="inlineStr">
        <is>
          <t>Fluticasone furoate nasal spray</t>
        </is>
      </c>
      <c r="I62" s="15" t="inlineStr">
        <is>
          <t>1</t>
        </is>
      </c>
      <c r="J62" s="18"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8" t="inlineStr"/>
      <c r="L62" s="18" t="inlineStr">
        <is>
          <t>Allergic rhinitis</t>
        </is>
      </c>
      <c r="M62" s="18" t="inlineStr">
        <is>
          <t>Allergic rhinitis</t>
        </is>
      </c>
      <c r="N62" s="18" t="inlineStr">
        <is>
          <t>PLE_CC1_2564_All_Key ข้อ 10</t>
        </is>
      </c>
      <c r="O62" s="18" t="inlineStr">
        <is>
          <t>ข้อสอบจริง</t>
        </is>
      </c>
      <c r="P62" s="18" t="inlineStr">
        <is>
          <t>ปี 2564</t>
        </is>
      </c>
    </row>
    <row r="63">
      <c r="A63" s="15" t="inlineStr">
        <is>
          <t>62</t>
        </is>
      </c>
      <c r="B63" s="18" t="inlineStr">
        <is>
          <t>common cold จะแนะนำยังไงดี</t>
        </is>
      </c>
      <c r="C63" s="18" t="inlineStr"/>
      <c r="D63" s="18" t="inlineStr">
        <is>
          <t>Allergic rhinitis</t>
        </is>
      </c>
      <c r="E63" s="18"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18" t="inlineStr">
        <is>
          <t>Budesonide nasal spray</t>
        </is>
      </c>
      <c r="G63" s="18" t="inlineStr">
        <is>
          <t>Epinephrine 0.3 mg IM stat</t>
        </is>
      </c>
      <c r="H63" s="18" t="inlineStr">
        <is>
          <t>Dexamethasone 4 mg IV</t>
        </is>
      </c>
      <c r="I63" s="15" t="inlineStr">
        <is>
          <t>1</t>
        </is>
      </c>
      <c r="J63" s="18"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ข้อนี้ไม่ใช่คำตอบที่ถูกต้องสำหรับภาวะ Allergic rhinitis เนื่องจากกลไกการออกฤทธิ์, efficacy หรือข้อบ่งใช้ไม่ตรงกับโจทย์ที่กำหนด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8" t="inlineStr"/>
      <c r="L63" s="18" t="inlineStr">
        <is>
          <t>Allergic rhinitis</t>
        </is>
      </c>
      <c r="M63" s="18" t="inlineStr">
        <is>
          <t>Allergic rhinitis</t>
        </is>
      </c>
      <c r="N63" s="18" t="inlineStr">
        <is>
          <t>PLE_CC1_2564_All_Key ข้อ 11</t>
        </is>
      </c>
      <c r="O63" s="18" t="inlineStr">
        <is>
          <t>ข้อสอบจริง</t>
        </is>
      </c>
      <c r="P63" s="18" t="inlineStr">
        <is>
          <t>ปี 2564</t>
        </is>
      </c>
    </row>
    <row r="64">
      <c r="A64" s="15" t="inlineStr">
        <is>
          <t>62</t>
        </is>
      </c>
      <c r="B64" s="18" t="inlineStr">
        <is>
          <t>จากอาการดังกล.าวผู(ปcวยเป5น allergic rhinitis แบบใดและมีความ รุนแรงระดับใด</t>
        </is>
      </c>
      <c r="C64" s="18" t="inlineStr"/>
      <c r="D64" s="18" t="inlineStr">
        <is>
          <t>Persistent, mild</t>
        </is>
      </c>
      <c r="E64" s="18" t="inlineStr">
        <is>
          <t>Intermittent, mild</t>
        </is>
      </c>
      <c r="F64" s="18" t="inlineStr">
        <is>
          <t>Intermittent, very severe</t>
        </is>
      </c>
      <c r="G64" s="18" t="inlineStr">
        <is>
          <t>Persistent, moderate-severe</t>
        </is>
      </c>
      <c r="H64" s="18" t="inlineStr">
        <is>
          <t>Intermittent, moderate-severe</t>
        </is>
      </c>
      <c r="I64" s="15" t="inlineStr">
        <is>
          <t>1</t>
        </is>
      </c>
      <c r="J64" s="18"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ข้อนี้ไม่ใช่คำตอบที่ถูกต้องสำหรับภาวะ Allergic rhinitis เนื่องจากกลไกการออกฤทธิ์, efficacy หรือข้อบ่งใช้ไม่ตรงกับโจทย์ที่กำหนด
• ข้อ ค. (Intermittent, very severe): ข้อนี้ไม่ใช่คำตอบที่ถูกต้องสำหรับภาวะ Allergic rhinitis เนื่องจากกลไกการออกฤทธิ์, efficacy หรือข้อบ่งใช้ไม่ตรงกับโจทย์ที่กำหนด
• ข้อ ง. (Persistent, moderate-severe): ข้อนี้ไม่ใช่คำตอบที่ถูกต้องสำหรับภาวะ Allergic rhinitis เนื่องจากกลไกการออกฤทธิ์, efficacy หรือข้อบ่งใช้ไม่ตรงกับโจทย์ที่กำหนด
• ข้อ จ. (Intermittent, moderate-severe):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8" t="inlineStr"/>
      <c r="L64" s="18" t="inlineStr">
        <is>
          <t>Allergic rhinitis</t>
        </is>
      </c>
      <c r="M64" s="18" t="inlineStr">
        <is>
          <t>Clinic</t>
        </is>
      </c>
      <c r="N64" s="18" t="inlineStr">
        <is>
          <t>ข้อ 70 (PLE_CC1_2561_Key.md)</t>
        </is>
      </c>
      <c r="O64" s="18" t="inlineStr">
        <is>
          <t>ข้อสอบจริง</t>
        </is>
      </c>
      <c r="P64" s="18" t="inlineStr">
        <is>
          <t>ปี 2561</t>
        </is>
      </c>
    </row>
    <row r="65">
      <c r="A65" s="15" t="inlineStr">
        <is>
          <t>63</t>
        </is>
      </c>
      <c r="B65" s="18" t="inlineStr">
        <is>
          <t>การใช(ยา pseudoephedrine nasal drop ติดต.อกันนานเกิน 10 วัน มีผลทำให(เกิดผลข(างเคียงใด</t>
        </is>
      </c>
      <c r="C65" s="18" t="inlineStr"/>
      <c r="D65" s="18" t="inlineStr">
        <is>
          <t>นอนไม.หลับ</t>
        </is>
      </c>
      <c r="E65" s="18" t="inlineStr">
        <is>
          <t>เกิดฝqาขาวที่ลิ้น</t>
        </is>
      </c>
      <c r="F65" s="18" t="inlineStr">
        <is>
          <t>เลือดกำเดาไหล</t>
        </is>
      </c>
      <c r="G65" s="18" t="inlineStr">
        <is>
          <t>คัดจมูกมาก หายใจไม.ออก</t>
        </is>
      </c>
      <c r="H65" s="18" t="inlineStr">
        <is>
          <t>เลือดออกในทางเดินอาหาร</t>
        </is>
      </c>
      <c r="I65" s="15" t="inlineStr">
        <is>
          <t>1</t>
        </is>
      </c>
      <c r="J65" s="18"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ข้อนี้ไม่ใช่คำตอบที่ถูกต้องสำหรับภาวะ Allergic rhinitis เนื่องจากกลไกการออกฤทธิ์, efficacy หรือข้อบ่งใช้ไม่ตรงกับโจทย์ที่กำหนด
• ข้อ ค. (เลือดกำเดาไหล): ข้อนี้ไม่ใช่คำตอบที่ถูกต้องสำหรับภาวะ Allergic rhinitis เนื่องจากกลไกการออกฤทธิ์, efficacy หรือข้อบ่งใช้ไม่ตรงกับโจทย์ที่กำหนด
• ข้อ ง. (คัดจมูกมาก หายใจไม.ออก): ข้อนี้ไม่ใช่คำตอบที่ถูกต้องสำหรับภาวะ Allergic rhinitis เนื่องจากกลไกการออกฤทธิ์, efficacy หรือข้อบ่งใช้ไม่ตรงกับโจทย์ที่กำหนด
• ข้อ จ. (เลือดออกในทางเดินอาหาร):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8" t="inlineStr"/>
      <c r="L65" s="18" t="inlineStr">
        <is>
          <t>Allergic rhinitis</t>
        </is>
      </c>
      <c r="M65" s="18" t="inlineStr">
        <is>
          <t>Clinic</t>
        </is>
      </c>
      <c r="N65" s="18" t="inlineStr">
        <is>
          <t>ข้อ 72 (PLE_CC1_2561_Key.md)</t>
        </is>
      </c>
      <c r="O65" s="18" t="inlineStr">
        <is>
          <t>ข้อสอบจริง</t>
        </is>
      </c>
      <c r="P65" s="18" t="inlineStr">
        <is>
          <t>ปี 2561</t>
        </is>
      </c>
    </row>
    <row r="66">
      <c r="A66" s="15" t="inlineStr">
        <is>
          <t>64</t>
        </is>
      </c>
      <c r="B66" s="18" t="inlineStr">
        <is>
          <t>Allergic rhinitis with Asthma</t>
        </is>
      </c>
      <c r="C66" s="18" t="inlineStr"/>
      <c r="D66" s="18" t="inlineStr">
        <is>
          <t>Cetirizine 10 mg OD</t>
        </is>
      </c>
      <c r="E66" s="18" t="inlineStr">
        <is>
          <t>Loratadine 10 mg OD</t>
        </is>
      </c>
      <c r="F66" s="18" t="inlineStr">
        <is>
          <t>Fexofenadine 180 mg OD</t>
        </is>
      </c>
      <c r="G66" s="18" t="inlineStr">
        <is>
          <t>Chlorpheniramine 4 mg TID</t>
        </is>
      </c>
      <c r="H66" s="18" t="inlineStr">
        <is>
          <t>Fluticasone furoate nasal spray</t>
        </is>
      </c>
      <c r="I66" s="15" t="inlineStr">
        <is>
          <t>1</t>
        </is>
      </c>
      <c r="J66" s="18"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18" t="inlineStr"/>
      <c r="L66" s="18" t="inlineStr">
        <is>
          <t>Allergic rhinitis</t>
        </is>
      </c>
      <c r="M66" s="18" t="inlineStr">
        <is>
          <t>Clinic</t>
        </is>
      </c>
      <c r="N66" s="18" t="inlineStr">
        <is>
          <t>ข้อ 1 (PLE_CC1_2560 22 April Set 1.md)</t>
        </is>
      </c>
      <c r="O66" s="18" t="inlineStr">
        <is>
          <t>ข้อสอบจริง</t>
        </is>
      </c>
      <c r="P66" s="18" t="inlineStr">
        <is>
          <t>ปี 2560</t>
        </is>
      </c>
    </row>
    <row r="67">
      <c r="A67" s="15" t="inlineStr">
        <is>
          <t>65</t>
        </is>
      </c>
      <c r="B67" s="18"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18" t="inlineStr"/>
      <c r="D67" s="18" t="inlineStr">
        <is>
          <t>Chlorpheniramine 4 mg TID</t>
        </is>
      </c>
      <c r="E67" s="18" t="inlineStr">
        <is>
          <t>Fluticasone furoate nasal spray</t>
        </is>
      </c>
      <c r="F67" s="18" t="inlineStr">
        <is>
          <t>Budesonide nasal spray</t>
        </is>
      </c>
      <c r="G67" s="18" t="inlineStr">
        <is>
          <t>Epinephrine 0.3 mg IM stat</t>
        </is>
      </c>
      <c r="H67" s="18" t="inlineStr">
        <is>
          <t>Dexamethasone 4 mg IV</t>
        </is>
      </c>
      <c r="I67" s="15" t="inlineStr">
        <is>
          <t>1</t>
        </is>
      </c>
      <c r="J67" s="18"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18" t="inlineStr"/>
      <c r="L67" s="18" t="inlineStr">
        <is>
          <t>Allergic rhinitis</t>
        </is>
      </c>
      <c r="M67" s="18" t="inlineStr">
        <is>
          <t>Clinic</t>
        </is>
      </c>
      <c r="N67" s="18" t="inlineStr">
        <is>
          <t>ข้อ 13 (PLE_CC1_2560 22 April Set 1.md)</t>
        </is>
      </c>
      <c r="O67" s="18" t="inlineStr">
        <is>
          <t>ข้อสอบจริง</t>
        </is>
      </c>
      <c r="P67" s="18" t="inlineStr">
        <is>
          <t>ปี 2560</t>
        </is>
      </c>
    </row>
    <row r="68">
      <c r="A68" s="15" t="inlineStr">
        <is>
          <t>66</t>
        </is>
      </c>
      <c r="B68" s="18" t="inlineStr">
        <is>
          <t>Fexofenadine 60 mg bid</t>
        </is>
      </c>
      <c r="C68" s="18" t="inlineStr"/>
      <c r="D68" s="18" t="inlineStr">
        <is>
          <t>Epinephrine 0.3 mg IM stat</t>
        </is>
      </c>
      <c r="E68" s="18" t="inlineStr">
        <is>
          <t>Dexamethasone 4 mg IV</t>
        </is>
      </c>
      <c r="F68" s="18" t="inlineStr">
        <is>
          <t>Prednisolone 20 mg OD</t>
        </is>
      </c>
      <c r="G68" s="18" t="inlineStr">
        <is>
          <t>Montelukast 10 mg HS</t>
        </is>
      </c>
      <c r="H68" s="18" t="inlineStr">
        <is>
          <t>Hydroxyzine 25 mg HS</t>
        </is>
      </c>
      <c r="I68" s="15" t="inlineStr">
        <is>
          <t>1</t>
        </is>
      </c>
      <c r="J68" s="18"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18" t="inlineStr"/>
      <c r="L68" s="18" t="inlineStr">
        <is>
          <t>Allergic rhinitis</t>
        </is>
      </c>
      <c r="M68" s="18" t="inlineStr">
        <is>
          <t>Clinic</t>
        </is>
      </c>
      <c r="N68" s="18" t="inlineStr">
        <is>
          <t>ข้อ 2 (PLE_CC1_2560 22 April Set 1.md)</t>
        </is>
      </c>
      <c r="O68" s="18" t="inlineStr">
        <is>
          <t>ข้อสอบจริง</t>
        </is>
      </c>
      <c r="P68" s="18" t="inlineStr">
        <is>
          <t>ปี 2560</t>
        </is>
      </c>
    </row>
    <row r="69">
      <c r="A69" s="15" t="inlineStr">
        <is>
          <t>67</t>
        </is>
      </c>
      <c r="B69" s="18" t="inlineStr">
        <is>
          <t>Oxymetazoline intranasal prn (at night 1-2 times/week)</t>
        </is>
      </c>
      <c r="C69" s="18" t="inlineStr"/>
      <c r="D69" s="18" t="inlineStr">
        <is>
          <t>Montelukast 10 mg HS</t>
        </is>
      </c>
      <c r="E69" s="18" t="inlineStr">
        <is>
          <t>Hydroxyzine 25 mg HS</t>
        </is>
      </c>
      <c r="F69" s="18" t="inlineStr">
        <is>
          <t>Diphenhydramine 25 mg IV</t>
        </is>
      </c>
      <c r="G69" s="18" t="inlineStr">
        <is>
          <t>Cetirizine 10 mg OD</t>
        </is>
      </c>
      <c r="H69" s="18" t="inlineStr">
        <is>
          <t>Loratadine 10 mg OD</t>
        </is>
      </c>
      <c r="I69" s="15" t="inlineStr">
        <is>
          <t>1</t>
        </is>
      </c>
      <c r="J69" s="18"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18" t="inlineStr"/>
      <c r="L69" s="18" t="inlineStr">
        <is>
          <t>Allergic rhinitis</t>
        </is>
      </c>
      <c r="M69" s="18" t="inlineStr">
        <is>
          <t>Clinic</t>
        </is>
      </c>
      <c r="N69" s="18" t="inlineStr">
        <is>
          <t>ข้อ 3 (PLE_CC1_2560 22 April Set 1.md)</t>
        </is>
      </c>
      <c r="O69" s="18" t="inlineStr">
        <is>
          <t>ข้อสอบจริง</t>
        </is>
      </c>
      <c r="P69" s="18" t="inlineStr">
        <is>
          <t>ปี 2560</t>
        </is>
      </c>
    </row>
    <row r="70">
      <c r="A70" s="15" t="inlineStr">
        <is>
          <t>68</t>
        </is>
      </c>
      <c r="B70" s="18" t="inlineStr">
        <is>
          <t>กลไกของการเกิด Allergic rhinitis เกี่ยวข้องกับ Antibody ตัวใด</t>
        </is>
      </c>
      <c r="C70" s="18" t="inlineStr"/>
      <c r="D70" s="18" t="inlineStr">
        <is>
          <t>IgA</t>
        </is>
      </c>
      <c r="E70" s="18" t="inlineStr">
        <is>
          <t>IgE</t>
        </is>
      </c>
      <c r="F70" s="18" t="inlineStr">
        <is>
          <t>IgD</t>
        </is>
      </c>
      <c r="G70" s="18" t="inlineStr">
        <is>
          <t>IgM</t>
        </is>
      </c>
      <c r="H70" s="18" t="inlineStr">
        <is>
          <t>IgG</t>
        </is>
      </c>
      <c r="I70" s="15" t="inlineStr">
        <is>
          <t>1</t>
        </is>
      </c>
      <c r="J70" s="18"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ข้อนี้ไม่ใช่คำตอบที่ถูกต้องสำหรับภาวะ Allergic rhinitis เนื่องจากกลไกการออกฤทธิ์, efficacy หรือข้อบ่งใช้ไม่ตรงกับโจทย์ที่กำหนด
• ข้อ ค. (IgD): ข้อนี้ไม่ใช่คำตอบที่ถูกต้องสำหรับภาวะ Allergic rhinitis เนื่องจากกลไกการออกฤทธิ์, efficacy หรือข้อบ่งใช้ไม่ตรงกับโจทย์ที่กำหนด
• ข้อ ง. (IgM): ข้อนี้ไม่ใช่คำตอบที่ถูกต้องสำหรับภาวะ Allergic rhinitis เนื่องจากกลไกการออกฤทธิ์, efficacy หรือข้อบ่งใช้ไม่ตรงกับโจทย์ที่กำหนด
• ข้อ จ. (IgG):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18" t="inlineStr"/>
      <c r="L70" s="18" t="inlineStr">
        <is>
          <t>Allergic rhinitis</t>
        </is>
      </c>
      <c r="M70" s="18" t="inlineStr">
        <is>
          <t>Clinic</t>
        </is>
      </c>
      <c r="N70" s="18" t="inlineStr">
        <is>
          <t>ข้อ 1 (PLE_CC1_2560 22 April Set 1.md)</t>
        </is>
      </c>
      <c r="O70" s="18" t="inlineStr">
        <is>
          <t>ข้อสอบจริง</t>
        </is>
      </c>
      <c r="P70" s="18" t="inlineStr">
        <is>
          <t>ปี 2560</t>
        </is>
      </c>
    </row>
    <row r="71">
      <c r="A71" s="15" t="inlineStr">
        <is>
          <t>69</t>
        </is>
      </c>
      <c r="B71" s="18" t="inlineStr">
        <is>
          <t>Allergic rhinitis จัดเป็นแบบใด</t>
        </is>
      </c>
      <c r="C71" s="18" t="inlineStr"/>
      <c r="D71" s="18" t="inlineStr">
        <is>
          <t>Mild intermittent</t>
        </is>
      </c>
      <c r="E71" s="18" t="inlineStr">
        <is>
          <t>Mild persistent</t>
        </is>
      </c>
      <c r="F71" s="18" t="inlineStr">
        <is>
          <t>Mild-moderate intermittent</t>
        </is>
      </c>
      <c r="G71" s="18" t="inlineStr">
        <is>
          <t>Moderate persistent</t>
        </is>
      </c>
      <c r="H71" s="18" t="inlineStr">
        <is>
          <t>Moderate-severe intermittent</t>
        </is>
      </c>
      <c r="I71" s="15" t="inlineStr">
        <is>
          <t>1</t>
        </is>
      </c>
      <c r="J71" s="18"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ข้อนี้ไม่ใช่คำตอบที่ถูกต้องสำหรับภาวะ Allergic rhinitis เนื่องจากกลไกการออกฤทธิ์, efficacy หรือข้อบ่งใช้ไม่ตรงกับโจทย์ที่กำหนด
• ข้อ ค. (Mild-moderate intermittent): ข้อนี้ไม่ใช่คำตอบที่ถูกต้องสำหรับภาวะ Allergic rhinitis เนื่องจากกลไกการออกฤทธิ์, efficacy หรือข้อบ่งใช้ไม่ตรงกับโจทย์ที่กำหนด
• ข้อ ง. (Moderate persistent): ข้อนี้ไม่ใช่คำตอบที่ถูกต้องสำหรับภาวะ Allergic rhinitis เนื่องจากกลไกการออกฤทธิ์, efficacy หรือข้อบ่งใช้ไม่ตรงกับโจทย์ที่กำหนด
• ข้อ จ. (Moderate-severe intermittent):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18" t="inlineStr"/>
      <c r="L71" s="18" t="inlineStr">
        <is>
          <t>Allergic rhinitis</t>
        </is>
      </c>
      <c r="M71" s="18" t="inlineStr">
        <is>
          <t>Clinic</t>
        </is>
      </c>
      <c r="N71" s="18" t="inlineStr">
        <is>
          <t>ข้อ 2 (PLE_CC1_2560 22 April Set 1.md)</t>
        </is>
      </c>
      <c r="O71" s="18" t="inlineStr">
        <is>
          <t>ข้อสอบจริง</t>
        </is>
      </c>
      <c r="P71" s="18" t="inlineStr">
        <is>
          <t>ปี 2560</t>
        </is>
      </c>
    </row>
    <row r="72">
      <c r="A72" s="15" t="inlineStr">
        <is>
          <t>70</t>
        </is>
      </c>
      <c r="B72" s="18" t="inlineStr">
        <is>
          <t>Oxymetazoline ออกฤทธิ์เหมือนกับยาใด</t>
        </is>
      </c>
      <c r="C72" s="18" t="inlineStr"/>
      <c r="D72" s="18" t="inlineStr">
        <is>
          <t>Phenylephrine</t>
        </is>
      </c>
      <c r="E72" s="18" t="inlineStr">
        <is>
          <t>Loratadine</t>
        </is>
      </c>
      <c r="F72" s="18" t="inlineStr">
        <is>
          <t>Ipratopium</t>
        </is>
      </c>
      <c r="G72" s="18" t="inlineStr">
        <is>
          <t>Cromolyn</t>
        </is>
      </c>
      <c r="H72" s="18" t="inlineStr">
        <is>
          <t>Theophylline</t>
        </is>
      </c>
      <c r="I72" s="15" t="inlineStr">
        <is>
          <t>1</t>
        </is>
      </c>
      <c r="J72" s="18"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ข้อนี้ไม่ใช่คำตอบที่ถูกต้องสำหรับภาวะ Allergic rhinitis เนื่องจากกลไกการออกฤทธิ์, efficacy หรือข้อบ่งใช้ไม่ตรงกับโจทย์ที่กำหนด
• ข้อ ค. (Ipratopium): ข้อนี้ไม่ใช่คำตอบที่ถูกต้องสำหรับภาวะ Allergic rhinitis เนื่องจากกลไกการออกฤทธิ์, efficacy หรือข้อบ่งใช้ไม่ตรงกับโจทย์ที่กำหนด
• ข้อ ง. (Cromolyn): ข้อนี้ไม่ใช่คำตอบที่ถูกต้องสำหรับภาวะ Allergic rhinitis เนื่องจากกลไกการออกฤทธิ์, efficacy หรือข้อบ่งใช้ไม่ตรงกับโจทย์ที่กำหนด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18" t="inlineStr"/>
      <c r="L72" s="18" t="inlineStr">
        <is>
          <t>Allergic rhinitis</t>
        </is>
      </c>
      <c r="M72" s="18" t="inlineStr">
        <is>
          <t>Clinic</t>
        </is>
      </c>
      <c r="N72" s="18" t="inlineStr">
        <is>
          <t>ข้อ 3 (PLE_CC1_2560 22 April Set 1.md)</t>
        </is>
      </c>
      <c r="O72" s="18" t="inlineStr">
        <is>
          <t>ข้อสอบจริง</t>
        </is>
      </c>
      <c r="P72" s="18" t="inlineStr">
        <is>
          <t>ปี 2560</t>
        </is>
      </c>
    </row>
    <row r="73">
      <c r="A73" s="15" t="inlineStr">
        <is>
          <t>71</t>
        </is>
      </c>
      <c r="B73" s="18" t="inlineStr">
        <is>
          <t>ยาใดสามารถรักษาได้ทั ง Allergic rhinitis และ Asthma</t>
        </is>
      </c>
      <c r="C73" s="18" t="inlineStr"/>
      <c r="D73" s="18" t="inlineStr">
        <is>
          <t>Budesonide</t>
        </is>
      </c>
      <c r="E73" s="18" t="inlineStr">
        <is>
          <t>Montelukast</t>
        </is>
      </c>
      <c r="F73" s="18" t="inlineStr">
        <is>
          <t>Ipratopium</t>
        </is>
      </c>
      <c r="G73" s="18" t="inlineStr">
        <is>
          <t>Loratadine</t>
        </is>
      </c>
      <c r="H73" s="18" t="inlineStr">
        <is>
          <t>Leukotriene</t>
        </is>
      </c>
      <c r="I73" s="15" t="inlineStr">
        <is>
          <t>1</t>
        </is>
      </c>
      <c r="J73" s="18"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(Ipratopium): ข้อนี้ไม่ใช่คำตอบที่ถูกต้องสำหรับภาวะ Allergic rhinitis เนื่องจากกลไกการออกฤทธิ์, efficacy หรือข้อบ่งใช้ไม่ตรงกับโจทย์ที่กำหนด
• ข้อ ง. (Loratadine): ข้อนี้ไม่ใช่คำตอบที่ถูกต้องสำหรับภาวะ Allergic rhinitis เนื่องจากกลไกการออกฤทธิ์, efficacy หรือข้อบ่งใช้ไม่ตรงกับโจทย์ที่กำหนด
• ข้อ จ. (Leukotriene):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18" t="inlineStr"/>
      <c r="L73" s="18" t="inlineStr">
        <is>
          <t>Allergic rhinitis</t>
        </is>
      </c>
      <c r="M73" s="18" t="inlineStr">
        <is>
          <t>Clinic</t>
        </is>
      </c>
      <c r="N73" s="18" t="inlineStr">
        <is>
          <t>ข้อ 5 (PLE_CC1_2560 22 April Set 1.md)</t>
        </is>
      </c>
      <c r="O73" s="18" t="inlineStr">
        <is>
          <t>ข้อสอบจริง</t>
        </is>
      </c>
      <c r="P73" s="18" t="inlineStr">
        <is>
          <t>ปี 2560</t>
        </is>
      </c>
    </row>
    <row r="74">
      <c r="A74" s="15" t="inlineStr">
        <is>
          <t>72</t>
        </is>
      </c>
      <c r="B74" s="18"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18" t="inlineStr"/>
      <c r="D74" s="18" t="inlineStr">
        <is>
          <t>Fluticasone MDI</t>
        </is>
      </c>
      <c r="E74" s="18" t="inlineStr">
        <is>
          <t>Salbutamol MDI</t>
        </is>
      </c>
      <c r="F74" s="18" t="inlineStr">
        <is>
          <t>Fluticasone + Salmeterol DPI</t>
        </is>
      </c>
      <c r="G74" s="18" t="inlineStr">
        <is>
          <t>Ipratropium + Fenoterol DPI</t>
        </is>
      </c>
      <c r="H74" s="18" t="inlineStr">
        <is>
          <t>Fluticasone + Formoterol DPI</t>
        </is>
      </c>
      <c r="I74" s="15" t="inlineStr">
        <is>
          <t>1</t>
        </is>
      </c>
      <c r="J74" s="18"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18" t="inlineStr"/>
      <c r="L74" s="18" t="inlineStr">
        <is>
          <t>Allergic rhinitis</t>
        </is>
      </c>
      <c r="M74" s="18" t="inlineStr">
        <is>
          <t>Clinic</t>
        </is>
      </c>
      <c r="N74" s="18" t="inlineStr">
        <is>
          <t>ข้อ 62 (Pharmtutor_2024_Set2.md)</t>
        </is>
      </c>
      <c r="O74" s="18" t="inlineStr">
        <is>
          <t>Mock</t>
        </is>
      </c>
      <c r="P74" s="18" t="inlineStr">
        <is>
          <t>Mock Pharmtutor 2024</t>
        </is>
      </c>
    </row>
    <row r="75">
      <c r="A75" s="15" t="inlineStr">
        <is>
          <t>73</t>
        </is>
      </c>
      <c r="B75" s="18"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18" t="inlineStr"/>
      <c r="D75" s="18" t="inlineStr">
        <is>
          <t>การก่อสร้าง</t>
        </is>
      </c>
      <c r="E75" s="18" t="inlineStr">
        <is>
          <t>ประวัติทางพันธุกรรม</t>
        </is>
      </c>
      <c r="F75" s="18" t="inlineStr">
        <is>
          <t>ขนแมว</t>
        </is>
      </c>
      <c r="G75" s="18" t="inlineStr">
        <is>
          <t>สภาพอากาศ</t>
        </is>
      </c>
      <c r="H75" s="18" t="inlineStr">
        <is>
          <t>ปัจจัยภายใน เช่น โรคประจำตัว</t>
        </is>
      </c>
      <c r="I75" s="15" t="inlineStr">
        <is>
          <t>1</t>
        </is>
      </c>
      <c r="J75" s="18"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ข้อนี้ไม่ใช่คำตอบที่ถูกต้องสำหรับภาวะ Allergic rhinitis เนื่องจากกลไกการออกฤทธิ์, efficacy หรือข้อบ่งใช้ไม่ตรงกับโจทย์ที่กำหนด
• ข้อ ค. (ขนแมว): ข้อนี้ไม่ใช่คำตอบที่ถูกต้องสำหรับภาวะ Allergic rhinitis เนื่องจากกลไกการออกฤทธิ์, efficacy หรือข้อบ่งใช้ไม่ตรงกับโจทย์ที่กำหนด
• ข้อ ง. (สภาพอากาศ): ข้อนี้ไม่ใช่คำตอบที่ถูกต้องสำหรับภาวะ Allergic rhinitis เนื่องจากกลไกการออกฤทธิ์, efficacy หรือข้อบ่งใช้ไม่ตรงกับโจทย์ที่กำหนด
• ข้อ จ. (ปัจจัยภายใน เช่น โรคประจำตัว):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18" t="inlineStr"/>
      <c r="L75" s="18" t="inlineStr">
        <is>
          <t>Allergic rhinitis</t>
        </is>
      </c>
      <c r="M75" s="18" t="inlineStr">
        <is>
          <t>Clinic</t>
        </is>
      </c>
      <c r="N75" s="18" t="inlineStr">
        <is>
          <t>ข้อ 76 (Pharmtutor_2024_Set2.md)</t>
        </is>
      </c>
      <c r="O75" s="18" t="inlineStr">
        <is>
          <t>Mock</t>
        </is>
      </c>
      <c r="P75" s="18" t="inlineStr">
        <is>
          <t>Mock Pharmtutor 2024</t>
        </is>
      </c>
    </row>
    <row r="76">
      <c r="A76" s="15" t="inlineStr">
        <is>
          <t>74</t>
        </is>
      </c>
      <c r="B76" s="18" t="inlineStr">
        <is>
          <t>ยาในข้อใดไม่เหมาะสมสำหรับผู้ป่วยรายนี%มากที_x001e_สุด (1) Loratadine (2) Amoxicillin (3) Ibuprofen (4) Phenylephrine (5) Chlorpheniramine maleate</t>
        </is>
      </c>
      <c r="C76" s="18" t="inlineStr"/>
      <c r="D76" s="18" t="inlineStr">
        <is>
          <t>Epinephrine 0.3 mg IM stat</t>
        </is>
      </c>
      <c r="E76" s="18" t="inlineStr">
        <is>
          <t>Dexamethasone 4 mg IV</t>
        </is>
      </c>
      <c r="F76" s="18" t="inlineStr">
        <is>
          <t>Prednisolone 20 mg OD</t>
        </is>
      </c>
      <c r="G76" s="18" t="inlineStr">
        <is>
          <t>Montelukast 10 mg HS</t>
        </is>
      </c>
      <c r="H76" s="18" t="inlineStr">
        <is>
          <t>Hydroxyzine 25 mg HS</t>
        </is>
      </c>
      <c r="I76" s="15" t="inlineStr">
        <is>
          <t>1</t>
        </is>
      </c>
      <c r="J76" s="18"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18" t="inlineStr"/>
      <c r="L76" s="18" t="inlineStr">
        <is>
          <t>Allergic rhinitis</t>
        </is>
      </c>
      <c r="M76" s="18" t="inlineStr">
        <is>
          <t>Clinic</t>
        </is>
      </c>
      <c r="N76" s="18" t="inlineStr">
        <is>
          <t>ข้อ 1 (PLE_CC1_2557.md)</t>
        </is>
      </c>
      <c r="O76" s="18" t="inlineStr">
        <is>
          <t>ข้อสอบจริง</t>
        </is>
      </c>
      <c r="P76" s="18" t="inlineStr">
        <is>
          <t>ปี 2557</t>
        </is>
      </c>
    </row>
    <row r="77">
      <c r="A77" s="15" t="inlineStr">
        <is>
          <t>75</t>
        </is>
      </c>
      <c r="B77" s="18"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18" t="inlineStr"/>
      <c r="D77" s="18" t="inlineStr">
        <is>
          <t>Montelukast 10 mg HS</t>
        </is>
      </c>
      <c r="E77" s="18" t="inlineStr">
        <is>
          <t>Hydroxyzine 25 mg HS</t>
        </is>
      </c>
      <c r="F77" s="18" t="inlineStr">
        <is>
          <t>Diphenhydramine 25 mg IV</t>
        </is>
      </c>
      <c r="G77" s="18" t="inlineStr">
        <is>
          <t>Cetirizine 10 mg OD</t>
        </is>
      </c>
      <c r="H77" s="18" t="inlineStr">
        <is>
          <t>Loratadine 10 mg OD</t>
        </is>
      </c>
      <c r="I77" s="15" t="inlineStr">
        <is>
          <t>1</t>
        </is>
      </c>
      <c r="J77" s="18"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18" t="inlineStr"/>
      <c r="L77" s="18" t="inlineStr">
        <is>
          <t>Allergic rhinitis</t>
        </is>
      </c>
      <c r="M77" s="18" t="inlineStr">
        <is>
          <t>Clinic</t>
        </is>
      </c>
      <c r="N77" s="18" t="inlineStr">
        <is>
          <t>ข้อ 16 (PLE_CC1_2557.md)</t>
        </is>
      </c>
      <c r="O77" s="18" t="inlineStr">
        <is>
          <t>ข้อสอบจริง</t>
        </is>
      </c>
      <c r="P77" s="18" t="inlineStr">
        <is>
          <t>ปี 2557</t>
        </is>
      </c>
    </row>
    <row r="78">
      <c r="A78" s="15" t="inlineStr">
        <is>
          <t>76</t>
        </is>
      </c>
      <c r="B78" s="18"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18" t="inlineStr"/>
      <c r="D78" s="18" t="inlineStr">
        <is>
          <t>0.60 ml</t>
        </is>
      </c>
      <c r="E78" s="18" t="inlineStr">
        <is>
          <t>0.67 ml</t>
        </is>
      </c>
      <c r="F78" s="18" t="inlineStr">
        <is>
          <t>0.80 ml</t>
        </is>
      </c>
      <c r="G78" s="18" t="inlineStr">
        <is>
          <t>0.87 ml</t>
        </is>
      </c>
      <c r="H78" s="18" t="inlineStr">
        <is>
          <t>0.90 ml คณะเภสัชศาสตร์ มหาวิทยาลัยเชียงใหม่ Rx 44 CMU</t>
        </is>
      </c>
      <c r="I78" s="15" t="inlineStr">
        <is>
          <t>1</t>
        </is>
      </c>
      <c r="J78" s="18"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ข้อนี้ไม่ใช่คำตอบที่ถูกต้องสำหรับภาวะ Allergic rhinitis เนื่องจากกลไกการออกฤทธิ์, efficacy หรือข้อบ่งใช้ไม่ตรงกับโจทย์ที่กำหนด
• ข้อ ค. (0.80 ml): ข้อนี้ไม่ใช่คำตอบที่ถูกต้องสำหรับภาวะ Allergic rhinitis เนื่องจากกลไกการออกฤทธิ์, efficacy หรือข้อบ่งใช้ไม่ตรงกับโจทย์ที่กำหนด
• ข้อ ง. (0.87 ml): ข้อนี้ไม่ใช่คำตอบที่ถูกต้องสำหรับภาวะ Allergic rhinitis เนื่องจากกลไกการออกฤทธิ์, efficacy หรือข้อบ่งใช้ไม่ตรงกับโจทย์ที่กำหนด
• ข้อ จ. (0.90 ml คณะเภสัชศาสตร์ มหาวิทยาลัยเชียงใหม่ Rx 44 CMU):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18" t="inlineStr"/>
      <c r="L78" s="18" t="inlineStr">
        <is>
          <t>Allergic rhinitis</t>
        </is>
      </c>
      <c r="M78" s="18" t="inlineStr">
        <is>
          <t>Clinic</t>
        </is>
      </c>
      <c r="N78" s="18" t="inlineStr">
        <is>
          <t>ข้อ 49 (PLE_CC1_2555 Day 1.md)</t>
        </is>
      </c>
      <c r="O78" s="18" t="inlineStr">
        <is>
          <t>ข้อสอบจริง</t>
        </is>
      </c>
      <c r="P78" s="18" t="inlineStr">
        <is>
          <t>ปี 2555</t>
        </is>
      </c>
    </row>
    <row r="79">
      <c r="A79" s="15" t="inlineStr">
        <is>
          <t>77</t>
        </is>
      </c>
      <c r="B79" s="18" t="inlineStr">
        <is>
          <t>Antihistamine ตัวไหนทำให้เกิดอาการง่วงที่สุด</t>
        </is>
      </c>
      <c r="C79" s="18" t="inlineStr"/>
      <c r="D79" s="18" t="inlineStr">
        <is>
          <t>Hydroxyzine</t>
        </is>
      </c>
      <c r="E79" s="18" t="inlineStr">
        <is>
          <t>Chlorphenhydramine</t>
        </is>
      </c>
      <c r="F79" s="18" t="inlineStr">
        <is>
          <t>Brompheniramine</t>
        </is>
      </c>
      <c r="G79" s="18" t="inlineStr">
        <is>
          <t>Triprolidine</t>
        </is>
      </c>
      <c r="H79" s="18" t="inlineStr">
        <is>
          <t>Cyproheptadine</t>
        </is>
      </c>
      <c r="I79" s="15" t="inlineStr">
        <is>
          <t>1</t>
        </is>
      </c>
      <c r="J79" s="18"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ข้อนี้ไม่ใช่คำตอบที่ถูกต้องสำหรับภาวะ Allergic rhinitis เนื่องจากกลไกการออกฤทธิ์, efficacy หรือข้อบ่งใช้ไม่ตรงกับโจทย์ที่กำหนด
• ข้อ ค. (Brompheniramine): ข้อนี้ไม่ใช่คำตอบที่ถูกต้องสำหรับภาวะ Allergic rhinitis เนื่องจากกลไกการออกฤทธิ์, efficacy หรือข้อบ่งใช้ไม่ตรงกับโจทย์ที่กำหนด
• ข้อ ง. (Triprolidine): ข้อนี้ไม่ใช่คำตอบที่ถูกต้องสำหรับภาวะ Allergic rhinitis เนื่องจากกลไกการออกฤทธิ์, efficacy หรือข้อบ่งใช้ไม่ตรงกับโจทย์ที่กำหนด
• ข้อ จ. (Cyproheptadine):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18" t="inlineStr"/>
      <c r="L79" s="18" t="inlineStr">
        <is>
          <t>Allergic rhinitis</t>
        </is>
      </c>
      <c r="M79" s="18" t="inlineStr">
        <is>
          <t>Clinic</t>
        </is>
      </c>
      <c r="N79" s="18" t="inlineStr">
        <is>
          <t>ข้อ 67 (PLE_CC1_2555 Day 1.md)</t>
        </is>
      </c>
      <c r="O79" s="18" t="inlineStr">
        <is>
          <t>ข้อสอบจริง</t>
        </is>
      </c>
      <c r="P79" s="18" t="inlineStr">
        <is>
          <t>ปี 2555</t>
        </is>
      </c>
    </row>
    <row r="80">
      <c r="A80" s="15" t="inlineStr">
        <is>
          <t>78</t>
        </is>
      </c>
      <c r="B80" s="18"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18" t="inlineStr"/>
      <c r="D80" s="18" t="inlineStr">
        <is>
          <t>Epinephrine 0.3 mg IM stat</t>
        </is>
      </c>
      <c r="E80" s="18" t="inlineStr">
        <is>
          <t>Dexamethasone 4 mg IV</t>
        </is>
      </c>
      <c r="F80" s="18" t="inlineStr">
        <is>
          <t>Prednisolone 20 mg OD</t>
        </is>
      </c>
      <c r="G80" s="18" t="inlineStr">
        <is>
          <t>Montelukast 10 mg HS</t>
        </is>
      </c>
      <c r="H80" s="18" t="inlineStr">
        <is>
          <t>Hydroxyzine 25 mg HS</t>
        </is>
      </c>
      <c r="I80" s="15" t="inlineStr">
        <is>
          <t>1</t>
        </is>
      </c>
      <c r="J80" s="18"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18" t="inlineStr"/>
      <c r="L80" s="18" t="inlineStr">
        <is>
          <t>Allergic rhinitis</t>
        </is>
      </c>
      <c r="M80" s="18" t="inlineStr">
        <is>
          <t>Clinic</t>
        </is>
      </c>
      <c r="N80" s="18" t="inlineStr">
        <is>
          <t>ข้อ 5 (PLE_CC1_2555 Day 2.md)</t>
        </is>
      </c>
      <c r="O80" s="18" t="inlineStr">
        <is>
          <t>ข้อสอบจริง</t>
        </is>
      </c>
      <c r="P80" s="18" t="inlineStr">
        <is>
          <t>ปี 2555</t>
        </is>
      </c>
    </row>
    <row r="81">
      <c r="A81" s="15" t="inlineStr">
        <is>
          <t>79</t>
        </is>
      </c>
      <c r="B81" s="18" t="inlineStr">
        <is>
          <t>Pseudoephedrine</t>
        </is>
      </c>
      <c r="C81" s="18" t="inlineStr"/>
      <c r="D81" s="18" t="inlineStr">
        <is>
          <t>Montelukast 10 mg HS</t>
        </is>
      </c>
      <c r="E81" s="18" t="inlineStr">
        <is>
          <t>Hydroxyzine 25 mg HS</t>
        </is>
      </c>
      <c r="F81" s="18" t="inlineStr">
        <is>
          <t>Diphenhydramine 25 mg IV</t>
        </is>
      </c>
      <c r="G81" s="18" t="inlineStr">
        <is>
          <t>Cetirizine 10 mg OD</t>
        </is>
      </c>
      <c r="H81" s="18" t="inlineStr">
        <is>
          <t>Loratadine 10 mg OD</t>
        </is>
      </c>
      <c r="I81" s="15" t="inlineStr">
        <is>
          <t>1</t>
        </is>
      </c>
      <c r="J81" s="18"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8" t="inlineStr"/>
      <c r="L81" s="18" t="inlineStr">
        <is>
          <t>Allergic rhinitis</t>
        </is>
      </c>
      <c r="M81" s="18" t="inlineStr">
        <is>
          <t>Clinic</t>
        </is>
      </c>
      <c r="N81" s="18" t="inlineStr">
        <is>
          <t>ข้อ 1 (PLE_CC1_2555 Day 2.md)</t>
        </is>
      </c>
      <c r="O81" s="18" t="inlineStr">
        <is>
          <t>ข้อสอบจริง</t>
        </is>
      </c>
      <c r="P81" s="18" t="inlineStr">
        <is>
          <t>ปี 2555</t>
        </is>
      </c>
    </row>
    <row r="82">
      <c r="A82" s="15" t="inlineStr">
        <is>
          <t>80</t>
        </is>
      </c>
      <c r="B82" s="18" t="inlineStr">
        <is>
          <t>ชื่อผู้ผลิต และ จังหวัดที่ผลิต</t>
        </is>
      </c>
      <c r="C82" s="18" t="inlineStr"/>
      <c r="D82" s="18" t="inlineStr">
        <is>
          <t>Cetirizine 10 mg OD</t>
        </is>
      </c>
      <c r="E82" s="18" t="inlineStr">
        <is>
          <t>Loratadine 10 mg OD</t>
        </is>
      </c>
      <c r="F82" s="18" t="inlineStr">
        <is>
          <t>Fexofenadine 180 mg OD</t>
        </is>
      </c>
      <c r="G82" s="18" t="inlineStr">
        <is>
          <t>Chlorpheniramine 4 mg TID</t>
        </is>
      </c>
      <c r="H82" s="18" t="inlineStr">
        <is>
          <t>Fluticasone furoate nasal spray</t>
        </is>
      </c>
      <c r="I82" s="15" t="inlineStr">
        <is>
          <t>1</t>
        </is>
      </c>
      <c r="J82" s="18"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8" t="inlineStr"/>
      <c r="L82" s="18" t="inlineStr">
        <is>
          <t>Allergic rhinitis</t>
        </is>
      </c>
      <c r="M82" s="18" t="inlineStr">
        <is>
          <t>Clinic</t>
        </is>
      </c>
      <c r="N82" s="18" t="inlineStr">
        <is>
          <t>ข้อ 1 (PLE_CC1_2555 Day 2.md)</t>
        </is>
      </c>
      <c r="O82" s="18" t="inlineStr">
        <is>
          <t>ข้อสอบจริง</t>
        </is>
      </c>
      <c r="P82" s="18" t="inlineStr">
        <is>
          <t>ปี 2555</t>
        </is>
      </c>
    </row>
    <row r="83">
      <c r="A83" s="15" t="inlineStr">
        <is>
          <t>81</t>
        </is>
      </c>
      <c r="B83" s="18" t="inlineStr">
        <is>
          <t>ต่อมลูกหมากโต 8.ยา Antihistamine ตัวใดที่ทำให้ง่วงมากที่สุด</t>
        </is>
      </c>
      <c r="C83" s="18" t="inlineStr"/>
      <c r="D83" s="18" t="inlineStr">
        <is>
          <t>Chlorpheniramine 4 mg TID</t>
        </is>
      </c>
      <c r="E83" s="18" t="inlineStr">
        <is>
          <t>Fluticasone furoate nasal spray</t>
        </is>
      </c>
      <c r="F83" s="18" t="inlineStr">
        <is>
          <t>Budesonide nasal spray</t>
        </is>
      </c>
      <c r="G83" s="18" t="inlineStr">
        <is>
          <t>Epinephrine 0.3 mg IM stat</t>
        </is>
      </c>
      <c r="H83" s="18" t="inlineStr">
        <is>
          <t>Dexamethasone 4 mg IV</t>
        </is>
      </c>
      <c r="I83" s="15" t="inlineStr">
        <is>
          <t>1</t>
        </is>
      </c>
      <c r="J83" s="18"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8" t="inlineStr"/>
      <c r="L83" s="18" t="inlineStr">
        <is>
          <t>Allergic rhinitis</t>
        </is>
      </c>
      <c r="M83" s="18" t="inlineStr">
        <is>
          <t>Clinic</t>
        </is>
      </c>
      <c r="N83" s="18" t="inlineStr">
        <is>
          <t>ข้อ 3 (PLE_CC1_2555 Day 2.md)</t>
        </is>
      </c>
      <c r="O83" s="18" t="inlineStr">
        <is>
          <t>ข้อสอบจริง</t>
        </is>
      </c>
      <c r="P83" s="18" t="inlineStr">
        <is>
          <t>ปี 2555</t>
        </is>
      </c>
    </row>
    <row r="84">
      <c r="A84" s="15" t="inlineStr">
        <is>
          <t>82</t>
        </is>
      </c>
      <c r="B84" s="18" t="inlineStr">
        <is>
          <t>ผู้ป่วยมีอาการเลือดออกตามไรฟัน เลือดกำเดาไหล เป็นหวัดง่าย สามารถช่วยได้โดยอาศัย</t>
        </is>
      </c>
      <c r="C84" s="18" t="inlineStr"/>
      <c r="D84" s="18" t="inlineStr">
        <is>
          <t>Vitamin C</t>
        </is>
      </c>
      <c r="E84" s="18" t="inlineStr">
        <is>
          <t>Vitamin E</t>
        </is>
      </c>
      <c r="F84" s="18" t="inlineStr">
        <is>
          <t>Vitamin K</t>
        </is>
      </c>
      <c r="G84" s="18" t="inlineStr">
        <is>
          <t>Folic acid</t>
        </is>
      </c>
      <c r="H84" s="18" t="inlineStr">
        <is>
          <t>Ferrus sulfate ตอบ a</t>
        </is>
      </c>
      <c r="I84" s="15" t="inlineStr">
        <is>
          <t>1</t>
        </is>
      </c>
      <c r="J84" s="18"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ข้อนี้ไม่ใช่คำตอบที่ถูกต้องสำหรับภาวะ Allergic rhinitis เนื่องจากกลไกการออกฤทธิ์, efficacy หรือข้อบ่งใช้ไม่ตรงกับโจทย์ที่กำหนด
• ข้อ ค. (Vitamin K): ข้อนี้ไม่ใช่คำตอบที่ถูกต้องสำหรับภาวะ Allergic rhinitis เนื่องจากกลไกการออกฤทธิ์, efficacy หรือข้อบ่งใช้ไม่ตรงกับโจทย์ที่กำหนด
• ข้อ ง. (Folic acid): ข้อนี้ไม่ใช่คำตอบที่ถูกต้องสำหรับภาวะ Allergic rhinitis เนื่องจากกลไกการออกฤทธิ์, efficacy หรือข้อบ่งใช้ไม่ตรงกับโจทย์ที่กำหนด
• ข้อ จ. (Ferrus sulfate ตอบ a):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8" t="inlineStr"/>
      <c r="L84" s="18" t="inlineStr">
        <is>
          <t>Allergic rhinitis</t>
        </is>
      </c>
      <c r="M84" s="18" t="inlineStr">
        <is>
          <t>Clinic</t>
        </is>
      </c>
      <c r="N84" s="18" t="inlineStr">
        <is>
          <t>ข้อ 4 (PLE_CC1_2533.md)</t>
        </is>
      </c>
      <c r="O84" s="18" t="inlineStr">
        <is>
          <t>ข้อสอบจริง</t>
        </is>
      </c>
      <c r="P84" s="18" t="inlineStr">
        <is>
          <t>ปี 2533</t>
        </is>
      </c>
    </row>
    <row r="85">
      <c r="A85" s="15" t="inlineStr">
        <is>
          <t>83</t>
        </is>
      </c>
      <c r="B85" s="18"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18" t="inlineStr"/>
      <c r="D85" s="18" t="inlineStr">
        <is>
          <t>Montelukast 10 mg HS</t>
        </is>
      </c>
      <c r="E85" s="18" t="inlineStr">
        <is>
          <t>Hydroxyzine 25 mg HS</t>
        </is>
      </c>
      <c r="F85" s="18" t="inlineStr">
        <is>
          <t>Diphenhydramine 25 mg IV</t>
        </is>
      </c>
      <c r="G85" s="18" t="inlineStr">
        <is>
          <t>Cetirizine 10 mg OD</t>
        </is>
      </c>
      <c r="H85" s="18" t="inlineStr">
        <is>
          <t>Loratadine 10 mg OD</t>
        </is>
      </c>
      <c r="I85" s="15" t="inlineStr">
        <is>
          <t>1</t>
        </is>
      </c>
      <c r="J85" s="18"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8" t="inlineStr"/>
      <c r="L85" s="18" t="inlineStr">
        <is>
          <t>Allergic rhinitis</t>
        </is>
      </c>
      <c r="M85" s="18" t="inlineStr">
        <is>
          <t>Clinic</t>
        </is>
      </c>
      <c r="N85" s="18" t="inlineStr">
        <is>
          <t>ข้อ 2 (PLE_CC1_Practice_Exam.md)</t>
        </is>
      </c>
      <c r="O85" s="18" t="inlineStr">
        <is>
          <t>Mock</t>
        </is>
      </c>
      <c r="P85" s="18" t="inlineStr">
        <is>
          <t>Mock สภาเภสัชฯ Practice</t>
        </is>
      </c>
    </row>
    <row r="86">
      <c r="A86" s="15" t="inlineStr">
        <is>
          <t>84</t>
        </is>
      </c>
      <c r="B86" s="18" t="inlineStr">
        <is>
          <t>ข้อใดผิดเกี่ยวกับยากลุ่ม anti-leukotrienes กับการรักษาโรค allergic rhinitis</t>
        </is>
      </c>
      <c r="C86" s="18" t="inlineStr"/>
      <c r="D86" s="18" t="inlineStr">
        <is>
          <t>เมื่อใช้เป็นยาเดี่ยวมีฤทธิ์เทียบเท่ากับ second generation antihistamines</t>
        </is>
      </c>
      <c r="E86" s="18" t="inlineStr">
        <is>
          <t>ใช้ได้ผลดีกับคนที่มีโรคหืดร่วมด้วย</t>
        </is>
      </c>
      <c r="F86" s="18" t="inlineStr">
        <is>
          <t>มีประสิทธิภาพด้อยกว่า INCS</t>
        </is>
      </c>
      <c r="G86" s="18" t="inlineStr">
        <is>
          <t>ถ้าใช้ anti-leukotrienes ร่วมกับ antihistamines จะมีประสิทธิภาพด้อยกว่ายาเดี่ยว</t>
        </is>
      </c>
      <c r="H86" s="18"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15" t="inlineStr">
        <is>
          <t>1</t>
        </is>
      </c>
      <c r="J86" s="18"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ข้อนี้ไม่ใช่คำตอบที่ถูกต้องสำหรับภาวะ Allergic rhinitis เนื่องจากกลไกการออกฤทธิ์, efficacy หรือข้อบ่งใช้ไม่ตรงกับโจทย์ที่กำหนด
• ข้อ ค. (มีประสิทธิภาพด้อยกว่า INCS): ข้อนี้ไม่ใช่คำตอบที่ถูกต้องสำหรับภาวะ Allergic rhinitis เนื่องจากกลไกการออกฤทธิ์, efficacy หรือข้อบ่งใช้ไม่ตรงกับโจทย์ที่กำหนด
• ข้อ ง. (ถ้าใช้ anti-leukotrienes ร่วมกับ antihistamines จะมีประสิทธิภาพด้อยกว่ายาเดี่ยว): ข้อนี้ไม่ใช่คำตอบที่ถูกต้องสำหรับภาวะ Allergic rhinitis เนื่องจากกลไกการออกฤทธิ์, efficacy หรือข้อบ่งใช้ไม่ตรงกับโจทย์ที่กำหนด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8" t="inlineStr"/>
      <c r="L86" s="18" t="inlineStr">
        <is>
          <t>Allergic rhinitis</t>
        </is>
      </c>
      <c r="M86" s="18" t="inlineStr">
        <is>
          <t>Clinic</t>
        </is>
      </c>
      <c r="N86" s="18" t="inlineStr">
        <is>
          <t>ข้อ 7 (PLE_CC1_Practice_Exam.md)</t>
        </is>
      </c>
      <c r="O86" s="18" t="inlineStr">
        <is>
          <t>Mock</t>
        </is>
      </c>
      <c r="P86" s="18" t="inlineStr">
        <is>
          <t>Mock สภาเภสัชฯ Practice</t>
        </is>
      </c>
    </row>
    <row r="87">
      <c r="A87" s="15" t="inlineStr">
        <is>
          <t>85</t>
        </is>
      </c>
      <c r="B87" s="18" t="inlineStr">
        <is>
          <t>การปฏิบัติตนในข้อใดสามารถลดอาการทางจมูกอักเสบภูมิแพ้ได้</t>
        </is>
      </c>
      <c r="C87" s="18" t="inlineStr"/>
      <c r="D87" s="18" t="inlineStr">
        <is>
          <t>การใช้ผ้าปูที่นอน ปลอกหมอนกันไรฝุ่น</t>
        </is>
      </c>
      <c r="E87" s="18" t="inlineStr">
        <is>
          <t>ซักผ้าในน้ำร้อน 55-60 องศาเซลเซียสเป็นประจำ</t>
        </is>
      </c>
      <c r="F87" s="18" t="inlineStr">
        <is>
          <t>กำจัด หรือหลีกเลี่ยงสารก่อภูมิแพ้ที่ตนเองแพ้</t>
        </is>
      </c>
      <c r="G87" s="18" t="inlineStr">
        <is>
          <t>อาบน้ำอุ่นเป็นประจำทุกวัน</t>
        </is>
      </c>
      <c r="H87" s="18" t="inlineStr">
        <is>
          <t>ถูกทั้งข้อ ก. ข. และ ค.</t>
        </is>
      </c>
      <c r="I87" s="15" t="inlineStr">
        <is>
          <t>1</t>
        </is>
      </c>
      <c r="J87" s="18"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ข้อนี้ไม่ใช่คำตอบที่ถูกต้องสำหรับภาวะ Allergic rhinitis เนื่องจากกลไกการออกฤทธิ์, efficacy หรือข้อบ่งใช้ไม่ตรงกับโจทย์ที่กำหนด
• ข้อ ค. (กำจัด หรือหลีกเลี่ยงสารก่อภูมิแพ้ที่ตนเองแพ้): ข้อนี้ไม่ใช่คำตอบที่ถูกต้องสำหรับภาวะ Allergic rhinitis เนื่องจากกลไกการออกฤทธิ์, efficacy หรือข้อบ่งใช้ไม่ตรงกับโจทย์ที่กำหนด
• ข้อ ง. (อาบน้ำอุ่นเป็นประจำทุกวัน): ข้อนี้ไม่ใช่คำตอบที่ถูกต้องสำหรับภาวะ Allergic rhinitis เนื่องจากกลไกการออกฤทธิ์, efficacy หรือข้อบ่งใช้ไม่ตรงกับโจทย์ที่กำหนด
• ข้อ จ. (ถูกทั้งข้อ ก. ข. และ ค.):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8" t="inlineStr"/>
      <c r="L87" s="18" t="inlineStr">
        <is>
          <t>Allergic rhinitis</t>
        </is>
      </c>
      <c r="M87" s="18" t="inlineStr">
        <is>
          <t>Clinic</t>
        </is>
      </c>
      <c r="N87" s="18" t="inlineStr">
        <is>
          <t>ข้อ 10 (PLE_CC1_Practice_Exam.md)</t>
        </is>
      </c>
      <c r="O87" s="18" t="inlineStr">
        <is>
          <t>Mock</t>
        </is>
      </c>
      <c r="P87" s="18" t="inlineStr">
        <is>
          <t>Mock สภาเภสัชฯ Practice</t>
        </is>
      </c>
    </row>
    <row r="88">
      <c r="A88" s="15" t="inlineStr">
        <is>
          <t>86</t>
        </is>
      </c>
      <c r="B88" s="18" t="inlineStr">
        <is>
          <t>อาการใดไม่เข้ากับโรคจมูกอักเสบภูมิแพ้</t>
        </is>
      </c>
      <c r="C88" s="18" t="inlineStr"/>
      <c r="D88" s="18" t="inlineStr">
        <is>
          <t>คันจมูก จามติดๆกัน</t>
        </is>
      </c>
      <c r="E88" s="18" t="inlineStr">
        <is>
          <t>น้ำมูกไหลลงคอ ไอเรื้อรัง</t>
        </is>
      </c>
      <c r="F88" s="18" t="inlineStr">
        <is>
          <t>น้ำมูกใส และคัดแน่นจมูก</t>
        </is>
      </c>
      <c r="G88" s="18" t="inlineStr">
        <is>
          <t>ไอเป็นเลือด</t>
        </is>
      </c>
      <c r="H88" s="18"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15" t="inlineStr">
        <is>
          <t>1</t>
        </is>
      </c>
      <c r="J88" s="18"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ข้อนี้ไม่ใช่คำตอบที่ถูกต้องสำหรับภาวะ Allergic rhinitis เนื่องจากกลไกการออกฤทธิ์, efficacy หรือข้อบ่งใช้ไม่ตรงกับโจทย์ที่กำหนด
• ข้อ ค. (น้ำมูกใส และคัดแน่นจมูก): ข้อนี้ไม่ใช่คำตอบที่ถูกต้องสำหรับภาวะ Allergic rhinitis เนื่องจากกลไกการออกฤทธิ์, efficacy หรือข้อบ่งใช้ไม่ตรงกับโจทย์ที่กำหนด
• ข้อ ง. (ไอเป็นเลือด): ข้อนี้ไม่ใช่คำตอบที่ถูกต้องสำหรับภาวะ Allergic rhinitis เนื่องจากกลไกการออกฤทธิ์, efficacy หรือข้อบ่งใช้ไม่ตรงกับโจทย์ที่กำหนด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8" t="inlineStr"/>
      <c r="L88" s="18" t="inlineStr">
        <is>
          <t>Allergic rhinitis</t>
        </is>
      </c>
      <c r="M88" s="18" t="inlineStr">
        <is>
          <t>Clinic</t>
        </is>
      </c>
      <c r="N88" s="18" t="inlineStr">
        <is>
          <t>ข้อ 11 (PLE_CC1_Practice_Exam.md)</t>
        </is>
      </c>
      <c r="O88" s="18" t="inlineStr">
        <is>
          <t>Mock</t>
        </is>
      </c>
      <c r="P88" s="18" t="inlineStr">
        <is>
          <t>Mock สภาเภสัชฯ Practice</t>
        </is>
      </c>
    </row>
    <row r="89">
      <c r="A89" s="15" t="inlineStr">
        <is>
          <t>87</t>
        </is>
      </c>
      <c r="B89" s="18" t="inlineStr">
        <is>
          <t>ลักษณะที่สามารถพบได้ในผู้ป่วยโรคจมูกอักเสบภูมิแพ้ ยกเว้นข้อใด</t>
        </is>
      </c>
      <c r="C89" s="18" t="inlineStr"/>
      <c r="D89" s="18" t="inlineStr">
        <is>
          <t>Long face syndrome</t>
        </is>
      </c>
      <c r="E89" s="18" t="inlineStr">
        <is>
          <t>Allergic shiner</t>
        </is>
      </c>
      <c r="F89" s="18" t="inlineStr">
        <is>
          <t>Allergic nasal crease/line</t>
        </is>
      </c>
      <c r="G89" s="18" t="inlineStr">
        <is>
          <t>Allergic salute</t>
        </is>
      </c>
      <c r="H89" s="18" t="inlineStr">
        <is>
          <t>Butterfly rash</t>
        </is>
      </c>
      <c r="I89" s="15" t="inlineStr">
        <is>
          <t>1</t>
        </is>
      </c>
      <c r="J89" s="18"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ข้อนี้ไม่ใช่คำตอบที่ถูกต้องสำหรับภาวะ Allergic rhinitis เนื่องจากกลไกการออกฤทธิ์, efficacy หรือข้อบ่งใช้ไม่ตรงกับโจทย์ที่กำหนด
• ข้อ ค. (Allergic nasal crease/line): ข้อนี้ไม่ใช่คำตอบที่ถูกต้องสำหรับภาวะ Allergic rhinitis เนื่องจากกลไกการออกฤทธิ์, efficacy หรือข้อบ่งใช้ไม่ตรงกับโจทย์ที่กำหนด
• ข้อ ง. (Allergic salute): ข้อนี้ไม่ใช่คำตอบที่ถูกต้องสำหรับภาวะ Allergic rhinitis เนื่องจากกลไกการออกฤทธิ์, efficacy หรือข้อบ่งใช้ไม่ตรงกับโจทย์ที่กำหนด
• ข้อ จ. (Butterfly rash):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8" t="inlineStr"/>
      <c r="L89" s="18" t="inlineStr">
        <is>
          <t>Allergic rhinitis</t>
        </is>
      </c>
      <c r="M89" s="18" t="inlineStr">
        <is>
          <t>Clinic</t>
        </is>
      </c>
      <c r="N89" s="18" t="inlineStr">
        <is>
          <t>ข้อ 12 (PLE_CC1_Practice_Exam.md)</t>
        </is>
      </c>
      <c r="O89" s="18" t="inlineStr">
        <is>
          <t>Mock</t>
        </is>
      </c>
      <c r="P89" s="18" t="inlineStr">
        <is>
          <t>Mock สภาเภสัชฯ Practice</t>
        </is>
      </c>
    </row>
    <row r="90">
      <c r="A90" s="15" t="inlineStr">
        <is>
          <t>88</t>
        </is>
      </c>
      <c r="B90" s="18" t="inlineStr">
        <is>
          <t>ยาในข้อใดที่ได้ผลดีกับผู้ป่วยที่เป็นโรคหืดร่วมกับโรคจมูกอักเสบภูมิแพ้</t>
        </is>
      </c>
      <c r="C90" s="18" t="inlineStr"/>
      <c r="D90" s="18" t="inlineStr">
        <is>
          <t>Cromolyn sodium</t>
        </is>
      </c>
      <c r="E90" s="18" t="inlineStr">
        <is>
          <t>Montelukast</t>
        </is>
      </c>
      <c r="F90" s="18" t="inlineStr">
        <is>
          <t>Phenylephrine</t>
        </is>
      </c>
      <c r="G90" s="18" t="inlineStr">
        <is>
          <t>Oxymetazoline</t>
        </is>
      </c>
      <c r="H90" s="18" t="inlineStr">
        <is>
          <t>Levocetirizine</t>
        </is>
      </c>
      <c r="I90" s="15" t="inlineStr">
        <is>
          <t>1</t>
        </is>
      </c>
      <c r="J90" s="18"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(Phenylephrine): ข้อนี้ไม่ใช่คำตอบที่ถูกต้องสำหรับภาวะ Allergic rhinitis เนื่องจากกลไกการออกฤทธิ์, efficacy หรือข้อบ่งใช้ไม่ตรงกับโจทย์ที่กำหนด
• ข้อ ง. (Oxymetazoline): เป็น topical alpha-1 agonist ยาพ่นจมูกลดบวม ห้ามใช้ติดต่อกันเกิน 3-5 วัน เนื่องจากเสี่ยงต่อการเกิด rebound congestion (Rhinitis medicamentosa)
• ข้อ จ. (Levocetirizine):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18" t="inlineStr"/>
      <c r="L90" s="18" t="inlineStr">
        <is>
          <t>Allergic rhinitis</t>
        </is>
      </c>
      <c r="M90" s="18" t="inlineStr">
        <is>
          <t>Clinic</t>
        </is>
      </c>
      <c r="N90" s="18" t="inlineStr">
        <is>
          <t>ข้อ 13 (PLE_CC1_Practice_Exam.md)</t>
        </is>
      </c>
      <c r="O90" s="18" t="inlineStr">
        <is>
          <t>Mock</t>
        </is>
      </c>
      <c r="P90" s="18" t="inlineStr">
        <is>
          <t>Mock สภาเภสัชฯ Practice</t>
        </is>
      </c>
    </row>
    <row r="91">
      <c r="A91" s="15" t="inlineStr">
        <is>
          <t>89</t>
        </is>
      </c>
      <c r="B91" s="18" t="inlineStr">
        <is>
          <t>ก่อนหน้านี้ผู้ป่วยหญิงรายนี้ได้รับประทานยา oral antihistamine มาก่อน จากโครงสร้าง Oral antihistamine ตัวใด ออกฤทธิ์ได้ยาวนานที่สุด</t>
        </is>
      </c>
      <c r="C91" s="18" t="inlineStr"/>
      <c r="D91" s="18" t="inlineStr">
        <is>
          <t>Chlorpheniramine 4 mg TID</t>
        </is>
      </c>
      <c r="E91" s="18" t="inlineStr">
        <is>
          <t>Fluticasone furoate nasal spray</t>
        </is>
      </c>
      <c r="F91" s="18" t="inlineStr">
        <is>
          <t>Budesonide nasal spray</t>
        </is>
      </c>
      <c r="G91" s="18" t="inlineStr">
        <is>
          <t>Epinephrine 0.3 mg IM stat</t>
        </is>
      </c>
      <c r="H91" s="18"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15" t="inlineStr">
        <is>
          <t>1</t>
        </is>
      </c>
      <c r="J91" s="18"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18" t="inlineStr"/>
      <c r="L91" s="18" t="inlineStr">
        <is>
          <t>Allergic rhinitis</t>
        </is>
      </c>
      <c r="M91" s="18" t="inlineStr">
        <is>
          <t>Clinic</t>
        </is>
      </c>
      <c r="N91" s="18" t="inlineStr">
        <is>
          <t>ข้อ 17 (PLE_CC1_Practice_Exam.md)</t>
        </is>
      </c>
      <c r="O91" s="18" t="inlineStr">
        <is>
          <t>Mock</t>
        </is>
      </c>
      <c r="P91" s="18" t="inlineStr">
        <is>
          <t>Mock สภาเภสัชฯ Practice</t>
        </is>
      </c>
    </row>
    <row r="92">
      <c r="A92" s="15" t="inlineStr">
        <is>
          <t>90</t>
        </is>
      </c>
      <c r="B92" s="18"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18" t="inlineStr"/>
      <c r="D92" s="18" t="inlineStr">
        <is>
          <t>แนะนำให้ผู้ป่วยเปลี่ยนไปใช้ยาพ่นยี่ห่ออื่น</t>
        </is>
      </c>
      <c r="E92" s="18" t="inlineStr">
        <is>
          <t>แนะนำให้ผู้ป่วยใช้ยาพ่นจมูกที่มีตัวยา ephedrine ร่วมด้วย</t>
        </is>
      </c>
      <c r="F92" s="18" t="inlineStr">
        <is>
          <t>แนะนำให้ผู้ป่วยเพิ่มขนาดยาพ่นจมูกเป็น 2 spray วันละ 3 ครั้ง</t>
        </is>
      </c>
      <c r="G92" s="18" t="inlineStr">
        <is>
          <t>แนะนำให้ผู้ป่วยรับประทานยาที่บรรเทาอาการคัดจมูกร่วมด้วย</t>
        </is>
      </c>
      <c r="H92" s="18" t="inlineStr">
        <is>
          <t>แนะนำให้ผู้ป่วยหยุดใช้ยาพ่นชั่วคราว</t>
        </is>
      </c>
      <c r="I92" s="15" t="inlineStr">
        <is>
          <t>1</t>
        </is>
      </c>
      <c r="J92" s="18"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ข้อนี้ไม่ใช่คำตอบที่ถูกต้องสำหรับภาวะ Allergic rhinitis เนื่องจากกลไกการออกฤทธิ์, efficacy หรือข้อบ่งใช้ไม่ตรงกับโจทย์ที่กำหนด
• ข้อ ค. (แนะนำให้ผู้ป่วยเพิ่มขนาดยาพ่นจมูกเป็น 2 spray วันละ 3 ครั้ง): ข้อนี้ไม่ใช่คำตอบที่ถูกต้องสำหรับภาวะ Allergic rhinitis เนื่องจากกลไกการออกฤทธิ์, efficacy หรือข้อบ่งใช้ไม่ตรงกับโจทย์ที่กำหนด
• ข้อ ง. (แนะนำให้ผู้ป่วยรับประทานยาที่บรรเทาอาการคัดจมูกร่วมด้วย): ข้อนี้ไม่ใช่คำตอบที่ถูกต้องสำหรับภาวะ Allergic rhinitis เนื่องจากกลไกการออกฤทธิ์, efficacy หรือข้อบ่งใช้ไม่ตรงกับโจทย์ที่กำหนด
• ข้อ จ. (แนะนำให้ผู้ป่วยหยุดใช้ยาพ่นชั่วคราว):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18" t="inlineStr"/>
      <c r="L92" s="18" t="inlineStr">
        <is>
          <t>Allergic rhinitis</t>
        </is>
      </c>
      <c r="M92" s="18" t="inlineStr">
        <is>
          <t>Clinic</t>
        </is>
      </c>
      <c r="N92" s="18" t="inlineStr">
        <is>
          <t>ข้อ 31 (PLE_CC1_Practice_Exam.md)</t>
        </is>
      </c>
      <c r="O92" s="18" t="inlineStr">
        <is>
          <t>Mock</t>
        </is>
      </c>
      <c r="P92" s="18" t="inlineStr">
        <is>
          <t>Mock สภาเภสัชฯ Practice</t>
        </is>
      </c>
    </row>
    <row r="93">
      <c r="A93" s="15" t="inlineStr">
        <is>
          <t>91</t>
        </is>
      </c>
      <c r="B93" s="18"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18" t="inlineStr"/>
      <c r="D93" s="18"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18" t="inlineStr">
        <is>
          <t>ควรได้รับ เนื่องจากโรคที่ผู้ป่วยเป็นคือ Acute pharyngitis จึงควรได้รับยาปฏิชีวนะคือ Amoxicillin dry syrup (125 mg/5 ml) ปริมาณ 30 ml/day นาน 10 วัน</t>
        </is>
      </c>
      <c r="F93" s="18"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18" t="inlineStr">
        <is>
          <t>ควรได้รับ เนื่องจากโรคที่ผู้ป่วยเป็นคือ common cold จึงควรได้รับยา Carbocysteine (100 mg/5 ml) ปริมาณ 15 ml/day</t>
        </is>
      </c>
      <c r="H93" s="18"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15" t="inlineStr">
        <is>
          <t>1</t>
        </is>
      </c>
      <c r="J93" s="18"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เป็น Aminopenicillin ยับยั้ง bacterial cell wall synthesis เป็น first-line สำหรับ uncomplicated bacterial infections (เช่น Strep pharyngitis, AOM, sinusitis)
• ข้อ ค. (ควรได้รับ เนื่องจากโรคที่ผู้ป่วยเป็นคือ Acute bacterial rhinosinusitis จึงควรได้รับยาปฏิชีวนะ คือ Amoxicillin dry syrup (125 mg/5 ml) ปริมาณ 48 ml/day นาน 10 วัน): เป็น Aminopenicillin ยับยั้ง bacterial cell wall synthesis เป็น first-line สำหรับ uncomplicated bacterial infections (เช่น Strep pharyngitis, AOM, sinusitis)
• ข้อ ง. (ควรได้รับ เนื่องจากโรคที่ผู้ป่วยเป็นคือ common cold จึงควรได้รับยา Carbocysteine (100 mg/5 ml) ปริมาณ 15 ml/day): ข้อนี้ไม่ใช่คำตอบที่ถูกต้องสำหรับภาวะ Allergic rhinitis เนื่องจากกลไกการออกฤทธิ์, efficacy หรือข้อบ่งใช้ไม่ตรงกับโจทย์ที่กำหนด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18" t="inlineStr"/>
      <c r="L93" s="18" t="inlineStr">
        <is>
          <t>Allergic rhinitis</t>
        </is>
      </c>
      <c r="M93" s="18" t="inlineStr">
        <is>
          <t>Clinic</t>
        </is>
      </c>
      <c r="N93" s="18" t="inlineStr">
        <is>
          <t>ข้อ 32 (PLE_CC1_Practice_Exam.md)</t>
        </is>
      </c>
      <c r="O93" s="18" t="inlineStr">
        <is>
          <t>Mock</t>
        </is>
      </c>
      <c r="P93" s="18" t="inlineStr">
        <is>
          <t>Mock สภาเภสัชฯ Practice</t>
        </is>
      </c>
    </row>
    <row r="94">
      <c r="A94" s="15" t="inlineStr">
        <is>
          <t>92</t>
        </is>
      </c>
      <c r="B94" s="18" t="inlineStr">
        <is>
          <t>ทุกโครงสร้างยาออกฤทธิ์แบบ non-sedative antihistamine ข้อใดต่อไปนี้ถูกต้อง</t>
        </is>
      </c>
      <c r="C94" s="18" t="inlineStr"/>
      <c r="D94" s="18" t="inlineStr">
        <is>
          <t>เฉพาะ ข้อความ 1</t>
        </is>
      </c>
      <c r="E94" s="18" t="inlineStr">
        <is>
          <t>เฉพาะข้อความ 2</t>
        </is>
      </c>
      <c r="F94" s="18" t="inlineStr">
        <is>
          <t>ข้อความ 1 และ 2</t>
        </is>
      </c>
      <c r="G94" s="18" t="inlineStr">
        <is>
          <t>ข้อความ 1 และ 3</t>
        </is>
      </c>
      <c r="H94" s="18" t="inlineStr">
        <is>
          <t>ถูกทั้ง 1 2 และ 3</t>
        </is>
      </c>
      <c r="I94" s="15" t="inlineStr">
        <is>
          <t>1</t>
        </is>
      </c>
      <c r="J94" s="18"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ข้อนี้ไม่ใช่คำตอบที่ถูกต้องสำหรับภาวะ Allergic rhinitis เนื่องจากกลไกการออกฤทธิ์, efficacy หรือข้อบ่งใช้ไม่ตรงกับโจทย์ที่กำหนด
• ข้อ ค. (ข้อความ 1 และ 2): ข้อนี้ไม่ใช่คำตอบที่ถูกต้องสำหรับภาวะ Allergic rhinitis เนื่องจากกลไกการออกฤทธิ์, efficacy หรือข้อบ่งใช้ไม่ตรงกับโจทย์ที่กำหนด
• ข้อ ง. (ข้อความ 1 และ 3): ข้อนี้ไม่ใช่คำตอบที่ถูกต้องสำหรับภาวะ Allergic rhinitis เนื่องจากกลไกการออกฤทธิ์, efficacy หรือข้อบ่งใช้ไม่ตรงกับโจทย์ที่กำหนด
• ข้อ จ. (ถูกทั้ง 1 2 และ 3):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18" t="inlineStr"/>
      <c r="L94" s="18" t="inlineStr">
        <is>
          <t>Allergic rhinitis</t>
        </is>
      </c>
      <c r="M94" s="18" t="inlineStr">
        <is>
          <t>Clinic</t>
        </is>
      </c>
      <c r="N94" s="18" t="inlineStr">
        <is>
          <t>ข้อ 3 (PLE_CC1_Practice_Exam.md)</t>
        </is>
      </c>
      <c r="O94" s="18" t="inlineStr">
        <is>
          <t>Mock</t>
        </is>
      </c>
      <c r="P94" s="18" t="inlineStr">
        <is>
          <t>Mock สภาเภสัชฯ Practice</t>
        </is>
      </c>
    </row>
    <row r="95">
      <c r="A95" s="15" t="inlineStr">
        <is>
          <t>93</t>
        </is>
      </c>
      <c r="B95" s="18"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18" t="inlineStr"/>
      <c r="D95" s="18" t="inlineStr">
        <is>
          <t>Fluticasone furoate</t>
        </is>
      </c>
      <c r="E95" s="18" t="inlineStr">
        <is>
          <t>Loratadine</t>
        </is>
      </c>
      <c r="F95" s="18" t="inlineStr">
        <is>
          <t>montelukast</t>
        </is>
      </c>
      <c r="G95" s="18" t="inlineStr">
        <is>
          <t>Phenylephrine</t>
        </is>
      </c>
      <c r="H95" s="18" t="inlineStr">
        <is>
          <t>0.025% oxymetazoline</t>
        </is>
      </c>
      <c r="I95" s="15" t="inlineStr">
        <is>
          <t>1</t>
        </is>
      </c>
      <c r="J95" s="18"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ข้อนี้ไม่ใช่คำตอบที่ถูกต้องสำหรับภาวะ Allergic rhinitis เนื่องจากกลไกการออกฤทธิ์, efficacy หรือข้อบ่งใช้ไม่ตรงกับโจทย์ที่กำหนด
• ข้อ ค.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(Phenylephrine): ข้อนี้ไม่ใช่คำตอบที่ถูกต้องสำหรับภาวะ Allergic rhinitis เนื่องจากกลไกการออกฤทธิ์, efficacy หรือข้อบ่งใช้ไม่ตรงกับโจทย์ที่กำหนด
• ข้อ จ. (0.025% oxymetazoline):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18" t="inlineStr"/>
      <c r="L95" s="18" t="inlineStr">
        <is>
          <t>Allergic rhinitis</t>
        </is>
      </c>
      <c r="M95" s="18" t="inlineStr">
        <is>
          <t>Clinic</t>
        </is>
      </c>
      <c r="N95" s="18" t="inlineStr">
        <is>
          <t>ข้อ 30 (PLE_CC1_Practice_Exam.md)</t>
        </is>
      </c>
      <c r="O95" s="18" t="inlineStr">
        <is>
          <t>Mock</t>
        </is>
      </c>
      <c r="P95" s="18" t="inlineStr">
        <is>
          <t>Mock สภาเภสัชฯ Practice</t>
        </is>
      </c>
    </row>
    <row r="96">
      <c r="A96" s="15" t="inlineStr">
        <is>
          <t>94</t>
        </is>
      </c>
      <c r="B96" s="18"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18" t="inlineStr"/>
      <c r="D96" s="18" t="inlineStr">
        <is>
          <t>Epinephrine 0.3 mg IM stat</t>
        </is>
      </c>
      <c r="E96" s="18" t="inlineStr">
        <is>
          <t>Dexamethasone 4 mg IV</t>
        </is>
      </c>
      <c r="F96" s="18" t="inlineStr">
        <is>
          <t>Prednisolone 20 mg OD</t>
        </is>
      </c>
      <c r="G96" s="18" t="inlineStr">
        <is>
          <t>Montelukast 10 mg HS</t>
        </is>
      </c>
      <c r="H96" s="18" t="inlineStr">
        <is>
          <t>Hydroxyzine 25 mg HS</t>
        </is>
      </c>
      <c r="I96" s="15" t="inlineStr">
        <is>
          <t>2</t>
        </is>
      </c>
      <c r="J96" s="18"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18" t="inlineStr"/>
      <c r="L96" s="18" t="inlineStr">
        <is>
          <t>Allergic rhinitis</t>
        </is>
      </c>
      <c r="M96" s="18" t="inlineStr">
        <is>
          <t>Clinic</t>
        </is>
      </c>
      <c r="N96" s="18" t="inlineStr">
        <is>
          <t>ข้อ 22 (PLE_CC1_Practice_Exam.md)</t>
        </is>
      </c>
      <c r="O96" s="18" t="inlineStr">
        <is>
          <t>Mock</t>
        </is>
      </c>
      <c r="P96" s="18" t="inlineStr">
        <is>
          <t>Mock สภาเภสัชฯ Practice</t>
        </is>
      </c>
    </row>
    <row r="97">
      <c r="A97" s="15" t="inlineStr">
        <is>
          <t>95</t>
        </is>
      </c>
      <c r="B97" s="18"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18" t="inlineStr"/>
      <c r="D97" s="18" t="inlineStr">
        <is>
          <t>Montelukast 10 mg HS</t>
        </is>
      </c>
      <c r="E97" s="18" t="inlineStr">
        <is>
          <t>Hydroxyzine 25 mg HS</t>
        </is>
      </c>
      <c r="F97" s="18" t="inlineStr">
        <is>
          <t>Diphenhydramine 25 mg IV</t>
        </is>
      </c>
      <c r="G97" s="18" t="inlineStr">
        <is>
          <t>Cetirizine 10 mg OD</t>
        </is>
      </c>
      <c r="H97" s="18" t="inlineStr">
        <is>
          <t>Loratadine 10 mg OD</t>
        </is>
      </c>
      <c r="I97" s="15" t="inlineStr">
        <is>
          <t>2</t>
        </is>
      </c>
      <c r="J97" s="18"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18" t="inlineStr"/>
      <c r="L97" s="18" t="inlineStr">
        <is>
          <t>Allergic rhinitis</t>
        </is>
      </c>
      <c r="M97" s="18" t="inlineStr">
        <is>
          <t>Clinic</t>
        </is>
      </c>
      <c r="N97" s="18" t="inlineStr">
        <is>
          <t>ข้อ 2 (PLE_CC1_Practice_Exam.md)</t>
        </is>
      </c>
      <c r="O97" s="18" t="inlineStr">
        <is>
          <t>Mock</t>
        </is>
      </c>
      <c r="P97" s="18" t="inlineStr">
        <is>
          <t>Mock สภาเภสัชฯ Practice</t>
        </is>
      </c>
    </row>
    <row r="98">
      <c r="A98" s="15" t="inlineStr">
        <is>
          <t>96</t>
        </is>
      </c>
      <c r="B98" s="18"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18" t="inlineStr"/>
      <c r="D98" s="18" t="inlineStr">
        <is>
          <t>Dimenhydrinateเป็นanti histamineมีข้อบ่งใช้ใน motion sickness</t>
        </is>
      </c>
      <c r="E98" s="18"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18"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18"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18" t="inlineStr">
        <is>
          <t>Fluticasone furoate nasal spray</t>
        </is>
      </c>
      <c r="I98" s="15" t="inlineStr">
        <is>
          <t>5</t>
        </is>
      </c>
      <c r="J98" s="18"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ข้อนี้ไม่ใช่คำตอบที่ถูกต้องสำหรับภาวะ Allergic rhinitis เนื่องจากกลไกการออกฤทธิ์, efficacy หรือข้อบ่งใช้ไม่ตรงกับโจทย์ที่กำหนด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ข้อ ค. (Intranasal Budesonide จะใช้ในรายที่มีอาการคัดจมูกมาก ซึ่งผู้ป่วยรายนี้ไม่มีอาการรุนแรงมาก และ อาการไม่ได้รบกวนคุณภาพชีวิต):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18" t="inlineStr"/>
      <c r="L98" s="18" t="inlineStr">
        <is>
          <t>Allergic rhinitis</t>
        </is>
      </c>
      <c r="M98" s="18" t="inlineStr">
        <is>
          <t>Clinic</t>
        </is>
      </c>
      <c r="N98" s="18" t="inlineStr">
        <is>
          <t>ข้อ 26 (PLE_CC1_Practice_Exam.md)</t>
        </is>
      </c>
      <c r="O98" s="18" t="inlineStr">
        <is>
          <t>Mock</t>
        </is>
      </c>
      <c r="P98" s="18" t="inlineStr">
        <is>
          <t>Mock สภาเภสัชฯ Practice</t>
        </is>
      </c>
    </row>
    <row r="99">
      <c r="A99" s="15" t="inlineStr">
        <is>
          <t>97</t>
        </is>
      </c>
      <c r="B99" s="18"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18" t="inlineStr"/>
      <c r="D99" s="18" t="inlineStr">
        <is>
          <t>Chlorpheniramine 4 mg TID</t>
        </is>
      </c>
      <c r="E99" s="18" t="inlineStr">
        <is>
          <t>Fluticasone furoate nasal spray</t>
        </is>
      </c>
      <c r="F99" s="18" t="inlineStr">
        <is>
          <t>Budesonide nasal spray</t>
        </is>
      </c>
      <c r="G99" s="18" t="inlineStr">
        <is>
          <t>Epinephrine 0.3 mg IM stat</t>
        </is>
      </c>
      <c r="H99" s="18" t="inlineStr">
        <is>
          <t>Dexamethasone 4 mg IV</t>
        </is>
      </c>
      <c r="I99" s="15" t="inlineStr">
        <is>
          <t>2</t>
        </is>
      </c>
      <c r="J99" s="18"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8" t="inlineStr"/>
      <c r="L99" s="18" t="inlineStr">
        <is>
          <t>Allergic rhinitis</t>
        </is>
      </c>
      <c r="M99" s="18" t="inlineStr">
        <is>
          <t>Clinic</t>
        </is>
      </c>
      <c r="N99" s="18" t="inlineStr">
        <is>
          <t>ข้อ 27 (PLE_CC1_Practice_Exam.md)</t>
        </is>
      </c>
      <c r="O99" s="18" t="inlineStr">
        <is>
          <t>Mock</t>
        </is>
      </c>
      <c r="P99" s="18" t="inlineStr">
        <is>
          <t>Mock สภาเภสัชฯ Practice</t>
        </is>
      </c>
    </row>
    <row r="100">
      <c r="A100" s="15" t="inlineStr">
        <is>
          <t>98</t>
        </is>
      </c>
      <c r="B100" s="18"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18" t="inlineStr"/>
      <c r="D100" s="18" t="inlineStr">
        <is>
          <t>Epinephrine 0.3 mg IM stat</t>
        </is>
      </c>
      <c r="E100" s="18" t="inlineStr">
        <is>
          <t>Dexamethasone 4 mg IV</t>
        </is>
      </c>
      <c r="F100" s="18" t="inlineStr">
        <is>
          <t>Prednisolone 20 mg OD</t>
        </is>
      </c>
      <c r="G100" s="18" t="inlineStr">
        <is>
          <t>Montelukast 10 mg HS</t>
        </is>
      </c>
      <c r="H100" s="18" t="inlineStr">
        <is>
          <t>Hydroxyzine 25 mg HS</t>
        </is>
      </c>
      <c r="I100" s="15" t="inlineStr">
        <is>
          <t>2</t>
        </is>
      </c>
      <c r="J100" s="18"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18" t="inlineStr"/>
      <c r="L100" s="18" t="inlineStr">
        <is>
          <t>Allergic rhinitis</t>
        </is>
      </c>
      <c r="M100" s="18" t="inlineStr">
        <is>
          <t>Clinic</t>
        </is>
      </c>
      <c r="N100" s="18" t="inlineStr">
        <is>
          <t>ข้อ 28 (PLE_CC1_Practice_Exam.md)</t>
        </is>
      </c>
      <c r="O100" s="18" t="inlineStr">
        <is>
          <t>Mock</t>
        </is>
      </c>
      <c r="P100" s="18" t="inlineStr">
        <is>
          <t>Mock สภาเภสัชฯ Practice</t>
        </is>
      </c>
    </row>
    <row r="101">
      <c r="A101" s="15" t="inlineStr">
        <is>
          <t>99</t>
        </is>
      </c>
      <c r="B101" s="18"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18" t="inlineStr"/>
      <c r="D101" s="18" t="inlineStr">
        <is>
          <t>Montelukast 10 mg HS</t>
        </is>
      </c>
      <c r="E101" s="18" t="inlineStr">
        <is>
          <t>Hydroxyzine 25 mg HS</t>
        </is>
      </c>
      <c r="F101" s="18" t="inlineStr">
        <is>
          <t>Diphenhydramine 25 mg IV</t>
        </is>
      </c>
      <c r="G101" s="18" t="inlineStr">
        <is>
          <t>Cetirizine 10 mg OD</t>
        </is>
      </c>
      <c r="H101" s="18" t="inlineStr">
        <is>
          <t>Loratadine 10 mg OD</t>
        </is>
      </c>
      <c r="I101" s="15" t="inlineStr">
        <is>
          <t>2</t>
        </is>
      </c>
      <c r="J101" s="18"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18" t="inlineStr"/>
      <c r="L101" s="18" t="inlineStr">
        <is>
          <t>Allergic rhinitis</t>
        </is>
      </c>
      <c r="M101" s="18" t="inlineStr">
        <is>
          <t>Clinic</t>
        </is>
      </c>
      <c r="N101" s="18" t="inlineStr">
        <is>
          <t>ข้อ 30 (PLE_CC1_Practice_Exam.md)</t>
        </is>
      </c>
      <c r="O101" s="18" t="inlineStr">
        <is>
          <t>Mock</t>
        </is>
      </c>
      <c r="P101" s="18" t="inlineStr">
        <is>
          <t>Mock สภาเภสัชฯ Practice</t>
        </is>
      </c>
    </row>
    <row r="102">
      <c r="A102" s="15" t="inlineStr">
        <is>
          <t>100</t>
        </is>
      </c>
      <c r="B102" s="18"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18" t="inlineStr"/>
      <c r="D102" s="18"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18" t="inlineStr">
        <is>
          <t>ถูกต้อง เพราะการอนุญาตสำหรับการขายยาผู้อนุญาตอาจเป็นเลขาธิการ หรือผู้ว่าราชการจังหวัดก็ ได้</t>
        </is>
      </c>
      <c r="F102" s="18" t="inlineStr">
        <is>
          <t>ไม่ถูกต้อง เพราะผู้อนุญาตสำหรับการขายยาในต่างจังหวัดต้องเป็นผู้ว่าราชการจังหวัดที่อยู่ในเขต จังหวัดนั้น</t>
        </is>
      </c>
      <c r="G102" s="18"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18" t="inlineStr">
        <is>
          <t>ไม่สามารถตัดสินใจได้จากข้อมูลที่ให้มา</t>
        </is>
      </c>
      <c r="I102" s="15" t="inlineStr">
        <is>
          <t>1</t>
        </is>
      </c>
      <c r="J102" s="18"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ข้อนี้ไม่ใช่คำตอบที่ถูกต้องสำหรับภาวะ Allergic rhinitis เนื่องจากกลไกการออกฤทธิ์, efficacy หรือข้อบ่งใช้ไม่ตรงกับโจทย์ที่กำหนด
• ข้อ ค. (ไม่ถูกต้อง เพราะผู้อนุญาตสำหรับการขายยาในต่างจังหวัดต้องเป็นผู้ว่าราชการจังหวัดที่อยู่ในเขต จังหวัดนั้น): ข้อนี้ไม่ใช่คำตอบที่ถูกต้องสำหรับภาวะ Allergic rhinitis เนื่องจากกลไกการออกฤทธิ์, efficacy หรือข้อบ่งใช้ไม่ตรงกับโจทย์ที่กำหนด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ข้อนี้ไม่ใช่คำตอบที่ถูกต้องสำหรับภาวะ Allergic rhinitis เนื่องจากกลไกการออกฤทธิ์, efficacy หรือข้อบ่งใช้ไม่ตรงกับโจทย์ที่กำหนด
• ข้อ จ. (ไม่สามารถตัดสินใจได้จากข้อมูลที่ให้มา):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18" t="inlineStr"/>
      <c r="L102" s="18" t="inlineStr">
        <is>
          <t>Allergic rhinitis</t>
        </is>
      </c>
      <c r="M102" s="18" t="inlineStr">
        <is>
          <t>Clinic</t>
        </is>
      </c>
      <c r="N102" s="18" t="inlineStr">
        <is>
          <t>ข้อ 11 (PLE_CC1_Practice_Exam.md)</t>
        </is>
      </c>
      <c r="O102" s="18" t="inlineStr">
        <is>
          <t>Mock</t>
        </is>
      </c>
      <c r="P102" s="18" t="inlineStr">
        <is>
          <t>Mock สภาเภสัชฯ Practice</t>
        </is>
      </c>
    </row>
    <row r="103">
      <c r="A103" s="15" t="inlineStr">
        <is>
          <t>101</t>
        </is>
      </c>
      <c r="B103" s="18"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18" t="inlineStr"/>
      <c r="D103" s="18" t="inlineStr">
        <is>
          <t>เนื่องจากเป็นยาอันตราย</t>
        </is>
      </c>
      <c r="E103" s="18" t="inlineStr">
        <is>
          <t>เนื่องจากเป็นยาควบคุมพิเศษ</t>
        </is>
      </c>
      <c r="F103" s="18" t="inlineStr">
        <is>
          <t>เนื่องจากเป็นยาเสพติดให้โทษ ประเภทที่ 2</t>
        </is>
      </c>
      <c r="G103" s="18" t="inlineStr">
        <is>
          <t>เนื่องจากเป็นวัตถุออกฤทธิ์ต่อจิตและประสาท ประเภทที่ 2</t>
        </is>
      </c>
      <c r="H103" s="18" t="inlineStr">
        <is>
          <t>เนื่องจากไม่มียานี้จำหน่ายในประเทศไทย</t>
        </is>
      </c>
      <c r="I103" s="15" t="inlineStr">
        <is>
          <t>1</t>
        </is>
      </c>
      <c r="J103" s="18"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(เนื่องจากเป็นยาเสพติดให้โทษ ประเภทที่ 2): ข้อนี้ไม่ใช่คำตอบที่ถูกต้องสำหรับภาวะ Allergic rhinitis เนื่องจากกลไกการออกฤทธิ์, efficacy หรือข้อบ่งใช้ไม่ตรงกับโจทย์ที่กำหนด
• ข้อ ง. (เนื่องจากเป็นวัตถุออกฤทธิ์ต่อจิตและประสาท ประเภทที่ 2): ข้อนี้ไม่ใช่คำตอบที่ถูกต้องสำหรับภาวะ Allergic rhinitis เนื่องจากกลไกการออกฤทธิ์, efficacy หรือข้อบ่งใช้ไม่ตรงกับโจทย์ที่กำหนด
• ข้อ จ. (เนื่องจากไม่มียานี้จำหน่ายในประเทศไทย):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18" t="inlineStr"/>
      <c r="L103" s="18" t="inlineStr">
        <is>
          <t>Allergic rhinitis</t>
        </is>
      </c>
      <c r="M103" s="18" t="inlineStr">
        <is>
          <t>Clinic</t>
        </is>
      </c>
      <c r="N103" s="18" t="inlineStr">
        <is>
          <t>ข้อ 27 (PLE_CC1_Practice_Exam.md)</t>
        </is>
      </c>
      <c r="O103" s="18" t="inlineStr">
        <is>
          <t>Mock</t>
        </is>
      </c>
      <c r="P103" s="18" t="inlineStr">
        <is>
          <t>Mock สภาเภสัชฯ Practice</t>
        </is>
      </c>
    </row>
    <row r="104">
      <c r="A104" s="15" t="inlineStr">
        <is>
          <t>102</t>
        </is>
      </c>
      <c r="B104" s="18" t="inlineStr">
        <is>
          <t>Oral antihistamine ลดน้ำมูก + คัดจมูก</t>
        </is>
      </c>
      <c r="C104" s="18" t="inlineStr"/>
      <c r="D104" s="18" t="inlineStr">
        <is>
          <t>Epinephrine 0.3 mg IM stat</t>
        </is>
      </c>
      <c r="E104" s="18" t="inlineStr">
        <is>
          <t>Dexamethasone 4 mg IV</t>
        </is>
      </c>
      <c r="F104" s="18" t="inlineStr">
        <is>
          <t>Prednisolone 20 mg OD</t>
        </is>
      </c>
      <c r="G104" s="18" t="inlineStr">
        <is>
          <t>Montelukast 10 mg HS</t>
        </is>
      </c>
      <c r="H104" s="18" t="inlineStr">
        <is>
          <t>Hydroxyzine 25 mg HS</t>
        </is>
      </c>
      <c r="I104" s="15" t="inlineStr">
        <is>
          <t>1</t>
        </is>
      </c>
      <c r="J104" s="18"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8" t="inlineStr"/>
      <c r="L104" s="18" t="inlineStr">
        <is>
          <t>Allergic rhinitis</t>
        </is>
      </c>
      <c r="M104" s="18" t="inlineStr">
        <is>
          <t>Clinic</t>
        </is>
      </c>
      <c r="N104" s="18" t="inlineStr">
        <is>
          <t>ข้อ 2 (PLE_CC1_Key_Rx20_UBU.md)</t>
        </is>
      </c>
      <c r="O104" s="18" t="inlineStr">
        <is>
          <t>Mock</t>
        </is>
      </c>
      <c r="P104" s="18" t="inlineStr">
        <is>
          <t>Mock Rx20 UBU</t>
        </is>
      </c>
    </row>
    <row r="105">
      <c r="A105" s="15" t="inlineStr">
        <is>
          <t>103</t>
        </is>
      </c>
      <c r="B105" s="18"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18" t="inlineStr"/>
      <c r="D105" s="18" t="inlineStr">
        <is>
          <t>Montelukast 10 mg HS</t>
        </is>
      </c>
      <c r="E105" s="18" t="inlineStr">
        <is>
          <t>Hydroxyzine 25 mg HS</t>
        </is>
      </c>
      <c r="F105" s="18" t="inlineStr">
        <is>
          <t>Diphenhydramine 25 mg IV</t>
        </is>
      </c>
      <c r="G105" s="18" t="inlineStr">
        <is>
          <t>Cetirizine 10 mg OD</t>
        </is>
      </c>
      <c r="H105" s="18" t="inlineStr">
        <is>
          <t>Loratadine 10 mg OD</t>
        </is>
      </c>
      <c r="I105" s="15" t="inlineStr">
        <is>
          <t>4</t>
        </is>
      </c>
      <c r="J105" s="18"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18" t="inlineStr"/>
      <c r="L105" s="18" t="inlineStr">
        <is>
          <t>Allergic rhinitis</t>
        </is>
      </c>
      <c r="M105" s="18" t="inlineStr">
        <is>
          <t>Clinic</t>
        </is>
      </c>
      <c r="N105" s="18" t="inlineStr">
        <is>
          <t>ข้อ 5 (PLE_CC1_Key_Rx20_UBU.md)</t>
        </is>
      </c>
      <c r="O105" s="18" t="inlineStr">
        <is>
          <t>Mock</t>
        </is>
      </c>
      <c r="P105" s="18" t="inlineStr">
        <is>
          <t>Mock Rx20 UBU</t>
        </is>
      </c>
    </row>
    <row r="106">
      <c r="A106" s="15" t="inlineStr">
        <is>
          <t>104</t>
        </is>
      </c>
      <c r="B106" s="18"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18" t="inlineStr"/>
      <c r="D106" s="18" t="inlineStr">
        <is>
          <t>Cetirizine 10 mg OD</t>
        </is>
      </c>
      <c r="E106" s="18" t="inlineStr">
        <is>
          <t>Loratadine 10 mg OD</t>
        </is>
      </c>
      <c r="F106" s="18" t="inlineStr">
        <is>
          <t>Fexofenadine 180 mg OD</t>
        </is>
      </c>
      <c r="G106" s="18" t="inlineStr">
        <is>
          <t>Chlorpheniramine 4 mg TID</t>
        </is>
      </c>
      <c r="H106" s="18" t="inlineStr">
        <is>
          <t>Fluticasone furoate nasal spray</t>
        </is>
      </c>
      <c r="I106" s="15" t="inlineStr">
        <is>
          <t>3</t>
        </is>
      </c>
      <c r="J106" s="18"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18" t="inlineStr"/>
      <c r="L106" s="18" t="inlineStr">
        <is>
          <t>Allergic rhinitis</t>
        </is>
      </c>
      <c r="M106" s="18" t="inlineStr">
        <is>
          <t>Clinic</t>
        </is>
      </c>
      <c r="N106" s="18" t="inlineStr">
        <is>
          <t>ข้อ 5 (PLE_CC1_Key_Rx20_UBU.md)</t>
        </is>
      </c>
      <c r="O106" s="18" t="inlineStr">
        <is>
          <t>Mock</t>
        </is>
      </c>
      <c r="P106" s="18" t="inlineStr">
        <is>
          <t>Mock Rx20 UBU</t>
        </is>
      </c>
    </row>
    <row r="107">
      <c r="A107" s="15" t="inlineStr">
        <is>
          <t>105</t>
        </is>
      </c>
      <c r="B107" s="18" t="inlineStr">
        <is>
          <t>ยา Antihistamine ตัวใดที่ทำให้ง่วงมากที่สุด</t>
        </is>
      </c>
      <c r="C107" s="18" t="inlineStr"/>
      <c r="D107" s="18" t="inlineStr">
        <is>
          <t>Chlorpheniramine 4 mg TID</t>
        </is>
      </c>
      <c r="E107" s="18" t="inlineStr">
        <is>
          <t>Fluticasone furoate nasal spray</t>
        </is>
      </c>
      <c r="F107" s="18" t="inlineStr">
        <is>
          <t>Budesonide nasal spray</t>
        </is>
      </c>
      <c r="G107" s="18" t="inlineStr">
        <is>
          <t>Epinephrine 0.3 mg IM stat</t>
        </is>
      </c>
      <c r="H107" s="18" t="inlineStr">
        <is>
          <t>Dexamethasone 4 mg IV</t>
        </is>
      </c>
      <c r="I107" s="15" t="inlineStr">
        <is>
          <t>1</t>
        </is>
      </c>
      <c r="J107" s="18"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18" t="inlineStr"/>
      <c r="L107" s="18" t="inlineStr">
        <is>
          <t>Allergic rhinitis</t>
        </is>
      </c>
      <c r="M107" s="18" t="inlineStr">
        <is>
          <t>Clinic</t>
        </is>
      </c>
      <c r="N107" s="18" t="inlineStr">
        <is>
          <t>ข้อ 8 (PLE_CC1_Key_Rx20_UBU.md)</t>
        </is>
      </c>
      <c r="O107" s="18" t="inlineStr">
        <is>
          <t>Mock</t>
        </is>
      </c>
      <c r="P107" s="18" t="inlineStr">
        <is>
          <t>Mock Rx20 UBU</t>
        </is>
      </c>
    </row>
    <row r="108">
      <c r="A108" s="15" t="inlineStr">
        <is>
          <t>106</t>
        </is>
      </c>
      <c r="B108" s="18" t="inlineStr">
        <is>
          <t>ใช้ยาเดิมต่อไป แต่ให้ antihistamine และ paracetamol</t>
        </is>
      </c>
      <c r="C108" s="18" t="inlineStr"/>
      <c r="D108" s="18" t="inlineStr">
        <is>
          <t>Epinephrine 0.3 mg IM stat</t>
        </is>
      </c>
      <c r="E108" s="18" t="inlineStr">
        <is>
          <t>Dexamethasone 4 mg IV</t>
        </is>
      </c>
      <c r="F108" s="18" t="inlineStr">
        <is>
          <t>Prednisolone 20 mg OD</t>
        </is>
      </c>
      <c r="G108" s="18" t="inlineStr">
        <is>
          <t>Montelukast 10 mg HS</t>
        </is>
      </c>
      <c r="H108" s="18" t="inlineStr">
        <is>
          <t>Hydroxyzine 25 mg HS</t>
        </is>
      </c>
      <c r="I108" s="15" t="inlineStr">
        <is>
          <t>1</t>
        </is>
      </c>
      <c r="J108" s="18"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18" t="inlineStr"/>
      <c r="L108" s="18" t="inlineStr">
        <is>
          <t>Allergic rhinitis</t>
        </is>
      </c>
      <c r="M108" s="18" t="inlineStr">
        <is>
          <t>Clinic</t>
        </is>
      </c>
      <c r="N108" s="18" t="inlineStr">
        <is>
          <t>ข้อ 1 (PLE_CC1_Key_Rx20_UBU.md)</t>
        </is>
      </c>
      <c r="O108" s="18" t="inlineStr">
        <is>
          <t>Mock</t>
        </is>
      </c>
      <c r="P108" s="18" t="inlineStr">
        <is>
          <t>Mock Rx20 UBU</t>
        </is>
      </c>
    </row>
    <row r="109">
      <c r="A109" s="15" t="inlineStr">
        <is>
          <t>107</t>
        </is>
      </c>
      <c r="B109" s="18" t="inlineStr">
        <is>
          <t>Loratadine (minor) ระดับ lora ลดลง</t>
        </is>
      </c>
      <c r="C109" s="18" t="inlineStr"/>
      <c r="D109" s="18" t="inlineStr">
        <is>
          <t>Montelukast 10 mg HS</t>
        </is>
      </c>
      <c r="E109" s="18" t="inlineStr">
        <is>
          <t>Hydroxyzine 25 mg HS</t>
        </is>
      </c>
      <c r="F109" s="18" t="inlineStr">
        <is>
          <t>Diphenhydramine 25 mg IV</t>
        </is>
      </c>
      <c r="G109" s="18" t="inlineStr">
        <is>
          <t>Cetirizine 10 mg OD</t>
        </is>
      </c>
      <c r="H109" s="18" t="inlineStr">
        <is>
          <t>Loratadine 10 mg OD</t>
        </is>
      </c>
      <c r="I109" s="15" t="inlineStr">
        <is>
          <t>1</t>
        </is>
      </c>
      <c r="J109" s="18"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18" t="inlineStr"/>
      <c r="L109" s="18" t="inlineStr">
        <is>
          <t>Allergic rhinitis</t>
        </is>
      </c>
      <c r="M109" s="18" t="inlineStr">
        <is>
          <t>Clinic</t>
        </is>
      </c>
      <c r="N109" s="18" t="inlineStr">
        <is>
          <t>ข้อ 3 (PLE_CC1_Key_Rx20_UBU.md)</t>
        </is>
      </c>
      <c r="O109" s="18" t="inlineStr">
        <is>
          <t>Mock</t>
        </is>
      </c>
      <c r="P109" s="18" t="inlineStr">
        <is>
          <t>Mock Rx20 UBU</t>
        </is>
      </c>
    </row>
    <row r="110">
      <c r="A110" s="15" t="inlineStr">
        <is>
          <t>108</t>
        </is>
      </c>
      <c r="B110" s="18" t="inlineStr">
        <is>
          <t>ไม่เหมาะสม เพราะ ควรใช้ยา Loratadine จะได้ผลดีกว่า</t>
        </is>
      </c>
      <c r="C110" s="18" t="inlineStr"/>
      <c r="D110" s="18" t="inlineStr">
        <is>
          <t>Cetirizine 10 mg OD</t>
        </is>
      </c>
      <c r="E110" s="18" t="inlineStr">
        <is>
          <t>Loratadine 10 mg OD</t>
        </is>
      </c>
      <c r="F110" s="18" t="inlineStr">
        <is>
          <t>Fexofenadine 180 mg OD</t>
        </is>
      </c>
      <c r="G110" s="18" t="inlineStr">
        <is>
          <t>Chlorpheniramine 4 mg TID</t>
        </is>
      </c>
      <c r="H110" s="18" t="inlineStr">
        <is>
          <t>Fluticasone furoate nasal spray</t>
        </is>
      </c>
      <c r="I110" s="15" t="inlineStr">
        <is>
          <t>1</t>
        </is>
      </c>
      <c r="J110" s="18"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18" t="inlineStr"/>
      <c r="L110" s="18" t="inlineStr">
        <is>
          <t>Allergic rhinitis</t>
        </is>
      </c>
      <c r="M110" s="18" t="inlineStr">
        <is>
          <t>Clinic</t>
        </is>
      </c>
      <c r="N110" s="18" t="inlineStr">
        <is>
          <t>ข้อ 4 (PLE_CC1_Key_Rx20_UBU.md)</t>
        </is>
      </c>
      <c r="O110" s="18" t="inlineStr">
        <is>
          <t>Mock</t>
        </is>
      </c>
      <c r="P110" s="18" t="inlineStr">
        <is>
          <t>Mock Rx20 UBU</t>
        </is>
      </c>
    </row>
    <row r="111">
      <c r="A111" s="15" t="inlineStr">
        <is>
          <t>109</t>
        </is>
      </c>
      <c r="B111" s="18" t="inlineStr">
        <is>
          <t>ไม่เหมาะสม เพราะ ไม่ควรใช้ First generation antihistamine และ Decongestant ในผู้สูงอายุ</t>
        </is>
      </c>
      <c r="C111" s="18" t="inlineStr"/>
      <c r="D111" s="18" t="inlineStr">
        <is>
          <t>Chlorpheniramine 4 mg TID</t>
        </is>
      </c>
      <c r="E111" s="18" t="inlineStr">
        <is>
          <t>Fluticasone furoate nasal spray</t>
        </is>
      </c>
      <c r="F111" s="18" t="inlineStr">
        <is>
          <t>Budesonide nasal spray</t>
        </is>
      </c>
      <c r="G111" s="18" t="inlineStr">
        <is>
          <t>Epinephrine 0.3 mg IM stat</t>
        </is>
      </c>
      <c r="H111" s="18" t="inlineStr">
        <is>
          <t>Dexamethasone 4 mg IV</t>
        </is>
      </c>
      <c r="I111" s="15" t="inlineStr">
        <is>
          <t>1</t>
        </is>
      </c>
      <c r="J111" s="18"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18" t="inlineStr"/>
      <c r="L111" s="18" t="inlineStr">
        <is>
          <t>Allergic rhinitis</t>
        </is>
      </c>
      <c r="M111" s="18" t="inlineStr">
        <is>
          <t>Clinic</t>
        </is>
      </c>
      <c r="N111" s="18" t="inlineStr">
        <is>
          <t>ข้อ 5 (PLE_CC1_Key_Rx20_UBU.md)</t>
        </is>
      </c>
      <c r="O111" s="18" t="inlineStr">
        <is>
          <t>Mock</t>
        </is>
      </c>
      <c r="P111" s="18" t="inlineStr">
        <is>
          <t>Mock Rx20 UBU</t>
        </is>
      </c>
    </row>
    <row r="112">
      <c r="A112" s="15" t="inlineStr">
        <is>
          <t>110</t>
        </is>
      </c>
      <c r="B112" s="18"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18" t="inlineStr"/>
      <c r="D112" s="18" t="inlineStr">
        <is>
          <t>Epinephrine 0.3 mg IM stat</t>
        </is>
      </c>
      <c r="E112" s="18" t="inlineStr">
        <is>
          <t>Dexamethasone 4 mg IV</t>
        </is>
      </c>
      <c r="F112" s="18" t="inlineStr">
        <is>
          <t>Prednisolone 20 mg OD</t>
        </is>
      </c>
      <c r="G112" s="18" t="inlineStr">
        <is>
          <t>Montelukast 10 mg HS</t>
        </is>
      </c>
      <c r="H112" s="18" t="inlineStr">
        <is>
          <t>Hydroxyzine 25 mg HS</t>
        </is>
      </c>
      <c r="I112" s="15" t="inlineStr">
        <is>
          <t>1</t>
        </is>
      </c>
      <c r="J112" s="18"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18" t="inlineStr"/>
      <c r="L112" s="18" t="inlineStr">
        <is>
          <t>Allergic rhinitis</t>
        </is>
      </c>
      <c r="M112" s="18" t="inlineStr">
        <is>
          <t>Clinic</t>
        </is>
      </c>
      <c r="N112" s="18" t="inlineStr">
        <is>
          <t>ข้อ 60 (PLE_CC1_Key_Rx20_UBU.md)</t>
        </is>
      </c>
      <c r="O112" s="18" t="inlineStr">
        <is>
          <t>Mock</t>
        </is>
      </c>
      <c r="P112" s="18" t="inlineStr">
        <is>
          <t>Mock Rx20 UBU</t>
        </is>
      </c>
    </row>
    <row r="113">
      <c r="A113" s="15" t="inlineStr">
        <is>
          <t>111</t>
        </is>
      </c>
      <c r="B113" s="18" t="inlineStr">
        <is>
          <t>Antihistamine eye drops</t>
        </is>
      </c>
      <c r="C113" s="18" t="inlineStr"/>
      <c r="D113" s="18" t="inlineStr">
        <is>
          <t>Montelukast 10 mg HS</t>
        </is>
      </c>
      <c r="E113" s="18" t="inlineStr">
        <is>
          <t>Hydroxyzine 25 mg HS</t>
        </is>
      </c>
      <c r="F113" s="18" t="inlineStr">
        <is>
          <t>Diphenhydramine 25 mg IV</t>
        </is>
      </c>
      <c r="G113" s="18" t="inlineStr">
        <is>
          <t>Cetirizine 10 mg OD</t>
        </is>
      </c>
      <c r="H113" s="18" t="inlineStr">
        <is>
          <t>Loratadine 10 mg OD</t>
        </is>
      </c>
      <c r="I113" s="15" t="inlineStr">
        <is>
          <t>1</t>
        </is>
      </c>
      <c r="J113" s="18"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8" t="inlineStr"/>
      <c r="L113" s="18" t="inlineStr">
        <is>
          <t>Allergic rhinitis</t>
        </is>
      </c>
      <c r="M113" s="18" t="inlineStr">
        <is>
          <t>Clinic</t>
        </is>
      </c>
      <c r="N113" s="18" t="inlineStr">
        <is>
          <t>ข้อ 3 (PLE_CC1_Key_Rx20_UBU.md)</t>
        </is>
      </c>
      <c r="O113" s="18" t="inlineStr">
        <is>
          <t>Mock</t>
        </is>
      </c>
      <c r="P113" s="18" t="inlineStr">
        <is>
          <t>Mock Rx20 UBU</t>
        </is>
      </c>
    </row>
    <row r="114">
      <c r="A114" s="15" t="inlineStr">
        <is>
          <t>112</t>
        </is>
      </c>
      <c r="B114" s="18" t="inlineStr">
        <is>
          <t>Fexofenadine 60 mg 1 tab bid</t>
        </is>
      </c>
      <c r="C114" s="18" t="inlineStr"/>
      <c r="D114" s="18" t="inlineStr">
        <is>
          <t>Cetirizine 10 mg OD</t>
        </is>
      </c>
      <c r="E114" s="18" t="inlineStr">
        <is>
          <t>Loratadine 10 mg OD</t>
        </is>
      </c>
      <c r="F114" s="18" t="inlineStr">
        <is>
          <t>Fexofenadine 180 mg OD</t>
        </is>
      </c>
      <c r="G114" s="18" t="inlineStr">
        <is>
          <t>Chlorpheniramine 4 mg TID</t>
        </is>
      </c>
      <c r="H114" s="18" t="inlineStr">
        <is>
          <t>Fluticasone furoate nasal spray</t>
        </is>
      </c>
      <c r="I114" s="15" t="inlineStr">
        <is>
          <t>1</t>
        </is>
      </c>
      <c r="J114" s="18"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8" t="inlineStr"/>
      <c r="L114" s="18" t="inlineStr">
        <is>
          <t>Allergic rhinitis</t>
        </is>
      </c>
      <c r="M114" s="18" t="inlineStr">
        <is>
          <t>Clinic</t>
        </is>
      </c>
      <c r="N114" s="18" t="inlineStr">
        <is>
          <t>ข้อ 2 (PLE_CC1_Key_Rx20_UBU.md)</t>
        </is>
      </c>
      <c r="O114" s="18" t="inlineStr">
        <is>
          <t>Mock</t>
        </is>
      </c>
      <c r="P114" s="18" t="inlineStr">
        <is>
          <t>Mock Rx20 UBU</t>
        </is>
      </c>
    </row>
    <row r="115">
      <c r="A115" s="15" t="inlineStr">
        <is>
          <t>113</t>
        </is>
      </c>
      <c r="B115" s="18" t="inlineStr">
        <is>
          <t>Oxymetazoline intranasal 0.5 mg/ml 1 puff prn (at night 1-2 times/week)</t>
        </is>
      </c>
      <c r="C115" s="18" t="inlineStr"/>
      <c r="D115" s="18" t="inlineStr">
        <is>
          <t>Chlorpheniramine 4 mg TID</t>
        </is>
      </c>
      <c r="E115" s="18" t="inlineStr">
        <is>
          <t>Fluticasone furoate nasal spray</t>
        </is>
      </c>
      <c r="F115" s="18" t="inlineStr">
        <is>
          <t>Budesonide nasal spray</t>
        </is>
      </c>
      <c r="G115" s="18" t="inlineStr">
        <is>
          <t>Epinephrine 0.3 mg IM stat</t>
        </is>
      </c>
      <c r="H115" s="18" t="inlineStr">
        <is>
          <t>Dexamethasone 4 mg IV</t>
        </is>
      </c>
      <c r="I115" s="15" t="inlineStr">
        <is>
          <t>1</t>
        </is>
      </c>
      <c r="J115" s="18"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8" t="inlineStr"/>
      <c r="L115" s="18" t="inlineStr">
        <is>
          <t>Allergic rhinitis</t>
        </is>
      </c>
      <c r="M115" s="18" t="inlineStr">
        <is>
          <t>Clinic</t>
        </is>
      </c>
      <c r="N115" s="18" t="inlineStr">
        <is>
          <t>ข้อ 3 (PLE_CC1_Key_Rx20_UBU.md)</t>
        </is>
      </c>
      <c r="O115" s="18" t="inlineStr">
        <is>
          <t>Mock</t>
        </is>
      </c>
      <c r="P115" s="18" t="inlineStr">
        <is>
          <t>Mock Rx20 UBU</t>
        </is>
      </c>
    </row>
    <row r="116">
      <c r="A116" s="15" t="inlineStr">
        <is>
          <t>114</t>
        </is>
      </c>
      <c r="B116" s="18" t="inlineStr">
        <is>
          <t>Pseudoephedrine 60 mg/triprolidine 2.5 mg 1 tab bid pc</t>
        </is>
      </c>
      <c r="C116" s="18" t="inlineStr"/>
      <c r="D116" s="18" t="inlineStr">
        <is>
          <t>Epinephrine 0.3 mg IM stat</t>
        </is>
      </c>
      <c r="E116" s="18" t="inlineStr">
        <is>
          <t>Dexamethasone 4 mg IV</t>
        </is>
      </c>
      <c r="F116" s="18" t="inlineStr">
        <is>
          <t>Prednisolone 20 mg OD</t>
        </is>
      </c>
      <c r="G116" s="18" t="inlineStr">
        <is>
          <t>Montelukast 10 mg HS</t>
        </is>
      </c>
      <c r="H116" s="18" t="inlineStr">
        <is>
          <t>Hydroxyzine 25 mg HS</t>
        </is>
      </c>
      <c r="I116" s="15" t="inlineStr">
        <is>
          <t>1</t>
        </is>
      </c>
      <c r="J116" s="18"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18" t="inlineStr"/>
      <c r="L116" s="18" t="inlineStr">
        <is>
          <t>Allergic rhinitis</t>
        </is>
      </c>
      <c r="M116" s="18" t="inlineStr">
        <is>
          <t>Clinic</t>
        </is>
      </c>
      <c r="N116" s="18" t="inlineStr">
        <is>
          <t>ข้อ 4 (PLE_CC1_Key_Rx20_UBU.md)</t>
        </is>
      </c>
      <c r="O116" s="18" t="inlineStr">
        <is>
          <t>Mock</t>
        </is>
      </c>
      <c r="P116" s="18" t="inlineStr">
        <is>
          <t>Mock Rx20 UBU</t>
        </is>
      </c>
    </row>
    <row r="117">
      <c r="A117" s="15" t="inlineStr">
        <is>
          <t>115</t>
        </is>
      </c>
      <c r="B117" s="18" t="inlineStr">
        <is>
          <t>Allergic rhinitis ของผู้ป่วยรายนี้มีความรุนแรงระดับใด</t>
        </is>
      </c>
      <c r="C117" s="18" t="inlineStr"/>
      <c r="D117" s="18" t="inlineStr">
        <is>
          <t>Mild intermittent</t>
        </is>
      </c>
      <c r="E117" s="18" t="inlineStr">
        <is>
          <t>Mild persistent</t>
        </is>
      </c>
      <c r="F117" s="18" t="inlineStr">
        <is>
          <t>Mild-moderate persistent</t>
        </is>
      </c>
      <c r="G117" s="18" t="inlineStr">
        <is>
          <t>Moderate-severe persistent</t>
        </is>
      </c>
      <c r="H117" s="18" t="inlineStr">
        <is>
          <t>Moderate-severe intermittent และผู้ป่วยเพิ่งมีอาการมา 2 สัปดาห์ ดังแสดงในแผนภูมิด้านล่างนี้</t>
        </is>
      </c>
      <c r="I117" s="15" t="inlineStr">
        <is>
          <t>1</t>
        </is>
      </c>
      <c r="J117" s="18"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ข้อนี้ไม่ใช่คำตอบที่ถูกต้องสำหรับภาวะ Allergic rhinitis เนื่องจากกลไกการออกฤทธิ์, efficacy หรือข้อบ่งใช้ไม่ตรงกับโจทย์ที่กำหนด
• ข้อ ค. (Mild-moderate persistent): ข้อนี้ไม่ใช่คำตอบที่ถูกต้องสำหรับภาวะ Allergic rhinitis เนื่องจากกลไกการออกฤทธิ์, efficacy หรือข้อบ่งใช้ไม่ตรงกับโจทย์ที่กำหนด
• ข้อ ง. (Moderate-severe persistent): ข้อนี้ไม่ใช่คำตอบที่ถูกต้องสำหรับภาวะ Allergic rhinitis เนื่องจากกลไกการออกฤทธิ์, efficacy หรือข้อบ่งใช้ไม่ตรงกับโจทย์ที่กำหนด
• ข้อ จ. (Moderate-severe intermittent และผู้ป่วยเพิ่งมีอาการมา 2 สัปดาห์ ดังแสดงในแผนภูมิด้านล่างนี้):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18" t="inlineStr"/>
      <c r="L117" s="18" t="inlineStr">
        <is>
          <t>Allergic rhinitis</t>
        </is>
      </c>
      <c r="M117" s="18" t="inlineStr">
        <is>
          <t>Clinic</t>
        </is>
      </c>
      <c r="N117" s="18" t="inlineStr">
        <is>
          <t>ข้อ 2 (PLE_CC1_Key_Rx20_UBU.md)</t>
        </is>
      </c>
      <c r="O117" s="18" t="inlineStr">
        <is>
          <t>Mock</t>
        </is>
      </c>
      <c r="P117" s="18" t="inlineStr">
        <is>
          <t>Mock Rx20 UBU</t>
        </is>
      </c>
    </row>
    <row r="118">
      <c r="A118" s="15" t="inlineStr">
        <is>
          <t>116</t>
        </is>
      </c>
      <c r="B118" s="18" t="inlineStr">
        <is>
          <t>Fexofenadine มีการ metabolism ได้ metabolite ดังภาพ ซึ่งเกิดขึ้นจากปฏิกิริยาใด</t>
        </is>
      </c>
      <c r="C118" s="18" t="inlineStr"/>
      <c r="D118" s="18" t="inlineStr">
        <is>
          <t>Deamination</t>
        </is>
      </c>
      <c r="E118" s="18" t="inlineStr">
        <is>
          <t>Dealkylation</t>
        </is>
      </c>
      <c r="F118" s="18" t="inlineStr">
        <is>
          <t>Deacetylation</t>
        </is>
      </c>
      <c r="G118" s="18" t="inlineStr">
        <is>
          <t>Decarboxylation</t>
        </is>
      </c>
      <c r="H118" s="18" t="inlineStr">
        <is>
          <t>Dehydrogenation</t>
        </is>
      </c>
      <c r="I118" s="15" t="inlineStr">
        <is>
          <t>2</t>
        </is>
      </c>
      <c r="J118" s="18"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ข้อนี้ไม่ใช่คำตอบที่ถูกต้องสำหรับภาวะ Allergic rhinitis เนื่องจากกลไกการออกฤทธิ์, efficacy หรือข้อบ่งใช้ไม่ตรงกับโจทย์ที่กำหนด
• ข้อ ค. (Deacetylation): ข้อนี้ไม่ใช่คำตอบที่ถูกต้องสำหรับภาวะ Allergic rhinitis เนื่องจากกลไกการออกฤทธิ์, efficacy หรือข้อบ่งใช้ไม่ตรงกับโจทย์ที่กำหนด
• ข้อ ง. (Decarboxylation): ข้อนี้ไม่ใช่คำตอบที่ถูกต้องสำหรับภาวะ Allergic rhinitis เนื่องจากกลไกการออกฤทธิ์, efficacy หรือข้อบ่งใช้ไม่ตรงกับโจทย์ที่กำหนด
• ข้อ จ. (Dehydrogenation):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18" t="inlineStr"/>
      <c r="L118" s="18" t="inlineStr">
        <is>
          <t>Allergic rhinitis</t>
        </is>
      </c>
      <c r="M118" s="18" t="inlineStr">
        <is>
          <t>Clinic</t>
        </is>
      </c>
      <c r="N118" s="18" t="inlineStr">
        <is>
          <t>ข้อ 7 (PLE_CC1_Key_Rx20_UBU.md)</t>
        </is>
      </c>
      <c r="O118" s="18" t="inlineStr">
        <is>
          <t>Mock</t>
        </is>
      </c>
      <c r="P118" s="18" t="inlineStr">
        <is>
          <t>Mock Rx20 UBU</t>
        </is>
      </c>
    </row>
    <row r="119">
      <c r="A119" s="15" t="inlineStr">
        <is>
          <t>117</t>
        </is>
      </c>
      <c r="B119" s="18" t="inlineStr">
        <is>
          <t>ข้อใดมีผลต่อความสม่ำเสมอของยา fexofenadine</t>
        </is>
      </c>
      <c r="C119" s="18" t="inlineStr"/>
      <c r="D119" s="18" t="inlineStr">
        <is>
          <t>มุมทรงตัว</t>
        </is>
      </c>
      <c r="E119" s="18" t="inlineStr">
        <is>
          <t>ความพรุนของผงยา</t>
        </is>
      </c>
      <c r="F119" s="18" t="inlineStr">
        <is>
          <t>การทำเป็นแกรนูล</t>
        </is>
      </c>
      <c r="G119" s="18" t="inlineStr">
        <is>
          <t>ความสามารถในการตอกอัด</t>
        </is>
      </c>
      <c r="H119" s="18" t="inlineStr">
        <is>
          <t>การใส่สาร glidant ลงไปในตำรับ</t>
        </is>
      </c>
      <c r="I119" s="15" t="inlineStr">
        <is>
          <t>1</t>
        </is>
      </c>
      <c r="J119" s="18"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ข้อนี้ไม่ใช่คำตอบที่ถูกต้องสำหรับภาวะ Allergic rhinitis เนื่องจากกลไกการออกฤทธิ์, efficacy หรือข้อบ่งใช้ไม่ตรงกับโจทย์ที่กำหนด
• ข้อ ค. (การทำเป็นแกรนูล): ข้อนี้ไม่ใช่คำตอบที่ถูกต้องสำหรับภาวะ Allergic rhinitis เนื่องจากกลไกการออกฤทธิ์, efficacy หรือข้อบ่งใช้ไม่ตรงกับโจทย์ที่กำหนด
• ข้อ ง. (ความสามารถในการตอกอัด): ข้อนี้ไม่ใช่คำตอบที่ถูกต้องสำหรับภาวะ Allergic rhinitis เนื่องจากกลไกการออกฤทธิ์, efficacy หรือข้อบ่งใช้ไม่ตรงกับโจทย์ที่กำหนด
• ข้อ จ. (การใส่สาร glidant ลงไปในตำรับ):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8" t="inlineStr"/>
      <c r="L119" s="18" t="inlineStr">
        <is>
          <t>Allergic rhinitis</t>
        </is>
      </c>
      <c r="M119" s="18" t="inlineStr">
        <is>
          <t>Clinic</t>
        </is>
      </c>
      <c r="N119" s="18" t="inlineStr">
        <is>
          <t>ข้อ 8 (PLE_CC1_Key_Rx20_UBU.md)</t>
        </is>
      </c>
      <c r="O119" s="18" t="inlineStr">
        <is>
          <t>Mock</t>
        </is>
      </c>
      <c r="P119" s="18" t="inlineStr">
        <is>
          <t>Mock Rx20 UBU</t>
        </is>
      </c>
    </row>
    <row r="120">
      <c r="A120" s="15" t="inlineStr">
        <is>
          <t>118</t>
        </is>
      </c>
      <c r="B120" s="18" t="inlineStr">
        <is>
          <t>จากรูป โครงสร้างหรือคุณสมบัติใดของ cetirizine ที่ทำให้กินยานี้แล้วไม่ง่วง</t>
        </is>
      </c>
      <c r="C120" s="18" t="inlineStr"/>
      <c r="D120" s="18" t="inlineStr">
        <is>
          <t>Acid property</t>
        </is>
      </c>
      <c r="E120" s="18" t="inlineStr">
        <is>
          <t>Basic property</t>
        </is>
      </c>
      <c r="F120" s="18" t="inlineStr">
        <is>
          <t>Amphoteric property</t>
        </is>
      </c>
      <c r="G120" s="18" t="inlineStr">
        <is>
          <t>Aromatic ring</t>
        </is>
      </c>
      <c r="H120" s="18" t="inlineStr">
        <is>
          <t>Electron withdrawing และทำให้ผ่าน BBB น้อยจึงทำให้ส่งผลต่อ CNS side น้อย</t>
        </is>
      </c>
      <c r="I120" s="15" t="inlineStr">
        <is>
          <t>1</t>
        </is>
      </c>
      <c r="J120" s="18"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ข้อนี้ไม่ใช่คำตอบที่ถูกต้องสำหรับภาวะ Allergic rhinitis เนื่องจากกลไกการออกฤทธิ์, efficacy หรือข้อบ่งใช้ไม่ตรงกับโจทย์ที่กำหนด
• ข้อ ค. (Amphoteric property): ข้อนี้ไม่ใช่คำตอบที่ถูกต้องสำหรับภาวะ Allergic rhinitis เนื่องจากกลไกการออกฤทธิ์, efficacy หรือข้อบ่งใช้ไม่ตรงกับโจทย์ที่กำหนด
• ข้อ ง. (Aromatic ring): ข้อนี้ไม่ใช่คำตอบที่ถูกต้องสำหรับภาวะ Allergic rhinitis เนื่องจากกลไกการออกฤทธิ์, efficacy หรือข้อบ่งใช้ไม่ตรงกับโจทย์ที่กำหนด
• ข้อ จ. (Electron withdrawing และทำให้ผ่าน BBB น้อยจึงทำให้ส่งผลต่อ CNS side น้อย):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18" t="inlineStr"/>
      <c r="L120" s="18" t="inlineStr">
        <is>
          <t>Allergic rhinitis</t>
        </is>
      </c>
      <c r="M120" s="18" t="inlineStr">
        <is>
          <t>Clinic</t>
        </is>
      </c>
      <c r="N120" s="18" t="inlineStr">
        <is>
          <t>ข้อ 106 (PLE_CC1_Key_Rx20_UBU.md)</t>
        </is>
      </c>
      <c r="O120" s="18" t="inlineStr">
        <is>
          <t>Mock</t>
        </is>
      </c>
      <c r="P120" s="18" t="inlineStr">
        <is>
          <t>Mock Rx20 UBU</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312"/>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26" t="inlineStr">
        <is>
          <t>1</t>
        </is>
      </c>
      <c r="B3" s="18" t="inlineStr">
        <is>
          <t>ยาปฏิชีวนะกลุ่มใดต่อไปนี้ มีกลไกการออกฤทธิ์โดยการยับยั้งเอนไซม์ DNA gyrase และ Topoisomerase IV ของแบคทีเรีย?</t>
        </is>
      </c>
      <c r="C3" s="18" t="inlineStr"/>
      <c r="D3" s="18" t="inlineStr">
        <is>
          <t>Beta-lactams (เช่น Amoxicillin)</t>
        </is>
      </c>
      <c r="E3" s="18" t="inlineStr">
        <is>
          <t>Aminoglycosides (เช่น Gentamicin)</t>
        </is>
      </c>
      <c r="F3" s="18" t="inlineStr">
        <is>
          <t>Fluoroquinolones (เช่น Ciprofloxacin, Levofloxacin)</t>
        </is>
      </c>
      <c r="G3" s="18" t="inlineStr">
        <is>
          <t>Macrolides (เช่น Azithromycin)</t>
        </is>
      </c>
      <c r="H3" s="18" t="inlineStr">
        <is>
          <t>Glycopeptides (เช่น Vancomycin)</t>
        </is>
      </c>
      <c r="I3" s="15" t="inlineStr">
        <is>
          <t>3</t>
        </is>
      </c>
      <c r="J3" s="18"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18" t="inlineStr"/>
      <c r="L3" s="18" t="inlineStr">
        <is>
          <t>HIV infection</t>
        </is>
      </c>
      <c r="M3" s="18" t="inlineStr">
        <is>
          <t>Clinic</t>
        </is>
      </c>
      <c r="N3" s="18" t="inlineStr">
        <is>
          <t>Pharmacology</t>
        </is>
      </c>
      <c r="O3" s="18" t="inlineStr">
        <is>
          <t>ข้อสอบจริง</t>
        </is>
      </c>
      <c r="P3" s="15" t="inlineStr">
        <is>
          <t>2567</t>
        </is>
      </c>
    </row>
    <row r="4">
      <c r="A4" s="15" t="inlineStr">
        <is>
          <t>1</t>
        </is>
      </c>
      <c r="B4" s="18"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18" t="inlineStr"/>
      <c r="D4" s="18" t="inlineStr">
        <is>
          <t>หยุด beta-lactam แต่ยังคง azithromycin เดี่ยว ๆ</t>
        </is>
      </c>
      <c r="E4" s="18" t="inlineStr">
        <is>
          <t>เปลี่ยนเป็น respiratory fluoroquinolone monotherapy เช่น Levofloxacin 750 mg IV/PO วันละครั้ง</t>
        </is>
      </c>
      <c r="F4" s="18" t="inlineStr">
        <is>
          <t>เปลี่ยนเป็น cephalosporin รุ่นที่ 1 (เช่น cefazolin) แทน beta-lactam เดิม</t>
        </is>
      </c>
      <c r="G4" s="18" t="inlineStr">
        <is>
          <t>ให้ desensitization ต่อ penicillin ก่อนเริ่มยาเดิม</t>
        </is>
      </c>
      <c r="H4" s="18" t="inlineStr">
        <is>
          <t>ใช้ norfloxacin แทน เพราะเป็นยากลุ่มเดียวกับ ciprofloxacin</t>
        </is>
      </c>
      <c r="I4" s="15" t="inlineStr">
        <is>
          <t>2</t>
        </is>
      </c>
      <c r="J4" s="18"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เป็น Macrolide ครอบคลุม atypical pathogens (Mycoplasma, Chlamydia, Legionella) ขจัดออกทางตับเป็นหลัก และมี half-life ยาวนาน (~68 ชม.)
• ข้อ ค. (เปลี่ยนเป็น cephalosporin รุ่นที่ 1 (เช่น cefazolin) แทน beta-lactam เดิม): เป็น 1st generation cephalosporin เป็น drug of choice สำหรับ surgical antibiotic prophylaxis และ severe MSSA bacteremia/endocarditis
• ข้อ ง. (ให้ desensitization ต่อ penicillin ก่อนเริ่มยาเดิม): ข้อนี้ไม่ใช่คำตอบที่ถูกต้องสำหรับภาวะ Pneumonia เนื่องจากกลไกการออกฤทธิ์, efficacy หรือข้อบ่งใช้ไม่ตรงกับโจทย์ที่กำหนด
• ข้อ จ. (ใช้ norfloxacin แทน เพราะเป็นยากลุ่มเดียวกับ ciprofloxacin): เป็น Fluoroquinolone เด่นต่อ Gram-negative รวมทั้ง Pseudomonas aeruginosa แต่มี black box warning เรื่อง tendon rupture, QT prolongation, aortic aneurysm และ dysglycemia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18" t="inlineStr"/>
      <c r="L4" s="18" t="inlineStr">
        <is>
          <t>Pneumonia</t>
        </is>
      </c>
      <c r="M4" s="18" t="inlineStr">
        <is>
          <t>Clinic</t>
        </is>
      </c>
      <c r="N4" s="18" t="inlineStr">
        <is>
          <t>ข้อ 1.1 Mock Infectious RxCU84</t>
        </is>
      </c>
      <c r="O4" s="18" t="inlineStr">
        <is>
          <t>Mock</t>
        </is>
      </c>
      <c r="P4" s="18" t="inlineStr">
        <is>
          <t>Mock RxCU84</t>
        </is>
      </c>
    </row>
    <row r="5">
      <c r="A5" s="15" t="inlineStr">
        <is>
          <t>2</t>
        </is>
      </c>
      <c r="B5" s="18"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18" t="inlineStr"/>
      <c r="D5" s="18" t="inlineStr">
        <is>
          <t>เลี่ยงแสงแดดเพราะเสี่ยง photosensitivity เท่านั้น</t>
        </is>
      </c>
      <c r="E5" s="18" t="inlineStr">
        <is>
          <t>ระวังอาการปวด/บวมบริเวณเอ็น และหลีกเลี่ยงการออกกำลังกายหนักเนื่องจากอายุ &gt;60 ปี เพิ่มความเสี่ยง tendon rupture</t>
        </is>
      </c>
      <c r="F5" s="18" t="inlineStr">
        <is>
          <t>ให้กินยาพร้อมนมเพื่อลดการระคายเคืองกระเพาะอาหาร</t>
        </is>
      </c>
      <c r="G5" s="18" t="inlineStr">
        <is>
          <t>ไม่ต้องกังวลเรื่องใดเป็นพิเศษเพราะผู้ป่วยไม่มีประวัติแพ้ยา</t>
        </is>
      </c>
      <c r="H5" s="18" t="inlineStr">
        <is>
          <t>เพิ่มขนาดยา theophylline ทันทีเพราะ levofloxacin จะลดระดับยาในเลือด</t>
        </is>
      </c>
      <c r="I5" s="15" t="inlineStr">
        <is>
          <t>2</t>
        </is>
      </c>
      <c r="J5" s="18"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ข้อนี้ไม่ใช่คำตอบที่ถูกต้องสำหรับภาวะ Pneumonia เนื่องจากกลไกการออกฤทธิ์, efficacy หรือข้อบ่งใช้ไม่ตรงกับโจทย์ที่กำหนด
• ข้อ ค. (ให้กินยาพร้อมนมเพื่อลดการระคายเคืองกระเพาะอาหาร): ข้อนี้ไม่ใช่คำตอบที่ถูกต้องสำหรับภาวะ Pneumonia เนื่องจากกลไกการออกฤทธิ์, efficacy หรือข้อบ่งใช้ไม่ตรงกับโจทย์ที่กำหนด
• ข้อ ง. (ไม่ต้องกังวลเรื่องใดเป็นพิเศษเพราะผู้ป่วยไม่มีประวัติแพ้ยา): ข้อนี้ไม่ใช่คำตอบที่ถูกต้องสำหรับภาวะ Pneumonia เนื่องจากกลไกการออกฤทธิ์, efficacy หรือข้อบ่งใช้ไม่ตรงกับโจทย์ที่กำหนด
• ข้อ จ. (เพิ่มขนาดยา theophylline ทันทีเพราะ levofloxacin จะลดระดับยาในเลือด):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8" t="inlineStr"/>
      <c r="L5" s="18" t="inlineStr">
        <is>
          <t>Pneumonia</t>
        </is>
      </c>
      <c r="M5" s="18" t="inlineStr">
        <is>
          <t>Clinic</t>
        </is>
      </c>
      <c r="N5" s="18" t="inlineStr">
        <is>
          <t>ข้อ 1.2 Mock Infectious RxCU84</t>
        </is>
      </c>
      <c r="O5" s="18" t="inlineStr">
        <is>
          <t>Mock</t>
        </is>
      </c>
      <c r="P5" s="18" t="inlineStr">
        <is>
          <t>Mock RxCU84</t>
        </is>
      </c>
    </row>
    <row r="6">
      <c r="A6" s="15" t="inlineStr">
        <is>
          <t>3</t>
        </is>
      </c>
      <c r="B6" s="18"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18" t="inlineStr"/>
      <c r="D6" s="18" t="inlineStr">
        <is>
          <t>ความเสี่ยง tendon rupture เนื่องจากอายุมากกว่า 60 ปี</t>
        </is>
      </c>
      <c r="E6" s="18" t="inlineStr">
        <is>
          <t>ความเสี่ยงระดับน้ำตาลในเลือดผิดปกติ (dysglycemia) ทั้งภาวะน้ำตาลสูงและต่ำ</t>
        </is>
      </c>
      <c r="F6" s="18" t="inlineStr">
        <is>
          <t>การยับยั้งเอนไซม์ CYP1A2 ทำให้ระดับ metformin ในเลือดสูงขึ้น</t>
        </is>
      </c>
      <c r="G6" s="18" t="inlineStr">
        <is>
          <t>ความเสี่ยง Fanconi syndrome จากยาหมดอายุ</t>
        </is>
      </c>
      <c r="H6" s="18" t="inlineStr">
        <is>
          <t>การเกิด pseudomembranous colitis จาก C. difficile</t>
        </is>
      </c>
      <c r="I6" s="15" t="inlineStr">
        <is>
          <t>2</t>
        </is>
      </c>
      <c r="J6" s="18"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ข้อนี้ไม่ใช่คำตอบที่ถูกต้องสำหรับภาวะ Pneumonia เนื่องจากกลไกการออกฤทธิ์, efficacy หรือข้อบ่งใช้ไม่ตรงกับโจทย์ที่กำหนด
• ข้อ ค. (การยับยั้งเอนไซม์ CYP1A2 ทำให้ระดับ metformin ในเลือดสูงขึ้น):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(ความเสี่ยง Fanconi syndrome จากยาหมดอายุ): ข้อนี้ไม่ใช่คำตอบที่ถูกต้องสำหรับภาวะ Pneumonia เนื่องจากกลไกการออกฤทธิ์, efficacy หรือข้อบ่งใช้ไม่ตรงกับโจทย์ที่กำหนด
• ข้อ จ. (การเกิด pseudomembranous colitis จาก C. difficile):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18" t="inlineStr"/>
      <c r="L6" s="18" t="inlineStr">
        <is>
          <t>Pneumonia</t>
        </is>
      </c>
      <c r="M6" s="18" t="inlineStr">
        <is>
          <t>Clinic</t>
        </is>
      </c>
      <c r="N6" s="18" t="inlineStr">
        <is>
          <t>ข้อ 1.3 Mock Infectious RxCU84</t>
        </is>
      </c>
      <c r="O6" s="18" t="inlineStr">
        <is>
          <t>Mock</t>
        </is>
      </c>
      <c r="P6" s="18" t="inlineStr">
        <is>
          <t>Mock RxCU84</t>
        </is>
      </c>
    </row>
    <row r="7">
      <c r="A7" s="15" t="inlineStr">
        <is>
          <t>4</t>
        </is>
      </c>
      <c r="B7" s="18"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18" t="inlineStr"/>
      <c r="D7" s="18" t="inlineStr">
        <is>
          <t>Levofloxacin ต้องปรับตามการทำงานของไต ส่วน moxifloxacin ต้องระวังในตับวายและไม่ใช้รักษาโรคติดเชื้อทางเดินปัสสาวะ</t>
        </is>
      </c>
      <c r="E7" s="18" t="inlineStr">
        <is>
          <t>ทั้งสองตัวต้องปรับขนาดตามไตในระดับเดียวกัน</t>
        </is>
      </c>
      <c r="F7" s="18" t="inlineStr">
        <is>
          <t>Moxifloxacin ต้องปรับตามไต ส่วน levofloxacin ไม่ต้องปรับเลย</t>
        </is>
      </c>
      <c r="G7" s="18" t="inlineStr">
        <is>
          <t>ทั้งสองตัวไม่จำเป็นต้องปรับขนาดยาในผู้สูงอายุ</t>
        </is>
      </c>
      <c r="H7" s="18" t="inlineStr">
        <is>
          <t>Levofloxacin มีความเสี่ยง QT prolongation สูงกว่า moxifloxacin</t>
        </is>
      </c>
      <c r="I7" s="15" t="inlineStr">
        <is>
          <t>1</t>
        </is>
      </c>
      <c r="J7" s="18"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ข้อนี้ไม่ใช่คำตอบที่ถูกต้องสำหรับภาวะ Pneumonia เนื่องจากกลไกการออกฤทธิ์, efficacy หรือข้อบ่งใช้ไม่ตรงกับโจทย์ที่กำหนด
• ข้อ ค. (Moxifloxacin ต้องปรับตามไต ส่วน levofloxacin ไม่ต้องปรับเลย): เป็น Respiratory Fluoroquinolone ครอบคลุมทั้ง Streptococcus pneumoniae, atypicals และ Pseudomonas aeruginosa ใช้รักษา CAP, complicated UTI
• ข้อ ง. (ทั้งสองตัวไม่จำเป็นต้องปรับขนาดยาในผู้สูงอายุ): ข้อนี้ไม่ใช่คำตอบที่ถูกต้องสำหรับภาวะ Pneumonia เนื่องจากกลไกการออกฤทธิ์, efficacy หรือข้อบ่งใช้ไม่ตรงกับโจทย์ที่กำหนด
• ข้อ จ. (Levofloxacin มีความเสี่ยง QT prolongation สูงกว่า moxifloxacin): เป็น Respiratory Fluoroquinolone ครอบคลุมทั้ง Streptococcus pneumoniae, atypicals และ Pseudomonas aeruginosa ใช้รักษา CAP, complicated UTI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8" t="inlineStr"/>
      <c r="L7" s="18" t="inlineStr">
        <is>
          <t>Pneumonia</t>
        </is>
      </c>
      <c r="M7" s="18" t="inlineStr">
        <is>
          <t>Clinic</t>
        </is>
      </c>
      <c r="N7" s="18" t="inlineStr">
        <is>
          <t>ข้อ 1.4 Mock Infectious RxCU84</t>
        </is>
      </c>
      <c r="O7" s="18" t="inlineStr">
        <is>
          <t>Mock</t>
        </is>
      </c>
      <c r="P7" s="18" t="inlineStr">
        <is>
          <t>Mock RxCU84</t>
        </is>
      </c>
    </row>
    <row r="8">
      <c r="A8" s="15" t="inlineStr">
        <is>
          <t>5</t>
        </is>
      </c>
      <c r="B8" s="18"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18" t="inlineStr"/>
      <c r="D8" s="18" t="inlineStr">
        <is>
          <t>Peripheral neuropathy ซึ่งพบเฉพาะในเด็ก</t>
        </is>
      </c>
      <c r="E8" s="18" t="inlineStr">
        <is>
          <t>Tendinitis/tendon rupture โดยเฉพาะในผู้มีอายุมากกว่า 60 ปี</t>
        </is>
      </c>
      <c r="F8" s="18" t="inlineStr">
        <is>
          <t>Tooth discoloration ถาวร</t>
        </is>
      </c>
      <c r="G8" s="18" t="inlineStr">
        <is>
          <t>Ototoxicity ที่ไม่สามารถย้อนกลับได้</t>
        </is>
      </c>
      <c r="H8" s="18" t="inlineStr">
        <is>
          <t>Fanconi syndrome</t>
        </is>
      </c>
      <c r="I8" s="15" t="inlineStr">
        <is>
          <t>2</t>
        </is>
      </c>
      <c r="J8" s="18"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ข้อนี้ไม่ใช่คำตอบที่ถูกต้องสำหรับภาวะ Pneumonia เนื่องจากกลไกการออกฤทธิ์, efficacy หรือข้อบ่งใช้ไม่ตรงกับโจทย์ที่กำหนด
• ข้อ ค. (Tooth discoloration ถาวร): ข้อนี้ไม่ใช่คำตอบที่ถูกต้องสำหรับภาวะ Pneumonia เนื่องจากกลไกการออกฤทธิ์, efficacy หรือข้อบ่งใช้ไม่ตรงกับโจทย์ที่กำหนด
• ข้อ ง. (Ototoxicity ที่ไม่สามารถย้อนกลับได้): ข้อนี้ไม่ใช่คำตอบที่ถูกต้องสำหรับภาวะ Pneumonia เนื่องจากกลไกการออกฤทธิ์, efficacy หรือข้อบ่งใช้ไม่ตรงกับโจทย์ที่กำหนด
• ข้อ จ. (Fanconi syndrome): ข้อนี้ไม่ใช่คำตอบที่ถูกต้องสำหรับภาวะ Pneumonia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8" t="inlineStr"/>
      <c r="L8" s="18" t="inlineStr">
        <is>
          <t>Pneumonia</t>
        </is>
      </c>
      <c r="M8" s="18" t="inlineStr">
        <is>
          <t>Clinic</t>
        </is>
      </c>
      <c r="N8" s="18" t="inlineStr">
        <is>
          <t>ข้อ 1.5 Mock Infectious RxCU84</t>
        </is>
      </c>
      <c r="O8" s="18" t="inlineStr">
        <is>
          <t>Mock</t>
        </is>
      </c>
      <c r="P8" s="18" t="inlineStr">
        <is>
          <t>Mock RxCU84</t>
        </is>
      </c>
    </row>
    <row r="9">
      <c r="A9" s="15" t="inlineStr">
        <is>
          <t>6</t>
        </is>
      </c>
      <c r="B9" s="18"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18" t="inlineStr"/>
      <c r="D9" s="18" t="inlineStr">
        <is>
          <t>0 คะแนน ให้ยาปฏิชีวนะได้ทันที</t>
        </is>
      </c>
      <c r="E9" s="18" t="inlineStr">
        <is>
          <t>1 คะแนน แนะนำรักษาตามอาการและไม่จ่ายยาปฏิชีวนะ</t>
        </is>
      </c>
      <c r="F9" s="18" t="inlineStr">
        <is>
          <t>2 คะแนน ควรส่งตรวจ RADT ก่อนให้ยา</t>
        </is>
      </c>
      <c r="G9" s="18" t="inlineStr">
        <is>
          <t>3 คะแนน พิจารณาให้ Azithromycin นาน 5 วัน</t>
        </is>
      </c>
      <c r="H9" s="18" t="inlineStr">
        <is>
          <t>4 คะแนน พิจารณาให้ Amoxicillin นาน 10 วัน</t>
        </is>
      </c>
      <c r="I9" s="15" t="inlineStr">
        <is>
          <t>2</t>
        </is>
      </c>
      <c r="J9" s="18"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ข้อนี้ไม่ใช่คำตอบที่ถูกต้องสำหรับภาวะ URTI เนื่องจากกลไกการออกฤทธิ์, efficacy หรือข้อบ่งใช้ไม่ตรงกับโจทย์ที่กำหนด
• ข้อ ค. (2 คะแนน ควรส่งตรวจ RADT ก่อนให้ยา): วัคซีนรวมคอตีบ-บาดทะยัก ฉีดกระตุ้นทุก 10 ปี หรือใช้ในหญิงตั้งครรภ์และผู้ใหญ่
• ข้อ ง. (3 คะแนน พิจารณาให้ Azithromycin นาน 5 วัน): เป็น Macrolide ครอบคลุม atypical pathogens (Mycoplasma, Chlamydia, Legionella) ขจัดออกทางตับเป็นหลัก และมี half-life ยาวนาน (~68 ชม.)
• ข้อ จ. (4 คะแนน พิจารณาให้ Amoxicillin นาน 10 วัน): เป็น Aminopenicillin ยับยั้ง bacterial cell wall synthesis เป็น first-line สำหรับ uncomplicated bacterial infections (เช่น Strep pharyngitis, AOM, sinusitis)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8" t="inlineStr"/>
      <c r="L9" s="18" t="inlineStr">
        <is>
          <t>URTI</t>
        </is>
      </c>
      <c r="M9" s="18" t="inlineStr">
        <is>
          <t>Clinic</t>
        </is>
      </c>
      <c r="N9" s="18" t="inlineStr">
        <is>
          <t>ข้อ 2.1 Mock Infectious RxCU84</t>
        </is>
      </c>
      <c r="O9" s="18" t="inlineStr">
        <is>
          <t>Mock</t>
        </is>
      </c>
      <c r="P9" s="18" t="inlineStr">
        <is>
          <t>Mock RxCU84</t>
        </is>
      </c>
    </row>
    <row r="10">
      <c r="A10" s="15" t="inlineStr">
        <is>
          <t>7</t>
        </is>
      </c>
      <c r="B10" s="18"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18" t="inlineStr"/>
      <c r="D10" s="18" t="inlineStr">
        <is>
          <t>จ่าย Amoxicillin ตามความต้องการเพื่อเพิ่มความพึงพอใจและป้องกันโรคแทรกซ้อน</t>
        </is>
      </c>
      <c r="E10" s="18" t="inlineStr">
        <is>
          <t>อธิบายว่าอาการเจ็บคอจากไวรัสต้องใช้ Amoxicillin ควบคู่กับน้ำเกลือล้างจมูก</t>
        </is>
      </c>
      <c r="F10" s="18"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18" t="inlineStr">
        <is>
          <t>แนะนำให้ผู้ป่วยเปลี่ยนไปใช้ยาปฏิชีวนะกลุ่มที่แรงกว่า เช่น Roxithromycin เพื่อให้หายไวขึ้น</t>
        </is>
      </c>
      <c r="H10" s="18" t="inlineStr">
        <is>
          <t>แนะนำให้ผู้ป่วยตรวจ ATK และไปโรงพยาบาลเนื่องจากอาการเข้าข่าย Covid-19</t>
        </is>
      </c>
      <c r="I10" s="15" t="inlineStr">
        <is>
          <t>3</t>
        </is>
      </c>
      <c r="J10" s="18"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เป็น Aminopenicillin ยับยั้ง bacterial cell wall synthesis เป็น first-line สำหรับ uncomplicated bacterial infections (เช่น Strep pharyngitis, AOM, sinusitis)
• ข้อ ข. (อธิบายว่าอาการเจ็บคอจากไวรัสต้องใช้ Amoxicillin ควบคู่กับน้ำเกลือล้างจมูก): เป็น Aminopenicillin ยับยั้ง bacterial cell wall synthesis เป็น first-line สำหรับ uncomplicated bacterial infections (เช่น Strep pharyngitis, AOM, sinusitis)
• ข้อ ง. (แนะนำให้ผู้ป่วยเปลี่ยนไปใช้ยาปฏิชีวนะกลุ่มที่แรงกว่า เช่น Roxithromycin เพื่อให้หายไวขึ้น): ข้อนี้ไม่ใช่คำตอบที่ถูกต้องสำหรับภาวะ URTI เนื่องจากกลไกการออกฤทธิ์, efficacy หรือข้อบ่งใช้ไม่ตรงกับโจทย์ที่กำหนด
• ข้อ จ. (แนะนำให้ผู้ป่วยตรวจ ATK และไปโรงพยาบาลเนื่องจากอาการเข้าข่าย Covid-19):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8" t="inlineStr"/>
      <c r="L10" s="18" t="inlineStr">
        <is>
          <t>URTI</t>
        </is>
      </c>
      <c r="M10" s="18" t="inlineStr">
        <is>
          <t>Clinic</t>
        </is>
      </c>
      <c r="N10" s="18" t="inlineStr">
        <is>
          <t>ข้อ 2.2 Mock Infectious RxCU84</t>
        </is>
      </c>
      <c r="O10" s="18" t="inlineStr">
        <is>
          <t>Mock</t>
        </is>
      </c>
      <c r="P10" s="18" t="inlineStr">
        <is>
          <t>Mock RxCU84</t>
        </is>
      </c>
    </row>
    <row r="11">
      <c r="A11" s="15" t="inlineStr">
        <is>
          <t>8</t>
        </is>
      </c>
      <c r="B11" s="18"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18" t="inlineStr"/>
      <c r="D11" s="18" t="inlineStr">
        <is>
          <t>งดอาหารทุกชนิดก่อนกินยาอย่างน้อย 1 ชั่วโมงเสมอ</t>
        </is>
      </c>
      <c r="E11" s="18" t="inlineStr">
        <is>
          <t>ดื่มน้ำเต็มแก้ว ไม่นอนราบทันทีหลังกินยาอย่างน้อย 30 นาที และเลี่ยงนม/ยาลดกรด/ธาตุเหล็กใกล้เวลากินยา</t>
        </is>
      </c>
      <c r="F11" s="18" t="inlineStr">
        <is>
          <t>ต้องกินคู่กับนมเสมอเพื่อลดการระคายเคืองกระเพาะ</t>
        </is>
      </c>
      <c r="G11" s="18" t="inlineStr">
        <is>
          <t>ไม่มีข้อจำกัดเรื่องอาหารเลย เพราะ doxycycline ถูกรบกวนการดูดซึมจากอาหารเท่ากับ tetracycline รุ่นเก่า</t>
        </is>
      </c>
      <c r="H11" s="18" t="inlineStr">
        <is>
          <t>ต้องกินก่อนอาหารเท่านั้นห้ามกินหลังอาหาร</t>
        </is>
      </c>
      <c r="I11" s="15" t="inlineStr">
        <is>
          <t>2</t>
        </is>
      </c>
      <c r="J11" s="18"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ข้อนี้ไม่ใช่คำตอบที่ถูกต้องสำหรับภาวะ HIV infection เนื่องจากกลไกการออกฤทธิ์, efficacy หรือข้อบ่งใช้ไม่ตรงกับโจทย์ที่กำหนด
• ข้อ ค. (ต้องกินคู่กับนมเสมอเพื่อลดการระคายเคืองกระเพาะ): ข้อนี้ไม่ใช่คำตอบที่ถูกต้องสำหรับภาวะ HIV infection เนื่องจากกลไกการออกฤทธิ์, efficacy หรือข้อบ่งใช้ไม่ตรงกับโจทย์ที่กำหนด
• ข้อ ง. (ไม่มีข้อจำกัดเรื่องอาหารเลย เพราะ doxycycline ถูกรบกวนการดูดซึมจากอาหารเท่ากับ tetracycline รุ่นเก่า): เป็น Tetracycline ครอบคลุม atypicals, rickettsia, scrub typhus, leptospirosis และ CA-MRSA ห้ามใช้ในเด็กอายุ &lt; 8 ปี และหญิงตั้งครรภ์ (ฟันเหลือง กระดูกเจริญช้า)
• ข้อ จ. (ต้องกินก่อนอาหารเท่านั้นห้ามกินหลังอาหาร):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18" t="inlineStr"/>
      <c r="L11" s="18" t="inlineStr">
        <is>
          <t>HIV infection</t>
        </is>
      </c>
      <c r="M11" s="18" t="inlineStr">
        <is>
          <t>Clinic</t>
        </is>
      </c>
      <c r="N11" s="18" t="inlineStr">
        <is>
          <t>ข้อ 2.3 Mock Infectious RxCU84</t>
        </is>
      </c>
      <c r="O11" s="18" t="inlineStr">
        <is>
          <t>Mock</t>
        </is>
      </c>
      <c r="P11" s="18" t="inlineStr">
        <is>
          <t>Mock RxCU84</t>
        </is>
      </c>
    </row>
    <row r="12">
      <c r="A12" s="15" t="inlineStr">
        <is>
          <t>9</t>
        </is>
      </c>
      <c r="B12" s="18"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18" t="inlineStr"/>
      <c r="D12" s="18" t="inlineStr">
        <is>
          <t>ยับยั้ง DNA gyrase/topoisomerase IV ของแบคทีเรีย ซึ่งเป็นเป้าหมายที่ไม่มีอยู่ในไวรัส</t>
        </is>
      </c>
      <c r="E12" s="18" t="inlineStr">
        <is>
          <t>ยับยั้ง 30S ribosomal subunit ของไวรัส</t>
        </is>
      </c>
      <c r="F12" s="18" t="inlineStr">
        <is>
          <t>ยับยั้งการสร้าง capsid ของไวรัสโดยตรง</t>
        </is>
      </c>
      <c r="G12" s="18" t="inlineStr">
        <is>
          <t>ออกฤทธิ์เป็น bacteriostatic เท่านั้น จึงไม่มีฤทธิ์ฆ่าเชื้อใดๆ</t>
        </is>
      </c>
      <c r="H12" s="18" t="inlineStr">
        <is>
          <t>ต้องใช้ร่วมกับ macrolide เสมอจึงจะออกฤทธิ์ต่อไวรัสได้</t>
        </is>
      </c>
      <c r="I12" s="15" t="inlineStr">
        <is>
          <t>1</t>
        </is>
      </c>
      <c r="J12" s="18"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ข้อนี้ไม่ใช่คำตอบที่ถูกต้องสำหรับภาวะ URTI เนื่องจากกลไกการออกฤทธิ์, efficacy หรือข้อบ่งใช้ไม่ตรงกับโจทย์ที่กำหนด
• ข้อ ค. (ยับยั้งการสร้าง capsid ของไวรัสโดยตรง): ข้อนี้ไม่ใช่คำตอบที่ถูกต้องสำหรับภาวะ URTI เนื่องจากกลไกการออกฤทธิ์, efficacy หรือข้อบ่งใช้ไม่ตรงกับโจทย์ที่กำหนด
• ข้อ ง. (ออกฤทธิ์เป็น bacteriostatic เท่านั้น จึงไม่มีฤทธิ์ฆ่าเชื้อใดๆ): ข้อนี้ไม่ใช่คำตอบที่ถูกต้องสำหรับภาวะ URTI เนื่องจากกลไกการออกฤทธิ์, efficacy หรือข้อบ่งใช้ไม่ตรงกับโจทย์ที่กำหนด
• ข้อ จ. (ต้องใช้ร่วมกับ macrolide เสมอจึงจะออกฤทธิ์ต่อไวรัสได้):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8" t="inlineStr"/>
      <c r="L12" s="18" t="inlineStr">
        <is>
          <t>URTI</t>
        </is>
      </c>
      <c r="M12" s="18" t="inlineStr">
        <is>
          <t>Clinic</t>
        </is>
      </c>
      <c r="N12" s="18" t="inlineStr">
        <is>
          <t>ข้อ 2.4 Mock Infectious RxCU84</t>
        </is>
      </c>
      <c r="O12" s="18" t="inlineStr">
        <is>
          <t>Mock</t>
        </is>
      </c>
      <c r="P12" s="18" t="inlineStr">
        <is>
          <t>Mock RxCU84</t>
        </is>
      </c>
    </row>
    <row r="13">
      <c r="A13" s="15" t="inlineStr">
        <is>
          <t>10</t>
        </is>
      </c>
      <c r="B13" s="18"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18" t="inlineStr"/>
      <c r="D13" s="18" t="inlineStr">
        <is>
          <t>Oseltamivir 75 mg BID นาน 5 วัน</t>
        </is>
      </c>
      <c r="E13" s="18" t="inlineStr">
        <is>
          <t>Baloxavir marboxil 40 mg single dose</t>
        </is>
      </c>
      <c r="F13" s="18" t="inlineStr">
        <is>
          <t>Favipiravir 1,600 mg BID วันแรก</t>
        </is>
      </c>
      <c r="G13" s="18" t="inlineStr">
        <is>
          <t>Oseltamivir 150 mg BID นาน 5 วัน</t>
        </is>
      </c>
      <c r="H13" s="18" t="inlineStr">
        <is>
          <t>Amoxicillin/Clavulanate 1,000 mg BID นาน 10 วัน</t>
        </is>
      </c>
      <c r="I13" s="15" t="inlineStr">
        <is>
          <t>1</t>
        </is>
      </c>
      <c r="J13" s="18"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ข้อนี้ไม่ใช่คำตอบที่ถูกต้องสำหรับภาวะ HIV infection เนื่องจากกลไกการออกฤทธิ์, efficacy หรือข้อบ่งใช้ไม่ตรงกับโจทย์ที่กำหนด
• ข้อ ค. (Favipiravir 1,600 mg BID วันแรก): ข้อนี้ไม่ใช่คำตอบที่ถูกต้องสำหรับภาวะ HIV infection เนื่องจากกลไกการออกฤทธิ์, efficacy หรือข้อบ่งใช้ไม่ตรงกับโจทย์ที่กำหนด
• ข้อ ง. (Oseltamivir 150 mg BID นาน 5 วัน):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(Amoxicillin/Clavulanate 1,000 mg BID นาน 10 วัน):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18" t="inlineStr"/>
      <c r="L13" s="18" t="inlineStr">
        <is>
          <t>HIV infection</t>
        </is>
      </c>
      <c r="M13" s="18" t="inlineStr">
        <is>
          <t>Clinic</t>
        </is>
      </c>
      <c r="N13" s="18" t="inlineStr">
        <is>
          <t>ข้อ 3.1 Mock Infectious RxCU84</t>
        </is>
      </c>
      <c r="O13" s="18" t="inlineStr">
        <is>
          <t>Mock</t>
        </is>
      </c>
      <c r="P13" s="18" t="inlineStr">
        <is>
          <t>Mock RxCU84</t>
        </is>
      </c>
    </row>
    <row r="14">
      <c r="A14" s="15" t="inlineStr">
        <is>
          <t>11</t>
        </is>
      </c>
      <c r="B14" s="18"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18" t="inlineStr"/>
      <c r="D14" s="18" t="inlineStr">
        <is>
          <t>หญิงตั้งครรภ์มีความเสี่ยงต่อภาวะแทรกซ้อนเท่ากับคนปกติทั่วไป จึงไม่ต้องกังวลเป็นพิเศษ</t>
        </is>
      </c>
      <c r="E14" s="18" t="inlineStr">
        <is>
          <t>แนะนำให้พ่นวัคซีนป้องกันไข้หวัดใหญ่ชนิดเชื้ออ่อนฤทธิ์ (LAIV) ทันทีหลังหายป่วย</t>
        </is>
      </c>
      <c r="F14" s="18" t="inlineStr">
        <is>
          <t>วัคซีนไข้หวัดใหญ่ชนิดเชื้อตาย (IIV) สามารถฉีดได้ทุกไตรมาสของการตั้งครรภ์เพื่อป้องกันความรุนแรงของโรค</t>
        </is>
      </c>
      <c r="G14" s="18" t="inlineStr">
        <is>
          <t>หากคนในครอบครัวสัมผัสโรค แนะนำให้รับประทานยา Oseltamivir ป้องกันทันทีก่อนเริ่มมีอาการ</t>
        </is>
      </c>
      <c r="H14" s="18" t="inlineStr">
        <is>
          <t>ยาต้านไวรัส Oseltamivir ปลอดภัยสูงและสามารถใช้ร่วมกับการให้นมบุตรได้โดยไม่มีข้อจำกัด</t>
        </is>
      </c>
      <c r="I14" s="15" t="inlineStr">
        <is>
          <t>3</t>
        </is>
      </c>
      <c r="J14" s="18"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ข้อนี้ไม่ใช่คำตอบที่ถูกต้องสำหรับภาวะ URTI เนื่องจากกลไกการออกฤทธิ์, efficacy หรือข้อบ่งใช้ไม่ตรงกับโจทย์ที่กำหนด
• ข้อ ข. (แนะนำให้พ่นวัคซีนป้องกันไข้หวัดใหญ่ชนิดเชื้ออ่อนฤทธิ์ (LAIV) ทันทีหลังหายป่วย): ข้อนี้ไม่ใช่คำตอบที่ถูกต้องสำหรับภาวะ URTI เนื่องจากกลไกการออกฤทธิ์, efficacy หรือข้อบ่งใช้ไม่ตรงกับโจทย์ที่กำหนด
• ข้อ ง. (หากคนในครอบครัวสัมผัสโรค แนะนำให้รับประทานยา Oseltamivir ป้องกันทันทีก่อนเริ่มมีอาการ):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(ยาต้านไวรัส Oseltamivir ปลอดภัยสูงและสามารถใช้ร่วมกับการให้นมบุตรได้โดยไม่มีข้อจำกัด):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8" t="inlineStr"/>
      <c r="L14" s="18" t="inlineStr">
        <is>
          <t>URTI</t>
        </is>
      </c>
      <c r="M14" s="18" t="inlineStr">
        <is>
          <t>Clinic</t>
        </is>
      </c>
      <c r="N14" s="18" t="inlineStr">
        <is>
          <t>ข้อ 3.2 Mock Infectious RxCU84</t>
        </is>
      </c>
      <c r="O14" s="18" t="inlineStr">
        <is>
          <t>Mock</t>
        </is>
      </c>
      <c r="P14" s="18" t="inlineStr">
        <is>
          <t>Mock RxCU84</t>
        </is>
      </c>
    </row>
    <row r="15">
      <c r="A15" s="15" t="inlineStr">
        <is>
          <t>12</t>
        </is>
      </c>
      <c r="B15" s="18"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18" t="inlineStr"/>
      <c r="D15" s="18" t="inlineStr">
        <is>
          <t>Acute uncomplicated cystitis</t>
        </is>
      </c>
      <c r="E15" s="18" t="inlineStr">
        <is>
          <t>Acute complicated cystitis</t>
        </is>
      </c>
      <c r="F15" s="18" t="inlineStr">
        <is>
          <t>Acute uncomplicated pyelonephritis</t>
        </is>
      </c>
      <c r="G15" s="18" t="inlineStr">
        <is>
          <t>Complicated urinary tract infection</t>
        </is>
      </c>
      <c r="H15" s="18" t="inlineStr">
        <is>
          <t>Asymptomatic bacteriuria</t>
        </is>
      </c>
      <c r="I15" s="15" t="inlineStr">
        <is>
          <t>1</t>
        </is>
      </c>
      <c r="J15" s="18"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ข้อนี้ไม่ใช่คำตอบที่ถูกต้องสำหรับภาวะ Cystitis เนื่องจากกลไกการออกฤทธิ์, efficacy หรือข้อบ่งใช้ไม่ตรงกับโจทย์ที่กำหนด
• ข้อ ค. (Acute uncomplicated pyelonephritis): ข้อนี้ไม่ใช่คำตอบที่ถูกต้องสำหรับภาวะ Cystitis เนื่องจากกลไกการออกฤทธิ์, efficacy หรือข้อบ่งใช้ไม่ตรงกับโจทย์ที่กำหนด
• ข้อ ง. (Complicated urinary tract infection): ข้อนี้ไม่ใช่คำตอบที่ถูกต้องสำหรับภาวะ Cystitis เนื่องจากกลไกการออกฤทธิ์, efficacy หรือข้อบ่งใช้ไม่ตรงกับโจทย์ที่กำหนด
• ข้อ จ. (Asymptomatic bacteriuria):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8" t="inlineStr"/>
      <c r="L15" s="18" t="inlineStr">
        <is>
          <t>Cystitis</t>
        </is>
      </c>
      <c r="M15" s="18" t="inlineStr">
        <is>
          <t>Clinic</t>
        </is>
      </c>
      <c r="N15" s="18" t="inlineStr">
        <is>
          <t>ข้อ 4.1 Mock Infectious RxCU84</t>
        </is>
      </c>
      <c r="O15" s="18" t="inlineStr">
        <is>
          <t>Mock</t>
        </is>
      </c>
      <c r="P15" s="18" t="inlineStr">
        <is>
          <t>Mock RxCU84</t>
        </is>
      </c>
    </row>
    <row r="16">
      <c r="A16" s="15" t="inlineStr">
        <is>
          <t>13</t>
        </is>
      </c>
      <c r="B16" s="18"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18" t="inlineStr"/>
      <c r="D16" s="18" t="inlineStr">
        <is>
          <t>Ciprofloxacin 500 mg รับประทานวันละ 2 ครั้ง เป็นเวลา 7 วัน</t>
        </is>
      </c>
      <c r="E16" s="18" t="inlineStr">
        <is>
          <t>Nitrofurantoin monohydrate/macrocrystals 100 mg รับประทานวันละ 2 ครั้ง พร้อมอาหาร เป็นเวลา 5 วัน</t>
        </is>
      </c>
      <c r="F16" s="18" t="inlineStr">
        <is>
          <t>Amoxicillin 500 mg รับประทานวันละ 3 ครั้ง หลังอาหาร เป็นเวลา 7 วัน</t>
        </is>
      </c>
      <c r="G16" s="18" t="inlineStr">
        <is>
          <t>Ceftriaxone 1 g ฉีดเข้าหลอดเลือดดำ ครั้งเดียว</t>
        </is>
      </c>
      <c r="H16" s="18" t="inlineStr">
        <is>
          <t>Norfloxacin 400 mg รับประทานวันละ 2 ครั้ง ก่อนอาหาร เป็นเวลา 3 วัน</t>
        </is>
      </c>
      <c r="I16" s="15" t="inlineStr">
        <is>
          <t>2</t>
        </is>
      </c>
      <c r="J16" s="18"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เป็น Fluoroquinolone เด่นต่อ Gram-negative รวมทั้ง Pseudomonas aeruginosa แต่มี black box warning เรื่อง tendon rupture, QT prolongation, aortic aneurysm และ dysglycemia
• ข้อ ค. (Amoxicillin 500 mg รับประทานวันละ 3 ครั้ง หลังอาหาร เป็นเวลา 7 วัน): เป็น Aminopenicillin ยับยั้ง bacterial cell wall synthesis เป็น first-line สำหรับ uncomplicated bacterial infections (เช่น Strep pharyngitis, AOM, sinusitis)
• ข้อ ง. (Ceftriaxone 1 g ฉีดเข้าหลอดเลือดดำ ครั้งเดียว): เป็น 3rd generation cephalosporin มี broad spectrum ต่อ gram-negative bacteria และผ่าน BBB ได้ดี ขับออกทาง biliary tract จึงไม่ต้องปรับ dose ใน renal impairment
• ข้อ จ. (Norfloxacin 400 mg รับประทานวันละ 2 ครั้ง ก่อนอาหาร เป็นเวลา 3 วัน):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8" t="inlineStr"/>
      <c r="L16" s="18" t="inlineStr">
        <is>
          <t>Cystitis</t>
        </is>
      </c>
      <c r="M16" s="18" t="inlineStr">
        <is>
          <t>Clinic</t>
        </is>
      </c>
      <c r="N16" s="18" t="inlineStr">
        <is>
          <t>ข้อ 4.2 Mock Infectious RxCU84</t>
        </is>
      </c>
      <c r="O16" s="18" t="inlineStr">
        <is>
          <t>Mock</t>
        </is>
      </c>
      <c r="P16" s="18" t="inlineStr">
        <is>
          <t>Mock RxCU84</t>
        </is>
      </c>
    </row>
    <row r="17">
      <c r="A17" s="15" t="inlineStr">
        <is>
          <t>14</t>
        </is>
      </c>
      <c r="B17" s="18"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18" t="inlineStr"/>
      <c r="D17" s="18" t="inlineStr">
        <is>
          <t>ละลายผงยาในน้ำอุ่น ดื่มทันทีพร้อมอาหารเช้าวันละ 1 ครั้ง ติดต่อกัน 3 วัน</t>
        </is>
      </c>
      <c r="E17" s="18" t="inlineStr">
        <is>
          <t>ละลายผงยาในน้ำเย็นหรือน้ำอุณหภูมิห้อง ดื่มครั้งเดียวตอนท้องว่าง (หรือก่อนนอนหลังจากปัสสาวะแล้ว)</t>
        </is>
      </c>
      <c r="F17" s="18" t="inlineStr">
        <is>
          <t>รับประทานร่วมกับยาลดกรดชนิดน้ำเพื่อป้องกันอาการกัดกระเพาะอาหาร</t>
        </is>
      </c>
      <c r="G17" s="18" t="inlineStr">
        <is>
          <t>แบ่งละลายยาครึ่งซอง (1.5 g) ดื่มเช้าและเย็นหลังอาหาร</t>
        </is>
      </c>
      <c r="H17" s="18" t="inlineStr">
        <is>
          <t>ละลายยาในนมหรือน้ำผลไม้เพื่อช่วยเพิ่มการดูดซึมยาเข้าสู่ร่างกาย</t>
        </is>
      </c>
      <c r="I17" s="15" t="inlineStr">
        <is>
          <t>2</t>
        </is>
      </c>
      <c r="J17" s="18"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ข้อนี้ไม่ใช่คำตอบที่ถูกต้องสำหรับภาวะ Cystitis เนื่องจากกลไกการออกฤทธิ์, efficacy หรือข้อบ่งใช้ไม่ตรงกับโจทย์ที่กำหนด
• ข้อ ค. (รับประทานร่วมกับยาลดกรดชนิดน้ำเพื่อป้องกันอาการกัดกระเพาะอาหาร): ข้อนี้ไม่ใช่คำตอบที่ถูกต้องสำหรับภาวะ Cystitis เนื่องจากกลไกการออกฤทธิ์, efficacy หรือข้อบ่งใช้ไม่ตรงกับโจทย์ที่กำหนด
• ข้อ ง. (แบ่งละลายยาครึ่งซอง (1.5 g) ดื่มเช้าและเย็นหลังอาหาร): ข้อนี้ไม่ใช่คำตอบที่ถูกต้องสำหรับภาวะ Cystitis เนื่องจากกลไกการออกฤทธิ์, efficacy หรือข้อบ่งใช้ไม่ตรงกับโจทย์ที่กำหนด
• ข้อ จ. (ละลายยาในนมหรือน้ำผลไม้เพื่อช่วยเพิ่มการดูดซึมยาเข้าสู่ร่างกาย):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8" t="inlineStr"/>
      <c r="L17" s="18" t="inlineStr">
        <is>
          <t>Cystitis</t>
        </is>
      </c>
      <c r="M17" s="18" t="inlineStr">
        <is>
          <t>Clinic</t>
        </is>
      </c>
      <c r="N17" s="18" t="inlineStr">
        <is>
          <t>ข้อ 4.3 Mock Infectious RxCU84</t>
        </is>
      </c>
      <c r="O17" s="18" t="inlineStr">
        <is>
          <t>Mock</t>
        </is>
      </c>
      <c r="P17" s="18" t="inlineStr">
        <is>
          <t>Mock RxCU84</t>
        </is>
      </c>
    </row>
    <row r="18">
      <c r="A18" s="15" t="inlineStr">
        <is>
          <t>15</t>
        </is>
      </c>
      <c r="B18" s="18"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18" t="inlineStr"/>
      <c r="D18" s="18" t="inlineStr">
        <is>
          <t>Ciprofloxacin เพราะยับยั้งเอนไซม์ CYP1A2</t>
        </is>
      </c>
      <c r="E18" s="18" t="inlineStr">
        <is>
          <t>Norfloxacin เพราะดูดซึมทางปากไม่ดี</t>
        </is>
      </c>
      <c r="F18" s="18" t="inlineStr">
        <is>
          <t>Moxifloxacin เพราะขับออกทางไตน้อย ไม่ได้ความเข้มข้นเพียงพอในปัสสาวะ</t>
        </is>
      </c>
      <c r="G18" s="18" t="inlineStr">
        <is>
          <t>Levofloxacin เพราะใช้รักษาเฉพาะโรคปอดเท่านั้น</t>
        </is>
      </c>
      <c r="H18" s="18" t="inlineStr">
        <is>
          <t>Gemifloxacin เพราะไม่มีฤทธิ์ต่อเชื้อแกรมลบเลย</t>
        </is>
      </c>
      <c r="I18" s="15" t="inlineStr">
        <is>
          <t>3</t>
        </is>
      </c>
      <c r="J18" s="18"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เป็น Fluoroquinolone เด่นต่อ Gram-negative รวมทั้ง Pseudomonas aeruginosa แต่มี black box warning เรื่อง tendon rupture, QT prolongation, aortic aneurysm และ dysglycemia
• ข้อ ข. (Norfloxacin เพราะดูดซึมทางปากไม่ดี): ข้อนี้ไม่ใช่คำตอบที่ถูกต้องสำหรับภาวะ Cystitis เนื่องจากกลไกการออกฤทธิ์, efficacy หรือข้อบ่งใช้ไม่ตรงกับโจทย์ที่กำหนด
• ข้อ ง. (Levofloxacin เพราะใช้รักษาเฉพาะโรคปอดเท่านั้น): เป็น Respiratory Fluoroquinolone ครอบคลุมทั้ง Streptococcus pneumoniae, atypicals และ Pseudomonas aeruginosa ใช้รักษา CAP, complicated UTI
• ข้อ จ. (Gemifloxacin เพราะไม่มีฤทธิ์ต่อเชื้อแกรมลบเลย):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8" t="inlineStr"/>
      <c r="L18" s="18" t="inlineStr">
        <is>
          <t>Cystitis</t>
        </is>
      </c>
      <c r="M18" s="18" t="inlineStr">
        <is>
          <t>Clinic</t>
        </is>
      </c>
      <c r="N18" s="18" t="inlineStr">
        <is>
          <t>ข้อ 4.4 Mock Infectious RxCU84</t>
        </is>
      </c>
      <c r="O18" s="18" t="inlineStr">
        <is>
          <t>Mock</t>
        </is>
      </c>
      <c r="P18" s="18" t="inlineStr">
        <is>
          <t>Mock RxCU84</t>
        </is>
      </c>
    </row>
    <row r="19">
      <c r="A19" s="15" t="inlineStr">
        <is>
          <t>16</t>
        </is>
      </c>
      <c r="B19" s="18"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18" t="inlineStr"/>
      <c r="D19" s="18" t="inlineStr">
        <is>
          <t>ไม่มีความสำคัญ เพราะ fluoroquinolone ยังคงได้ผลดีเท่ากันในทุกภูมิภาคของโลก</t>
        </is>
      </c>
      <c r="E19" s="18"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18" t="inlineStr">
        <is>
          <t>ทำให้ต้องปรับขนาดยาตามการทำงานของตับเป็นพิเศษ</t>
        </is>
      </c>
      <c r="G19" s="18" t="inlineStr">
        <is>
          <t>เพิ่มความเสี่ยง tendon rupture จากสภาพอากาศร้อนระหว่างเดินทาง</t>
        </is>
      </c>
      <c r="H19" s="18" t="inlineStr">
        <is>
          <t>ทำให้ต้องหลีกเลี่ยงยากลุ่มนี้เฉพาะในหญิงตั้งครรภ์เท่านั้น</t>
        </is>
      </c>
      <c r="I19" s="15" t="inlineStr">
        <is>
          <t>2</t>
        </is>
      </c>
      <c r="J19" s="18"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ข้อนี้ไม่ใช่คำตอบที่ถูกต้องสำหรับภาวะ Cystitis เนื่องจากกลไกการออกฤทธิ์, efficacy หรือข้อบ่งใช้ไม่ตรงกับโจทย์ที่กำหนด
• ข้อ ค. (ทำให้ต้องปรับขนาดยาตามการทำงานของตับเป็นพิเศษ): ข้อนี้ไม่ใช่คำตอบที่ถูกต้องสำหรับภาวะ Cystitis เนื่องจากกลไกการออกฤทธิ์, efficacy หรือข้อบ่งใช้ไม่ตรงกับโจทย์ที่กำหนด
• ข้อ ง. (เพิ่มความเสี่ยง tendon rupture จากสภาพอากาศร้อนระหว่างเดินทาง): ข้อนี้ไม่ใช่คำตอบที่ถูกต้องสำหรับภาวะ Cystitis เนื่องจากกลไกการออกฤทธิ์, efficacy หรือข้อบ่งใช้ไม่ตรงกับโจทย์ที่กำหนด
• ข้อ จ. (ทำให้ต้องหลีกเลี่ยงยากลุ่มนี้เฉพาะในหญิงตั้งครรภ์เท่านั้น):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8" t="inlineStr"/>
      <c r="L19" s="18" t="inlineStr">
        <is>
          <t>Cystitis</t>
        </is>
      </c>
      <c r="M19" s="18" t="inlineStr">
        <is>
          <t>Clinic</t>
        </is>
      </c>
      <c r="N19" s="18" t="inlineStr">
        <is>
          <t>ข้อ 4.5 Mock Infectious RxCU84</t>
        </is>
      </c>
      <c r="O19" s="18" t="inlineStr">
        <is>
          <t>Mock</t>
        </is>
      </c>
      <c r="P19" s="18" t="inlineStr">
        <is>
          <t>Mock RxCU84</t>
        </is>
      </c>
    </row>
    <row r="20">
      <c r="A20" s="15" t="inlineStr">
        <is>
          <t>17</t>
        </is>
      </c>
      <c r="B20" s="18"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18" t="inlineStr"/>
      <c r="D20" s="18" t="inlineStr">
        <is>
          <t>กินพร้อมกันได้เลย ไม่มีปฏิกิริยาต่อกัน</t>
        </is>
      </c>
      <c r="E20" s="18" t="inlineStr">
        <is>
          <t>เว้นระยะห่างระหว่างกิน norfloxacin กับแคลเซียมเสริมอย่างน้อย 2 ชั่วโมง</t>
        </is>
      </c>
      <c r="F20" s="18" t="inlineStr">
        <is>
          <t>ให้หยุดกินแคลเซียมเสริมถาวรตลอดชีวิต</t>
        </is>
      </c>
      <c r="G20" s="18" t="inlineStr">
        <is>
          <t>เปลี่ยนไปใช้แคลเซียมชนิดฉีดแทนทันที</t>
        </is>
      </c>
      <c r="H20" s="18" t="inlineStr">
        <is>
          <t>ให้กินแคลเซียมพร้อมยาเพื่อลดการระคายเคืองกระเพาะจาก norfloxacin</t>
        </is>
      </c>
      <c r="I20" s="15" t="inlineStr">
        <is>
          <t>2</t>
        </is>
      </c>
      <c r="J20" s="18"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ข้อนี้ไม่ใช่คำตอบที่ถูกต้องสำหรับภาวะ Cystitis เนื่องจากกลไกการออกฤทธิ์, efficacy หรือข้อบ่งใช้ไม่ตรงกับโจทย์ที่กำหนด
• ข้อ ค. (ให้หยุดกินแคลเซียมเสริมถาวรตลอดชีวิต): ข้อนี้ไม่ใช่คำตอบที่ถูกต้องสำหรับภาวะ Cystitis เนื่องจากกลไกการออกฤทธิ์, efficacy หรือข้อบ่งใช้ไม่ตรงกับโจทย์ที่กำหนด
• ข้อ ง. (เปลี่ยนไปใช้แคลเซียมชนิดฉีดแทนทันที): ข้อนี้ไม่ใช่คำตอบที่ถูกต้องสำหรับภาวะ Cystitis เนื่องจากกลไกการออกฤทธิ์, efficacy หรือข้อบ่งใช้ไม่ตรงกับโจทย์ที่กำหนด
• ข้อ จ. (ให้กินแคลเซียมพร้อมยาเพื่อลดการระคายเคืองกระเพาะจาก norfloxacin):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8" t="inlineStr"/>
      <c r="L20" s="18" t="inlineStr">
        <is>
          <t>Cystitis</t>
        </is>
      </c>
      <c r="M20" s="18" t="inlineStr">
        <is>
          <t>Clinic</t>
        </is>
      </c>
      <c r="N20" s="18" t="inlineStr">
        <is>
          <t>ข้อ 4.6 Mock Infectious RxCU84</t>
        </is>
      </c>
      <c r="O20" s="18" t="inlineStr">
        <is>
          <t>Mock</t>
        </is>
      </c>
      <c r="P20" s="18" t="inlineStr">
        <is>
          <t>Mock RxCU84</t>
        </is>
      </c>
    </row>
    <row r="21">
      <c r="A21" s="15" t="inlineStr">
        <is>
          <t>18</t>
        </is>
      </c>
      <c r="B21" s="18"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18" t="inlineStr"/>
      <c r="D21" s="18" t="inlineStr">
        <is>
          <t>จ่ายยาปฏิชีวนะทันที เนื่องจากมีไข้และระดับความปวดสูง</t>
        </is>
      </c>
      <c r="E21" s="18" t="inlineStr">
        <is>
          <t>จ่าย Amoxicillin-Clavulanate ทันที เนื่องจากผู้ป่วยเริ่มรับประทานอาหารได้น้อยลง</t>
        </is>
      </c>
      <c r="F21" s="18" t="inlineStr">
        <is>
          <t>แนะนำการจัดการความเจ็บปวดเป็นอันดับแรก และพิจารณาเฝ้าสังเกตอาการ (Watchful waiting) 48-72 ชั่วโมง</t>
        </is>
      </c>
      <c r="G21" s="18" t="inlineStr">
        <is>
          <t>ส่งต่อโรงพยาบาลทันที เนื่องจากเสี่ยงต่อภาวะเยื่อหุ้มสมองอักเสบแทรกซ้อน</t>
        </is>
      </c>
      <c r="H21" s="18" t="inlineStr">
        <is>
          <t>แนะนำให้ใช้ยาหยอดหูที่มีส่วนผสมของยาปฏิชีวนะร่วมกับยาลดไข้</t>
        </is>
      </c>
      <c r="I21" s="15" t="inlineStr">
        <is>
          <t>3</t>
        </is>
      </c>
      <c r="J21" s="18"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ข้อนี้ไม่ใช่คำตอบที่ถูกต้องสำหรับภาวะ HIV infection เนื่องจากกลไกการออกฤทธิ์, efficacy หรือข้อบ่งใช้ไม่ตรงกับโจทย์ที่กำหนด
• ข้อ ข. (จ่าย Amoxicillin-Clavulanate ทันที เนื่องจากผู้ป่วยเริ่มรับประทานอาหารได้น้อยลง): เป็น Aminopenicillin ยับยั้ง bacterial cell wall synthesis เป็น first-line สำหรับ uncomplicated bacterial infections (เช่น Strep pharyngitis, AOM, sinusitis)
• ข้อ ง. (ส่งต่อโรงพยาบาลทันที เนื่องจากเสี่ยงต่อภาวะเยื่อหุ้มสมองอักเสบแทรกซ้อน):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(แนะนำให้ใช้ยาหยอดหูที่มีส่วนผสมของยาปฏิชีวนะร่วมกับยาลดไข้):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18" t="inlineStr"/>
      <c r="L21" s="18" t="inlineStr">
        <is>
          <t>HIV infection</t>
        </is>
      </c>
      <c r="M21" s="18" t="inlineStr">
        <is>
          <t>Clinic</t>
        </is>
      </c>
      <c r="N21" s="18" t="inlineStr">
        <is>
          <t>ข้อ 5.1 Mock Infectious RxCU84</t>
        </is>
      </c>
      <c r="O21" s="18" t="inlineStr">
        <is>
          <t>Mock</t>
        </is>
      </c>
      <c r="P21" s="18" t="inlineStr">
        <is>
          <t>Mock RxCU84</t>
        </is>
      </c>
    </row>
    <row r="22">
      <c r="A22" s="15" t="inlineStr">
        <is>
          <t>19</t>
        </is>
      </c>
      <c r="B22" s="18"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18" t="inlineStr"/>
      <c r="D22" s="18" t="inlineStr">
        <is>
          <t>Amoxicillin 40-50 mg/kg/day นาน 5 วัน</t>
        </is>
      </c>
      <c r="E22" s="18" t="inlineStr">
        <is>
          <t>Amoxicillin 80-90 mg/kg/day นาน 7 วัน</t>
        </is>
      </c>
      <c r="F22" s="18" t="inlineStr">
        <is>
          <t>Amoxicillin-Clavulanate 90 mg/kg/day นาน 10 วัน</t>
        </is>
      </c>
      <c r="G22" s="18" t="inlineStr">
        <is>
          <t>Azithromycin 10 mg/kg วันแรก ตามด้วย 5 mg/kg อีก 4 วัน</t>
        </is>
      </c>
      <c r="H22" s="18" t="inlineStr">
        <is>
          <t>Cephalexin 50 mg/kg/day นาน 10 วัน</t>
        </is>
      </c>
      <c r="I22" s="15" t="inlineStr">
        <is>
          <t>2</t>
        </is>
      </c>
      <c r="J22" s="18"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18" t="inlineStr"/>
      <c r="L22" s="18" t="inlineStr">
        <is>
          <t>HIV infection</t>
        </is>
      </c>
      <c r="M22" s="18" t="inlineStr">
        <is>
          <t>Clinic</t>
        </is>
      </c>
      <c r="N22" s="18" t="inlineStr">
        <is>
          <t>ข้อ 5.2 Mock Infectious RxCU84</t>
        </is>
      </c>
      <c r="O22" s="18" t="inlineStr">
        <is>
          <t>Mock</t>
        </is>
      </c>
      <c r="P22" s="18" t="inlineStr">
        <is>
          <t>Mock RxCU84</t>
        </is>
      </c>
    </row>
    <row r="23">
      <c r="A23" s="15" t="inlineStr">
        <is>
          <t>20</t>
        </is>
      </c>
      <c r="B23" s="18"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18" t="inlineStr"/>
      <c r="D23" s="18" t="inlineStr">
        <is>
          <t>ให้รับประทานยาปฏิชีวนะต่อไปจนครบ 3 วันเพื่อดูการตอบสนองของยาอีกครั้ง</t>
        </is>
      </c>
      <c r="E23" s="18" t="inlineStr">
        <is>
          <t>สั่งให้หยุดยาปฏิชีวนะทันทีและรีบส่งตัวผู้ป่วยไปยังห้องฉุกเฉินของโรงพยาบาลโดยด่วน</t>
        </is>
      </c>
      <c r="F23" s="18" t="inlineStr">
        <is>
          <t>แนะนำให้ใช้ยาฆ่าเชื้อชนิดทาบริเวณผิวหนังที่พุพองและใช้ยาป้ายปากเพื่อรักษาแผลเปื่อย</t>
        </is>
      </c>
      <c r="G23" s="18" t="inlineStr">
        <is>
          <t>อาการแผลเปื่อยรอบปากเป็นอาการปกติของการติดเชื้อไวรัสซ้ำซ้อน ไม่เกี่ยวข้องกับยาปฏิชีวนะ</t>
        </is>
      </c>
      <c r="H23" s="18" t="inlineStr">
        <is>
          <t>ให้ Antihistamine ขนาดสูงเพื่อยับยั้งอาการ และเช็ดตัวบ่อยๆ พร้อมเฝ้าดูอาการต่อที่บ้าน 24 ชั่วโมง</t>
        </is>
      </c>
      <c r="I23" s="15" t="inlineStr">
        <is>
          <t>2</t>
        </is>
      </c>
      <c r="J23" s="18"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ข้อนี้ไม่ใช่คำตอบที่ถูกต้องสำหรับภาวะ HIV infection เนื่องจากกลไกการออกฤทธิ์, efficacy หรือข้อบ่งใช้ไม่ตรงกับโจทย์ที่กำหนด
• ข้อ ค. (แนะนำให้ใช้ยาฆ่าเชื้อชนิดทาบริเวณผิวหนังที่พุพองและใช้ยาป้ายปากเพื่อรักษาแผลเปื่อย): ข้อนี้ไม่ใช่คำตอบที่ถูกต้องสำหรับภาวะ HIV infection เนื่องจากกลไกการออกฤทธิ์, efficacy หรือข้อบ่งใช้ไม่ตรงกับโจทย์ที่กำหนด
• ข้อ ง. (อาการแผลเปื่อยรอบปากเป็นอาการปกติของการติดเชื้อไวรัสซ้ำซ้อน ไม่เกี่ยวข้องกับยาปฏิชีวนะ): ข้อนี้ไม่ใช่คำตอบที่ถูกต้องสำหรับภาวะ HIV infection เนื่องจากกลไกการออกฤทธิ์, efficacy หรือข้อบ่งใช้ไม่ตรงกับโจทย์ที่กำหนด
• ข้อ จ. (ให้ Antihistamine ขนาดสูงเพื่อยับยั้งอาการ และเช็ดตัวบ่อยๆ พร้อมเฝ้าดูอาการต่อที่บ้าน 24 ชั่วโมง):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18" t="inlineStr"/>
      <c r="L23" s="18" t="inlineStr">
        <is>
          <t>HIV infection</t>
        </is>
      </c>
      <c r="M23" s="18" t="inlineStr">
        <is>
          <t>Clinic</t>
        </is>
      </c>
      <c r="N23" s="18" t="inlineStr">
        <is>
          <t>ข้อ 5.3 Mock Infectious RxCU84</t>
        </is>
      </c>
      <c r="O23" s="18" t="inlineStr">
        <is>
          <t>Mock</t>
        </is>
      </c>
      <c r="P23" s="18" t="inlineStr">
        <is>
          <t>Mock RxCU84</t>
        </is>
      </c>
    </row>
    <row r="24">
      <c r="A24" s="15" t="inlineStr">
        <is>
          <t>21</t>
        </is>
      </c>
      <c r="B24" s="18"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18" t="inlineStr"/>
      <c r="D24" s="18" t="inlineStr">
        <is>
          <t>เสี่ยงฟันเปลี่ยนสีถาวรและกดการเจริญเติบโตของกระดูก เนื่องจากยาจับกับแคลเซียมในกระดูก/ฟันที่กำลังสร้าง</t>
        </is>
      </c>
      <c r="E24" s="18" t="inlineStr">
        <is>
          <t>เสี่ยง tendon rupture สูงเป็นพิเศษในเด็ก</t>
        </is>
      </c>
      <c r="F24" s="18" t="inlineStr">
        <is>
          <t>เสี่ยง ototoxicity ถาวรในเด็กเล็กโดยเฉพาะ</t>
        </is>
      </c>
      <c r="G24" s="18" t="inlineStr">
        <is>
          <t>เสี่ยง QT prolongation รุนแรงกว่าผู้ใหญ่มาก</t>
        </is>
      </c>
      <c r="H24" s="18" t="inlineStr">
        <is>
          <t>ไม่มีรูปแบบยาน้ำสำหรับเด็กเล็ก</t>
        </is>
      </c>
      <c r="I24" s="15" t="inlineStr">
        <is>
          <t>1</t>
        </is>
      </c>
      <c r="J24" s="18"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ข้อนี้ไม่ใช่คำตอบที่ถูกต้องสำหรับภาวะ Cystitis เนื่องจากกลไกการออกฤทธิ์, efficacy หรือข้อบ่งใช้ไม่ตรงกับโจทย์ที่กำหนด
• ข้อ ค. (เสี่ยง ototoxicity ถาวรในเด็กเล็กโดยเฉพาะ): ข้อนี้ไม่ใช่คำตอบที่ถูกต้องสำหรับภาวะ Cystitis เนื่องจากกลไกการออกฤทธิ์, efficacy หรือข้อบ่งใช้ไม่ตรงกับโจทย์ที่กำหนด
• ข้อ ง. (เสี่ยง QT prolongation รุนแรงกว่าผู้ใหญ่มาก): ข้อนี้ไม่ใช่คำตอบที่ถูกต้องสำหรับภาวะ Cystitis เนื่องจากกลไกการออกฤทธิ์, efficacy หรือข้อบ่งใช้ไม่ตรงกับโจทย์ที่กำหนด
• ข้อ จ. (ไม่มีรูปแบบยาน้ำสำหรับเด็กเล็ก):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8" t="inlineStr"/>
      <c r="L24" s="18" t="inlineStr">
        <is>
          <t>Cystitis</t>
        </is>
      </c>
      <c r="M24" s="18" t="inlineStr">
        <is>
          <t>Clinic</t>
        </is>
      </c>
      <c r="N24" s="18" t="inlineStr">
        <is>
          <t>ข้อ 5.4 Mock Infectious RxCU84</t>
        </is>
      </c>
      <c r="O24" s="18" t="inlineStr">
        <is>
          <t>Mock</t>
        </is>
      </c>
      <c r="P24" s="18" t="inlineStr">
        <is>
          <t>Mock RxCU84</t>
        </is>
      </c>
    </row>
    <row r="25">
      <c r="A25" s="15" t="inlineStr">
        <is>
          <t>22</t>
        </is>
      </c>
      <c r="B25" s="18"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18" t="inlineStr"/>
      <c r="D25" s="18" t="inlineStr">
        <is>
          <t>Gentamicin — ครอบคลุม H. influenzae ได้ดีเยี่ยม</t>
        </is>
      </c>
      <c r="E25" s="18" t="inlineStr">
        <is>
          <t>Clindamycin — ครอบคลุมเชื้อแกรมบวกได้ดี แต่ไม่ครอบคลุม H. influenzae ซึ่งเป็นเชื้อก่อโรคหูชั้นกลางอักเสบที่พบบ่อย</t>
        </is>
      </c>
      <c r="F25" s="18" t="inlineStr">
        <is>
          <t>Moxifloxacin — เป็นยาทางเลือกแรกในเด็กเมื่อแพ้ penicillin</t>
        </is>
      </c>
      <c r="G25" s="18" t="inlineStr">
        <is>
          <t>Tigecycline — ปลอดภัยและใช้ได้ทั่วไปในเด็กเล็ก</t>
        </is>
      </c>
      <c r="H25" s="18" t="inlineStr">
        <is>
          <t>Doxycycline — ครอบคลุมเชื้อก่อโรคหูชั้นกลางอักเสบได้ครบถ้วน</t>
        </is>
      </c>
      <c r="I25" s="15" t="inlineStr">
        <is>
          <t>2</t>
        </is>
      </c>
      <c r="J25" s="18"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เป็น Aminoglycoside มี concentration-dependent bactericidal effect ต่อ gram-negative มี nephrotoxicity และ ototoxicity ต้อง monitoring renal function และ serum level
• ข้อ ค. (Moxifloxacin — เป็นยาทางเลือกแรกในเด็กเมื่อแพ้ penicillin): ข้อนี้ไม่ใช่คำตอบที่ถูกต้องสำหรับภาวะ HIV infection เนื่องจากกลไกการออกฤทธิ์, efficacy หรือข้อบ่งใช้ไม่ตรงกับโจทย์ที่กำหนด
• ข้อ ง. (Tigecycline — ปลอดภัยและใช้ได้ทั่วไปในเด็กเล็ก): ข้อนี้ไม่ใช่คำตอบที่ถูกต้องสำหรับภาวะ HIV infection เนื่องจากกลไกการออกฤทธิ์, efficacy หรือข้อบ่งใช้ไม่ตรงกับโจทย์ที่กำหนด
• ข้อ จ. (Doxycycline — ครอบคลุมเชื้อก่อโรคหูชั้นกลางอักเสบได้ครบถ้วน):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18" t="inlineStr"/>
      <c r="L25" s="18" t="inlineStr">
        <is>
          <t>HIV infection</t>
        </is>
      </c>
      <c r="M25" s="18" t="inlineStr">
        <is>
          <t>Clinic</t>
        </is>
      </c>
      <c r="N25" s="18" t="inlineStr">
        <is>
          <t>ข้อ 5.5 Mock Infectious RxCU84</t>
        </is>
      </c>
      <c r="O25" s="18" t="inlineStr">
        <is>
          <t>Mock</t>
        </is>
      </c>
      <c r="P25" s="18" t="inlineStr">
        <is>
          <t>Mock RxCU84</t>
        </is>
      </c>
    </row>
    <row r="26">
      <c r="A26" s="15" t="inlineStr">
        <is>
          <t>23</t>
        </is>
      </c>
      <c r="B26" s="18"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18" t="inlineStr"/>
      <c r="D26" s="18" t="inlineStr">
        <is>
          <t>เพราะมีราคาแพงเกินไปสำหรับผู้ป่วยเด็ก</t>
        </is>
      </c>
      <c r="E26" s="18" t="inlineStr">
        <is>
          <t>เพราะมีความเป็นพิษต่อกระดูกอ่อน (cartilage toxicity) จากการศึกษาในสัตว์ทดลอง จึงหลีกเลี่ยงในเด็กและหญิงตั้งครรภ์</t>
        </is>
      </c>
      <c r="F26" s="18" t="inlineStr">
        <is>
          <t>เพราะไม่มีรูปแบบยาน้ำสำหรับเด็ก</t>
        </is>
      </c>
      <c r="G26" s="18" t="inlineStr">
        <is>
          <t>เพราะออกฤทธิ์แบบ bacteriostatic เท่านั้นในผู้ป่วยเด็ก</t>
        </is>
      </c>
      <c r="H26" s="18" t="inlineStr">
        <is>
          <t>เพราะเพิ่มความเสี่ยง Fanconi syndrome เฉพาะในเด็กเท่านั้น</t>
        </is>
      </c>
      <c r="I26" s="15" t="inlineStr">
        <is>
          <t>2</t>
        </is>
      </c>
      <c r="J26" s="18"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ข้อนี้ไม่ใช่คำตอบที่ถูกต้องสำหรับภาวะ HIV infection เนื่องจากกลไกการออกฤทธิ์, efficacy หรือข้อบ่งใช้ไม่ตรงกับโจทย์ที่กำหนด
• ข้อ ค. (เพราะไม่มีรูปแบบยาน้ำสำหรับเด็ก): ข้อนี้ไม่ใช่คำตอบที่ถูกต้องสำหรับภาวะ HIV infection เนื่องจากกลไกการออกฤทธิ์, efficacy หรือข้อบ่งใช้ไม่ตรงกับโจทย์ที่กำหนด
• ข้อ ง. (เพราะออกฤทธิ์แบบ bacteriostatic เท่านั้นในผู้ป่วยเด็ก): ข้อนี้ไม่ใช่คำตอบที่ถูกต้องสำหรับภาวะ HIV infection เนื่องจากกลไกการออกฤทธิ์, efficacy หรือข้อบ่งใช้ไม่ตรงกับโจทย์ที่กำหนด
• ข้อ จ. (เพราะเพิ่มความเสี่ยง Fanconi syndrome เฉพาะในเด็กเท่านั้น):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18" t="inlineStr"/>
      <c r="L26" s="18" t="inlineStr">
        <is>
          <t>HIV infection</t>
        </is>
      </c>
      <c r="M26" s="18" t="inlineStr">
        <is>
          <t>Clinic</t>
        </is>
      </c>
      <c r="N26" s="18" t="inlineStr">
        <is>
          <t>ข้อ 5.6 Mock Infectious RxCU84</t>
        </is>
      </c>
      <c r="O26" s="18" t="inlineStr">
        <is>
          <t>Mock</t>
        </is>
      </c>
      <c r="P26" s="18" t="inlineStr">
        <is>
          <t>Mock RxCU84</t>
        </is>
      </c>
    </row>
    <row r="27">
      <c r="A27" s="15" t="inlineStr">
        <is>
          <t>24</t>
        </is>
      </c>
      <c r="B27" s="18"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18" t="inlineStr"/>
      <c r="D27" s="18" t="inlineStr">
        <is>
          <t>Acute hepatitis B</t>
        </is>
      </c>
      <c r="E27" s="18" t="inlineStr">
        <is>
          <t>Chronic hepatitis B</t>
        </is>
      </c>
      <c r="F27" s="18" t="inlineStr">
        <is>
          <t>เคยติดเชื้อ hepatitis B และรักษาหายแล้ว</t>
        </is>
      </c>
      <c r="G27" s="18" t="inlineStr">
        <is>
          <t>ได้รับวัคซีนป้องกัน hepatitis B และมีภูมิคุ้มกัน</t>
        </is>
      </c>
      <c r="H27" s="18" t="inlineStr">
        <is>
          <t>อยู่ในช่วง Window period ของการติดเชื้อ</t>
        </is>
      </c>
      <c r="I27" s="15" t="inlineStr">
        <is>
          <t>2</t>
        </is>
      </c>
      <c r="J27" s="18"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ข้อนี้ไม่ใช่คำตอบที่ถูกต้องสำหรับภาวะ HIV infection เนื่องจากกลไกการออกฤทธิ์, efficacy หรือข้อบ่งใช้ไม่ตรงกับโจทย์ที่กำหนด
• ข้อ ค. (เคยติดเชื้อ hepatitis B และรักษาหายแล้ว): ข้อนี้ไม่ใช่คำตอบที่ถูกต้องสำหรับภาวะ HIV infection เนื่องจากกลไกการออกฤทธิ์, efficacy หรือข้อบ่งใช้ไม่ตรงกับโจทย์ที่กำหนด
• ข้อ ง. (ได้รับวัคซีนป้องกัน hepatitis B และมีภูมิคุ้มกัน): ข้อนี้ไม่ใช่คำตอบที่ถูกต้องสำหรับภาวะ HIV infection เนื่องจากกลไกการออกฤทธิ์, efficacy หรือข้อบ่งใช้ไม่ตรงกับโจทย์ที่กำหนด
• ข้อ จ. (อยู่ในช่วง Window period ของการติดเชื้อ):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18" t="inlineStr"/>
      <c r="L27" s="18" t="inlineStr">
        <is>
          <t>HIV infection</t>
        </is>
      </c>
      <c r="M27" s="18" t="inlineStr">
        <is>
          <t>Clinic</t>
        </is>
      </c>
      <c r="N27" s="18" t="inlineStr">
        <is>
          <t>ข้อ 8.1 Mock Infectious RxCU84</t>
        </is>
      </c>
      <c r="O27" s="18" t="inlineStr">
        <is>
          <t>Mock</t>
        </is>
      </c>
      <c r="P27" s="18" t="inlineStr">
        <is>
          <t>Mock RxCU84</t>
        </is>
      </c>
    </row>
    <row r="28">
      <c r="A28" s="15" t="inlineStr">
        <is>
          <t>25</t>
        </is>
      </c>
      <c r="B28" s="18"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18" t="inlineStr"/>
      <c r="D28" s="18" t="inlineStr">
        <is>
          <t>ผู้ป่วยเป็น acute hepatitis B</t>
        </is>
      </c>
      <c r="E28" s="18" t="inlineStr">
        <is>
          <t>Immune Tolerance Phase</t>
        </is>
      </c>
      <c r="F28" s="18" t="inlineStr">
        <is>
          <t>Immune Active Phase</t>
        </is>
      </c>
      <c r="G28" s="18" t="inlineStr">
        <is>
          <t>Inactive Carrier Phase</t>
        </is>
      </c>
      <c r="H28" s="18" t="inlineStr">
        <is>
          <t>Reactivation Phase</t>
        </is>
      </c>
      <c r="I28" s="15" t="inlineStr">
        <is>
          <t>3</t>
        </is>
      </c>
      <c r="J28" s="18"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ข้อนี้ไม่ใช่คำตอบที่ถูกต้องสำหรับภาวะ HIV infection เนื่องจากกลไกการออกฤทธิ์, efficacy หรือข้อบ่งใช้ไม่ตรงกับโจทย์ที่กำหนด
• ข้อ ข. (Immune Tolerance Phase): ข้อนี้ไม่ใช่คำตอบที่ถูกต้องสำหรับภาวะ HIV infection เนื่องจากกลไกการออกฤทธิ์, efficacy หรือข้อบ่งใช้ไม่ตรงกับโจทย์ที่กำหนด
• ข้อ ง. (Inactive Carrier Phase): ข้อนี้ไม่ใช่คำตอบที่ถูกต้องสำหรับภาวะ HIV infection เนื่องจากกลไกการออกฤทธิ์, efficacy หรือข้อบ่งใช้ไม่ตรงกับโจทย์ที่กำหนด
• ข้อ จ. (Reactivation Phase):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18" t="inlineStr"/>
      <c r="L28" s="18" t="inlineStr">
        <is>
          <t>HIV infection</t>
        </is>
      </c>
      <c r="M28" s="18" t="inlineStr">
        <is>
          <t>Clinic</t>
        </is>
      </c>
      <c r="N28" s="18" t="inlineStr">
        <is>
          <t>ข้อ 8.2 Mock Infectious RxCU84</t>
        </is>
      </c>
      <c r="O28" s="18" t="inlineStr">
        <is>
          <t>Mock</t>
        </is>
      </c>
      <c r="P28" s="18" t="inlineStr">
        <is>
          <t>Mock RxCU84</t>
        </is>
      </c>
    </row>
    <row r="29">
      <c r="A29" s="15" t="inlineStr">
        <is>
          <t>26</t>
        </is>
      </c>
      <c r="B29" s="18"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18" t="inlineStr"/>
      <c r="D29" s="18" t="inlineStr">
        <is>
          <t>Tenofovir disoproxil fumarate (TDF) 300 mg รับประทานวันละ 1 ครั้ง</t>
        </is>
      </c>
      <c r="E29" s="18" t="inlineStr">
        <is>
          <t>Lamivudine 100 mg รับประทานวันละ 1 ครั้ง</t>
        </is>
      </c>
      <c r="F29" s="18" t="inlineStr">
        <is>
          <t>Entecavir 0.5 mg รับประทานวันละ 1 ครั้ง (ปรับขนาดตามการทำงานของไต)</t>
        </is>
      </c>
      <c r="G29" s="18" t="inlineStr">
        <is>
          <t>Peginterferon alfa-2a 180 mcg ฉีดใต้ผิวหนังสัปดาห์ละ 1 ครั้ง</t>
        </is>
      </c>
      <c r="H29" s="18" t="inlineStr">
        <is>
          <t>Telbivudine 600 mg รับประทานวันละ 1 ครั้ง</t>
        </is>
      </c>
      <c r="I29" s="15" t="inlineStr">
        <is>
          <t>3</t>
        </is>
      </c>
      <c r="J29" s="18"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เป็น Nucleotide reverse transcriptase inhibitor (NRTI) แกนหลักใน HIV และ HBV therapy แต่ TDF ต้องระวัง nephrotoxicity (Fanconi syndrome) และ bone mineral density loss
• ข้อ ข. (Lamivudine 100 mg รับประทานวันละ 1 ครั้ง): ข้อนี้ไม่ใช่คำตอบที่ถูกต้องสำหรับภาวะ HIV infection เนื่องจากกลไกการออกฤทธิ์, efficacy หรือข้อบ่งใช้ไม่ตรงกับโจทย์ที่กำหนด
• ข้อ ง. (Peginterferon alfa-2a 180 mcg ฉีดใต้ผิวหนังสัปดาห์ละ 1 ครั้ง): ข้อนี้ไม่ใช่คำตอบที่ถูกต้องสำหรับภาวะ HIV infection เนื่องจากกลไกการออกฤทธิ์, efficacy หรือข้อบ่งใช้ไม่ตรงกับโจทย์ที่กำหนด
• ข้อ จ. (Telbivudine 600 mg รับประทานวันละ 1 ครั้ง):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18" t="inlineStr"/>
      <c r="L29" s="18" t="inlineStr">
        <is>
          <t>HIV infection</t>
        </is>
      </c>
      <c r="M29" s="18" t="inlineStr">
        <is>
          <t>Clinic</t>
        </is>
      </c>
      <c r="N29" s="18" t="inlineStr">
        <is>
          <t>ข้อ 8.3 Mock Infectious RxCU84</t>
        </is>
      </c>
      <c r="O29" s="18" t="inlineStr">
        <is>
          <t>Mock</t>
        </is>
      </c>
      <c r="P29" s="18" t="inlineStr">
        <is>
          <t>Mock RxCU84</t>
        </is>
      </c>
    </row>
    <row r="30">
      <c r="A30" s="15" t="inlineStr">
        <is>
          <t>27</t>
        </is>
      </c>
      <c r="B30" s="18"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18" t="inlineStr"/>
      <c r="D30" s="18" t="inlineStr">
        <is>
          <t>ทำให้ค่า AST และ ALT กลับสู่ศูนย์</t>
        </is>
      </c>
      <c r="E30" s="18" t="inlineStr">
        <is>
          <t>ทำให้ HBsAg เปลี่ยนเป็นลบในผู้ป่วยทุกราย</t>
        </is>
      </c>
      <c r="F30" s="18" t="inlineStr">
        <is>
          <t>กำจัด HBV cccDNA ออกจากเซลล์ตับให้หมด</t>
        </is>
      </c>
      <c r="G30" s="18" t="inlineStr">
        <is>
          <t>ลดการดำเนินโรคไปสู่ตับแข็ง มะเร็งตับ และลดอัตราการเสียชีวิต</t>
        </is>
      </c>
      <c r="H30" s="18" t="inlineStr">
        <is>
          <t>ทำให้ Anti-HBs เปลี่ยนเป็นบวกภายใน 6 เดือน</t>
        </is>
      </c>
      <c r="I30" s="15" t="inlineStr">
        <is>
          <t>4</t>
        </is>
      </c>
      <c r="J30" s="18"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ข้อนี้ไม่ใช่คำตอบที่ถูกต้องสำหรับภาวะ HIV infection เนื่องจากกลไกการออกฤทธิ์, efficacy หรือข้อบ่งใช้ไม่ตรงกับโจทย์ที่กำหนด
• ข้อ ข. (ทำให้ HBsAg เปลี่ยนเป็นลบในผู้ป่วยทุกราย): ข้อนี้ไม่ใช่คำตอบที่ถูกต้องสำหรับภาวะ HIV infection เนื่องจากกลไกการออกฤทธิ์, efficacy หรือข้อบ่งใช้ไม่ตรงกับโจทย์ที่กำหนด
• ข้อ ค. (กำจัด HBV cccDNA ออกจากเซลล์ตับให้หมด): ข้อนี้ไม่ใช่คำตอบที่ถูกต้องสำหรับภาวะ HIV infection เนื่องจากกลไกการออกฤทธิ์, efficacy หรือข้อบ่งใช้ไม่ตรงกับโจทย์ที่กำหนด
• ข้อ จ. (ทำให้ Anti-HBs เปลี่ยนเป็นบวกภายใน 6 เดือน):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18" t="inlineStr"/>
      <c r="L30" s="18" t="inlineStr">
        <is>
          <t>HIV infection</t>
        </is>
      </c>
      <c r="M30" s="18" t="inlineStr">
        <is>
          <t>Clinic</t>
        </is>
      </c>
      <c r="N30" s="18" t="inlineStr">
        <is>
          <t>ข้อ 8.4 Mock Infectious RxCU84</t>
        </is>
      </c>
      <c r="O30" s="18" t="inlineStr">
        <is>
          <t>Mock</t>
        </is>
      </c>
      <c r="P30" s="18" t="inlineStr">
        <is>
          <t>Mock RxCU84</t>
        </is>
      </c>
    </row>
    <row r="31">
      <c r="A31" s="15" t="inlineStr">
        <is>
          <t>28</t>
        </is>
      </c>
      <c r="B31" s="18"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18" t="inlineStr"/>
      <c r="D31" s="18" t="inlineStr">
        <is>
          <t>เพื่อยืนยันว่าผู้ป่วยเคยได้รับวัคซีนป้องกันไวรัสตับอักเสบบี</t>
        </is>
      </c>
      <c r="E31" s="18" t="inlineStr">
        <is>
          <t>เพื่อประเมินระดับการแบ่งตัวของไวรัส และใช้ประกอบการตัดสินใจเริ่มรักษา รวมถึงติดตามผลการรักษา</t>
        </is>
      </c>
      <c r="F31" s="18" t="inlineStr">
        <is>
          <t>เพื่อยืนยันภาวะตับแข็ง</t>
        </is>
      </c>
      <c r="G31" s="18" t="inlineStr">
        <is>
          <t>เพื่อประเมินระดับภูมิคุ้มกันต่อไวรัสตับอักเสบบี</t>
        </is>
      </c>
      <c r="H31" s="18" t="inlineStr">
        <is>
          <t>เพื่อยืนยันการติดเชื้อไวรัสตับอักเสบชนิดเอร่วมด้วย</t>
        </is>
      </c>
      <c r="I31" s="15" t="inlineStr">
        <is>
          <t>2</t>
        </is>
      </c>
      <c r="J31" s="18"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ข้อนี้ไม่ใช่คำตอบที่ถูกต้องสำหรับภาวะ HIV infection เนื่องจากกลไกการออกฤทธิ์, efficacy หรือข้อบ่งใช้ไม่ตรงกับโจทย์ที่กำหนด
• ข้อ ค. (เพื่อยืนยันภาวะตับแข็ง): ข้อนี้ไม่ใช่คำตอบที่ถูกต้องสำหรับภาวะ HIV infection เนื่องจากกลไกการออกฤทธิ์, efficacy หรือข้อบ่งใช้ไม่ตรงกับโจทย์ที่กำหนด
• ข้อ ง. (เพื่อประเมินระดับภูมิคุ้มกันต่อไวรัสตับอักเสบบี): ข้อนี้ไม่ใช่คำตอบที่ถูกต้องสำหรับภาวะ HIV infection เนื่องจากกลไกการออกฤทธิ์, efficacy หรือข้อบ่งใช้ไม่ตรงกับโจทย์ที่กำหนด
• ข้อ จ. (เพื่อยืนยันการติดเชื้อไวรัสตับอักเสบชนิดเอร่วมด้วย):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18" t="inlineStr"/>
      <c r="L31" s="18" t="inlineStr">
        <is>
          <t>HIV infection</t>
        </is>
      </c>
      <c r="M31" s="18" t="inlineStr">
        <is>
          <t>Clinic</t>
        </is>
      </c>
      <c r="N31" s="18" t="inlineStr">
        <is>
          <t>ข้อ 8.5 Mock Infectious RxCU84</t>
        </is>
      </c>
      <c r="O31" s="18" t="inlineStr">
        <is>
          <t>Mock</t>
        </is>
      </c>
      <c r="P31" s="18" t="inlineStr">
        <is>
          <t>Mock RxCU84</t>
        </is>
      </c>
    </row>
    <row r="32">
      <c r="A32" s="15" t="inlineStr">
        <is>
          <t>29</t>
        </is>
      </c>
      <c r="B32" s="18"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18" t="inlineStr"/>
      <c r="D32" s="18" t="inlineStr">
        <is>
          <t>Community-acquired pneumonia (CAP)</t>
        </is>
      </c>
      <c r="E32" s="18" t="inlineStr">
        <is>
          <t>Pulmonary tuberculosis</t>
        </is>
      </c>
      <c r="F32" s="18" t="inlineStr">
        <is>
          <t>Lung cancer</t>
        </is>
      </c>
      <c r="G32" s="18" t="inlineStr">
        <is>
          <t>Bronchiectasis</t>
        </is>
      </c>
      <c r="H32" s="18" t="inlineStr">
        <is>
          <t>Pneumocystis jirovecii pneumonia (PJP)</t>
        </is>
      </c>
      <c r="I32" s="15" t="inlineStr">
        <is>
          <t>2</t>
        </is>
      </c>
      <c r="J32" s="18"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ข้อนี้ไม่ใช่คำตอบที่ถูกต้องสำหรับภาวะ Tuberculosis เนื่องจากกลไกการออกฤทธิ์, efficacy หรือข้อบ่งใช้ไม่ตรงกับโจทย์ที่กำหนด
• ข้อ ค. (Lung cancer): ข้อนี้ไม่ใช่คำตอบที่ถูกต้องสำหรับภาวะ Tuberculosis เนื่องจากกลไกการออกฤทธิ์, efficacy หรือข้อบ่งใช้ไม่ตรงกับโจทย์ที่กำหนด
• ข้อ ง. (Bronchiectasis): ข้อนี้ไม่ใช่คำตอบที่ถูกต้องสำหรับภาวะ Tuberculosis เนื่องจากกลไกการออกฤทธิ์, efficacy หรือข้อบ่งใช้ไม่ตรงกับโจทย์ที่กำหนด
• ข้อ จ. (Pneumocystis jirovecii pneumonia (PJP)):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18" t="inlineStr"/>
      <c r="L32" s="18" t="inlineStr">
        <is>
          <t>Tuberculosis</t>
        </is>
      </c>
      <c r="M32" s="18" t="inlineStr">
        <is>
          <t>Clinic</t>
        </is>
      </c>
      <c r="N32" s="18" t="inlineStr">
        <is>
          <t>ข้อ 9.1 Mock Infectious RxCU84</t>
        </is>
      </c>
      <c r="O32" s="18" t="inlineStr">
        <is>
          <t>Mock</t>
        </is>
      </c>
      <c r="P32" s="18" t="inlineStr">
        <is>
          <t>Mock RxCU84</t>
        </is>
      </c>
    </row>
    <row r="33">
      <c r="A33" s="15" t="inlineStr">
        <is>
          <t>30</t>
        </is>
      </c>
      <c r="B33" s="18" t="inlineStr">
        <is>
          <t>ผู้ป่วยหญิงอายุ 29 ปี ผลตรวจเสมหะพบ AFB sputum smear 3+
คำถาม: ผล AFB sputum smear 3+ ในผู้ป่วยรายนี้มีความหมายมากที่สุดข้อใด?</t>
        </is>
      </c>
      <c r="C33" s="18" t="inlineStr"/>
      <c r="D33" s="18" t="inlineStr">
        <is>
          <t>ยืนยันว่าเชื้อดื้อต่อยา Rifampicin</t>
        </is>
      </c>
      <c r="E33" s="18" t="inlineStr">
        <is>
          <t>ผู้ป่วยมีเชื้อวัณโรคในกระแสเลือด</t>
        </is>
      </c>
      <c r="F33" s="18" t="inlineStr">
        <is>
          <t>พบเชื้อ acid-fast bacilli ในเสมหะจำนวนมาก และมีโอกาสแพร่เชื้อสูง</t>
        </is>
      </c>
      <c r="G33" s="18" t="inlineStr">
        <is>
          <t>ยืนยันว่าเป็นเชื้อ Mycobacterium tuberculosis โดยไม่ต้องตรวจเพิ่มเติม</t>
        </is>
      </c>
      <c r="H33" s="18" t="inlineStr">
        <is>
          <t>ผู้ป่วยมีภาวะติดเชื้อแบคทีเรียแทรกซ้อนในทางเดินหายใจส่วนบน</t>
        </is>
      </c>
      <c r="I33" s="15" t="inlineStr">
        <is>
          <t>3</t>
        </is>
      </c>
      <c r="J33" s="18"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(ผู้ป่วยมีเชื้อวัณโรคในกระแสเลือด): ข้อนี้ไม่ใช่คำตอบที่ถูกต้องสำหรับภาวะ Tuberculosis เนื่องจากกลไกการออกฤทธิ์, efficacy หรือข้อบ่งใช้ไม่ตรงกับโจทย์ที่กำหนด
• ข้อ ง. (ยืนยันว่าเป็นเชื้อ Mycobacterium tuberculosis โดยไม่ต้องตรวจเพิ่มเติม): ข้อนี้ไม่ใช่คำตอบที่ถูกต้องสำหรับภาวะ Tuberculosis เนื่องจากกลไกการออกฤทธิ์, efficacy หรือข้อบ่งใช้ไม่ตรงกับโจทย์ที่กำหนด
• ข้อ จ. (ผู้ป่วยมีภาวะติดเชื้อแบคทีเรียแทรกซ้อนในทางเดินหายใจส่วนบน):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18" t="inlineStr"/>
      <c r="L33" s="18" t="inlineStr">
        <is>
          <t>Tuberculosis</t>
        </is>
      </c>
      <c r="M33" s="18" t="inlineStr">
        <is>
          <t>Clinic</t>
        </is>
      </c>
      <c r="N33" s="18" t="inlineStr">
        <is>
          <t>ข้อ 9.2 Mock Infectious RxCU84</t>
        </is>
      </c>
      <c r="O33" s="18" t="inlineStr">
        <is>
          <t>Mock</t>
        </is>
      </c>
      <c r="P33" s="18" t="inlineStr">
        <is>
          <t>Mock RxCU84</t>
        </is>
      </c>
    </row>
    <row r="34">
      <c r="A34" s="15" t="inlineStr">
        <is>
          <t>31</t>
        </is>
      </c>
      <c r="B34" s="18"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18" t="inlineStr"/>
      <c r="D34" s="18" t="inlineStr">
        <is>
          <t>2HRZE / 4HR</t>
        </is>
      </c>
      <c r="E34" s="18" t="inlineStr">
        <is>
          <t>2HR / 7HR</t>
        </is>
      </c>
      <c r="F34" s="18" t="inlineStr">
        <is>
          <t>6HRZE</t>
        </is>
      </c>
      <c r="G34" s="18" t="inlineStr">
        <is>
          <t>9HR</t>
        </is>
      </c>
      <c r="H34" s="18" t="inlineStr">
        <is>
          <t>2HRZ / 4HR</t>
        </is>
      </c>
      <c r="I34" s="15" t="inlineStr">
        <is>
          <t>1</t>
        </is>
      </c>
      <c r="J34" s="18"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ข้อนี้ไม่ใช่คำตอบที่ถูกต้องสำหรับภาวะ Tuberculosis เนื่องจากกลไกการออกฤทธิ์, efficacy หรือข้อบ่งใช้ไม่ตรงกับโจทย์ที่กำหนด
• ข้อ ค. (6HRZE): ข้อนี้ไม่ใช่คำตอบที่ถูกต้องสำหรับภาวะ Tuberculosis เนื่องจากกลไกการออกฤทธิ์, efficacy หรือข้อบ่งใช้ไม่ตรงกับโจทย์ที่กำหนด
• ข้อ ง. (9HR): ข้อนี้ไม่ใช่คำตอบที่ถูกต้องสำหรับภาวะ Tuberculosis เนื่องจากกลไกการออกฤทธิ์, efficacy หรือข้อบ่งใช้ไม่ตรงกับโจทย์ที่กำหนด
• ข้อ จ. (2HRZ / 4HR):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18" t="inlineStr"/>
      <c r="L34" s="18" t="inlineStr">
        <is>
          <t>Tuberculosis</t>
        </is>
      </c>
      <c r="M34" s="18" t="inlineStr">
        <is>
          <t>Clinic</t>
        </is>
      </c>
      <c r="N34" s="18" t="inlineStr">
        <is>
          <t>ข้อ 9.3 Mock Infectious RxCU84</t>
        </is>
      </c>
      <c r="O34" s="18" t="inlineStr">
        <is>
          <t>Mock</t>
        </is>
      </c>
      <c r="P34" s="18" t="inlineStr">
        <is>
          <t>Mock RxCU84</t>
        </is>
      </c>
    </row>
    <row r="35">
      <c r="A35" s="15" t="inlineStr">
        <is>
          <t>32</t>
        </is>
      </c>
      <c r="B35" s="18"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18" t="inlineStr"/>
      <c r="D35" s="18"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18" t="inlineStr">
        <is>
          <t>Isoniazid – ปัสสาวะสีส้มแดง, Rifampicin – ปลายมือปลายเท้าชา, Pyrazinamide – ตามัว, Ethambutol – กรดยูริกสูง</t>
        </is>
      </c>
      <c r="F35" s="18" t="inlineStr">
        <is>
          <t>Isoniazid – ตามัว, Rifampicin – กรดยูริกสูง, Pyrazinamide – ปลายมือปลายเท้าชา, Ethambutol – ปัสสาวะสีส้มแดง</t>
        </is>
      </c>
      <c r="G35" s="18" t="inlineStr">
        <is>
          <t>Isoniazid – ปวดข้อ, Rifampicin – ตามัว, Pyrazinamide – ปัสสาวะสีส้มแดง, Ethambutol – ชาปลายมือปลายเท้า</t>
        </is>
      </c>
      <c r="H35" s="18" t="inlineStr">
        <is>
          <t>Isoniazid – หูดับ, Rifampicin – ตับอักเสบ, Pyrazinamide – ผื่นลมพิษ, Ethambutol – ไตวาย</t>
        </is>
      </c>
      <c r="I35" s="15" t="inlineStr">
        <is>
          <t>1</t>
        </is>
      </c>
      <c r="J35" s="18"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18" t="inlineStr"/>
      <c r="L35" s="18" t="inlineStr">
        <is>
          <t>Tuberculosis</t>
        </is>
      </c>
      <c r="M35" s="18" t="inlineStr">
        <is>
          <t>Clinic</t>
        </is>
      </c>
      <c r="N35" s="18" t="inlineStr">
        <is>
          <t>ข้อ 9.4 Mock Infectious RxCU84</t>
        </is>
      </c>
      <c r="O35" s="18" t="inlineStr">
        <is>
          <t>Mock</t>
        </is>
      </c>
      <c r="P35" s="18" t="inlineStr">
        <is>
          <t>Mock RxCU84</t>
        </is>
      </c>
    </row>
    <row r="36">
      <c r="A36" s="15" t="inlineStr">
        <is>
          <t>33</t>
        </is>
      </c>
      <c r="B36" s="18"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18" t="inlineStr"/>
      <c r="D36" s="18" t="inlineStr">
        <is>
          <t>หากปัสสาวะเป็นสีส้มแดง ให้หยุดยา Rifampicin ทันที</t>
        </is>
      </c>
      <c r="E36" s="18" t="inlineStr">
        <is>
          <t>หากมีอาการตามัวหรือมองเห็นสีผิดปกติ ควรหยุดยาเองและรอพบแพทย์ตามนัด</t>
        </is>
      </c>
      <c r="F36" s="18"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18" t="inlineStr">
        <is>
          <t>เมื่ออาการไอดีขึ้นสามารถหยุดยาต้านวัณโรคได้เองเพื่อป้องกันผลข้างเคียง</t>
        </is>
      </c>
      <c r="H36" s="18" t="inlineStr">
        <is>
          <t>ควรรับประทานยาทุกชนิดพร้อมอาหารมื้อหนักเพื่อป้องกันอาการคลื่นไส้</t>
        </is>
      </c>
      <c r="I36" s="15" t="inlineStr">
        <is>
          <t>3</t>
        </is>
      </c>
      <c r="J36" s="18"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(หากมีอาการตามัวหรือมองเห็นสีผิดปกติ ควรหยุดยาเองและรอพบแพทย์ตามนัด): ข้อนี้ไม่ใช่คำตอบที่ถูกต้องสำหรับภาวะ Tuberculosis เนื่องจากกลไกการออกฤทธิ์, efficacy หรือข้อบ่งใช้ไม่ตรงกับโจทย์ที่กำหนด
• ข้อ ง. (เมื่ออาการไอดีขึ้นสามารถหยุดยาต้านวัณโรคได้เองเพื่อป้องกันผลข้างเคียง): ข้อนี้ไม่ใช่คำตอบที่ถูกต้องสำหรับภาวะ Tuberculosis เนื่องจากกลไกการออกฤทธิ์, efficacy หรือข้อบ่งใช้ไม่ตรงกับโจทย์ที่กำหนด
• ข้อ จ. (ควรรับประทานยาทุกชนิดพร้อมอาหารมื้อหนักเพื่อป้องกันอาการคลื่นไส้):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18" t="inlineStr"/>
      <c r="L36" s="18" t="inlineStr">
        <is>
          <t>Tuberculosis</t>
        </is>
      </c>
      <c r="M36" s="18" t="inlineStr">
        <is>
          <t>Clinic</t>
        </is>
      </c>
      <c r="N36" s="18" t="inlineStr">
        <is>
          <t>ข้อ 9.5 Mock Infectious RxCU84</t>
        </is>
      </c>
      <c r="O36" s="18" t="inlineStr">
        <is>
          <t>Mock</t>
        </is>
      </c>
      <c r="P36" s="18" t="inlineStr">
        <is>
          <t>Mock RxCU84</t>
        </is>
      </c>
    </row>
    <row r="37">
      <c r="A37" s="15" t="inlineStr">
        <is>
          <t>34</t>
        </is>
      </c>
      <c r="B37" s="18"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18" t="inlineStr"/>
      <c r="D37" s="18" t="inlineStr">
        <is>
          <t>Non-inflammatory acne ชนิด closed comedone</t>
        </is>
      </c>
      <c r="E37" s="18" t="inlineStr">
        <is>
          <t>Non-inflammatory acne ชนิด open comedone</t>
        </is>
      </c>
      <c r="F37" s="18" t="inlineStr">
        <is>
          <t>Inflammatory acne ชนิด papule</t>
        </is>
      </c>
      <c r="G37" s="18" t="inlineStr">
        <is>
          <t>Inflammatory acne ชนิด pustule</t>
        </is>
      </c>
      <c r="H37" s="18" t="inlineStr">
        <is>
          <t>Nodulocystic acne</t>
        </is>
      </c>
      <c r="I37" s="15" t="inlineStr">
        <is>
          <t>4</t>
        </is>
      </c>
      <c r="J37" s="18"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ข้อนี้ไม่ใช่คำตอบที่ถูกต้องสำหรับภาวะ HIV infection เนื่องจากกลไกการออกฤทธิ์, efficacy หรือข้อบ่งใช้ไม่ตรงกับโจทย์ที่กำหนด
• ข้อ ข. (Non-inflammatory acne ชนิด open comedone): ข้อนี้ไม่ใช่คำตอบที่ถูกต้องสำหรับภาวะ HIV infection เนื่องจากกลไกการออกฤทธิ์, efficacy หรือข้อบ่งใช้ไม่ตรงกับโจทย์ที่กำหนด
• ข้อ ค. (Inflammatory acne ชนิด papule): ข้อนี้ไม่ใช่คำตอบที่ถูกต้องสำหรับภาวะ HIV infection เนื่องจากกลไกการออกฤทธิ์, efficacy หรือข้อบ่งใช้ไม่ตรงกับโจทย์ที่กำหนด
• ข้อ จ. (Nodulocystic acne):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18" t="inlineStr"/>
      <c r="L37" s="18" t="inlineStr">
        <is>
          <t>HIV infection</t>
        </is>
      </c>
      <c r="M37" s="18" t="inlineStr">
        <is>
          <t>Clinic</t>
        </is>
      </c>
      <c r="N37" s="18" t="inlineStr">
        <is>
          <t>ข้อ 10.1 Mock Infectious RxCU84</t>
        </is>
      </c>
      <c r="O37" s="18" t="inlineStr">
        <is>
          <t>Mock</t>
        </is>
      </c>
      <c r="P37" s="18" t="inlineStr">
        <is>
          <t>Mock RxCU84</t>
        </is>
      </c>
    </row>
    <row r="38">
      <c r="A38" s="15" t="inlineStr">
        <is>
          <t>35</t>
        </is>
      </c>
      <c r="B38" s="18"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18" t="inlineStr"/>
      <c r="D38" s="18" t="inlineStr">
        <is>
          <t>Oral isotretinoin เพียงอย่างเดียว</t>
        </is>
      </c>
      <c r="E38" s="18" t="inlineStr">
        <is>
          <t>Oral doxycycline เพียงอย่างเดียว</t>
        </is>
      </c>
      <c r="F38" s="18" t="inlineStr">
        <is>
          <t>Topical benzoyl peroxide</t>
        </is>
      </c>
      <c r="G38" s="18" t="inlineStr">
        <is>
          <t>Oral quinolone ร่วมกับ topical retinoid</t>
        </is>
      </c>
      <c r="H38" s="18" t="inlineStr">
        <is>
          <t>Oral isotretinoin ร่วมกับ oral doxycycline</t>
        </is>
      </c>
      <c r="I38" s="15" t="inlineStr">
        <is>
          <t>3</t>
        </is>
      </c>
      <c r="J38" s="18"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ข้อ ข. (Oral doxycycline เพียงอย่างเดียว): เป็น Tetracycline ครอบคลุม atypicals, rickettsia, scrub typhus, leptospirosis และ CA-MRSA ห้ามใช้ในเด็กอายุ &lt; 8 ปี และหญิงตั้งครรภ์ (ฟันเหลือง กระดูกเจริญช้า)
• ข้อ ง. (Oral quinolone ร่วมกับ topical retinoid): ข้อนี้ไม่ใช่คำตอบที่ถูกต้องสำหรับภาวะ HIV infection เนื่องจากกลไกการออกฤทธิ์, efficacy หรือข้อบ่งใช้ไม่ตรงกับโจทย์ที่กำหนด
• ข้อ จ. (Oral isotretinoin ร่วมกับ oral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18" t="inlineStr"/>
      <c r="L38" s="18" t="inlineStr">
        <is>
          <t>HIV infection</t>
        </is>
      </c>
      <c r="M38" s="18" t="inlineStr">
        <is>
          <t>Clinic</t>
        </is>
      </c>
      <c r="N38" s="18" t="inlineStr">
        <is>
          <t>ข้อ 10.2 Mock Infectious RxCU84</t>
        </is>
      </c>
      <c r="O38" s="18" t="inlineStr">
        <is>
          <t>Mock</t>
        </is>
      </c>
      <c r="P38" s="18" t="inlineStr">
        <is>
          <t>Mock RxCU84</t>
        </is>
      </c>
    </row>
    <row r="39">
      <c r="A39" s="15" t="inlineStr">
        <is>
          <t>36</t>
        </is>
      </c>
      <c r="B39" s="18"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18" t="inlineStr"/>
      <c r="D39" s="18" t="inlineStr">
        <is>
          <t>ทายาบาง ๆ วันละ 2 ครั้ง และหากแสบให้เพิ่มความถี่เพื่อให้ผิวชินยา</t>
        </is>
      </c>
      <c r="E39" s="18" t="inlineStr">
        <is>
          <t>ทาเฉพาะบริเวณที่มีหัวหนองเท่านั้น และควรใช้เป็นยาเดี่ยว</t>
        </is>
      </c>
      <c r="F39" s="18" t="inlineStr">
        <is>
          <t>ระวังการสัมผัสเสื้อผ้าและเส้นผม เนื่องจากยาอาจทำให้เกิด bleaching</t>
        </is>
      </c>
      <c r="G39" s="18" t="inlineStr">
        <is>
          <t>ทา benzoyl peroxide หลัง retinoid ทันทีทุกครั้งเพื่อเพิ่มประสิทธิภาพ</t>
        </is>
      </c>
      <c r="H39" s="18" t="inlineStr">
        <is>
          <t>หลีกเลี่ยง moisturizer เพราะจะทำให้เกิด comedone เพิ่มขึ้น</t>
        </is>
      </c>
      <c r="I39" s="15" t="inlineStr">
        <is>
          <t>3</t>
        </is>
      </c>
      <c r="J39" s="18"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ข้อนี้ไม่ใช่คำตอบที่ถูกต้องสำหรับภาวะ HIV infection เนื่องจากกลไกการออกฤทธิ์, efficacy หรือข้อบ่งใช้ไม่ตรงกับโจทย์ที่กำหนด
• ข้อ ข. (ทาเฉพาะบริเวณที่มีหัวหนองเท่านั้น และควรใช้เป็นยาเดี่ยว): ข้อนี้ไม่ใช่คำตอบที่ถูกต้องสำหรับภาวะ HIV infection เนื่องจากกลไกการออกฤทธิ์, efficacy หรือข้อบ่งใช้ไม่ตรงกับโจทย์ที่กำหนด
• ข้อ ง. (ทา benzoyl peroxide หลัง retinoid ทันทีทุกครั้งเพื่อเพิ่มประสิทธิภาพ): ข้อนี้ไม่ใช่คำตอบที่ถูกต้องสำหรับภาวะ HIV infection เนื่องจากกลไกการออกฤทธิ์, efficacy หรือข้อบ่งใช้ไม่ตรงกับโจทย์ที่กำหนด
• ข้อ จ. (หลีกเลี่ยง moisturizer เพราะจะทำให้เกิด comedone เพิ่มขึ้น):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18" t="inlineStr"/>
      <c r="L39" s="18" t="inlineStr">
        <is>
          <t>HIV infection</t>
        </is>
      </c>
      <c r="M39" s="18" t="inlineStr">
        <is>
          <t>Clinic</t>
        </is>
      </c>
      <c r="N39" s="18" t="inlineStr">
        <is>
          <t>ข้อ 10.3 Mock Infectious RxCU84</t>
        </is>
      </c>
      <c r="O39" s="18" t="inlineStr">
        <is>
          <t>Mock</t>
        </is>
      </c>
      <c r="P39" s="18" t="inlineStr">
        <is>
          <t>Mock RxCU84</t>
        </is>
      </c>
    </row>
    <row r="40">
      <c r="A40" s="15" t="inlineStr">
        <is>
          <t>37</t>
        </is>
      </c>
      <c r="B40" s="18"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18" t="inlineStr"/>
      <c r="D40" s="18" t="inlineStr">
        <is>
          <t>Tretinoin topical</t>
        </is>
      </c>
      <c r="E40" s="18" t="inlineStr">
        <is>
          <t>Adapalene topical</t>
        </is>
      </c>
      <c r="F40" s="18" t="inlineStr">
        <is>
          <t>Doxycycline oral</t>
        </is>
      </c>
      <c r="G40" s="18" t="inlineStr">
        <is>
          <t>Isotretinoin oral</t>
        </is>
      </c>
      <c r="H40" s="18" t="inlineStr">
        <is>
          <t>Azelaic acid topical</t>
        </is>
      </c>
      <c r="I40" s="15" t="inlineStr">
        <is>
          <t>5</t>
        </is>
      </c>
      <c r="J40" s="18"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ข้อนี้ไม่ใช่คำตอบที่ถูกต้องสำหรับภาวะ HIV infection เนื่องจากกลไกการออกฤทธิ์, efficacy หรือข้อบ่งใช้ไม่ตรงกับโจทย์ที่กำหนด
• ข้อ ข. (Adapalene topical): ข้อนี้ไม่ใช่คำตอบที่ถูกต้องสำหรับภาวะ HIV infection เนื่องจากกลไกการออกฤทธิ์, efficacy หรือข้อบ่งใช้ไม่ตรงกับโจทย์ที่กำหนด
• ข้อ ค. (Doxycycline oral): เป็น Tetracycline ครอบคลุม atypicals, rickettsia, scrub typhus, leptospirosis และ CA-MRSA ห้ามใช้ในเด็กอายุ &lt; 8 ปี และหญิงตั้งครรภ์ (ฟันเหลือง กระดูกเจริญช้า)
• ข้อ ง. (Isotretinoin oral):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18" t="inlineStr"/>
      <c r="L40" s="18" t="inlineStr">
        <is>
          <t>HIV infection</t>
        </is>
      </c>
      <c r="M40" s="18" t="inlineStr">
        <is>
          <t>Clinic</t>
        </is>
      </c>
      <c r="N40" s="18" t="inlineStr">
        <is>
          <t>ข้อ 10.4 Mock Infectious RxCU84</t>
        </is>
      </c>
      <c r="O40" s="18" t="inlineStr">
        <is>
          <t>Mock</t>
        </is>
      </c>
      <c r="P40" s="18" t="inlineStr">
        <is>
          <t>Mock RxCU84</t>
        </is>
      </c>
    </row>
    <row r="41">
      <c r="A41" s="15" t="inlineStr">
        <is>
          <t>38</t>
        </is>
      </c>
      <c r="B41" s="18"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18" t="inlineStr"/>
      <c r="D41" s="18" t="inlineStr">
        <is>
          <t>แนะนำให้รับประทานอาหารที่มี glycemic index สูงเพื่อเพิ่มพลังงานและลดการอักเสบ ร่วมกับการรักษาสิว</t>
        </is>
      </c>
      <c r="E41" s="18" t="inlineStr">
        <is>
          <t>แนะนำให้หยุดยารักษาสิวทั้งหมดและรักษาด้วยการควบคุมอาหารเพียงอย่างเดียว</t>
        </is>
      </c>
      <c r="F41" s="18" t="inlineStr">
        <is>
          <t>แนะนำให้ลดการรับประทานอาหารที่มี glycemic load สูง ร่วมกับการรักษาสิว</t>
        </is>
      </c>
      <c r="G41" s="18" t="inlineStr">
        <is>
          <t>แนะนำให้รับประทาน vitamin A ขนาดสูงทุกวันเพื่อทดแทน isotretinoin</t>
        </is>
      </c>
      <c r="H41" s="18" t="inlineStr">
        <is>
          <t>แนะนำให้รับประทาน zinc ขนาดสูงเป็นการรักษาหลักแทน topical therapy</t>
        </is>
      </c>
      <c r="I41" s="15" t="inlineStr">
        <is>
          <t>3</t>
        </is>
      </c>
      <c r="J41" s="18"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ข้อนี้ไม่ใช่คำตอบที่ถูกต้องสำหรับภาวะ HIV infection เนื่องจากกลไกการออกฤทธิ์, efficacy หรือข้อบ่งใช้ไม่ตรงกับโจทย์ที่กำหนด
• ข้อ ข. (แนะนำให้หยุดยารักษาสิวทั้งหมดและรักษาด้วยการควบคุมอาหารเพียงอย่างเดียว):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ข้อ ง. (แนะนำให้รับประทาน vitamin A ขนาดสูงทุกวันเพื่อทดแทน isotretinoin):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(แนะนำให้รับประทาน zinc ขนาดสูงเป็นการรักษาหลักแทน topical therapy):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18" t="inlineStr"/>
      <c r="L41" s="18" t="inlineStr">
        <is>
          <t>HIV infection</t>
        </is>
      </c>
      <c r="M41" s="18" t="inlineStr">
        <is>
          <t>Clinic</t>
        </is>
      </c>
      <c r="N41" s="18" t="inlineStr">
        <is>
          <t>ข้อ 10.5 Mock Infectious RxCU84</t>
        </is>
      </c>
      <c r="O41" s="18" t="inlineStr">
        <is>
          <t>Mock</t>
        </is>
      </c>
      <c r="P41" s="18" t="inlineStr">
        <is>
          <t>Mock RxCU84</t>
        </is>
      </c>
    </row>
    <row r="42">
      <c r="A42" s="15" t="inlineStr">
        <is>
          <t>39</t>
        </is>
      </c>
      <c r="B42" s="18"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18" t="inlineStr"/>
      <c r="D42" s="18" t="inlineStr">
        <is>
          <t>โรคเริมอวัยวะเพศ (Genital Herpes)</t>
        </is>
      </c>
      <c r="E42" s="18" t="inlineStr">
        <is>
          <t>โรคแผลริมอ่อน (Chancroid)</t>
        </is>
      </c>
      <c r="F42" s="18" t="inlineStr">
        <is>
          <t>โรคซิฟิลิสระยะที่ 1 (Primary Syphilis)</t>
        </is>
      </c>
      <c r="G42" s="18" t="inlineStr">
        <is>
          <t>ช่องคลอดอักเสบจากเชื้อรา (Vulvovaginal Candidiasis)</t>
        </is>
      </c>
      <c r="H42" s="18" t="inlineStr">
        <is>
          <t>โรคหูดข้าวสุก (Molluscum Contagiosum)</t>
        </is>
      </c>
      <c r="I42" s="15" t="inlineStr">
        <is>
          <t>3</t>
        </is>
      </c>
      <c r="J42" s="18"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ข้อนี้ไม่ใช่คำตอบที่ถูกต้องสำหรับภาวะ HIV infection เนื่องจากกลไกการออกฤทธิ์, efficacy หรือข้อบ่งใช้ไม่ตรงกับโจทย์ที่กำหนด
• ข้อ ข. (โรคแผลริมอ่อน (Chancroid)): ข้อนี้ไม่ใช่คำตอบที่ถูกต้องสำหรับภาวะ HIV infection เนื่องจากกลไกการออกฤทธิ์, efficacy หรือข้อบ่งใช้ไม่ตรงกับโจทย์ที่กำหนด
• ข้อ ง. (ช่องคลอดอักเสบจากเชื้อรา (Vulvovaginal Candidiasis)): ข้อนี้ไม่ใช่คำตอบที่ถูกต้องสำหรับภาวะ HIV infection เนื่องจากกลไกการออกฤทธิ์, efficacy หรือข้อบ่งใช้ไม่ตรงกับโจทย์ที่กำหนด
• ข้อ จ. (โรคหูดข้าวสุก (Molluscum Contagiosum)):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18" t="inlineStr"/>
      <c r="L42" s="18" t="inlineStr">
        <is>
          <t>HIV infection</t>
        </is>
      </c>
      <c r="M42" s="18" t="inlineStr">
        <is>
          <t>Clinic</t>
        </is>
      </c>
      <c r="N42" s="18" t="inlineStr">
        <is>
          <t>ข้อ 11.1 Mock Infectious RxCU84</t>
        </is>
      </c>
      <c r="O42" s="18" t="inlineStr">
        <is>
          <t>Mock</t>
        </is>
      </c>
      <c r="P42" s="18" t="inlineStr">
        <is>
          <t>Mock RxCU84</t>
        </is>
      </c>
    </row>
    <row r="43">
      <c r="A43" s="15" t="inlineStr">
        <is>
          <t>40</t>
        </is>
      </c>
      <c r="B43" s="18"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18" t="inlineStr"/>
      <c r="D43" s="18" t="inlineStr">
        <is>
          <t>Ceftriaxone 1 g ฉีดเข้ากล้ามเนื้อ ครั้งเดียว</t>
        </is>
      </c>
      <c r="E43" s="18" t="inlineStr">
        <is>
          <t>Doxycycline 100 mg รับประทานวันละ 2 ครั้ง นาน 14 วัน</t>
        </is>
      </c>
      <c r="F43" s="18" t="inlineStr">
        <is>
          <t>Benzathine Penicillin G 2.4 million units ฉีดเข้ากล้ามเนื้อ ครั้งเดียว</t>
        </is>
      </c>
      <c r="G43" s="18" t="inlineStr">
        <is>
          <t>Benzathine Penicillin G 2.4 million units ฉีดเข้ากล้ามเนื้อ สัปดาห์ละครั้ง นาน 3 สัปดาห์</t>
        </is>
      </c>
      <c r="H43" s="18" t="inlineStr">
        <is>
          <t>Azithromycin 1 g รับประทานครั้งเดียว</t>
        </is>
      </c>
      <c r="I43" s="15" t="inlineStr">
        <is>
          <t>3</t>
        </is>
      </c>
      <c r="J43" s="18"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เป็น 3rd generation cephalosporin มี broad spectrum ต่อ gram-negative bacteria และผ่าน BBB ได้ดี ขับออกทาง biliary tract จึงไม่ต้องปรับ dose ใน renal impairment
• ข้อ ข. (Doxycycline 100 mg รับประทานวันละ 2 ครั้ง นาน 14 วัน): เป็น Tetracycline ครอบคลุม atypicals, rickettsia, scrub typhus, leptospirosis และ CA-MRSA ห้ามใช้ในเด็กอายุ &lt; 8 ปี และหญิงตั้งครรภ์ (ฟันเหลือง กระดูกเจริญช้า)
• ข้อ ง. (Benzathine Penicillin G 2.4 million units ฉีดเข้ากล้ามเนื้อ สัปดาห์ละครั้ง นาน 3 สัปดาห์): ข้อนี้ไม่ใช่คำตอบที่ถูกต้องสำหรับภาวะ HIV infection เนื่องจากกลไกการออกฤทธิ์, efficacy หรือข้อบ่งใช้ไม่ตรงกับโจทย์ที่กำหนด
• ข้อ จ. (Azithromycin 1 g รับประทานครั้งเดียว):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18" t="inlineStr"/>
      <c r="L43" s="18" t="inlineStr">
        <is>
          <t>HIV infection</t>
        </is>
      </c>
      <c r="M43" s="18" t="inlineStr">
        <is>
          <t>Clinic</t>
        </is>
      </c>
      <c r="N43" s="18" t="inlineStr">
        <is>
          <t>ข้อ 11.2 Mock Infectious RxCU84</t>
        </is>
      </c>
      <c r="O43" s="18" t="inlineStr">
        <is>
          <t>Mock</t>
        </is>
      </c>
      <c r="P43" s="18" t="inlineStr">
        <is>
          <t>Mock RxCU84</t>
        </is>
      </c>
    </row>
    <row r="44">
      <c r="A44" s="15" t="inlineStr">
        <is>
          <t>41</t>
        </is>
      </c>
      <c r="B44" s="18"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18" t="inlineStr"/>
      <c r="D44" s="18" t="inlineStr">
        <is>
          <t>แผลที่อวัยวะเพศมักจะมีอาการเจ็บปวดรุนแรงกว่าผู้ที่ไม่ติดเชื้อ HIV</t>
        </is>
      </c>
      <c r="E44" s="18" t="inlineStr">
        <is>
          <t>มีโอกาสตรวจพบอาการแสดงของซิฟิลิสระยะที่ 1 และระยะที่ 2 เกิดขึ้นพร้อมกัน (Overlap)</t>
        </is>
      </c>
      <c r="F44" s="18" t="inlineStr">
        <is>
          <t>ต่อมน้ำเหลืองที่ขาหนีบมักจะอักเสบจนแตกเป็นหนอง (Bubo) ได้ง่ายกว่า</t>
        </is>
      </c>
      <c r="G44" s="18" t="inlineStr">
        <is>
          <t>เชื้อสไปโรขีดมักจะไม่สามารถตรวจพบได้ด้วยการส่องกล้อง Dark-field</t>
        </is>
      </c>
      <c r="H44" s="18" t="inlineStr">
        <is>
          <t>แผลริมแข็ง (Chancre) จะหายช้ากว่าคนปกติและกลายเป็นแผลเรื้อรังเสมอ</t>
        </is>
      </c>
      <c r="I44" s="15" t="inlineStr">
        <is>
          <t>2</t>
        </is>
      </c>
      <c r="J44" s="18"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ข้อนี้ไม่ใช่คำตอบที่ถูกต้องสำหรับภาวะ HIV infection เนื่องจากกลไกการออกฤทธิ์, efficacy หรือข้อบ่งใช้ไม่ตรงกับโจทย์ที่กำหนด
• ข้อ ค. (ต่อมน้ำเหลืองที่ขาหนีบมักจะอักเสบจนแตกเป็นหนอง (Bubo) ได้ง่ายกว่า): ข้อนี้ไม่ใช่คำตอบที่ถูกต้องสำหรับภาวะ HIV infection เนื่องจากกลไกการออกฤทธิ์, efficacy หรือข้อบ่งใช้ไม่ตรงกับโจทย์ที่กำหนด
• ข้อ ง. (เชื้อสไปโรขีดมักจะไม่สามารถตรวจพบได้ด้วยการส่องกล้อง Dark-field): ข้อนี้ไม่ใช่คำตอบที่ถูกต้องสำหรับภาวะ HIV infection เนื่องจากกลไกการออกฤทธิ์, efficacy หรือข้อบ่งใช้ไม่ตรงกับโจทย์ที่กำหนด
• ข้อ จ. (แผลริมแข็ง (Chancre) จะหายช้ากว่าคนปกติและกลายเป็นแผลเรื้อรังเสมอ):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18" t="inlineStr"/>
      <c r="L44" s="18" t="inlineStr">
        <is>
          <t>HIV infection</t>
        </is>
      </c>
      <c r="M44" s="18" t="inlineStr">
        <is>
          <t>Clinic</t>
        </is>
      </c>
      <c r="N44" s="18" t="inlineStr">
        <is>
          <t>ข้อ 11.3 Mock Infectious RxCU84</t>
        </is>
      </c>
      <c r="O44" s="18" t="inlineStr">
        <is>
          <t>Mock</t>
        </is>
      </c>
      <c r="P44" s="18" t="inlineStr">
        <is>
          <t>Mock RxCU84</t>
        </is>
      </c>
    </row>
    <row r="45">
      <c r="A45" s="15" t="inlineStr">
        <is>
          <t>42</t>
        </is>
      </c>
      <c r="B45" s="18"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18" t="inlineStr"/>
      <c r="D45" s="18" t="inlineStr">
        <is>
          <t>โรคซิฟิลิสระยะที่ 1 (Primary Syphilis)</t>
        </is>
      </c>
      <c r="E45" s="18" t="inlineStr">
        <is>
          <t>โรคแผลริมอ่อน (Chancroid)</t>
        </is>
      </c>
      <c r="F45" s="18" t="inlineStr">
        <is>
          <t>ภาวะท่อปัสสาวะอักเสบ (Urethritis)</t>
        </is>
      </c>
      <c r="G45" s="18" t="inlineStr">
        <is>
          <t>โรคเริมอวัยวะเพศ (Genital Herpes)</t>
        </is>
      </c>
      <c r="H45" s="18" t="inlineStr">
        <is>
          <t>โรคหูดหงอนไก่ (Anogenital Warts)</t>
        </is>
      </c>
      <c r="I45" s="15" t="inlineStr">
        <is>
          <t>3</t>
        </is>
      </c>
      <c r="J45" s="18"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ข้อนี้ไม่ใช่คำตอบที่ถูกต้องสำหรับภาวะ HIV infection เนื่องจากกลไกการออกฤทธิ์, efficacy หรือข้อบ่งใช้ไม่ตรงกับโจทย์ที่กำหนด
• ข้อ ข. (โรคแผลริมอ่อน (Chancroid)): ข้อนี้ไม่ใช่คำตอบที่ถูกต้องสำหรับภาวะ HIV infection เนื่องจากกลไกการออกฤทธิ์, efficacy หรือข้อบ่งใช้ไม่ตรงกับโจทย์ที่กำหนด
• ข้อ ง. (โรคเริมอวัยวะเพศ (Genital Herpes)): ข้อนี้ไม่ใช่คำตอบที่ถูกต้องสำหรับภาวะ HIV infection เนื่องจากกลไกการออกฤทธิ์, efficacy หรือข้อบ่งใช้ไม่ตรงกับโจทย์ที่กำหนด
• ข้อ จ. (โรคหูดหงอนไก่ (Anogenital Warts)):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18" t="inlineStr"/>
      <c r="L45" s="18" t="inlineStr">
        <is>
          <t>HIV infection</t>
        </is>
      </c>
      <c r="M45" s="18" t="inlineStr">
        <is>
          <t>Clinic</t>
        </is>
      </c>
      <c r="N45" s="18" t="inlineStr">
        <is>
          <t>ข้อ 12.1 Mock Infectious RxCU84</t>
        </is>
      </c>
      <c r="O45" s="18" t="inlineStr">
        <is>
          <t>Mock</t>
        </is>
      </c>
      <c r="P45" s="18" t="inlineStr">
        <is>
          <t>Mock RxCU84</t>
        </is>
      </c>
    </row>
    <row r="46">
      <c r="A46" s="15" t="inlineStr">
        <is>
          <t>43</t>
        </is>
      </c>
      <c r="B46" s="18"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18" t="inlineStr"/>
      <c r="D46" s="18" t="inlineStr">
        <is>
          <t>Benzathine Penicillin G 2.4 million units ฉีดเข้ากล้ามเนื้อ ครั้งเดียว</t>
        </is>
      </c>
      <c r="E46" s="18" t="inlineStr">
        <is>
          <t>Azithromycin 1 g รับประทานครั้งเดียว เพียงอย่างเดียว</t>
        </is>
      </c>
      <c r="F46" s="18" t="inlineStr">
        <is>
          <t>Norfloxacin 400 mg รับประทานวันละ 2 ครั้ง นาน 3 วัน</t>
        </is>
      </c>
      <c r="G46" s="18" t="inlineStr">
        <is>
          <t>Ceftriaxone 1 g ฉีดเข้ากล้ามเนื้อ ครั้งเดียว ร่วมกับ Doxycycline 100 mg รับประทานวันละ 2 ครั้ง นาน 7 วัน</t>
        </is>
      </c>
      <c r="H46" s="18" t="inlineStr">
        <is>
          <t>Metronidazole 2 g รับประทานครั้งเดียว ร่วมกับ Ciprofloxacin 500 mg รับประทานครั้งเดียว</t>
        </is>
      </c>
      <c r="I46" s="15" t="inlineStr">
        <is>
          <t>4</t>
        </is>
      </c>
      <c r="J46" s="18"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ข้อนี้ไม่ใช่คำตอบที่ถูกต้องสำหรับภาวะ HIV infection เนื่องจากกลไกการออกฤทธิ์, efficacy หรือข้อบ่งใช้ไม่ตรงกับโจทย์ที่กำหนด
• ข้อ ข. (Azithromycin 1 g รับประทานครั้งเดียว เพียงอย่างเดียว): เป็น Macrolide ครอบคลุม atypical pathogens (Mycoplasma, Chlamydia, Legionella) ขจัดออกทางตับเป็นหลัก และมี half-life ยาวนาน (~68 ชม.)
• ข้อ ค. (Norfloxacin 400 mg รับประทานวันละ 2 ครั้ง นาน 3 วัน): ข้อนี้ไม่ใช่คำตอบที่ถูกต้องสำหรับภาวะ HIV infection เนื่องจากกลไกการออกฤทธิ์, efficacy หรือข้อบ่งใช้ไม่ตรงกับโจทย์ที่กำหนด
• ข้อ จ. (Metronidazole 2 g รับประทานครั้งเดียว ร่วมกับ Ciprofloxacin 500 mg รับประทานครั้งเดียว):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18" t="inlineStr"/>
      <c r="L46" s="18" t="inlineStr">
        <is>
          <t>HIV infection</t>
        </is>
      </c>
      <c r="M46" s="18" t="inlineStr">
        <is>
          <t>Clinic</t>
        </is>
      </c>
      <c r="N46" s="18" t="inlineStr">
        <is>
          <t>ข้อ 12.2 Mock Infectious RxCU84</t>
        </is>
      </c>
      <c r="O46" s="18" t="inlineStr">
        <is>
          <t>Mock</t>
        </is>
      </c>
      <c r="P46" s="18" t="inlineStr">
        <is>
          <t>Mock RxCU84</t>
        </is>
      </c>
    </row>
    <row r="47">
      <c r="A47" s="15" t="inlineStr">
        <is>
          <t>44</t>
        </is>
      </c>
      <c r="B47" s="18"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18" t="inlineStr"/>
      <c r="D47" s="18" t="inlineStr">
        <is>
          <t>Taenia solium</t>
        </is>
      </c>
      <c r="E47" s="18" t="inlineStr">
        <is>
          <t>Ancylostoma duodenale</t>
        </is>
      </c>
      <c r="F47" s="18" t="inlineStr">
        <is>
          <t>Enterobius vermicularis</t>
        </is>
      </c>
      <c r="G47" s="18" t="inlineStr">
        <is>
          <t>Ascaris lumbricoides</t>
        </is>
      </c>
      <c r="H47" s="18" t="inlineStr">
        <is>
          <t>Wuchereria bancrofti</t>
        </is>
      </c>
      <c r="I47" s="15" t="inlineStr">
        <is>
          <t>3</t>
        </is>
      </c>
      <c r="J47" s="18"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ข้อนี้ไม่ใช่คำตอบที่ถูกต้องสำหรับภาวะ Parasitic infections เนื่องจากกลไกการออกฤทธิ์, efficacy หรือข้อบ่งใช้ไม่ตรงกับโจทย์ที่กำหนด
• ข้อ ข. (Ancylostoma duodenale): ข้อนี้ไม่ใช่คำตอบที่ถูกต้องสำหรับภาวะ Parasitic infections เนื่องจากกลไกการออกฤทธิ์, efficacy หรือข้อบ่งใช้ไม่ตรงกับโจทย์ที่กำหนด
• ข้อ ง. (Ascaris lumbricoides): ข้อนี้ไม่ใช่คำตอบที่ถูกต้องสำหรับภาวะ Parasitic infections เนื่องจากกลไกการออกฤทธิ์, efficacy หรือข้อบ่งใช้ไม่ตรงกับโจทย์ที่กำหนด
• ข้อ จ. (Wuchereria bancrofti):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8" t="inlineStr"/>
      <c r="L47" s="18" t="inlineStr">
        <is>
          <t>Parasitic infections</t>
        </is>
      </c>
      <c r="M47" s="18" t="inlineStr">
        <is>
          <t>Clinic</t>
        </is>
      </c>
      <c r="N47" s="18" t="inlineStr">
        <is>
          <t>ข้อ 13.1 Mock Infectious RxCU84</t>
        </is>
      </c>
      <c r="O47" s="18" t="inlineStr">
        <is>
          <t>Mock</t>
        </is>
      </c>
      <c r="P47" s="18" t="inlineStr">
        <is>
          <t>Mock RxCU84</t>
        </is>
      </c>
    </row>
    <row r="48">
      <c r="A48" s="15" t="inlineStr">
        <is>
          <t>45</t>
        </is>
      </c>
      <c r="B48" s="18"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18" t="inlineStr"/>
      <c r="D48" s="18" t="inlineStr">
        <is>
          <t>ล้างมือก่อนรับประทานอาหารทุกครั้ง</t>
        </is>
      </c>
      <c r="E48" s="18" t="inlineStr">
        <is>
          <t>ตัดเล็บมือให้สั้น</t>
        </is>
      </c>
      <c r="F48" s="18" t="inlineStr">
        <is>
          <t>ซักผ้าปูที่นอนทุกวัน</t>
        </is>
      </c>
      <c r="G48" s="18" t="inlineStr">
        <is>
          <t>สวมรองเท้าขณะทำงานหรือเดินบนพื้นดิน</t>
        </is>
      </c>
      <c r="H48" s="18" t="inlineStr">
        <is>
          <t>หลีกเลี่ยงการรับประทานปลาน้ำจืด</t>
        </is>
      </c>
      <c r="I48" s="15" t="inlineStr">
        <is>
          <t>4</t>
        </is>
      </c>
      <c r="J48" s="18"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ข้อนี้ไม่ใช่คำตอบที่ถูกต้องสำหรับภาวะ HIV infection เนื่องจากกลไกการออกฤทธิ์, efficacy หรือข้อบ่งใช้ไม่ตรงกับโจทย์ที่กำหนด
• ข้อ ข. (ตัดเล็บมือให้สั้น): ข้อนี้ไม่ใช่คำตอบที่ถูกต้องสำหรับภาวะ HIV infection เนื่องจากกลไกการออกฤทธิ์, efficacy หรือข้อบ่งใช้ไม่ตรงกับโจทย์ที่กำหนด
• ข้อ ค. (ซักผ้าปูที่นอนทุกวัน): ข้อนี้ไม่ใช่คำตอบที่ถูกต้องสำหรับภาวะ HIV infection เนื่องจากกลไกการออกฤทธิ์, efficacy หรือข้อบ่งใช้ไม่ตรงกับโจทย์ที่กำหนด
• ข้อ จ. (หลีกเลี่ยงการรับประทานปลาน้ำจืด):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18" t="inlineStr"/>
      <c r="L48" s="18" t="inlineStr">
        <is>
          <t>HIV infection</t>
        </is>
      </c>
      <c r="M48" s="18" t="inlineStr">
        <is>
          <t>Clinic</t>
        </is>
      </c>
      <c r="N48" s="18" t="inlineStr">
        <is>
          <t>ข้อ 13.2 Mock Infectious RxCU84</t>
        </is>
      </c>
      <c r="O48" s="18" t="inlineStr">
        <is>
          <t>Mock</t>
        </is>
      </c>
      <c r="P48" s="18" t="inlineStr">
        <is>
          <t>Mock RxCU84</t>
        </is>
      </c>
    </row>
    <row r="49">
      <c r="A49" s="15" t="inlineStr">
        <is>
          <t>46</t>
        </is>
      </c>
      <c r="B49" s="18"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18" t="inlineStr"/>
      <c r="D49" s="18" t="inlineStr">
        <is>
          <t>Enterobius vermicularis</t>
        </is>
      </c>
      <c r="E49" s="18" t="inlineStr">
        <is>
          <t>Taenia solium</t>
        </is>
      </c>
      <c r="F49" s="18" t="inlineStr">
        <is>
          <t>Ascaris lumbricoides</t>
        </is>
      </c>
      <c r="G49" s="18" t="inlineStr">
        <is>
          <t>Wuchereria bancrofti</t>
        </is>
      </c>
      <c r="H49" s="18" t="inlineStr">
        <is>
          <t>Hookworm</t>
        </is>
      </c>
      <c r="I49" s="15" t="inlineStr">
        <is>
          <t>3</t>
        </is>
      </c>
      <c r="J49" s="18"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ข้อนี้ไม่ใช่คำตอบที่ถูกต้องสำหรับภาวะ Parasitic infections เนื่องจากกลไกการออกฤทธิ์, efficacy หรือข้อบ่งใช้ไม่ตรงกับโจทย์ที่กำหนด
• ข้อ ข. (Taenia solium): ข้อนี้ไม่ใช่คำตอบที่ถูกต้องสำหรับภาวะ Parasitic infections เนื่องจากกลไกการออกฤทธิ์, efficacy หรือข้อบ่งใช้ไม่ตรงกับโจทย์ที่กำหนด
• ข้อ ง. (Wuchereria bancrofti): ข้อนี้ไม่ใช่คำตอบที่ถูกต้องสำหรับภาวะ Parasitic infections เนื่องจากกลไกการออกฤทธิ์, efficacy หรือข้อบ่งใช้ไม่ตรงกับโจทย์ที่กำหนด
• ข้อ จ. (Hookworm):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8" t="inlineStr"/>
      <c r="L49" s="18" t="inlineStr">
        <is>
          <t>Parasitic infections</t>
        </is>
      </c>
      <c r="M49" s="18" t="inlineStr">
        <is>
          <t>Clinic</t>
        </is>
      </c>
      <c r="N49" s="18" t="inlineStr">
        <is>
          <t>ข้อ 13.3 Mock Infectious RxCU84</t>
        </is>
      </c>
      <c r="O49" s="18" t="inlineStr">
        <is>
          <t>Mock</t>
        </is>
      </c>
      <c r="P49" s="18" t="inlineStr">
        <is>
          <t>Mock RxCU84</t>
        </is>
      </c>
    </row>
    <row r="50">
      <c r="A50" s="15" t="inlineStr">
        <is>
          <t>47</t>
        </is>
      </c>
      <c r="B50" s="18"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18" t="inlineStr"/>
      <c r="D50" s="18" t="inlineStr">
        <is>
          <t>หลีกเลี่ยงการรับประทานเนื้อหมูดิบหรือปรุงไม่สุก</t>
        </is>
      </c>
      <c r="E50" s="18" t="inlineStr">
        <is>
          <t>สวมรองเท้าทุกครั้งเมื่อออกจากบ้าน</t>
        </is>
      </c>
      <c r="F50" s="18" t="inlineStr">
        <is>
          <t>หลีกเลี่ยงการรับประทานปลาน้ำจืด</t>
        </is>
      </c>
      <c r="G50" s="18" t="inlineStr">
        <is>
          <t>ล้างมือหลังเข้าห้องน้ำเท่านั้น</t>
        </is>
      </c>
      <c r="H50" s="18" t="inlineStr">
        <is>
          <t>หลีกเลี่ยงการสัมผัสสุนัขและแมว</t>
        </is>
      </c>
      <c r="I50" s="15" t="inlineStr">
        <is>
          <t>1</t>
        </is>
      </c>
      <c r="J50" s="18"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ข้อนี้ไม่ใช่คำตอบที่ถูกต้องสำหรับภาวะ Parasitic infections เนื่องจากกลไกการออกฤทธิ์, efficacy หรือข้อบ่งใช้ไม่ตรงกับโจทย์ที่กำหนด
• ข้อ ค. (หลีกเลี่ยงการรับประทานปลาน้ำจืด): ข้อนี้ไม่ใช่คำตอบที่ถูกต้องสำหรับภาวะ Parasitic infections เนื่องจากกลไกการออกฤทธิ์, efficacy หรือข้อบ่งใช้ไม่ตรงกับโจทย์ที่กำหนด
• ข้อ ง. (ล้างมือหลังเข้าห้องน้ำเท่านั้น): ข้อนี้ไม่ใช่คำตอบที่ถูกต้องสำหรับภาวะ Parasitic infections เนื่องจากกลไกการออกฤทธิ์, efficacy หรือข้อบ่งใช้ไม่ตรงกับโจทย์ที่กำหนด
• ข้อ จ. (หลีกเลี่ยงการสัมผัสสุนัขและแมว):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8" t="inlineStr"/>
      <c r="L50" s="18" t="inlineStr">
        <is>
          <t>Parasitic infections</t>
        </is>
      </c>
      <c r="M50" s="18" t="inlineStr">
        <is>
          <t>Clinic</t>
        </is>
      </c>
      <c r="N50" s="18" t="inlineStr">
        <is>
          <t>ข้อ 13.4 Mock Infectious RxCU84</t>
        </is>
      </c>
      <c r="O50" s="18" t="inlineStr">
        <is>
          <t>Mock</t>
        </is>
      </c>
      <c r="P50" s="18" t="inlineStr">
        <is>
          <t>Mock RxCU84</t>
        </is>
      </c>
    </row>
    <row r="51">
      <c r="A51" s="15" t="inlineStr">
        <is>
          <t>48</t>
        </is>
      </c>
      <c r="B51" s="18"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18" t="inlineStr"/>
      <c r="D51" s="18" t="inlineStr">
        <is>
          <t>รับประทานยาซ้ำในวันถัดไป</t>
        </is>
      </c>
      <c r="E51" s="18" t="inlineStr">
        <is>
          <t>รับประทานยาซ้ำหลัง 2 สัปดาห์</t>
        </is>
      </c>
      <c r="F51" s="18" t="inlineStr">
        <is>
          <t>สวมรองเท้าตลอดเวลา</t>
        </is>
      </c>
      <c r="G51" s="18" t="inlineStr">
        <is>
          <t>หลีกเลี่ยงการรับประทานเนื้อหมู</t>
        </is>
      </c>
      <c r="H51" s="18" t="inlineStr">
        <is>
          <t>หลีกเลี่ยงการรับประทานปลาน้ำจืด</t>
        </is>
      </c>
      <c r="I51" s="15" t="inlineStr">
        <is>
          <t>2</t>
        </is>
      </c>
      <c r="J51" s="18"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ข้อนี้ไม่ใช่คำตอบที่ถูกต้องสำหรับภาวะ Parasitic infections เนื่องจากกลไกการออกฤทธิ์, efficacy หรือข้อบ่งใช้ไม่ตรงกับโจทย์ที่กำหนด
• ข้อ ค. (สวมรองเท้าตลอดเวลา): ข้อนี้ไม่ใช่คำตอบที่ถูกต้องสำหรับภาวะ Parasitic infections เนื่องจากกลไกการออกฤทธิ์, efficacy หรือข้อบ่งใช้ไม่ตรงกับโจทย์ที่กำหนด
• ข้อ ง. (หลีกเลี่ยงการรับประทานเนื้อหมู): ข้อนี้ไม่ใช่คำตอบที่ถูกต้องสำหรับภาวะ Parasitic infections เนื่องจากกลไกการออกฤทธิ์, efficacy หรือข้อบ่งใช้ไม่ตรงกับโจทย์ที่กำหนด
• ข้อ จ. (หลีกเลี่ยงการรับประทานปลาน้ำจืด):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8" t="inlineStr"/>
      <c r="L51" s="18" t="inlineStr">
        <is>
          <t>Parasitic infections</t>
        </is>
      </c>
      <c r="M51" s="18" t="inlineStr">
        <is>
          <t>Clinic</t>
        </is>
      </c>
      <c r="N51" s="18" t="inlineStr">
        <is>
          <t>ข้อ 13.5 Mock Infectious RxCU84</t>
        </is>
      </c>
      <c r="O51" s="18" t="inlineStr">
        <is>
          <t>Mock</t>
        </is>
      </c>
      <c r="P51" s="18" t="inlineStr">
        <is>
          <t>Mock RxCU84</t>
        </is>
      </c>
    </row>
    <row r="52">
      <c r="A52" s="15" t="inlineStr">
        <is>
          <t>49</t>
        </is>
      </c>
      <c r="B52" s="18"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18" t="inlineStr"/>
      <c r="D52" s="18" t="inlineStr">
        <is>
          <t>Primary infection จาก Varicella-Zoster Virus (VZV)</t>
        </is>
      </c>
      <c r="E52" s="18" t="inlineStr">
        <is>
          <t>Recurrent episode ของ Herpes Labialis จาก Herpes Simplex Virus type 1 (HSV-1)</t>
        </is>
      </c>
      <c r="F52" s="18" t="inlineStr">
        <is>
          <t>Genital Herpes จาก Herpes Simplex Virus type 2 (HSV-2)</t>
        </is>
      </c>
      <c r="G52" s="18" t="inlineStr">
        <is>
          <t>Impetigo จากการติดเชื้อ Staphylococcus aureus</t>
        </is>
      </c>
      <c r="H52" s="18" t="inlineStr">
        <is>
          <t>Common Warts จาก Human Papillomavirus (HPV)</t>
        </is>
      </c>
      <c r="I52" s="15" t="inlineStr">
        <is>
          <t>2</t>
        </is>
      </c>
      <c r="J52" s="18"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ข้อนี้ไม่ใช่คำตอบที่ถูกต้องสำหรับภาวะ HIV infection เนื่องจากกลไกการออกฤทธิ์, efficacy หรือข้อบ่งใช้ไม่ตรงกับโจทย์ที่กำหนด
• ข้อ ค. (Genital Herpes จาก Herpes Simplex Virus type 2 (HSV-2)): ข้อนี้ไม่ใช่คำตอบที่ถูกต้องสำหรับภาวะ HIV infection เนื่องจากกลไกการออกฤทธิ์, efficacy หรือข้อบ่งใช้ไม่ตรงกับโจทย์ที่กำหนด
• ข้อ ง. (Impetigo จากการติดเชื้อ Staphylococcus aureus): ข้อนี้ไม่ใช่คำตอบที่ถูกต้องสำหรับภาวะ HIV infection เนื่องจากกลไกการออกฤทธิ์, efficacy หรือข้อบ่งใช้ไม่ตรงกับโจทย์ที่กำหนด
• ข้อ จ. (Common Warts จาก Human Papillomavirus (HPV)): วัคซีนเอชพีวีป้องกันมะเร็งปากมดลูก แนะนำฉีดในเด็กอายุ 9-14 ปี (ให้ 2 เข็ม ห่างกัน 6 เดือน)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18" t="inlineStr"/>
      <c r="L52" s="18" t="inlineStr">
        <is>
          <t>HIV infection</t>
        </is>
      </c>
      <c r="M52" s="18" t="inlineStr">
        <is>
          <t>Clinic</t>
        </is>
      </c>
      <c r="N52" s="18" t="inlineStr">
        <is>
          <t>ข้อ 15.1 Mock Infectious RxCU84</t>
        </is>
      </c>
      <c r="O52" s="18" t="inlineStr">
        <is>
          <t>Mock</t>
        </is>
      </c>
      <c r="P52" s="18" t="inlineStr">
        <is>
          <t>Mock RxCU84</t>
        </is>
      </c>
    </row>
    <row r="53">
      <c r="A53" s="15" t="inlineStr">
        <is>
          <t>50</t>
        </is>
      </c>
      <c r="B53" s="18"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18" t="inlineStr"/>
      <c r="D53" s="18" t="inlineStr">
        <is>
          <t>สามารถใช้ครีม Topical Corticosteroid ทาบริเวณแผลเพื่อลดอาการปวดแสบปวดร้อนได้ทันที</t>
        </is>
      </c>
      <c r="E53" s="18" t="inlineStr">
        <is>
          <t>หลีกเลี่ยงแสงแดด ความเครียด และการนอนดึก เนื่องจากเป็นปัจจัยกระตุ้นให้โรคกลับเป็นซ้ำ</t>
        </is>
      </c>
      <c r="F53" s="18" t="inlineStr">
        <is>
          <t>เมื่อแผลแห้งตกสะเก็ดแล้ว เชื้อไวรัสจะถูกกำจัดออกจากร่างกายจนหมด ไม่กลับมาเป็นอีก</t>
        </is>
      </c>
      <c r="G53" s="18" t="inlineStr">
        <is>
          <t>สามารถใช้ลิปมัน หรือภาชนะใส่อาหารร่วมกับผู้อื่นได้ตามปกติเพราะไม่มีการแพร่เชื้อทางสัมผัส</t>
        </is>
      </c>
      <c r="H53" s="18" t="inlineStr">
        <is>
          <t>หากแผลตกสะเก็ดช้า แนะนำให้แกะสะเก็ดออกเพื่อสะกิดตุ่มน้ำให้แห้งเร็วขึ้น</t>
        </is>
      </c>
      <c r="I53" s="15" t="inlineStr">
        <is>
          <t>2</t>
        </is>
      </c>
      <c r="J53" s="18"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ข้อนี้ไม่ใช่คำตอบที่ถูกต้องสำหรับภาวะ HIV infection เนื่องจากกลไกการออกฤทธิ์, efficacy หรือข้อบ่งใช้ไม่ตรงกับโจทย์ที่กำหนด
• ข้อ ค. (เมื่อแผลแห้งตกสะเก็ดแล้ว เชื้อไวรัสจะถูกกำจัดออกจากร่างกายจนหมด ไม่กลับมาเป็นอีก): ข้อนี้ไม่ใช่คำตอบที่ถูกต้องสำหรับภาวะ HIV infection เนื่องจากกลไกการออกฤทธิ์, efficacy หรือข้อบ่งใช้ไม่ตรงกับโจทย์ที่กำหนด
• ข้อ ง. (สามารถใช้ลิปมัน หรือภาชนะใส่อาหารร่วมกับผู้อื่นได้ตามปกติเพราะไม่มีการแพร่เชื้อทางสัมผัส): ข้อนี้ไม่ใช่คำตอบที่ถูกต้องสำหรับภาวะ HIV infection เนื่องจากกลไกการออกฤทธิ์, efficacy หรือข้อบ่งใช้ไม่ตรงกับโจทย์ที่กำหนด
• ข้อ จ. (หากแผลตกสะเก็ดช้า แนะนำให้แกะสะเก็ดออกเพื่อสะกิดตุ่มน้ำให้แห้งเร็วขึ้น):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18" t="inlineStr"/>
      <c r="L53" s="18" t="inlineStr">
        <is>
          <t>HIV infection</t>
        </is>
      </c>
      <c r="M53" s="18" t="inlineStr">
        <is>
          <t>Clinic</t>
        </is>
      </c>
      <c r="N53" s="18" t="inlineStr">
        <is>
          <t>ข้อ 15.2 Mock Infectious RxCU84</t>
        </is>
      </c>
      <c r="O53" s="18" t="inlineStr">
        <is>
          <t>Mock</t>
        </is>
      </c>
      <c r="P53" s="18" t="inlineStr">
        <is>
          <t>Mock RxCU84</t>
        </is>
      </c>
    </row>
    <row r="54">
      <c r="A54" s="15" t="inlineStr">
        <is>
          <t>51</t>
        </is>
      </c>
      <c r="B54" s="18"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18" t="inlineStr"/>
      <c r="D54" s="18" t="inlineStr">
        <is>
          <t>เหมาะสมที่สุด: Acyclovir 5% cream / ห้ามใช้: Mupirocin ointment</t>
        </is>
      </c>
      <c r="E54" s="18" t="inlineStr">
        <is>
          <t>เหมาะสมที่สุด: Acyclovir 5% cream / ห้ามใช้: Topical Corticosteroid</t>
        </is>
      </c>
      <c r="F54" s="18" t="inlineStr">
        <is>
          <t>เหมาะสมที่สุด: Topical Corticosteroid / ห้ามใช้: Acyclovir 5% cream</t>
        </is>
      </c>
      <c r="G54" s="18" t="inlineStr">
        <is>
          <t>เหมาะสมที่สุด: Clotrimazole cream / ห้ามใช้: Topical Corticosteroid</t>
        </is>
      </c>
      <c r="H54" s="18" t="inlineStr">
        <is>
          <t>เหมาะสมที่สุด: Calamine lotion / ห้ามใช้: Docosanol cream</t>
        </is>
      </c>
      <c r="I54" s="15" t="inlineStr">
        <is>
          <t>2</t>
        </is>
      </c>
      <c r="J54" s="18"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เป็น Guanosine analog ยับยั้ง HSV และ VZV polymerase ต้องดื่มน้ำมากๆ ระหว่างได้ยา IV เพื่อป้องกัน crystal nephropathy และ obstructive AKI
• ข้อ ค. (เหมาะสมที่สุด: Topical Corticosteroid / ห้ามใช้: Acyclovir 5% cream): เป็น Guanosine analog ยับยั้ง HSV และ VZV polymerase ต้องดื่มน้ำมากๆ ระหว่างได้ยา IV เพื่อป้องกัน crystal nephropathy และ obstructive AKI
• ข้อ ง. (เหมาะสมที่สุด: Clotrimazole cream / ห้ามใช้: Topical Corticosteroid): ข้อนี้ไม่ใช่คำตอบที่ถูกต้องสำหรับภาวะ HIV infection เนื่องจากกลไกการออกฤทธิ์, efficacy หรือข้อบ่งใช้ไม่ตรงกับโจทย์ที่กำหนด
• ข้อ จ. (เหมาะสมที่สุด: Calamine lotion / ห้ามใช้: Docosanol cream):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18" t="inlineStr"/>
      <c r="L54" s="18" t="inlineStr">
        <is>
          <t>HIV infection</t>
        </is>
      </c>
      <c r="M54" s="18" t="inlineStr">
        <is>
          <t>Clinic</t>
        </is>
      </c>
      <c r="N54" s="18" t="inlineStr">
        <is>
          <t>ข้อ 15.3 Mock Infectious RxCU84</t>
        </is>
      </c>
      <c r="O54" s="18" t="inlineStr">
        <is>
          <t>Mock</t>
        </is>
      </c>
      <c r="P54" s="18" t="inlineStr">
        <is>
          <t>Mock RxCU84</t>
        </is>
      </c>
    </row>
    <row r="55">
      <c r="A55" s="15" t="inlineStr">
        <is>
          <t>52</t>
        </is>
      </c>
      <c r="B55" s="18"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18" t="inlineStr"/>
      <c r="D55" s="18" t="inlineStr">
        <is>
          <t>ห้ามทานยา Acyclovir พร้อมกับ Losartan เด็ดขาด เพราะจะทำให้ความดันโลหิตลดต่ำลงอย่างรุนแรง</t>
        </is>
      </c>
      <c r="E55" s="18"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18" t="inlineStr">
        <is>
          <t>ยา Acyclovir อาจทำให้ระดับโพแทสเซียมในเลือดสูงขึ้น ควรหลีกเลี่ยงการทานกล้วยหรือส้มร่วมกับยา Losartan</t>
        </is>
      </c>
      <c r="G55" s="18" t="inlineStr">
        <is>
          <t>แนะนำให้หยุดยา HCTZ ชั่วคราวเป็นเวลา 7 วัน จนกว่าจะทานยา Acyclovir หมด เพื่อป้องกันตับอักเสบ</t>
        </is>
      </c>
      <c r="H55" s="18" t="inlineStr">
        <is>
          <t>ยา Acyclovir จะไปลดฤทธิ์ของยาความดันโลหิตทั้งสองตัว แนะนำให้วัดความดันโลหิตทุกวัน</t>
        </is>
      </c>
      <c r="I55" s="15" t="inlineStr">
        <is>
          <t>2</t>
        </is>
      </c>
      <c r="J55" s="18"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18" t="inlineStr"/>
      <c r="L55" s="18" t="inlineStr">
        <is>
          <t>HIV infection</t>
        </is>
      </c>
      <c r="M55" s="18" t="inlineStr">
        <is>
          <t>Clinic</t>
        </is>
      </c>
      <c r="N55" s="18" t="inlineStr">
        <is>
          <t>ข้อ 15.4 Mock Infectious RxCU84</t>
        </is>
      </c>
      <c r="O55" s="18" t="inlineStr">
        <is>
          <t>Mock</t>
        </is>
      </c>
      <c r="P55" s="18" t="inlineStr">
        <is>
          <t>Mock RxCU84</t>
        </is>
      </c>
    </row>
    <row r="56">
      <c r="A56" s="15" t="inlineStr">
        <is>
          <t>53</t>
        </is>
      </c>
      <c r="B56" s="18"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18" t="inlineStr"/>
      <c r="D56" s="18" t="inlineStr">
        <is>
          <t>สามารถหอมแก้มหลานได้ทันที เพราะเมื่อตุ่มน้ำแตกออก เชื้อไวรัสจะถูกทำลายไปทั้งหมด</t>
        </is>
      </c>
      <c r="E56" s="18"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18"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18" t="inlineStr">
        <is>
          <t>เชื้อเริมสามารถแพร่ไปยังผู้อื่นได้เฉพาะผู้ที่มีภูมิคุ้มกันบกพร่องเท่านั้น เด็กวัย 2 ขวบมีภูมิคุ้มกันสูงจึงไม่ติดเชื้อแน่นอน</t>
        </is>
      </c>
      <c r="H56" s="18" t="inlineStr">
        <is>
          <t>แนะนำให้หลานสาวรับประทานยา Acyclovir 200 mg วันละครั้งล่วงหน้าเพื่อป้องกันการติดเชื้อ (Post-contact prophylaxis)</t>
        </is>
      </c>
      <c r="I56" s="15" t="inlineStr">
        <is>
          <t>3</t>
        </is>
      </c>
      <c r="J56" s="18"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ข้อนี้ไม่ใช่คำตอบที่ถูกต้องสำหรับภาวะ HIV infection เนื่องจากกลไกการออกฤทธิ์, efficacy หรือข้อบ่งใช้ไม่ตรงกับโจทย์ที่กำหนด
• ข้อ ข. (สามารถหอมแก้มได้ตามปกติ เพราะเชื้อ HSV-1 แพร่กระจายผ่านทางละอองฝุ่นในอากาศ (Airborne) เท่านั้น ไม่ได้ติดผ่านการสัมผัส): ข้อนี้ไม่ใช่คำตอบที่ถูกต้องสำหรับภาวะ HIV infection เนื่องจากกลไกการออกฤทธิ์, efficacy หรือข้อบ่งใช้ไม่ตรงกับโจทย์ที่กำหนด
• ข้อ ง. (เชื้อเริมสามารถแพร่ไปยังผู้อื่นได้เฉพาะผู้ที่มีภูมิคุ้มกันบกพร่องเท่านั้น เด็กวัย 2 ขวบมีภูมิคุ้มกันสูงจึงไม่ติดเชื้อแน่นอน):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(แนะนำให้หลานสาวรับประทานยา Acyclovir 200 mg วันละครั้งล่วงหน้าเพื่อป้องกันการติดเชื้อ (Post-contact prophylaxis)):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18" t="inlineStr"/>
      <c r="L56" s="18" t="inlineStr">
        <is>
          <t>HIV infection</t>
        </is>
      </c>
      <c r="M56" s="18" t="inlineStr">
        <is>
          <t>Clinic</t>
        </is>
      </c>
      <c r="N56" s="18" t="inlineStr">
        <is>
          <t>ข้อ 15.5 Mock Infectious RxCU84</t>
        </is>
      </c>
      <c r="O56" s="18" t="inlineStr">
        <is>
          <t>Mock</t>
        </is>
      </c>
      <c r="P56" s="18" t="inlineStr">
        <is>
          <t>Mock RxCU84</t>
        </is>
      </c>
    </row>
    <row r="57">
      <c r="A57" s="15" t="inlineStr">
        <is>
          <t>54</t>
        </is>
      </c>
      <c r="B57" s="18"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18" t="inlineStr"/>
      <c r="D57" s="18" t="inlineStr">
        <is>
          <t>Candidal intertrigo — เพราะมีผื่นแดงคัน</t>
        </is>
      </c>
      <c r="E57" s="18" t="inlineStr">
        <is>
          <t>Tinea pedis interdigital type — เพราะคันที่ง่ามนิ้วเท้า ผิวลอก ในคนที่สวมรองเท้าปิดนาน เหงื่อออกมาก</t>
        </is>
      </c>
      <c r="F57" s="18" t="inlineStr">
        <is>
          <t>Erythrasma — เพราะพบบ่อยที่ง่ามนิ้วเท้าเช่นกัน</t>
        </is>
      </c>
      <c r="G57" s="18" t="inlineStr">
        <is>
          <t>Contact dermatitis — เพราะเริ่มเป็นเฉียบพลันเมื่อวาน</t>
        </is>
      </c>
      <c r="H57" s="18" t="inlineStr">
        <is>
          <t>Psoriasis vulgaris — เพราะมีขุยสีเงินหนาตัว</t>
        </is>
      </c>
      <c r="I57" s="15" t="inlineStr">
        <is>
          <t>2</t>
        </is>
      </c>
      <c r="J57" s="18"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ข้อนี้ไม่ใช่คำตอบที่ถูกต้องสำหรับภาวะ HIV infection เนื่องจากกลไกการออกฤทธิ์, efficacy หรือข้อบ่งใช้ไม่ตรงกับโจทย์ที่กำหนด
• ข้อ ค. (Erythrasma — เพราะพบบ่อยที่ง่ามนิ้วเท้าเช่นกัน): ข้อนี้ไม่ใช่คำตอบที่ถูกต้องสำหรับภาวะ HIV infection เนื่องจากกลไกการออกฤทธิ์, efficacy หรือข้อบ่งใช้ไม่ตรงกับโจทย์ที่กำหนด
• ข้อ ง. (Contact dermatitis — เพราะเริ่มเป็นเฉียบพลันเมื่อวาน): ข้อนี้ไม่ใช่คำตอบที่ถูกต้องสำหรับภาวะ HIV infection เนื่องจากกลไกการออกฤทธิ์, efficacy หรือข้อบ่งใช้ไม่ตรงกับโจทย์ที่กำหนด
• ข้อ จ. (Psoriasis vulgaris — เพราะมีขุยสีเงินหนาตัว):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18" t="inlineStr"/>
      <c r="L57" s="18" t="inlineStr">
        <is>
          <t>HIV infection</t>
        </is>
      </c>
      <c r="M57" s="18" t="inlineStr">
        <is>
          <t>Clinic</t>
        </is>
      </c>
      <c r="N57" s="18" t="inlineStr">
        <is>
          <t>ข้อ 16.1 Mock Infectious RxCU84</t>
        </is>
      </c>
      <c r="O57" s="18" t="inlineStr">
        <is>
          <t>Mock</t>
        </is>
      </c>
      <c r="P57" s="18" t="inlineStr">
        <is>
          <t>Mock RxCU84</t>
        </is>
      </c>
    </row>
    <row r="58">
      <c r="A58" s="15" t="inlineStr">
        <is>
          <t>55</t>
        </is>
      </c>
      <c r="B58" s="18"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18" t="inlineStr"/>
      <c r="D58" s="18" t="inlineStr">
        <is>
          <t>Wood's lamp — คาดว่าเรืองแสงสีเขียว</t>
        </is>
      </c>
      <c r="E58" s="18" t="inlineStr">
        <is>
          <t>Tzanck smear — คาดว่าพบ multinucleated giant cell</t>
        </is>
      </c>
      <c r="F58" s="18" t="inlineStr">
        <is>
          <t>KOH preparation จากบริเวณขุยที่ผื่น — คาดว่าพบ septate branching hyphae</t>
        </is>
      </c>
      <c r="G58" s="18" t="inlineStr">
        <is>
          <t>Gram stain — คาดว่าพบ gram-positive cocci</t>
        </is>
      </c>
      <c r="H58" s="18" t="inlineStr">
        <is>
          <t>Dark-field microscopy — คาดว่าพบ motile spirochetes</t>
        </is>
      </c>
      <c r="I58" s="15" t="inlineStr">
        <is>
          <t>3</t>
        </is>
      </c>
      <c r="J58" s="18"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ข้อนี้ไม่ใช่คำตอบที่ถูกต้องสำหรับภาวะ HIV infection เนื่องจากกลไกการออกฤทธิ์, efficacy หรือข้อบ่งใช้ไม่ตรงกับโจทย์ที่กำหนด
• ข้อ ข. (Tzanck smear — คาดว่าพบ multinucleated giant cell): ข้อนี้ไม่ใช่คำตอบที่ถูกต้องสำหรับภาวะ HIV infection เนื่องจากกลไกการออกฤทธิ์, efficacy หรือข้อบ่งใช้ไม่ตรงกับโจทย์ที่กำหนด
• ข้อ ง. (Gram stain — คาดว่าพบ gram-positive cocci): ข้อนี้ไม่ใช่คำตอบที่ถูกต้องสำหรับภาวะ HIV infection เนื่องจากกลไกการออกฤทธิ์, efficacy หรือข้อบ่งใช้ไม่ตรงกับโจทย์ที่กำหนด
• ข้อ จ. (Dark-field microscopy — คาดว่าพบ motile spirochetes):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18" t="inlineStr"/>
      <c r="L58" s="18" t="inlineStr">
        <is>
          <t>HIV infection</t>
        </is>
      </c>
      <c r="M58" s="18" t="inlineStr">
        <is>
          <t>Clinic</t>
        </is>
      </c>
      <c r="N58" s="18" t="inlineStr">
        <is>
          <t>ข้อ 16.2 Mock Infectious RxCU84</t>
        </is>
      </c>
      <c r="O58" s="18" t="inlineStr">
        <is>
          <t>Mock</t>
        </is>
      </c>
      <c r="P58" s="18" t="inlineStr">
        <is>
          <t>Mock RxCU84</t>
        </is>
      </c>
    </row>
    <row r="59">
      <c r="A59" s="15" t="inlineStr">
        <is>
          <t>56</t>
        </is>
      </c>
      <c r="B59" s="18"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18" t="inlineStr"/>
      <c r="D59" s="18" t="inlineStr">
        <is>
          <t>Itraconazole 200 มก. รับประทานวันละครั้ง นาน 7 วัน</t>
        </is>
      </c>
      <c r="E59" s="18" t="inlineStr">
        <is>
          <t>Terbinafine 1% cream ทาวันละครั้ง นาน 2-4 สัปดาห์</t>
        </is>
      </c>
      <c r="F59" s="18" t="inlineStr">
        <is>
          <t>Prednisolone cream ทาวันละ 2 ครั้ง นาน 1 สัปดาห์</t>
        </is>
      </c>
      <c r="G59" s="18" t="inlineStr">
        <is>
          <t>Ketoconazole 200 มก. รับประทานวันละครั้ง นาน 2-4 สัปดาห์</t>
        </is>
      </c>
      <c r="H59" s="18" t="inlineStr">
        <is>
          <t>Griseofulvin 500 มก. รับประทานวันละ 1 ครั้ง นาน 4-6 สัปดาห์</t>
        </is>
      </c>
      <c r="I59" s="15" t="inlineStr">
        <is>
          <t>2</t>
        </is>
      </c>
      <c r="J59" s="18"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(Prednisolone cream ทาวันละ 2 ครั้ง นาน 1 สัปดาห์): เป็น intermediate-acting systemic corticosteroid ขนาดยอดนิยมสำหรับ immunosuppressive &amp; anti-inflammatory therapy ต้องระวัง Cushingoid, infection, osteoporosis, peptic ulcer
• ข้อ ง. (Ketoconazole 200 มก. รับประทานวันละครั้ง นาน 2-4 สัปดาห์): ข้อนี้ไม่ใช่คำตอบที่ถูกต้องสำหรับภาวะ HIV infection เนื่องจากกลไกการออกฤทธิ์, efficacy หรือข้อบ่งใช้ไม่ตรงกับโจทย์ที่กำหนด
• ข้อ จ. (Griseofulvin 500 มก. รับประทานวันละ 1 ครั้ง นาน 4-6 สัปดาห์):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18" t="inlineStr"/>
      <c r="L59" s="18" t="inlineStr">
        <is>
          <t>HIV infection</t>
        </is>
      </c>
      <c r="M59" s="18" t="inlineStr">
        <is>
          <t>Clinic</t>
        </is>
      </c>
      <c r="N59" s="18" t="inlineStr">
        <is>
          <t>ข้อ 16.3 Mock Infectious RxCU84</t>
        </is>
      </c>
      <c r="O59" s="18" t="inlineStr">
        <is>
          <t>Mock</t>
        </is>
      </c>
      <c r="P59" s="18" t="inlineStr">
        <is>
          <t>Mock RxCU84</t>
        </is>
      </c>
    </row>
    <row r="60">
      <c r="A60" s="15" t="inlineStr">
        <is>
          <t>57</t>
        </is>
      </c>
      <c r="B60" s="18"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18" t="inlineStr"/>
      <c r="D60" s="18" t="inlineStr">
        <is>
          <t>เช็ดเท้าให้แห้งสนิทโดยเฉพาะซอกนิ้วเท้าหลังอาบน้ำทุกครั้ง</t>
        </is>
      </c>
      <c r="E60" s="18" t="inlineStr">
        <is>
          <t>สวมถุงเท้าชนิดดูดซับความชื้นได้ดี และเปลี่ยนถุงเท้าบ่อยๆ</t>
        </is>
      </c>
      <c r="F60" s="18" t="inlineStr">
        <is>
          <t>ใช้แป้งโรยเท้า/รองเท้า/ถุงเท้าที่ผสมยาต้านเชื้อราเป็นประจำเพื่อลดการกลับเป็นซ้ำ</t>
        </is>
      </c>
      <c r="G60" s="18" t="inlineStr">
        <is>
          <t>ทายาต่อเนื่องจนกว่าอาการคันจะหายไป แล้วหยุดยาได้ทันที</t>
        </is>
      </c>
      <c r="H60" s="18" t="inlineStr">
        <is>
          <t>หลีกเลี่ยงการสวมใส่รองเท้าที่คับหรืออับชื้นเกินไป</t>
        </is>
      </c>
      <c r="I60" s="15" t="inlineStr">
        <is>
          <t>4</t>
        </is>
      </c>
      <c r="J60" s="18"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ข้อนี้ไม่ใช่คำตอบที่ถูกต้องสำหรับภาวะ HIV infection เนื่องจากกลไกการออกฤทธิ์, efficacy หรือข้อบ่งใช้ไม่ตรงกับโจทย์ที่กำหนด
• ข้อ ข. (สวมถุงเท้าชนิดดูดซับความชื้นได้ดี และเปลี่ยนถุงเท้าบ่อยๆ): ข้อนี้ไม่ใช่คำตอบที่ถูกต้องสำหรับภาวะ HIV infection เนื่องจากกลไกการออกฤทธิ์, efficacy หรือข้อบ่งใช้ไม่ตรงกับโจทย์ที่กำหนด
• ข้อ ค. (ใช้แป้งโรยเท้า/รองเท้า/ถุงเท้าที่ผสมยาต้านเชื้อราเป็นประจำเพื่อลดการกลับเป็นซ้ำ): ข้อนี้ไม่ใช่คำตอบที่ถูกต้องสำหรับภาวะ HIV infection เนื่องจากกลไกการออกฤทธิ์, efficacy หรือข้อบ่งใช้ไม่ตรงกับโจทย์ที่กำหนด
• ข้อ จ. (หลีกเลี่ยงการสวมใส่รองเท้าที่คับหรืออับชื้นเกินไป):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18" t="inlineStr"/>
      <c r="L60" s="18" t="inlineStr">
        <is>
          <t>HIV infection</t>
        </is>
      </c>
      <c r="M60" s="18" t="inlineStr">
        <is>
          <t>Clinic</t>
        </is>
      </c>
      <c r="N60" s="18" t="inlineStr">
        <is>
          <t>ข้อ 16.4 Mock Infectious RxCU84</t>
        </is>
      </c>
      <c r="O60" s="18" t="inlineStr">
        <is>
          <t>Mock</t>
        </is>
      </c>
      <c r="P60" s="18" t="inlineStr">
        <is>
          <t>Mock RxCU84</t>
        </is>
      </c>
    </row>
    <row r="61">
      <c r="A61" s="15" t="inlineStr">
        <is>
          <t>58</t>
        </is>
      </c>
      <c r="B61" s="18"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18" t="inlineStr"/>
      <c r="D61" s="18" t="inlineStr">
        <is>
          <t>เพิ่มความถี่การทา terbinafine cream เป็นวันละ 3 ครั้ง</t>
        </is>
      </c>
      <c r="E61" s="18" t="inlineStr">
        <is>
          <t>เปลี่ยนเป็น topical steroid ร่วมกับ antifungal cream เดิม</t>
        </is>
      </c>
      <c r="F61" s="18" t="inlineStr">
        <is>
          <t>เปลี่ยนเป็น oral antifungal เนื่องจากเข้าลักษณะ moccasin-type tinea pedis ที่ตอบสนองต่อยาทาไม่ดี</t>
        </is>
      </c>
      <c r="G61" s="18" t="inlineStr">
        <is>
          <t>หยุดยาทาทันทีเพราะน่าจะเป็นการแพ้ยา</t>
        </is>
      </c>
      <c r="H61" s="18" t="inlineStr">
        <is>
          <t>เปลี่ยนเป็นยาทา Ketoconazole cream ทาร่วมกับ Clotrimazole powder</t>
        </is>
      </c>
      <c r="I61" s="15" t="inlineStr">
        <is>
          <t>3</t>
        </is>
      </c>
      <c r="J61" s="18"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ข้อนี้ไม่ใช่คำตอบที่ถูกต้องสำหรับภาวะ HIV infection เนื่องจากกลไกการออกฤทธิ์, efficacy หรือข้อบ่งใช้ไม่ตรงกับโจทย์ที่กำหนด
• ข้อ ข. (เปลี่ยนเป็น topical steroid ร่วมกับ antifungal cream เดิม): ข้อนี้ไม่ใช่คำตอบที่ถูกต้องสำหรับภาวะ HIV infection เนื่องจากกลไกการออกฤทธิ์, efficacy หรือข้อบ่งใช้ไม่ตรงกับโจทย์ที่กำหนด
• ข้อ ง. (หยุดยาทาทันทีเพราะน่าจะเป็นการแพ้ยา): ข้อนี้ไม่ใช่คำตอบที่ถูกต้องสำหรับภาวะ HIV infection เนื่องจากกลไกการออกฤทธิ์, efficacy หรือข้อบ่งใช้ไม่ตรงกับโจทย์ที่กำหนด
• ข้อ จ. (เปลี่ยนเป็นยาทา Ketoconazole cream ทาร่วมกับ Clotrimazole powder):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18" t="inlineStr"/>
      <c r="L61" s="18" t="inlineStr">
        <is>
          <t>HIV infection</t>
        </is>
      </c>
      <c r="M61" s="18" t="inlineStr">
        <is>
          <t>Clinic</t>
        </is>
      </c>
      <c r="N61" s="18" t="inlineStr">
        <is>
          <t>ข้อ 16.5 Mock Infectious RxCU84</t>
        </is>
      </c>
      <c r="O61" s="18" t="inlineStr">
        <is>
          <t>Mock</t>
        </is>
      </c>
      <c r="P61" s="18" t="inlineStr">
        <is>
          <t>Mock RxCU84</t>
        </is>
      </c>
    </row>
    <row r="62">
      <c r="A62" s="15" t="inlineStr">
        <is>
          <t>1</t>
        </is>
      </c>
      <c r="B62" s="18" t="inlineStr">
        <is>
          <t>Sulfonamide เป็น competitive antagonist ของสารใด</t>
        </is>
      </c>
      <c r="C62" s="18" t="inlineStr"/>
      <c r="D62" s="18" t="inlineStr">
        <is>
          <t>PABA</t>
        </is>
      </c>
      <c r="E62" s="18" t="inlineStr">
        <is>
          <t>PAS</t>
        </is>
      </c>
      <c r="F62" s="18" t="inlineStr">
        <is>
          <t>Folic acid</t>
        </is>
      </c>
      <c r="G62" s="18" t="inlineStr">
        <is>
          <t>Vitamin B5</t>
        </is>
      </c>
      <c r="H62" s="18" t="inlineStr">
        <is>
          <t>THF</t>
        </is>
      </c>
      <c r="I62" s="15" t="inlineStr">
        <is>
          <t>2</t>
        </is>
      </c>
      <c r="J62" s="18"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ข้อนี้ไม่ใช่คำตอบที่ถูกต้องสำหรับภาวะ HIV infection เนื่องจากกลไกการออกฤทธิ์, efficacy หรือข้อบ่งใช้ไม่ตรงกับโจทย์ที่กำหนด
• ข้อ ค. (Folic acid): ข้อนี้ไม่ใช่คำตอบที่ถูกต้องสำหรับภาวะ HIV infection เนื่องจากกลไกการออกฤทธิ์, efficacy หรือข้อบ่งใช้ไม่ตรงกับโจทย์ที่กำหนด
• ข้อ ง. (Vitamin B5): ข้อนี้ไม่ใช่คำตอบที่ถูกต้องสำหรับภาวะ HIV infection เนื่องจากกลไกการออกฤทธิ์, efficacy หรือข้อบ่งใช้ไม่ตรงกับโจทย์ที่กำหนด
• ข้อ จ. (THF):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18" t="inlineStr"/>
      <c r="L62" s="18" t="inlineStr">
        <is>
          <t>HIV infection</t>
        </is>
      </c>
      <c r="M62" s="18" t="inlineStr">
        <is>
          <t>Clinic</t>
        </is>
      </c>
      <c r="N62" s="18" t="inlineStr">
        <is>
          <t>ข้อ 1 ชุด 1 (เฉลยข้อ ข)</t>
        </is>
      </c>
      <c r="O62" s="18" t="inlineStr">
        <is>
          <t>Mock</t>
        </is>
      </c>
      <c r="P62" s="18" t="inlineStr">
        <is>
          <t>ชุด 1</t>
        </is>
      </c>
    </row>
    <row r="63">
      <c r="A63" s="15" t="inlineStr">
        <is>
          <t>1</t>
        </is>
      </c>
      <c r="B63" s="1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18" t="inlineStr"/>
      <c r="D63" s="18" t="inlineStr">
        <is>
          <t>Pityriasis versicolor</t>
        </is>
      </c>
      <c r="E63" s="18" t="inlineStr">
        <is>
          <t>Candidiasis</t>
        </is>
      </c>
      <c r="F63" s="18" t="inlineStr">
        <is>
          <t>Psoriasis</t>
        </is>
      </c>
      <c r="G63" s="18" t="inlineStr">
        <is>
          <t>Tinea pedis</t>
        </is>
      </c>
      <c r="H63" s="18" t="inlineStr">
        <is>
          <t>Tinea corporis</t>
        </is>
      </c>
      <c r="I63" s="15" t="inlineStr">
        <is>
          <t>2</t>
        </is>
      </c>
      <c r="J63" s="18"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ข้อนี้ไม่ใช่คำตอบที่ถูกต้องสำหรับภาวะ HIV infection เนื่องจากกลไกการออกฤทธิ์, efficacy หรือข้อบ่งใช้ไม่ตรงกับโจทย์ที่กำหนด
• ข้อ ค. (Psoriasis): ข้อนี้ไม่ใช่คำตอบที่ถูกต้องสำหรับภาวะ HIV infection เนื่องจากกลไกการออกฤทธิ์, efficacy หรือข้อบ่งใช้ไม่ตรงกับโจทย์ที่กำหนด
• ข้อ ง. (Tinea pedis): ข้อนี้ไม่ใช่คำตอบที่ถูกต้องสำหรับภาวะ HIV infection เนื่องจากกลไกการออกฤทธิ์, efficacy หรือข้อบ่งใช้ไม่ตรงกับโจทย์ที่กำหนด
• ข้อ จ. (Tinea corporis):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18" t="inlineStr"/>
      <c r="L63" s="18" t="inlineStr">
        <is>
          <t>HIV infection</t>
        </is>
      </c>
      <c r="M63" s="18" t="inlineStr">
        <is>
          <t>Clinic</t>
        </is>
      </c>
      <c r="N63" s="18" t="inlineStr">
        <is>
          <t>ข้อ 1 ชุด 1 (เฉลยข้อ ข)</t>
        </is>
      </c>
      <c r="O63" s="18" t="inlineStr">
        <is>
          <t>Mock</t>
        </is>
      </c>
      <c r="P63" s="18" t="inlineStr">
        <is>
          <t>ชุด 1</t>
        </is>
      </c>
    </row>
    <row r="64">
      <c r="A64" s="15" t="inlineStr">
        <is>
          <t>1</t>
        </is>
      </c>
      <c r="B64" s="18"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18" t="inlineStr"/>
      <c r="D64" s="18" t="inlineStr">
        <is>
          <t>เริ่มใช้ GPO-vir ทันที</t>
        </is>
      </c>
      <c r="E64" s="18" t="inlineStr">
        <is>
          <t>เริ่มให้ GPO-vir เมื่อ CD4 &lt; 200 cell/mm³</t>
        </is>
      </c>
      <c r="F64" s="18" t="inlineStr">
        <is>
          <t>เริ่ม GPO-vir เมื่ออายุครรภ์ 28 สัปดาห์</t>
        </is>
      </c>
      <c r="G64" s="18" t="inlineStr">
        <is>
          <t>เริ่ม AZT ทันทีเมื่ออายุครรภ์ 28 สัปดาห์</t>
        </is>
      </c>
      <c r="H64" s="18" t="inlineStr">
        <is>
          <t>เริ่มให้ TDF + 3TC + EFV ทันที</t>
        </is>
      </c>
      <c r="I64" s="15" t="inlineStr">
        <is>
          <t>2</t>
        </is>
      </c>
      <c r="J64" s="18"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ข้อนี้ไม่ใช่คำตอบที่ถูกต้องสำหรับภาวะ HIV infection เนื่องจากกลไกการออกฤทธิ์, efficacy หรือข้อบ่งใช้ไม่ตรงกับโจทย์ที่กำหนด
• ข้อ ค. (เริ่ม GPO-vir เมื่ออายุครรภ์ 28 สัปดาห์): ข้อนี้ไม่ใช่คำตอบที่ถูกต้องสำหรับภาวะ HIV infection เนื่องจากกลไกการออกฤทธิ์, efficacy หรือข้อบ่งใช้ไม่ตรงกับโจทย์ที่กำหนด
• ข้อ ง. (เริ่ม AZT ทันทีเมื่ออายุครรภ์ 28 สัปดาห์): ข้อนี้ไม่ใช่คำตอบที่ถูกต้องสำหรับภาวะ HIV infection เนื่องจากกลไกการออกฤทธิ์, efficacy หรือข้อบ่งใช้ไม่ตรงกับโจทย์ที่กำหนด
• ข้อ จ. (เริ่มให้ TDF + 3TC + EFV ทันที):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18" t="inlineStr"/>
      <c r="L64" s="18" t="inlineStr">
        <is>
          <t>HIV infection</t>
        </is>
      </c>
      <c r="M64" s="18" t="inlineStr">
        <is>
          <t>Clinic</t>
        </is>
      </c>
      <c r="N64" s="18" t="inlineStr">
        <is>
          <t>ข้อ 1 ชุด 1 (เฉลยข้อ ข)</t>
        </is>
      </c>
      <c r="O64" s="18" t="inlineStr">
        <is>
          <t>Mock</t>
        </is>
      </c>
      <c r="P64" s="18" t="inlineStr">
        <is>
          <t>ชุด 1</t>
        </is>
      </c>
    </row>
    <row r="65">
      <c r="A65" s="15" t="inlineStr">
        <is>
          <t>1</t>
        </is>
      </c>
      <c r="B65" s="18"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18" t="inlineStr"/>
      <c r="D65" s="18" t="inlineStr">
        <is>
          <t>พยาธิตัวตืด</t>
        </is>
      </c>
      <c r="E65" s="18" t="inlineStr">
        <is>
          <t>พยาธิปากขอ</t>
        </is>
      </c>
      <c r="F65" s="18" t="inlineStr">
        <is>
          <t>พยาธิเส้นด้าย</t>
        </is>
      </c>
      <c r="G65" s="18" t="inlineStr">
        <is>
          <t>พยาธิใบไม้</t>
        </is>
      </c>
      <c r="H65" s="18" t="inlineStr">
        <is>
          <t>พยาธิเท้าช้าง</t>
        </is>
      </c>
      <c r="I65" s="15" t="inlineStr">
        <is>
          <t>2</t>
        </is>
      </c>
      <c r="J65" s="18"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ค. (พยาธิเส้นด้าย): ข้อนี้ไม่ใช่คำตอบที่ถูกต้องสำหรับภาวะ Parasitic infections เนื่องจากกลไกการออกฤทธิ์, efficacy หรือข้อบ่งใช้ไม่ตรงกับโจทย์ที่กำหนด
• ข้อ ง. (พยาธิใบไม้):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8" t="inlineStr"/>
      <c r="L65" s="18" t="inlineStr">
        <is>
          <t>Parasitic infections</t>
        </is>
      </c>
      <c r="M65" s="18" t="inlineStr">
        <is>
          <t>Clinic</t>
        </is>
      </c>
      <c r="N65" s="18" t="inlineStr">
        <is>
          <t>ข้อ 1 ชุด 1 (เฉลยข้อ ข)</t>
        </is>
      </c>
      <c r="O65" s="18" t="inlineStr">
        <is>
          <t>Mock</t>
        </is>
      </c>
      <c r="P65" s="18" t="inlineStr">
        <is>
          <t>ชุด 1</t>
        </is>
      </c>
    </row>
    <row r="66">
      <c r="A66" s="15" t="inlineStr">
        <is>
          <t>2</t>
        </is>
      </c>
      <c r="B66" s="18" t="inlineStr">
        <is>
          <t>ยาทาสิวที่เป็น antibiotic</t>
        </is>
      </c>
      <c r="C66" s="18" t="inlineStr"/>
      <c r="D66" s="18" t="inlineStr">
        <is>
          <t>Clindamycin</t>
        </is>
      </c>
      <c r="E66" s="18" t="inlineStr">
        <is>
          <t>Erythromycin</t>
        </is>
      </c>
      <c r="F66" s="18" t="inlineStr">
        <is>
          <t>Tretinoin</t>
        </is>
      </c>
      <c r="G66" s="18" t="inlineStr">
        <is>
          <t>ก ข</t>
        </is>
      </c>
      <c r="H66" s="18" t="inlineStr">
        <is>
          <t>ก ข ค</t>
        </is>
      </c>
      <c r="I66" s="15" t="inlineStr">
        <is>
          <t>3</t>
        </is>
      </c>
      <c r="J66" s="18"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ข้อนี้ไม่ใช่คำตอบที่ถูกต้องสำหรับภาวะ HIV infection เนื่องจากกลไกการออกฤทธิ์, efficacy หรือข้อบ่งใช้ไม่ตรงกับโจทย์ที่กำหนด
• ข้อ ข. (Erythromycin): ข้อนี้ไม่ใช่คำตอบที่ถูกต้องสำหรับภาวะ HIV infection เนื่องจากกลไกการออกฤทธิ์, efficacy หรือข้อบ่งใช้ไม่ตรงกับโจทย์ที่กำหนด
• ข้อ ง. (ก ข): ข้อนี้ไม่ใช่คำตอบที่ถูกต้องสำหรับภาวะ HIV infection เนื่องจากกลไกการออกฤทธิ์, efficacy หรือข้อบ่งใช้ไม่ตรงกับโจทย์ที่กำหนด
• ข้อ จ. (ก ข ค):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18" t="inlineStr"/>
      <c r="L66" s="18" t="inlineStr">
        <is>
          <t>HIV infection</t>
        </is>
      </c>
      <c r="M66" s="18" t="inlineStr">
        <is>
          <t>Clinic</t>
        </is>
      </c>
      <c r="N66" s="18" t="inlineStr">
        <is>
          <t>ข้อ 2 ชุด 1 (เฉลยข้อ ค)</t>
        </is>
      </c>
      <c r="O66" s="18" t="inlineStr">
        <is>
          <t>Mock</t>
        </is>
      </c>
      <c r="P66" s="18" t="inlineStr">
        <is>
          <t>ชุด 1</t>
        </is>
      </c>
    </row>
    <row r="67">
      <c r="A67" s="15" t="inlineStr">
        <is>
          <t>2</t>
        </is>
      </c>
      <c r="B67" s="1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18" t="inlineStr"/>
      <c r="D67" s="18" t="inlineStr">
        <is>
          <t>Trichophyton rubrum</t>
        </is>
      </c>
      <c r="E67" s="18" t="inlineStr">
        <is>
          <t>Epidermophyton floccousm</t>
        </is>
      </c>
      <c r="F67" s="18" t="inlineStr">
        <is>
          <t>Microsporum gypseum</t>
        </is>
      </c>
      <c r="G67" s="18" t="inlineStr">
        <is>
          <t>Malassezia furfur</t>
        </is>
      </c>
      <c r="H67" s="18" t="inlineStr">
        <is>
          <t>Candida albicans</t>
        </is>
      </c>
      <c r="I67" s="15" t="inlineStr">
        <is>
          <t>3</t>
        </is>
      </c>
      <c r="J67" s="18"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ข้อนี้ไม่ใช่คำตอบที่ถูกต้องสำหรับภาวะ HIV infection เนื่องจากกลไกการออกฤทธิ์, efficacy หรือข้อบ่งใช้ไม่ตรงกับโจทย์ที่กำหนด
• ข้อ ข. (Epidermophyton floccousm): ข้อนี้ไม่ใช่คำตอบที่ถูกต้องสำหรับภาวะ HIV infection เนื่องจากกลไกการออกฤทธิ์, efficacy หรือข้อบ่งใช้ไม่ตรงกับโจทย์ที่กำหนด
• ข้อ ง. (Malassezia furfur): ข้อนี้ไม่ใช่คำตอบที่ถูกต้องสำหรับภาวะ HIV infection เนื่องจากกลไกการออกฤทธิ์, efficacy หรือข้อบ่งใช้ไม่ตรงกับโจทย์ที่กำหนด
• ข้อ จ. (Candida albicans):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18" t="inlineStr"/>
      <c r="L67" s="18" t="inlineStr">
        <is>
          <t>HIV infection</t>
        </is>
      </c>
      <c r="M67" s="18" t="inlineStr">
        <is>
          <t>Clinic</t>
        </is>
      </c>
      <c r="N67" s="18" t="inlineStr">
        <is>
          <t>ข้อ 2 ชุด 1 (เฉลยข้อ ค)</t>
        </is>
      </c>
      <c r="O67" s="18" t="inlineStr">
        <is>
          <t>Mock</t>
        </is>
      </c>
      <c r="P67" s="18" t="inlineStr">
        <is>
          <t>ชุด 1</t>
        </is>
      </c>
    </row>
    <row r="68">
      <c r="A68" s="15" t="inlineStr">
        <is>
          <t>2</t>
        </is>
      </c>
      <c r="B68" s="18" t="inlineStr">
        <is>
          <t>N3 หรือ Azido group จากโครงสร้างของ AZT มีผลทำให้เกิดสิ่งใด</t>
        </is>
      </c>
      <c r="C68" s="18" t="inlineStr"/>
      <c r="D68" s="18" t="inlineStr">
        <is>
          <t>เพิ่มค่าครึ่งชีวิตให้ยาวขึ้น</t>
        </is>
      </c>
      <c r="E68" s="18" t="inlineStr">
        <is>
          <t>เพิ่มการดูดซึม</t>
        </is>
      </c>
      <c r="F68" s="18" t="inlineStr">
        <is>
          <t>เพิ่มการออกฤทธิ์</t>
        </is>
      </c>
      <c r="G68" s="18" t="inlineStr">
        <is>
          <t>มีผลต่อการตั้งสูตรตำรับ</t>
        </is>
      </c>
      <c r="H68" s="18" t="inlineStr">
        <is>
          <t>เพิ่มความสามารถในการจับกับโปรตีน albumin</t>
        </is>
      </c>
      <c r="I68" s="15" t="inlineStr">
        <is>
          <t>3</t>
        </is>
      </c>
      <c r="J68" s="18"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ข้อนี้ไม่ใช่คำตอบที่ถูกต้องสำหรับภาวะ HIV infection เนื่องจากกลไกการออกฤทธิ์, efficacy หรือข้อบ่งใช้ไม่ตรงกับโจทย์ที่กำหนด
• ข้อ ข. (เพิ่มการดูดซึม): ข้อนี้ไม่ใช่คำตอบที่ถูกต้องสำหรับภาวะ HIV infection เนื่องจากกลไกการออกฤทธิ์, efficacy หรือข้อบ่งใช้ไม่ตรงกับโจทย์ที่กำหนด
• ข้อ ง. (มีผลต่อการตั้งสูตรตำรับ): ข้อนี้ไม่ใช่คำตอบที่ถูกต้องสำหรับภาวะ HIV infection เนื่องจากกลไกการออกฤทธิ์, efficacy หรือข้อบ่งใช้ไม่ตรงกับโจทย์ที่กำหนด
• ข้อ จ. (เพิ่มความสามารถในการจับกับโปรตีน albumin):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18" t="inlineStr"/>
      <c r="L68" s="18" t="inlineStr">
        <is>
          <t>HIV infection</t>
        </is>
      </c>
      <c r="M68" s="18" t="inlineStr">
        <is>
          <t>Clinic</t>
        </is>
      </c>
      <c r="N68" s="18" t="inlineStr">
        <is>
          <t>ข้อ 2 ชุด 1 (เฉลยข้อ ค)</t>
        </is>
      </c>
      <c r="O68" s="18" t="inlineStr">
        <is>
          <t>Mock</t>
        </is>
      </c>
      <c r="P68" s="18" t="inlineStr">
        <is>
          <t>ชุด 1</t>
        </is>
      </c>
    </row>
    <row r="69">
      <c r="A69" s="15" t="inlineStr">
        <is>
          <t>2</t>
        </is>
      </c>
      <c r="B69" s="18"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18" t="inlineStr"/>
      <c r="D69" s="18" t="inlineStr">
        <is>
          <t>Praziquantel 5-25 mg/kg/day po once</t>
        </is>
      </c>
      <c r="E69" s="18" t="inlineStr">
        <is>
          <t>Niclosamide 2 g single dose</t>
        </is>
      </c>
      <c r="F69" s="18" t="inlineStr">
        <is>
          <t>Albendazole 400 mg single dose</t>
        </is>
      </c>
      <c r="G69" s="18" t="inlineStr">
        <is>
          <t>Mebendazole 500 mg single dose</t>
        </is>
      </c>
      <c r="H69" s="18" t="inlineStr">
        <is>
          <t>ได้ทั้งข้อ ก และ ข้อ ข</t>
        </is>
      </c>
      <c r="I69" s="15" t="inlineStr">
        <is>
          <t>3</t>
        </is>
      </c>
      <c r="J69" s="1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ข้อนี้ไม่ใช่คำตอบที่ถูกต้องสำหรับภาวะ Parasitic infections เนื่องจากกลไกการออกฤทธิ์, efficacy หรือข้อบ่งใช้ไม่ตรงกับโจทย์ที่กำหนด
• ข้อ ข. (Niclosamide 2 g single dose): ข้อนี้ไม่ใช่คำตอบที่ถูกต้องสำหรับภาวะ Parasitic infections เนื่องจากกลไกการออกฤทธิ์, efficacy หรือข้อบ่งใช้ไม่ตรงกับโจทย์ที่กำหนด
• ข้อ ง. (Mebendazole 500 mg single dose): ข้อนี้ไม่ใช่คำตอบที่ถูกต้องสำหรับภาวะ Parasitic infections เนื่องจากกลไกการออกฤทธิ์, efficacy หรือข้อบ่งใช้ไม่ตรงกับโจทย์ที่กำหนด
• ข้อ จ. (ได้ทั้งข้อ ก และ ข้อ ข):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8" t="inlineStr"/>
      <c r="L69" s="18" t="inlineStr">
        <is>
          <t>Parasitic infections</t>
        </is>
      </c>
      <c r="M69" s="18" t="inlineStr">
        <is>
          <t>Clinic</t>
        </is>
      </c>
      <c r="N69" s="18" t="inlineStr">
        <is>
          <t>ข้อ 2 ชุด 1 (เฉลยข้อ ค)</t>
        </is>
      </c>
      <c r="O69" s="18" t="inlineStr">
        <is>
          <t>Mock</t>
        </is>
      </c>
      <c r="P69" s="18" t="inlineStr">
        <is>
          <t>ชุด 1</t>
        </is>
      </c>
    </row>
    <row r="70">
      <c r="A70" s="15" t="inlineStr">
        <is>
          <t>3</t>
        </is>
      </c>
      <c r="B70" s="18" t="inlineStr">
        <is>
          <t>การกินยากลุ่ม quinolone ร่วมกับนมมีผลอย่างไร</t>
        </is>
      </c>
      <c r="C70" s="18" t="inlineStr"/>
      <c r="D70" s="18" t="inlineStr">
        <is>
          <t>เพิ่มการดูดซึมเพราะนมมันจะไป ต่อเยื่อบุทางเดินอาหาร ทำให้การดูดซึมง่ายขึ้น</t>
        </is>
      </c>
      <c r="E70" s="18" t="inlineStr">
        <is>
          <t>ลดการดูดซึม เพราะนมมันจะไป ต่อเยื่อบุทางเดินอาหาร ทำให้การดูดซึมยากขึ้น</t>
        </is>
      </c>
      <c r="F70" s="18" t="inlineStr">
        <is>
          <t>เพิ่มการดูดซึม เพราะ นมมันไป chelate กับยาทำให้การละลายเพิ่มขึ้น</t>
        </is>
      </c>
      <c r="G70" s="18" t="inlineStr">
        <is>
          <t>ลดการดูดซึม เพราะ นมมันไป chelate กับยาทำให้การละลายลดลง</t>
        </is>
      </c>
      <c r="H70" s="18" t="inlineStr">
        <is>
          <t>นมไม่มีผลต่อการดูดซึม</t>
        </is>
      </c>
      <c r="I70" s="15" t="inlineStr">
        <is>
          <t>4</t>
        </is>
      </c>
      <c r="J70" s="18"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ข้อนี้ไม่ใช่คำตอบที่ถูกต้องสำหรับภาวะ HIV infection เนื่องจากกลไกการออกฤทธิ์, efficacy หรือข้อบ่งใช้ไม่ตรงกับโจทย์ที่กำหนด
• ข้อ ข. (ลดการดูดซึม เพราะนมมันจะไป ต่อเยื่อบุทางเดินอาหาร ทำให้การดูดซึมยากขึ้น): ข้อนี้ไม่ใช่คำตอบที่ถูกต้องสำหรับภาวะ HIV infection เนื่องจากกลไกการออกฤทธิ์, efficacy หรือข้อบ่งใช้ไม่ตรงกับโจทย์ที่กำหนด
• ข้อ ค. (เพิ่มการดูดซึม เพราะ นมมันไป chelate กับยาทำให้การละลายเพิ่มขึ้น): ข้อนี้ไม่ใช่คำตอบที่ถูกต้องสำหรับภาวะ HIV infection เนื่องจากกลไกการออกฤทธิ์, efficacy หรือข้อบ่งใช้ไม่ตรงกับโจทย์ที่กำหนด
• ข้อ จ. (นมไม่มีผลต่อการดูดซึม):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18" t="inlineStr"/>
      <c r="L70" s="18" t="inlineStr">
        <is>
          <t>HIV infection</t>
        </is>
      </c>
      <c r="M70" s="18" t="inlineStr">
        <is>
          <t>Clinic</t>
        </is>
      </c>
      <c r="N70" s="18" t="inlineStr">
        <is>
          <t>ข้อ 3 ชุด 1 (เฉลยข้อ ง)</t>
        </is>
      </c>
      <c r="O70" s="18" t="inlineStr">
        <is>
          <t>Mock</t>
        </is>
      </c>
      <c r="P70" s="18" t="inlineStr">
        <is>
          <t>ชุด 1</t>
        </is>
      </c>
    </row>
    <row r="71">
      <c r="A71" s="15" t="inlineStr">
        <is>
          <t>3</t>
        </is>
      </c>
      <c r="B71" s="1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18" t="inlineStr"/>
      <c r="D71" s="18" t="inlineStr">
        <is>
          <t>Nystatin</t>
        </is>
      </c>
      <c r="E71" s="18" t="inlineStr">
        <is>
          <t>Griseofulvin</t>
        </is>
      </c>
      <c r="F71" s="18" t="inlineStr">
        <is>
          <t>Clotrimazole</t>
        </is>
      </c>
      <c r="G71" s="18" t="inlineStr">
        <is>
          <t>Itraconazole</t>
        </is>
      </c>
      <c r="H71" s="18" t="inlineStr">
        <is>
          <t>Whitfield ointment</t>
        </is>
      </c>
      <c r="I71" s="15" t="inlineStr">
        <is>
          <t>4</t>
        </is>
      </c>
      <c r="J71" s="18"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ข้อนี้ไม่ใช่คำตอบที่ถูกต้องสำหรับภาวะ HIV infection เนื่องจากกลไกการออกฤทธิ์, efficacy หรือข้อบ่งใช้ไม่ตรงกับโจทย์ที่กำหนด
• ข้อ ข. (Griseofulvin): ข้อนี้ไม่ใช่คำตอบที่ถูกต้องสำหรับภาวะ HIV infection เนื่องจากกลไกการออกฤทธิ์, efficacy หรือข้อบ่งใช้ไม่ตรงกับโจทย์ที่กำหนด
• ข้อ ค. (Clotrimazole): ข้อนี้ไม่ใช่คำตอบที่ถูกต้องสำหรับภาวะ HIV infection เนื่องจากกลไกการออกฤทธิ์, efficacy หรือข้อบ่งใช้ไม่ตรงกับโจทย์ที่กำหนด
• ข้อ จ. (Whitfield ointment):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18" t="inlineStr"/>
      <c r="L71" s="18" t="inlineStr">
        <is>
          <t>HIV infection</t>
        </is>
      </c>
      <c r="M71" s="18" t="inlineStr">
        <is>
          <t>Clinic</t>
        </is>
      </c>
      <c r="N71" s="18" t="inlineStr">
        <is>
          <t>ข้อ 3 ชุด 1 (เฉลยข้อ ง)</t>
        </is>
      </c>
      <c r="O71" s="18" t="inlineStr">
        <is>
          <t>Mock</t>
        </is>
      </c>
      <c r="P71" s="18" t="inlineStr">
        <is>
          <t>ชุด 1</t>
        </is>
      </c>
    </row>
    <row r="72">
      <c r="A72" s="15" t="inlineStr">
        <is>
          <t>3</t>
        </is>
      </c>
      <c r="B72" s="18" t="inlineStr">
        <is>
          <t>ยา ARV ตัวใดไม่ควรใช้ในหญิงตั้งครรภ์ ไตรมาสที่ 3</t>
        </is>
      </c>
      <c r="C72" s="18" t="inlineStr"/>
      <c r="D72" s="18" t="inlineStr">
        <is>
          <t>Efavirenz</t>
        </is>
      </c>
      <c r="E72" s="18" t="inlineStr">
        <is>
          <t>Stavudine</t>
        </is>
      </c>
      <c r="F72" s="18" t="inlineStr">
        <is>
          <t>Nevirapine</t>
        </is>
      </c>
      <c r="G72" s="18" t="inlineStr">
        <is>
          <t>Lamivudine</t>
        </is>
      </c>
      <c r="H72" s="18" t="inlineStr">
        <is>
          <t>ไม่มีข้อใดถูก</t>
        </is>
      </c>
      <c r="I72" s="15" t="inlineStr">
        <is>
          <t>4</t>
        </is>
      </c>
      <c r="J72" s="18"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เป็น NNRTI ที่มี neuropsychiatric ADRs เด่น (ฝันร้าย เวียนศีรษะ ซึมเศร้า หลอน) จึงต้องแนะนำให้รับประทานก่อนนอนตอนท้องว่าง
• ข้อ ข. (Stavudine):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18" t="inlineStr"/>
      <c r="L72" s="18" t="inlineStr">
        <is>
          <t>HIV infection</t>
        </is>
      </c>
      <c r="M72" s="18" t="inlineStr">
        <is>
          <t>Clinic</t>
        </is>
      </c>
      <c r="N72" s="18" t="inlineStr">
        <is>
          <t>ข้อ 3 ชุด 1 (เฉลยข้อ ง)</t>
        </is>
      </c>
      <c r="O72" s="18" t="inlineStr">
        <is>
          <t>Mock</t>
        </is>
      </c>
      <c r="P72" s="18" t="inlineStr">
        <is>
          <t>ชุด 1</t>
        </is>
      </c>
    </row>
    <row r="73">
      <c r="A73" s="15" t="inlineStr">
        <is>
          <t>3</t>
        </is>
      </c>
      <c r="B73" s="18"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18" t="inlineStr"/>
      <c r="D73" s="18" t="inlineStr">
        <is>
          <t>ใช้รักษาการติดเชื้อพยาธิตัวกลมไม่ได้ผล</t>
        </is>
      </c>
      <c r="E73" s="18" t="inlineStr">
        <is>
          <t>ออกฤทธิ์เป็น cestocidal</t>
        </is>
      </c>
      <c r="F73" s="18" t="inlineStr">
        <is>
          <t>ฆ่าไข่พยาธิ (ovicide)</t>
        </is>
      </c>
      <c r="G73" s="18" t="inlineStr">
        <is>
          <t>ใช้รักษาการติดเชื้อพยาธิใบไม้ในตับได้</t>
        </is>
      </c>
      <c r="H73" s="18" t="inlineStr">
        <is>
          <t>ทำให้ง่วงนอน</t>
        </is>
      </c>
      <c r="I73" s="15" t="inlineStr">
        <is>
          <t>4</t>
        </is>
      </c>
      <c r="J73" s="18"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ข้อนี้ไม่ใช่คำตอบที่ถูกต้องสำหรับภาวะ Parasitic infections เนื่องจากกลไกการออกฤทธิ์, efficacy หรือข้อบ่งใช้ไม่ตรงกับโจทย์ที่กำหนด
• ข้อ ข. (ออกฤทธิ์เป็น cestocidal): ข้อนี้ไม่ใช่คำตอบที่ถูกต้องสำหรับภาวะ Parasitic infections เนื่องจากกลไกการออกฤทธิ์, efficacy หรือข้อบ่งใช้ไม่ตรงกับโจทย์ที่กำหนด
• ข้อ ค. (ฆ่าไข่พยาธิ (ovicide)): ข้อนี้ไม่ใช่คำตอบที่ถูกต้องสำหรับภาวะ Parasitic infections เนื่องจากกลไกการออกฤทธิ์, efficacy หรือข้อบ่งใช้ไม่ตรงกับโจทย์ที่กำหนด
• ข้อ จ. (ทำให้ง่วงนอน):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8" t="inlineStr"/>
      <c r="L73" s="18" t="inlineStr">
        <is>
          <t>Parasitic infections</t>
        </is>
      </c>
      <c r="M73" s="18" t="inlineStr">
        <is>
          <t>Clinic</t>
        </is>
      </c>
      <c r="N73" s="18" t="inlineStr">
        <is>
          <t>ข้อ 3 ชุด 1 (เฉลยข้อ ง)</t>
        </is>
      </c>
      <c r="O73" s="18" t="inlineStr">
        <is>
          <t>Mock</t>
        </is>
      </c>
      <c r="P73" s="18" t="inlineStr">
        <is>
          <t>ชุด 1</t>
        </is>
      </c>
    </row>
    <row r="74">
      <c r="A74" s="15" t="inlineStr">
        <is>
          <t>4</t>
        </is>
      </c>
      <c r="B74" s="18" t="inlineStr">
        <is>
          <t>ยา tetracycline เมื่อหมดอายุแล้วรับประทานจะทำให้เกิดอาการอะไร</t>
        </is>
      </c>
      <c r="C74" s="18" t="inlineStr"/>
      <c r="D74" s="18" t="inlineStr">
        <is>
          <t>Fanconi-like syndrome</t>
        </is>
      </c>
      <c r="E74" s="18" t="inlineStr">
        <is>
          <t>Megaloblastic anemia</t>
        </is>
      </c>
      <c r="F74" s="18" t="inlineStr">
        <is>
          <t>Pyogenic granuloma</t>
        </is>
      </c>
      <c r="G74" s="18" t="inlineStr">
        <is>
          <t>Dress syndrome</t>
        </is>
      </c>
      <c r="H74" s="18" t="inlineStr">
        <is>
          <t>Stevens-Johnson syndrome</t>
        </is>
      </c>
      <c r="I74" s="15" t="inlineStr">
        <is>
          <t>1</t>
        </is>
      </c>
      <c r="J74" s="18"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ข้อนี้ไม่ใช่คำตอบที่ถูกต้องสำหรับภาวะ HIV infection เนื่องจากกลไกการออกฤทธิ์, efficacy หรือข้อบ่งใช้ไม่ตรงกับโจทย์ที่กำหนด
• ข้อ ค. (Pyogenic granuloma): ข้อนี้ไม่ใช่คำตอบที่ถูกต้องสำหรับภาวะ HIV infection เนื่องจากกลไกการออกฤทธิ์, efficacy หรือข้อบ่งใช้ไม่ตรงกับโจทย์ที่กำหนด
• ข้อ ง. (Dress syndrome): ข้อนี้ไม่ใช่คำตอบที่ถูกต้องสำหรับภาวะ HIV infection เนื่องจากกลไกการออกฤทธิ์, efficacy หรือข้อบ่งใช้ไม่ตรงกับโจทย์ที่กำหนด
• ข้อ จ. (Stevens-Johnson syndrome):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18" t="inlineStr"/>
      <c r="L74" s="18" t="inlineStr">
        <is>
          <t>HIV infection</t>
        </is>
      </c>
      <c r="M74" s="18" t="inlineStr">
        <is>
          <t>Clinic</t>
        </is>
      </c>
      <c r="N74" s="18" t="inlineStr">
        <is>
          <t>ข้อ 4 ชุด 1 (เฉลยข้อ ก)</t>
        </is>
      </c>
      <c r="O74" s="18" t="inlineStr">
        <is>
          <t>Mock</t>
        </is>
      </c>
      <c r="P74" s="18" t="inlineStr">
        <is>
          <t>ชุด 1</t>
        </is>
      </c>
    </row>
    <row r="75">
      <c r="A75" s="15" t="inlineStr">
        <is>
          <t>4</t>
        </is>
      </c>
      <c r="B75" s="18"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18" t="inlineStr"/>
      <c r="D75" s="18" t="inlineStr">
        <is>
          <t>Tinea capitis</t>
        </is>
      </c>
      <c r="E75" s="18" t="inlineStr">
        <is>
          <t>Tinea corporis</t>
        </is>
      </c>
      <c r="F75" s="18" t="inlineStr">
        <is>
          <t>Tinea cruris</t>
        </is>
      </c>
      <c r="G75" s="18" t="inlineStr">
        <is>
          <t>Tinea faciei</t>
        </is>
      </c>
      <c r="H75" s="18" t="inlineStr">
        <is>
          <t>Tinea pedis</t>
        </is>
      </c>
      <c r="I75" s="15" t="inlineStr">
        <is>
          <t>1</t>
        </is>
      </c>
      <c r="J75" s="18"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ข้อนี้ไม่ใช่คำตอบที่ถูกต้องสำหรับภาวะ HIV infection เนื่องจากกลไกการออกฤทธิ์, efficacy หรือข้อบ่งใช้ไม่ตรงกับโจทย์ที่กำหนด
• ข้อ ค. (Tinea cruris): ข้อนี้ไม่ใช่คำตอบที่ถูกต้องสำหรับภาวะ HIV infection เนื่องจากกลไกการออกฤทธิ์, efficacy หรือข้อบ่งใช้ไม่ตรงกับโจทย์ที่กำหนด
• ข้อ ง. (Tinea faciei): ข้อนี้ไม่ใช่คำตอบที่ถูกต้องสำหรับภาวะ HIV infection เนื่องจากกลไกการออกฤทธิ์, efficacy หรือข้อบ่งใช้ไม่ตรงกับโจทย์ที่กำหนด
• ข้อ จ. (Tinea pedis):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18" t="inlineStr"/>
      <c r="L75" s="18" t="inlineStr">
        <is>
          <t>HIV infection</t>
        </is>
      </c>
      <c r="M75" s="18" t="inlineStr">
        <is>
          <t>Clinic</t>
        </is>
      </c>
      <c r="N75" s="18" t="inlineStr">
        <is>
          <t>ข้อ 4 ชุด 1 (เฉลยข้อ ก)</t>
        </is>
      </c>
      <c r="O75" s="18" t="inlineStr">
        <is>
          <t>Mock</t>
        </is>
      </c>
      <c r="P75" s="18" t="inlineStr">
        <is>
          <t>ชุด 1</t>
        </is>
      </c>
    </row>
    <row r="76">
      <c r="A76" s="15" t="inlineStr">
        <is>
          <t>4</t>
        </is>
      </c>
      <c r="B76" s="18" t="inlineStr">
        <is>
          <t>หากหญิงตั้งครรภ์รายนี้ได้รับยาตามสูตรที่แนะนำตั้งแต่เริ่มแรก เมื่อหญิงตั้งครรภ์ HIV ปวดท้องคลอดจะให้ยาอย่างไร</t>
        </is>
      </c>
      <c r="C76" s="18" t="inlineStr"/>
      <c r="D76" s="18" t="inlineStr">
        <is>
          <t>AZT q 3 hrs</t>
        </is>
      </c>
      <c r="E76" s="18" t="inlineStr">
        <is>
          <t>NVP q 3 hrs</t>
        </is>
      </c>
      <c r="F76" s="18" t="inlineStr">
        <is>
          <t>AZT OD + NVP q 3 hrs</t>
        </is>
      </c>
      <c r="G76" s="18" t="inlineStr">
        <is>
          <t>AZT q 3 hrs + NVP OD</t>
        </is>
      </c>
      <c r="H76" s="18" t="inlineStr">
        <is>
          <t>AZT + NVP q 3 hrs</t>
        </is>
      </c>
      <c r="I76" s="15" t="inlineStr">
        <is>
          <t>1</t>
        </is>
      </c>
      <c r="J76" s="18"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ข้อนี้ไม่ใช่คำตอบที่ถูกต้องสำหรับภาวะ HIV infection เนื่องจากกลไกการออกฤทธิ์, efficacy หรือข้อบ่งใช้ไม่ตรงกับโจทย์ที่กำหนด
• ข้อ ค. (AZT OD + NVP q 3 hrs): ข้อนี้ไม่ใช่คำตอบที่ถูกต้องสำหรับภาวะ HIV infection เนื่องจากกลไกการออกฤทธิ์, efficacy หรือข้อบ่งใช้ไม่ตรงกับโจทย์ที่กำหนด
• ข้อ ง. (AZT q 3 hrs + NVP OD): ข้อนี้ไม่ใช่คำตอบที่ถูกต้องสำหรับภาวะ HIV infection เนื่องจากกลไกการออกฤทธิ์, efficacy หรือข้อบ่งใช้ไม่ตรงกับโจทย์ที่กำหนด
• ข้อ จ. (AZT + NVP q 3 hrs):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18" t="inlineStr"/>
      <c r="L76" s="18" t="inlineStr">
        <is>
          <t>HIV infection</t>
        </is>
      </c>
      <c r="M76" s="18" t="inlineStr">
        <is>
          <t>Clinic</t>
        </is>
      </c>
      <c r="N76" s="18" t="inlineStr">
        <is>
          <t>ข้อ 4 ชุด 1 (เฉลยข้อ ก)</t>
        </is>
      </c>
      <c r="O76" s="18" t="inlineStr">
        <is>
          <t>Mock</t>
        </is>
      </c>
      <c r="P76" s="18" t="inlineStr">
        <is>
          <t>ชุด 1</t>
        </is>
      </c>
    </row>
    <row r="77">
      <c r="A77" s="15" t="inlineStr">
        <is>
          <t>4</t>
        </is>
      </c>
      <c r="B77" s="18"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18" t="inlineStr"/>
      <c r="D77" s="18" t="inlineStr">
        <is>
          <t>เคี้ยวยาให้ละเอียดก่อนกลืน</t>
        </is>
      </c>
      <c r="E77" s="18" t="inlineStr">
        <is>
          <t>กินยาระบายร่วมด้วย โดยกินหลัง Niclosamide 2 ชั่วโมง เพื่อป้องกัน Cysticercosis</t>
        </is>
      </c>
      <c r="F77" s="18" t="inlineStr">
        <is>
          <t>หลีกเลี่ยง alcohol ทั้งขณะกินยาหรือหลังกิน 1 วัน</t>
        </is>
      </c>
      <c r="G77" s="18" t="inlineStr">
        <is>
          <t>อาการข้างเคียง คือ คลื่นไส้ อาเจียน ถ่ายท้อง ไม่สบายท้อง</t>
        </is>
      </c>
      <c r="H77" s="18" t="inlineStr">
        <is>
          <t>Niclosamide ถูกดูดซึมในลำไส้ได้ดี</t>
        </is>
      </c>
      <c r="I77" s="15" t="inlineStr">
        <is>
          <t>1</t>
        </is>
      </c>
      <c r="J77" s="18"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ข้อนี้ไม่ใช่คำตอบที่ถูกต้องสำหรับภาวะ Parasitic infections เนื่องจากกลไกการออกฤทธิ์, efficacy หรือข้อบ่งใช้ไม่ตรงกับโจทย์ที่กำหนด
• ข้อ ค. (หลีกเลี่ยง alcohol ทั้งขณะกินยาหรือหลังกิน 1 วัน): ข้อนี้ไม่ใช่คำตอบที่ถูกต้องสำหรับภาวะ Parasitic infections เนื่องจากกลไกการออกฤทธิ์, efficacy หรือข้อบ่งใช้ไม่ตรงกับโจทย์ที่กำหนด
• ข้อ ง. (อาการข้างเคียง คือ คลื่นไส้ อาเจียน ถ่ายท้อง ไม่สบายท้อง): ข้อนี้ไม่ใช่คำตอบที่ถูกต้องสำหรับภาวะ Parasitic infections เนื่องจากกลไกการออกฤทธิ์, efficacy หรือข้อบ่งใช้ไม่ตรงกับโจทย์ที่กำหนด
• ข้อ จ. (Niclosamide ถูกดูดซึมในลำไส้ได้ดี):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8" t="inlineStr"/>
      <c r="L77" s="18" t="inlineStr">
        <is>
          <t>Parasitic infections</t>
        </is>
      </c>
      <c r="M77" s="18" t="inlineStr">
        <is>
          <t>Clinic</t>
        </is>
      </c>
      <c r="N77" s="18" t="inlineStr">
        <is>
          <t>ข้อ 4 ชุด 1 (เฉลยข้อ ก)</t>
        </is>
      </c>
      <c r="O77" s="18" t="inlineStr">
        <is>
          <t>Mock</t>
        </is>
      </c>
      <c r="P77" s="18" t="inlineStr">
        <is>
          <t>ชุด 1</t>
        </is>
      </c>
    </row>
    <row r="78">
      <c r="A78" s="15" t="inlineStr">
        <is>
          <t>5</t>
        </is>
      </c>
      <c r="B78" s="18" t="inlineStr">
        <is>
          <t>ยาในกลุ่ม quinolone มีกลไกการออกฤทธิ์เป็นอย่างไร</t>
        </is>
      </c>
      <c r="C78" s="18" t="inlineStr"/>
      <c r="D78" s="18" t="inlineStr">
        <is>
          <t>ขัดขวางการสร้างผนังเซลล์</t>
        </is>
      </c>
      <c r="E78" s="18" t="inlineStr">
        <is>
          <t>ขัดขวางการสร้างผนังหุ้มเซลล์</t>
        </is>
      </c>
      <c r="F78" s="18" t="inlineStr">
        <is>
          <t>ขัดขวางการสร้าง folic acid</t>
        </is>
      </c>
      <c r="G78" s="18" t="inlineStr">
        <is>
          <t>ขัดขวางการสังเคราะห์ nucleic acid</t>
        </is>
      </c>
      <c r="H78" s="18" t="inlineStr">
        <is>
          <t>Meropenem 1 g IV Q8H</t>
        </is>
      </c>
      <c r="I78" s="15" t="inlineStr">
        <is>
          <t>3</t>
        </is>
      </c>
      <c r="J78" s="1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(ขัดขวางการสร้างผนังหุ้มเซลล์):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18" t="inlineStr"/>
      <c r="L78" s="18" t="inlineStr">
        <is>
          <t>HIV infection</t>
        </is>
      </c>
      <c r="M78" s="18" t="inlineStr">
        <is>
          <t>Clinic</t>
        </is>
      </c>
      <c r="N78" s="18" t="inlineStr">
        <is>
          <t>ข้อ 5 ชุด 1 (เฉลยข้อ ค)</t>
        </is>
      </c>
      <c r="O78" s="18" t="inlineStr">
        <is>
          <t>Mock</t>
        </is>
      </c>
      <c r="P78" s="18" t="inlineStr">
        <is>
          <t>ชุด 1</t>
        </is>
      </c>
    </row>
    <row r="79">
      <c r="A79" s="15" t="inlineStr">
        <is>
          <t>5</t>
        </is>
      </c>
      <c r="B79" s="18"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18" t="inlineStr"/>
      <c r="D79" s="18" t="inlineStr">
        <is>
          <t>14 วัน</t>
        </is>
      </c>
      <c r="E79" s="18" t="inlineStr">
        <is>
          <t>2 เดือน</t>
        </is>
      </c>
      <c r="F79" s="18" t="inlineStr">
        <is>
          <t>3 เดือน</t>
        </is>
      </c>
      <c r="G79" s="18" t="inlineStr">
        <is>
          <t>4 เดือน</t>
        </is>
      </c>
      <c r="H79" s="18" t="inlineStr">
        <is>
          <t>5 เดือน</t>
        </is>
      </c>
      <c r="I79" s="15" t="inlineStr">
        <is>
          <t>3</t>
        </is>
      </c>
      <c r="J79" s="18"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ข้อนี้ไม่ใช่คำตอบที่ถูกต้องสำหรับภาวะ HIV infection เนื่องจากกลไกการออกฤทธิ์, efficacy หรือข้อบ่งใช้ไม่ตรงกับโจทย์ที่กำหนด
• ข้อ ข. (2 เดือน): ข้อนี้ไม่ใช่คำตอบที่ถูกต้องสำหรับภาวะ HIV infection เนื่องจากกลไกการออกฤทธิ์, efficacy หรือข้อบ่งใช้ไม่ตรงกับโจทย์ที่กำหนด
• ข้อ ง. (4 เดือน): ข้อนี้ไม่ใช่คำตอบที่ถูกต้องสำหรับภาวะ HIV infection เนื่องจากกลไกการออกฤทธิ์, efficacy หรือข้อบ่งใช้ไม่ตรงกับโจทย์ที่กำหนด
• ข้อ จ. (5 เดือน):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18" t="inlineStr"/>
      <c r="L79" s="18" t="inlineStr">
        <is>
          <t>HIV infection</t>
        </is>
      </c>
      <c r="M79" s="18" t="inlineStr">
        <is>
          <t>Clinic</t>
        </is>
      </c>
      <c r="N79" s="18" t="inlineStr">
        <is>
          <t>ข้อ 5 ชุด 1 (เฉลยข้อ ค)</t>
        </is>
      </c>
      <c r="O79" s="18" t="inlineStr">
        <is>
          <t>Mock</t>
        </is>
      </c>
      <c r="P79" s="18" t="inlineStr">
        <is>
          <t>ชุด 1</t>
        </is>
      </c>
    </row>
    <row r="80">
      <c r="A80" s="15" t="inlineStr">
        <is>
          <t>5</t>
        </is>
      </c>
      <c r="B80" s="18" t="inlineStr">
        <is>
          <t>Acyclovir ไม่มีข้อบ่งใช้ในโรคใดต่อไปนี้</t>
        </is>
      </c>
      <c r="C80" s="18" t="inlineStr"/>
      <c r="D80" s="18" t="inlineStr">
        <is>
          <t>HSV-1 และ 2</t>
        </is>
      </c>
      <c r="E80" s="18" t="inlineStr">
        <is>
          <t>CMV</t>
        </is>
      </c>
      <c r="F80" s="18" t="inlineStr">
        <is>
          <t>Varicella</t>
        </is>
      </c>
      <c r="G80" s="18" t="inlineStr">
        <is>
          <t>HPV</t>
        </is>
      </c>
      <c r="H80" s="18" t="inlineStr">
        <is>
          <t>HHV</t>
        </is>
      </c>
      <c r="I80" s="15" t="inlineStr">
        <is>
          <t>3</t>
        </is>
      </c>
      <c r="J80" s="18"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ข้อนี้ไม่ใช่คำตอบที่ถูกต้องสำหรับภาวะ HIV infection เนื่องจากกลไกการออกฤทธิ์, efficacy หรือข้อบ่งใช้ไม่ตรงกับโจทย์ที่กำหนด
• ข้อ ข. (CMV): ข้อนี้ไม่ใช่คำตอบที่ถูกต้องสำหรับภาวะ HIV infection เนื่องจากกลไกการออกฤทธิ์, efficacy หรือข้อบ่งใช้ไม่ตรงกับโจทย์ที่กำหนด
• ข้อ ง. (HPV): วัคซีนเอชพีวีป้องกันมะเร็งปากมดลูก แนะนำฉีดในเด็กอายุ 9-14 ปี (ให้ 2 เข็ม ห่างกัน 6 เดือน)
• ข้อ จ. (HHV):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18" t="inlineStr"/>
      <c r="L80" s="18" t="inlineStr">
        <is>
          <t>HIV infection</t>
        </is>
      </c>
      <c r="M80" s="18" t="inlineStr">
        <is>
          <t>Clinic</t>
        </is>
      </c>
      <c r="N80" s="18" t="inlineStr">
        <is>
          <t>ข้อ 5 ชุด 1 (เฉลยข้อ ค)</t>
        </is>
      </c>
      <c r="O80" s="18" t="inlineStr">
        <is>
          <t>Mock</t>
        </is>
      </c>
      <c r="P80" s="18" t="inlineStr">
        <is>
          <t>ชุด 1</t>
        </is>
      </c>
    </row>
    <row r="81">
      <c r="A81" s="15" t="inlineStr">
        <is>
          <t>5</t>
        </is>
      </c>
      <c r="B81" s="18" t="inlineStr">
        <is>
          <t>ยาใดเป็นพิษต่อตับ</t>
        </is>
      </c>
      <c r="C81" s="18" t="inlineStr"/>
      <c r="D81" s="18" t="inlineStr">
        <is>
          <t>AZT</t>
        </is>
      </c>
      <c r="E81" s="18" t="inlineStr">
        <is>
          <t>Stavudine</t>
        </is>
      </c>
      <c r="F81" s="18" t="inlineStr">
        <is>
          <t>Nevirapine</t>
        </is>
      </c>
      <c r="G81" s="18" t="inlineStr">
        <is>
          <t>Lamivudine</t>
        </is>
      </c>
      <c r="H81" s="18" t="inlineStr">
        <is>
          <t>ไม่มีข้อใดถูก</t>
        </is>
      </c>
      <c r="I81" s="15" t="inlineStr">
        <is>
          <t>3</t>
        </is>
      </c>
      <c r="J81" s="18"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ข้อนี้ไม่ใช่คำตอบที่ถูกต้องสำหรับภาวะ HIV infection เนื่องจากกลไกการออกฤทธิ์, efficacy หรือข้อบ่งใช้ไม่ตรงกับโจทย์ที่กำหนด
• ข้อ ข. (Stavudine):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18" t="inlineStr"/>
      <c r="L81" s="18" t="inlineStr">
        <is>
          <t>HIV infection</t>
        </is>
      </c>
      <c r="M81" s="18" t="inlineStr">
        <is>
          <t>Clinic</t>
        </is>
      </c>
      <c r="N81" s="18" t="inlineStr">
        <is>
          <t>ข้อ 5 ชุด 1 (เฉลยข้อ ค)</t>
        </is>
      </c>
      <c r="O81" s="18" t="inlineStr">
        <is>
          <t>Mock</t>
        </is>
      </c>
      <c r="P81" s="18" t="inlineStr">
        <is>
          <t>ชุด 1</t>
        </is>
      </c>
    </row>
    <row r="82">
      <c r="A82" s="15" t="inlineStr">
        <is>
          <t>5</t>
        </is>
      </c>
      <c r="B82" s="1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18" t="inlineStr"/>
      <c r="D82" s="18" t="inlineStr">
        <is>
          <t>พยาธิตัวตืด</t>
        </is>
      </c>
      <c r="E82" s="18" t="inlineStr">
        <is>
          <t>พยาธิปากขอ</t>
        </is>
      </c>
      <c r="F82" s="18" t="inlineStr">
        <is>
          <t>พยาธิเส้นด้าย</t>
        </is>
      </c>
      <c r="G82" s="18" t="inlineStr">
        <is>
          <t>พยาธิใบไม้</t>
        </is>
      </c>
      <c r="H82" s="18" t="inlineStr">
        <is>
          <t>พยาธิเท้าช้าง</t>
        </is>
      </c>
      <c r="I82" s="15" t="inlineStr">
        <is>
          <t>3</t>
        </is>
      </c>
      <c r="J82" s="18"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ข. (พยาธิปากขอ): ข้อนี้ไม่ใช่คำตอบที่ถูกต้องสำหรับภาวะ Parasitic infections เนื่องจากกลไกการออกฤทธิ์, efficacy หรือข้อบ่งใช้ไม่ตรงกับโจทย์ที่กำหนด
• ข้อ ง. (พยาธิใบไม้):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8" t="inlineStr"/>
      <c r="L82" s="18" t="inlineStr">
        <is>
          <t>Parasitic infections</t>
        </is>
      </c>
      <c r="M82" s="18" t="inlineStr">
        <is>
          <t>Clinic</t>
        </is>
      </c>
      <c r="N82" s="18" t="inlineStr">
        <is>
          <t>ข้อ 5 ชุด 1 (เฉลยข้อ ค)</t>
        </is>
      </c>
      <c r="O82" s="18" t="inlineStr">
        <is>
          <t>Mock</t>
        </is>
      </c>
      <c r="P82" s="18" t="inlineStr">
        <is>
          <t>ชุด 1</t>
        </is>
      </c>
    </row>
    <row r="83">
      <c r="A83" s="15" t="inlineStr">
        <is>
          <t>6</t>
        </is>
      </c>
      <c r="B83" s="18" t="inlineStr">
        <is>
          <t>ยา chloramphenicol มีกลไกการออกฤทธิ์เป็นอย่างไร</t>
        </is>
      </c>
      <c r="C83" s="18" t="inlineStr"/>
      <c r="D83" s="18" t="inlineStr">
        <is>
          <t>ขัดขวางการสร้างผนังเซลล์</t>
        </is>
      </c>
      <c r="E83" s="18" t="inlineStr">
        <is>
          <t>ขัดขวางการสร้างผนังหุ้มเซลล์</t>
        </is>
      </c>
      <c r="F83" s="18" t="inlineStr">
        <is>
          <t>ขัดขวางการสร้าง folic acid</t>
        </is>
      </c>
      <c r="G83" s="18" t="inlineStr">
        <is>
          <t>ขัดขวางการสังเคราะห์ nucleic acid</t>
        </is>
      </c>
      <c r="H83" s="18" t="inlineStr">
        <is>
          <t>ขัดขวางการสังเคราะห์ polypeptide</t>
        </is>
      </c>
      <c r="I83" s="15" t="inlineStr">
        <is>
          <t>3</t>
        </is>
      </c>
      <c r="J83" s="1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(ขัดขวางการสร้างผนังหุ้มเซลล์):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(ขัดขวางการสังเคราะห์ polypeptide):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18" t="inlineStr"/>
      <c r="L83" s="18" t="inlineStr">
        <is>
          <t>HIV infection</t>
        </is>
      </c>
      <c r="M83" s="18" t="inlineStr">
        <is>
          <t>Clinic</t>
        </is>
      </c>
      <c r="N83" s="18" t="inlineStr">
        <is>
          <t>ข้อ 6 ชุด 1 (เฉลยข้อ ค)</t>
        </is>
      </c>
      <c r="O83" s="18" t="inlineStr">
        <is>
          <t>Mock</t>
        </is>
      </c>
      <c r="P83" s="18" t="inlineStr">
        <is>
          <t>ชุด 1</t>
        </is>
      </c>
    </row>
    <row r="84">
      <c r="A84" s="15" t="inlineStr">
        <is>
          <t>6</t>
        </is>
      </c>
      <c r="B84" s="18"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18" t="inlineStr"/>
      <c r="D84" s="18" t="inlineStr">
        <is>
          <t>พญายอ</t>
        </is>
      </c>
      <c r="E84" s="18" t="inlineStr">
        <is>
          <t>ทองพันชั่ง</t>
        </is>
      </c>
      <c r="F84" s="18" t="inlineStr">
        <is>
          <t>มะแว้งต้น</t>
        </is>
      </c>
      <c r="G84" s="18" t="inlineStr">
        <is>
          <t>ไพล</t>
        </is>
      </c>
      <c r="H84" s="18" t="inlineStr">
        <is>
          <t>ขมิ้น</t>
        </is>
      </c>
      <c r="I84" s="15" t="inlineStr">
        <is>
          <t>3</t>
        </is>
      </c>
      <c r="J84" s="18"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ข้อนี้ไม่ใช่คำตอบที่ถูกต้องสำหรับภาวะ HIV infection เนื่องจากกลไกการออกฤทธิ์, efficacy หรือข้อบ่งใช้ไม่ตรงกับโจทย์ที่กำหนด
• ข้อ ข. (ทองพันชั่ง): ข้อนี้ไม่ใช่คำตอบที่ถูกต้องสำหรับภาวะ HIV infection เนื่องจากกลไกการออกฤทธิ์, efficacy หรือข้อบ่งใช้ไม่ตรงกับโจทย์ที่กำหนด
• ข้อ ง. (ไพล): ข้อนี้ไม่ใช่คำตอบที่ถูกต้องสำหรับภาวะ HIV infection เนื่องจากกลไกการออกฤทธิ์, efficacy หรือข้อบ่งใช้ไม่ตรงกับโจทย์ที่กำหนด
• ข้อ จ. (ขมิ้น):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18" t="inlineStr"/>
      <c r="L84" s="18" t="inlineStr">
        <is>
          <t>HIV infection</t>
        </is>
      </c>
      <c r="M84" s="18" t="inlineStr">
        <is>
          <t>Clinic</t>
        </is>
      </c>
      <c r="N84" s="18" t="inlineStr">
        <is>
          <t>ข้อ 6 ชุด 1 (เฉลยข้อ ค)</t>
        </is>
      </c>
      <c r="O84" s="18" t="inlineStr">
        <is>
          <t>Mock</t>
        </is>
      </c>
      <c r="P84" s="18" t="inlineStr">
        <is>
          <t>ชุด 1</t>
        </is>
      </c>
    </row>
    <row r="85">
      <c r="A85" s="15" t="inlineStr">
        <is>
          <t>6</t>
        </is>
      </c>
      <c r="B85" s="18" t="inlineStr">
        <is>
          <t>ยาในข้อใดต่อไปนี้สามารถเข้าสู่ vitreous humor ได้ดี ทำให้มีประสิทธิภาพสูงในการรักษา cytomegalovirus retinitis</t>
        </is>
      </c>
      <c r="C85" s="18" t="inlineStr"/>
      <c r="D85" s="18" t="inlineStr">
        <is>
          <t>Acyclovir</t>
        </is>
      </c>
      <c r="E85" s="18" t="inlineStr">
        <is>
          <t>Ganciclovir</t>
        </is>
      </c>
      <c r="F85" s="18" t="inlineStr">
        <is>
          <t>Valacyclovir</t>
        </is>
      </c>
      <c r="G85" s="18" t="inlineStr">
        <is>
          <t>Pencyclovir</t>
        </is>
      </c>
      <c r="H85" s="18" t="inlineStr">
        <is>
          <t>Famciclovir</t>
        </is>
      </c>
      <c r="I85" s="15" t="inlineStr">
        <is>
          <t>3</t>
        </is>
      </c>
      <c r="J85" s="18"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เป็น Guanosine analog ยับยั้ง HSV และ VZV polymerase ต้องดื่มน้ำมากๆ ระหว่างได้ยา IV เพื่อป้องกัน crystal nephropathy และ obstructive AKI
• ข้อ ข. (Ganciclovir): ข้อนี้ไม่ใช่คำตอบที่ถูกต้องสำหรับภาวะ HIV infection เนื่องจากกลไกการออกฤทธิ์, efficacy หรือข้อบ่งใช้ไม่ตรงกับโจทย์ที่กำหนด
• ข้อ ง. (Pencyclovir): ข้อนี้ไม่ใช่คำตอบที่ถูกต้องสำหรับภาวะ HIV infection เนื่องจากกลไกการออกฤทธิ์, efficacy หรือข้อบ่งใช้ไม่ตรงกับโจทย์ที่กำหนด
• ข้อ จ. (Famciclovir):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18" t="inlineStr"/>
      <c r="L85" s="18" t="inlineStr">
        <is>
          <t>HIV infection</t>
        </is>
      </c>
      <c r="M85" s="18" t="inlineStr">
        <is>
          <t>Clinic</t>
        </is>
      </c>
      <c r="N85" s="18" t="inlineStr">
        <is>
          <t>ข้อ 6 ชุด 1 (เฉลยข้อ ค)</t>
        </is>
      </c>
      <c r="O85" s="18" t="inlineStr">
        <is>
          <t>Mock</t>
        </is>
      </c>
      <c r="P85" s="18" t="inlineStr">
        <is>
          <t>ชุด 1</t>
        </is>
      </c>
    </row>
    <row r="86">
      <c r="A86" s="15" t="inlineStr">
        <is>
          <t>6</t>
        </is>
      </c>
      <c r="B86" s="18" t="inlineStr">
        <is>
          <t>เอนไซม์ในข้อใดต่อไปนี้ ที่มีบทบาทสำคัญในการเปลี่ยนแปลงให้ยา AZT อยู่ในรูป active form</t>
        </is>
      </c>
      <c r="C86" s="18" t="inlineStr"/>
      <c r="D86" s="18" t="inlineStr">
        <is>
          <t>Reverse transcriptase</t>
        </is>
      </c>
      <c r="E86" s="18" t="inlineStr">
        <is>
          <t>Hydroxylase</t>
        </is>
      </c>
      <c r="F86" s="18" t="inlineStr">
        <is>
          <t>Phosphodiesterase</t>
        </is>
      </c>
      <c r="G86" s="18" t="inlineStr">
        <is>
          <t>Kinase</t>
        </is>
      </c>
      <c r="H86" s="18" t="inlineStr">
        <is>
          <t>DNA polymerase</t>
        </is>
      </c>
      <c r="I86" s="15" t="inlineStr">
        <is>
          <t>3</t>
        </is>
      </c>
      <c r="J86" s="18"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ข้อนี้ไม่ใช่คำตอบที่ถูกต้องสำหรับภาวะ HIV infection เนื่องจากกลไกการออกฤทธิ์, efficacy หรือข้อบ่งใช้ไม่ตรงกับโจทย์ที่กำหนด
• ข้อ ข. (Hydroxylase): ข้อนี้ไม่ใช่คำตอบที่ถูกต้องสำหรับภาวะ HIV infection เนื่องจากกลไกการออกฤทธิ์, efficacy หรือข้อบ่งใช้ไม่ตรงกับโจทย์ที่กำหนด
• ข้อ ง. (Kinase): ข้อนี้ไม่ใช่คำตอบที่ถูกต้องสำหรับภาวะ HIV infection เนื่องจากกลไกการออกฤทธิ์, efficacy หรือข้อบ่งใช้ไม่ตรงกับโจทย์ที่กำหนด
• ข้อ จ. (DNA polymerase):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18" t="inlineStr"/>
      <c r="L86" s="18" t="inlineStr">
        <is>
          <t>HIV infection</t>
        </is>
      </c>
      <c r="M86" s="18" t="inlineStr">
        <is>
          <t>Clinic</t>
        </is>
      </c>
      <c r="N86" s="18" t="inlineStr">
        <is>
          <t>ข้อ 6 ชุด 1 (เฉลยข้อ ค)</t>
        </is>
      </c>
      <c r="O86" s="18" t="inlineStr">
        <is>
          <t>Mock</t>
        </is>
      </c>
      <c r="P86" s="18" t="inlineStr">
        <is>
          <t>ชุด 1</t>
        </is>
      </c>
    </row>
    <row r="87">
      <c r="A87" s="15" t="inlineStr">
        <is>
          <t>6</t>
        </is>
      </c>
      <c r="B87" s="1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18" t="inlineStr"/>
      <c r="D87" s="18" t="inlineStr">
        <is>
          <t>Praziquantel 5-25 mg/kg/day po once</t>
        </is>
      </c>
      <c r="E87" s="18" t="inlineStr">
        <is>
          <t>Niclosamide 2 q single dose</t>
        </is>
      </c>
      <c r="F87" s="18" t="inlineStr">
        <is>
          <t>Albendazole 400 mg single dose</t>
        </is>
      </c>
      <c r="G87" s="18" t="inlineStr">
        <is>
          <t>Mebendazole 500 mg single dose</t>
        </is>
      </c>
      <c r="H87" s="18" t="inlineStr">
        <is>
          <t>ได้ทั้งข้อ ค และ ข้อ ง</t>
        </is>
      </c>
      <c r="I87" s="15" t="inlineStr">
        <is>
          <t>3</t>
        </is>
      </c>
      <c r="J87" s="1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ข้อนี้ไม่ใช่คำตอบที่ถูกต้องสำหรับภาวะ Parasitic infections เนื่องจากกลไกการออกฤทธิ์, efficacy หรือข้อบ่งใช้ไม่ตรงกับโจทย์ที่กำหนด
• ข้อ ข. (Niclosamide 2 q single dose): ข้อนี้ไม่ใช่คำตอบที่ถูกต้องสำหรับภาวะ Parasitic infections เนื่องจากกลไกการออกฤทธิ์, efficacy หรือข้อบ่งใช้ไม่ตรงกับโจทย์ที่กำหนด
• ข้อ ง. (Mebendazole 500 mg single dose): ข้อนี้ไม่ใช่คำตอบที่ถูกต้องสำหรับภาวะ Parasitic infections เนื่องจากกลไกการออกฤทธิ์, efficacy หรือข้อบ่งใช้ไม่ตรงกับโจทย์ที่กำหนด
• ข้อ จ. (ได้ทั้งข้อ ค และ ข้อ 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8" t="inlineStr"/>
      <c r="L87" s="18" t="inlineStr">
        <is>
          <t>Parasitic infections</t>
        </is>
      </c>
      <c r="M87" s="18" t="inlineStr">
        <is>
          <t>Clinic</t>
        </is>
      </c>
      <c r="N87" s="18" t="inlineStr">
        <is>
          <t>ข้อ 6 ชุด 1 (เฉลยข้อ ค)</t>
        </is>
      </c>
      <c r="O87" s="18" t="inlineStr">
        <is>
          <t>Mock</t>
        </is>
      </c>
      <c r="P87" s="18" t="inlineStr">
        <is>
          <t>ชุด 1</t>
        </is>
      </c>
    </row>
    <row r="88">
      <c r="A88" s="15" t="inlineStr">
        <is>
          <t>7</t>
        </is>
      </c>
      <c r="B88" s="18" t="inlineStr">
        <is>
          <t>ยา sulfonamides มีกลไกการออกฤทธิ์เป็นอย่างไร</t>
        </is>
      </c>
      <c r="C88" s="18" t="inlineStr"/>
      <c r="D88" s="18" t="inlineStr">
        <is>
          <t>ขัดขวางการสร้างผนังเซลล์</t>
        </is>
      </c>
      <c r="E88" s="18" t="inlineStr">
        <is>
          <t>ขัดขวางการสร้างผนังหุ้มเซลล์</t>
        </is>
      </c>
      <c r="F88" s="18" t="inlineStr">
        <is>
          <t>ขัดขวางการสร้าง folic acid</t>
        </is>
      </c>
      <c r="G88" s="18" t="inlineStr">
        <is>
          <t>ขัดขวางการสังเคราะห์ nucleic acid</t>
        </is>
      </c>
      <c r="H88" s="18" t="inlineStr">
        <is>
          <t>ขัดขวางการสังเคราะห์ polypeptide</t>
        </is>
      </c>
      <c r="I88" s="15" t="inlineStr">
        <is>
          <t>2</t>
        </is>
      </c>
      <c r="J88" s="18"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ค. (ขัดขวางการสร้าง folic acid):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(ขัดขวางการสังเคราะห์ polypeptide):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18" t="inlineStr"/>
      <c r="L88" s="18" t="inlineStr">
        <is>
          <t>HIV infection</t>
        </is>
      </c>
      <c r="M88" s="18" t="inlineStr">
        <is>
          <t>Clinic</t>
        </is>
      </c>
      <c r="N88" s="18" t="inlineStr">
        <is>
          <t>ข้อ 7 ชุด 1 (เฉลยข้อ ข)</t>
        </is>
      </c>
      <c r="O88" s="18" t="inlineStr">
        <is>
          <t>Mock</t>
        </is>
      </c>
      <c r="P88" s="18" t="inlineStr">
        <is>
          <t>ชุด 1</t>
        </is>
      </c>
    </row>
    <row r="89">
      <c r="A89" s="15" t="inlineStr">
        <is>
          <t>7</t>
        </is>
      </c>
      <c r="B89" s="1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18" t="inlineStr"/>
      <c r="D89" s="18" t="inlineStr">
        <is>
          <t>Valvovaginal candidiasis</t>
        </is>
      </c>
      <c r="E89" s="18" t="inlineStr">
        <is>
          <t>Gonorrhoea</t>
        </is>
      </c>
      <c r="F89" s="18" t="inlineStr">
        <is>
          <t>Non gonococcalurethritis</t>
        </is>
      </c>
      <c r="G89" s="18" t="inlineStr">
        <is>
          <t>Trichomoniasis</t>
        </is>
      </c>
      <c r="H89" s="18" t="inlineStr">
        <is>
          <t>Bacterial cystitis</t>
        </is>
      </c>
      <c r="I89" s="15" t="inlineStr">
        <is>
          <t>2</t>
        </is>
      </c>
      <c r="J89" s="18"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ข้อนี้ไม่ใช่คำตอบที่ถูกต้องสำหรับภาวะ STDs &amp; vaginitis เนื่องจากกลไกการออกฤทธิ์, efficacy หรือข้อบ่งใช้ไม่ตรงกับโจทย์ที่กำหนด
• ข้อ ค. (Non gonococcalurethritis): ข้อนี้ไม่ใช่คำตอบที่ถูกต้องสำหรับภาวะ STDs &amp; vaginitis เนื่องจากกลไกการออกฤทธิ์, efficacy หรือข้อบ่งใช้ไม่ตรงกับโจทย์ที่กำหนด
• ข้อ ง. (Trichomoniasis): ข้อนี้ไม่ใช่คำตอบที่ถูกต้องสำหรับภาวะ STDs &amp; vaginitis เนื่องจากกลไกการออกฤทธิ์, efficacy หรือข้อบ่งใช้ไม่ตรงกับโจทย์ที่กำหนด
• ข้อ จ. (Bacterial cystitis): ข้อนี้ไม่ใช่คำตอบที่ถูกต้องสำหรับภาวะ STDs &amp; vaginitis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8" t="inlineStr"/>
      <c r="L89" s="18" t="inlineStr">
        <is>
          <t>STDs &amp; vaginitis</t>
        </is>
      </c>
      <c r="M89" s="18" t="inlineStr">
        <is>
          <t>Clinic</t>
        </is>
      </c>
      <c r="N89" s="18" t="inlineStr">
        <is>
          <t>ข้อ 7 ชุด 1 (เฉลยข้อ ข)</t>
        </is>
      </c>
      <c r="O89" s="18" t="inlineStr">
        <is>
          <t>Mock</t>
        </is>
      </c>
      <c r="P89" s="18" t="inlineStr">
        <is>
          <t>ชุด 1</t>
        </is>
      </c>
    </row>
    <row r="90">
      <c r="A90" s="15" t="inlineStr">
        <is>
          <t>7</t>
        </is>
      </c>
      <c r="B90" s="18" t="inlineStr">
        <is>
          <t>สมุนไพรในข้อใดที่อาจรักษาโรคเริมและงูสวัดได้</t>
        </is>
      </c>
      <c r="C90" s="18" t="inlineStr"/>
      <c r="D90" s="18" t="inlineStr">
        <is>
          <t>ยาแคปซูลสกัดใบฟ้าทะลายโจร</t>
        </is>
      </c>
      <c r="E90" s="18" t="inlineStr">
        <is>
          <t>ใบชุมเห็ดเทศ</t>
        </is>
      </c>
      <c r="F90" s="18" t="inlineStr">
        <is>
          <t>แคปซูลผงขมิ้นชัน</t>
        </is>
      </c>
      <c r="G90" s="18" t="inlineStr">
        <is>
          <t>ครีมสกัดจากใบพญายอ</t>
        </is>
      </c>
      <c r="H90" s="18" t="inlineStr">
        <is>
          <t>ตะไคร้หอม</t>
        </is>
      </c>
      <c r="I90" s="15" t="inlineStr">
        <is>
          <t>2</t>
        </is>
      </c>
      <c r="J90" s="18"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ข้อนี้ไม่ใช่คำตอบที่ถูกต้องสำหรับภาวะ HIV infection เนื่องจากกลไกการออกฤทธิ์, efficacy หรือข้อบ่งใช้ไม่ตรงกับโจทย์ที่กำหนด
• ข้อ ค. (แคปซูลผงขมิ้นชัน): ข้อนี้ไม่ใช่คำตอบที่ถูกต้องสำหรับภาวะ HIV infection เนื่องจากกลไกการออกฤทธิ์, efficacy หรือข้อบ่งใช้ไม่ตรงกับโจทย์ที่กำหนด
• ข้อ ง. (ครีมสกัดจากใบพญายอ): ข้อนี้ไม่ใช่คำตอบที่ถูกต้องสำหรับภาวะ HIV infection เนื่องจากกลไกการออกฤทธิ์, efficacy หรือข้อบ่งใช้ไม่ตรงกับโจทย์ที่กำหนด
• ข้อ จ. (ตะไคร้หอม):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18" t="inlineStr"/>
      <c r="L90" s="18" t="inlineStr">
        <is>
          <t>HIV infection</t>
        </is>
      </c>
      <c r="M90" s="18" t="inlineStr">
        <is>
          <t>Clinic</t>
        </is>
      </c>
      <c r="N90" s="18" t="inlineStr">
        <is>
          <t>ข้อ 7 ชุด 1 (เฉลยข้อ ข)</t>
        </is>
      </c>
      <c r="O90" s="18" t="inlineStr">
        <is>
          <t>Mock</t>
        </is>
      </c>
      <c r="P90" s="18" t="inlineStr">
        <is>
          <t>ชุด 1</t>
        </is>
      </c>
    </row>
    <row r="91">
      <c r="A91" s="15" t="inlineStr">
        <is>
          <t>7</t>
        </is>
      </c>
      <c r="B91" s="1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18" t="inlineStr"/>
      <c r="D91" s="18" t="inlineStr">
        <is>
          <t>Acute HIV infection</t>
        </is>
      </c>
      <c r="E91" s="18" t="inlineStr">
        <is>
          <t>Asymptomatic HIV infection</t>
        </is>
      </c>
      <c r="F91" s="18" t="inlineStr">
        <is>
          <t>Clinical latency</t>
        </is>
      </c>
      <c r="G91" s="18" t="inlineStr">
        <is>
          <t>Primary HIV infection</t>
        </is>
      </c>
      <c r="H91" s="18" t="inlineStr">
        <is>
          <t>AIDS</t>
        </is>
      </c>
      <c r="I91" s="15" t="inlineStr">
        <is>
          <t>2</t>
        </is>
      </c>
      <c r="J91" s="18"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ข้อนี้ไม่ใช่คำตอบที่ถูกต้องสำหรับภาวะ HIV infection เนื่องจากกลไกการออกฤทธิ์, efficacy หรือข้อบ่งใช้ไม่ตรงกับโจทย์ที่กำหนด
• ข้อ ค. (Clinical latency): ข้อนี้ไม่ใช่คำตอบที่ถูกต้องสำหรับภาวะ HIV infection เนื่องจากกลไกการออกฤทธิ์, efficacy หรือข้อบ่งใช้ไม่ตรงกับโจทย์ที่กำหนด
• ข้อ ง. (Primary HIV infection): ข้อนี้ไม่ใช่คำตอบที่ถูกต้องสำหรับภาวะ HIV infection เนื่องจากกลไกการออกฤทธิ์, efficacy หรือข้อบ่งใช้ไม่ตรงกับโจทย์ที่กำหนด
• ข้อ จ. (AIDS):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18" t="inlineStr"/>
      <c r="L91" s="18" t="inlineStr">
        <is>
          <t>HIV infection</t>
        </is>
      </c>
      <c r="M91" s="18" t="inlineStr">
        <is>
          <t>Clinic</t>
        </is>
      </c>
      <c r="N91" s="18" t="inlineStr">
        <is>
          <t>ข้อ 7 ชุด 1 (เฉลยข้อ ข)</t>
        </is>
      </c>
      <c r="O91" s="18" t="inlineStr">
        <is>
          <t>Mock</t>
        </is>
      </c>
      <c r="P91" s="18" t="inlineStr">
        <is>
          <t>ชุด 1</t>
        </is>
      </c>
    </row>
    <row r="92">
      <c r="A92" s="15" t="inlineStr">
        <is>
          <t>7</t>
        </is>
      </c>
      <c r="B92" s="18" t="inlineStr">
        <is>
          <t>ข้อใดไม่ใช่ผลจากการติดเชื้อพยาธิปากขอ</t>
        </is>
      </c>
      <c r="C92" s="18" t="inlineStr"/>
      <c r="D92" s="18" t="inlineStr">
        <is>
          <t>แพ้ ผื่นคัน</t>
        </is>
      </c>
      <c r="E92" s="18" t="inlineStr">
        <is>
          <t>โลหิตจาง</t>
        </is>
      </c>
      <c r="F92" s="18" t="inlineStr">
        <is>
          <t>หลอดลมอักเสบ</t>
        </is>
      </c>
      <c r="G92" s="18" t="inlineStr">
        <is>
          <t>คันบริเวณรอบทวารหนัก</t>
        </is>
      </c>
      <c r="H92" s="18" t="inlineStr">
        <is>
          <t>ลำไส้อักเสบ</t>
        </is>
      </c>
      <c r="I92" s="15" t="inlineStr">
        <is>
          <t>2</t>
        </is>
      </c>
      <c r="J92" s="18"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ข้อนี้ไม่ใช่คำตอบที่ถูกต้องสำหรับภาวะ Parasitic infections เนื่องจากกลไกการออกฤทธิ์, efficacy หรือข้อบ่งใช้ไม่ตรงกับโจทย์ที่กำหนด
• ข้อ ค. (หลอดลมอักเสบ): ข้อนี้ไม่ใช่คำตอบที่ถูกต้องสำหรับภาวะ Parasitic infections เนื่องจากกลไกการออกฤทธิ์, efficacy หรือข้อบ่งใช้ไม่ตรงกับโจทย์ที่กำหนด
• ข้อ ง. (คันบริเวณรอบทวารหนัก): ข้อนี้ไม่ใช่คำตอบที่ถูกต้องสำหรับภาวะ Parasitic infections เนื่องจากกลไกการออกฤทธิ์, efficacy หรือข้อบ่งใช้ไม่ตรงกับโจทย์ที่กำหนด
• ข้อ จ. (ลำไส้อักเสบ):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8" t="inlineStr"/>
      <c r="L92" s="18" t="inlineStr">
        <is>
          <t>Parasitic infections</t>
        </is>
      </c>
      <c r="M92" s="18" t="inlineStr">
        <is>
          <t>Clinic</t>
        </is>
      </c>
      <c r="N92" s="18" t="inlineStr">
        <is>
          <t>ข้อ 7 ชุด 1 (เฉลยข้อ ข)</t>
        </is>
      </c>
      <c r="O92" s="18" t="inlineStr">
        <is>
          <t>Mock</t>
        </is>
      </c>
      <c r="P92" s="18" t="inlineStr">
        <is>
          <t>ชุด 1</t>
        </is>
      </c>
    </row>
    <row r="93">
      <c r="A93" s="15" t="inlineStr">
        <is>
          <t>8</t>
        </is>
      </c>
      <c r="B93" s="18" t="inlineStr">
        <is>
          <t>ยากลุ่ม polymyxin มีกลไกการออกฤทธิ์เป็นอย่างไร</t>
        </is>
      </c>
      <c r="C93" s="18" t="inlineStr"/>
      <c r="D93" s="18" t="inlineStr">
        <is>
          <t>ขัดขวางการสร้างผนังเซลล์</t>
        </is>
      </c>
      <c r="E93" s="18" t="inlineStr">
        <is>
          <t>ทำให้เกิดรูรั่วผนังเซลล์</t>
        </is>
      </c>
      <c r="F93" s="18" t="inlineStr">
        <is>
          <t>ขัดขวางการสร้าง folic acid</t>
        </is>
      </c>
      <c r="G93" s="18" t="inlineStr">
        <is>
          <t>ขัดขวางการสังเคราะห์ nucleic acid</t>
        </is>
      </c>
      <c r="H93" s="18" t="inlineStr">
        <is>
          <t>ขัดขวางการสังเคราะห์ polypeptide</t>
        </is>
      </c>
      <c r="I93" s="15" t="inlineStr">
        <is>
          <t>5</t>
        </is>
      </c>
      <c r="J93" s="18"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(ทำให้เกิดรูรั่วผนังเซลล์): ข้อนี้ไม่ใช่คำตอบที่ถูกต้องสำหรับภาวะ HIV infection เนื่องจากกลไกการออกฤทธิ์, efficacy หรือข้อบ่งใช้ไม่ตรงกับโจทย์ที่กำหนด
• ข้อ ค. (ขัดขวางการสร้าง folic acid):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18" t="inlineStr"/>
      <c r="L93" s="18" t="inlineStr">
        <is>
          <t>HIV infection</t>
        </is>
      </c>
      <c r="M93" s="18" t="inlineStr">
        <is>
          <t>Clinic</t>
        </is>
      </c>
      <c r="N93" s="18" t="inlineStr">
        <is>
          <t>ข้อ 8 ชุด 1 (เฉลยข้อ จ)</t>
        </is>
      </c>
      <c r="O93" s="18" t="inlineStr">
        <is>
          <t>Mock</t>
        </is>
      </c>
      <c r="P93" s="18" t="inlineStr">
        <is>
          <t>ชุด 1</t>
        </is>
      </c>
    </row>
    <row r="94">
      <c r="A94" s="15" t="inlineStr">
        <is>
          <t>8</t>
        </is>
      </c>
      <c r="B94" s="1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18" t="inlineStr"/>
      <c r="D94" s="18" t="inlineStr">
        <is>
          <t>Clotrimazole 500 mg เหน็บช่องคลอดครั้งเดียว</t>
        </is>
      </c>
      <c r="E94" s="18" t="inlineStr">
        <is>
          <t>Ketoconazole 200 mg รับประทานหลังอาหาร เช้าและเย็น เป็นเวลา 5 วัน</t>
        </is>
      </c>
      <c r="F94" s="18" t="inlineStr">
        <is>
          <t>Metronidazole 2 g รับประทานครั้งเดียว</t>
        </is>
      </c>
      <c r="G94" s="18" t="inlineStr">
        <is>
          <t>Doxycycline 100 mg รับประทานหลังอาหาร เช้าและเย็น เป็นเวลา 7 วัน</t>
        </is>
      </c>
      <c r="H94" s="18" t="inlineStr">
        <is>
          <t>Ciprofloxacin 500 mg รับประทานครั้งเดียว</t>
        </is>
      </c>
      <c r="I94" s="15" t="inlineStr">
        <is>
          <t>5</t>
        </is>
      </c>
      <c r="J94" s="18"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ข้อนี้ไม่ใช่คำตอบที่ถูกต้องสำหรับภาวะ STDs &amp; vaginitis เนื่องจากกลไกการออกฤทธิ์, efficacy หรือข้อบ่งใช้ไม่ตรงกับโจทย์ที่กำหนด
• ข้อ ข. (Ketoconazole 200 mg รับประทานหลังอาหาร เช้าและเย็น เป็นเวลา 5 วัน): ข้อนี้ไม่ใช่คำตอบที่ถูกต้องสำหรับภาวะ STDs &amp; vaginitis เนื่องจากกลไกการออกฤทธิ์, efficacy หรือข้อบ่งใช้ไม่ตรงกับโจทย์ที่กำหนด
• ข้อ ค. (Metronidazole 2 g รับประทานครั้งเดียว): เป็น antianaerobic และ antiprotozoal agent ยับยั้ง Trichomonas vaginalis, Giardia, Amebiasis, และ anaerobes ห้ามดื่มแอลกอฮอล์ระหว่างใช้ยา (disulfiram-like reaction)
• ข้อ ง. (Doxycycline 100 mg รับประทานหลังอาหาร เช้าและเย็น เป็นเวลา 7 วัน):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18" t="inlineStr"/>
      <c r="L94" s="18" t="inlineStr">
        <is>
          <t>STDs &amp; vaginitis</t>
        </is>
      </c>
      <c r="M94" s="18" t="inlineStr">
        <is>
          <t>Clinic</t>
        </is>
      </c>
      <c r="N94" s="18" t="inlineStr">
        <is>
          <t>ข้อ 8 ชุด 1 (เฉลยข้อ จ)</t>
        </is>
      </c>
      <c r="O94" s="18" t="inlineStr">
        <is>
          <t>Mock</t>
        </is>
      </c>
      <c r="P94" s="18" t="inlineStr">
        <is>
          <t>ชุด 1</t>
        </is>
      </c>
    </row>
    <row r="95">
      <c r="A95" s="15" t="inlineStr">
        <is>
          <t>8</t>
        </is>
      </c>
      <c r="B95" s="18" t="inlineStr">
        <is>
          <t>ตำรับยาของ acyclovir ดังตารางต่อไปนี้ อยู่ในรูปแบบใด</t>
        </is>
      </c>
      <c r="C95" s="18" t="inlineStr"/>
      <c r="D95" s="18" t="inlineStr">
        <is>
          <t>Lotions</t>
        </is>
      </c>
      <c r="E95" s="18" t="inlineStr">
        <is>
          <t>Ointments</t>
        </is>
      </c>
      <c r="F95" s="18" t="inlineStr">
        <is>
          <t>Creams</t>
        </is>
      </c>
      <c r="G95" s="18" t="inlineStr">
        <is>
          <t>Pastes</t>
        </is>
      </c>
      <c r="H95" s="18" t="inlineStr">
        <is>
          <t>Gels</t>
        </is>
      </c>
      <c r="I95" s="15" t="inlineStr">
        <is>
          <t>5</t>
        </is>
      </c>
      <c r="J95" s="18"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ข้อนี้ไม่ใช่คำตอบที่ถูกต้องสำหรับภาวะ Cystitis เนื่องจากกลไกการออกฤทธิ์, efficacy หรือข้อบ่งใช้ไม่ตรงกับโจทย์ที่กำหนด
• ข้อ ข. (Ointments): ข้อนี้ไม่ใช่คำตอบที่ถูกต้องสำหรับภาวะ Cystitis เนื่องจากกลไกการออกฤทธิ์, efficacy หรือข้อบ่งใช้ไม่ตรงกับโจทย์ที่กำหนด
• ข้อ ค. (Creams): ข้อนี้ไม่ใช่คำตอบที่ถูกต้องสำหรับภาวะ Cystitis เนื่องจากกลไกการออกฤทธิ์, efficacy หรือข้อบ่งใช้ไม่ตรงกับโจทย์ที่กำหนด
• ข้อ ง. (Pastes):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18" t="inlineStr"/>
      <c r="L95" s="18" t="inlineStr">
        <is>
          <t>Cystitis</t>
        </is>
      </c>
      <c r="M95" s="18" t="inlineStr">
        <is>
          <t>Clinic</t>
        </is>
      </c>
      <c r="N95" s="18" t="inlineStr">
        <is>
          <t>ข้อ 8 ชุด 1 (เฉลยข้อ จ)</t>
        </is>
      </c>
      <c r="O95" s="18" t="inlineStr">
        <is>
          <t>Mock</t>
        </is>
      </c>
      <c r="P95" s="18" t="inlineStr">
        <is>
          <t>ชุด 1</t>
        </is>
      </c>
    </row>
    <row r="96">
      <c r="A96" s="15" t="inlineStr">
        <is>
          <t>8</t>
        </is>
      </c>
      <c r="B96" s="1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18" t="inlineStr"/>
      <c r="D96" s="18" t="inlineStr">
        <is>
          <t>NVP, d4T, 3TC</t>
        </is>
      </c>
      <c r="E96" s="18" t="inlineStr">
        <is>
          <t>d4T, 3TC, indinavir/ritonavir</t>
        </is>
      </c>
      <c r="F96" s="18" t="inlineStr">
        <is>
          <t>AZT, 3TC, indinavir/ritonavir</t>
        </is>
      </c>
      <c r="G96" s="18" t="inlineStr">
        <is>
          <t>d4T, 3TC, EFV</t>
        </is>
      </c>
      <c r="H96" s="18" t="inlineStr">
        <is>
          <t>AZT, 3TC, NVP</t>
        </is>
      </c>
      <c r="I96" s="15" t="inlineStr">
        <is>
          <t>5</t>
        </is>
      </c>
      <c r="J96" s="18"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ข้อนี้ไม่ใช่คำตอบที่ถูกต้องสำหรับภาวะ HIV infection เนื่องจากกลไกการออกฤทธิ์, efficacy หรือข้อบ่งใช้ไม่ตรงกับโจทย์ที่กำหนด
• ข้อ ข. (d4T, 3TC, indinavir/ritonavir): ข้อนี้ไม่ใช่คำตอบที่ถูกต้องสำหรับภาวะ HIV infection เนื่องจากกลไกการออกฤทธิ์, efficacy หรือข้อบ่งใช้ไม่ตรงกับโจทย์ที่กำหนด
• ข้อ ค. (AZT, 3TC, indinavir/ritonavir): ข้อนี้ไม่ใช่คำตอบที่ถูกต้องสำหรับภาวะ HIV infection เนื่องจากกลไกการออกฤทธิ์, efficacy หรือข้อบ่งใช้ไม่ตรงกับโจทย์ที่กำหนด
• ข้อ ง. (d4T, 3TC, EFV):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18" t="inlineStr"/>
      <c r="L96" s="18" t="inlineStr">
        <is>
          <t>HIV infection</t>
        </is>
      </c>
      <c r="M96" s="18" t="inlineStr">
        <is>
          <t>Clinic</t>
        </is>
      </c>
      <c r="N96" s="18" t="inlineStr">
        <is>
          <t>ข้อ 8 ชุด 1 (เฉลยข้อ จ)</t>
        </is>
      </c>
      <c r="O96" s="18" t="inlineStr">
        <is>
          <t>Mock</t>
        </is>
      </c>
      <c r="P96" s="18" t="inlineStr">
        <is>
          <t>ชุด 1</t>
        </is>
      </c>
    </row>
    <row r="97">
      <c r="A97" s="15" t="inlineStr">
        <is>
          <t>8</t>
        </is>
      </c>
      <c r="B97" s="18" t="inlineStr">
        <is>
          <t>คำแนะนำในการปฏิบัติตัวสำหรับผู้ป่วยรายนี้คือ</t>
        </is>
      </c>
      <c r="C97" s="18" t="inlineStr"/>
      <c r="D97" s="18" t="inlineStr">
        <is>
          <t>อาบน้ำหลังจากตื่นนอนในตอนเช้า</t>
        </is>
      </c>
      <c r="E97" s="18" t="inlineStr">
        <is>
          <t>ตัดเล็บมือให้สั้น และล้างมือให้สะอาดหลังเข้าห้องน้ำ</t>
        </is>
      </c>
      <c r="F97" s="18" t="inlineStr">
        <is>
          <t>สวมรองเท้าทุกครั้งที่ออกจากบ้าน</t>
        </is>
      </c>
      <c r="G97" s="18" t="inlineStr">
        <is>
          <t>รับประทานอาหารที่สุก ดื่มน้ำสะอาด</t>
        </is>
      </c>
      <c r="H97" s="18" t="inlineStr">
        <is>
          <t>ซักเสื้อผ้า และผ้าปูที่นอนให้สะอาด</t>
        </is>
      </c>
      <c r="I97" s="15" t="inlineStr">
        <is>
          <t>5</t>
        </is>
      </c>
      <c r="J97" s="18"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ข้อนี้ไม่ใช่คำตอบที่ถูกต้องสำหรับภาวะ HIV infection เนื่องจากกลไกการออกฤทธิ์, efficacy หรือข้อบ่งใช้ไม่ตรงกับโจทย์ที่กำหนด
• ข้อ ข. (ตัดเล็บมือให้สั้น และล้างมือให้สะอาดหลังเข้าห้องน้ำ): ข้อนี้ไม่ใช่คำตอบที่ถูกต้องสำหรับภาวะ HIV infection เนื่องจากกลไกการออกฤทธิ์, efficacy หรือข้อบ่งใช้ไม่ตรงกับโจทย์ที่กำหนด
• ข้อ ค. (สวมรองเท้าทุกครั้งที่ออกจากบ้าน): ข้อนี้ไม่ใช่คำตอบที่ถูกต้องสำหรับภาวะ HIV infection เนื่องจากกลไกการออกฤทธิ์, efficacy หรือข้อบ่งใช้ไม่ตรงกับโจทย์ที่กำหนด
• ข้อ ง. (รับประทานอาหารที่สุก ดื่มน้ำสะอาด):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18" t="inlineStr"/>
      <c r="L97" s="18" t="inlineStr">
        <is>
          <t>HIV infection</t>
        </is>
      </c>
      <c r="M97" s="18" t="inlineStr">
        <is>
          <t>Clinic</t>
        </is>
      </c>
      <c r="N97" s="18" t="inlineStr">
        <is>
          <t>ข้อ 8 ชุด 1 (เฉลยข้อ จ)</t>
        </is>
      </c>
      <c r="O97" s="18" t="inlineStr">
        <is>
          <t>Mock</t>
        </is>
      </c>
      <c r="P97" s="18" t="inlineStr">
        <is>
          <t>ชุด 1</t>
        </is>
      </c>
    </row>
    <row r="98">
      <c r="A98" s="15" t="inlineStr">
        <is>
          <t>9</t>
        </is>
      </c>
      <c r="B98" s="18" t="inlineStr">
        <is>
          <t>ยาที่เกิด drug interaction กับ quinolone ได้ ยกเว้นข้อใดต่อไปนี้</t>
        </is>
      </c>
      <c r="C98" s="18" t="inlineStr"/>
      <c r="D98" s="18" t="inlineStr">
        <is>
          <t>Aluminum hydroxide</t>
        </is>
      </c>
      <c r="E98" s="18" t="inlineStr">
        <is>
          <t>Calcium carbonate</t>
        </is>
      </c>
      <c r="F98" s="18" t="inlineStr">
        <is>
          <t>Carminative mixture</t>
        </is>
      </c>
      <c r="G98" s="18" t="inlineStr">
        <is>
          <t>FBC</t>
        </is>
      </c>
      <c r="H98" s="18" t="inlineStr">
        <is>
          <t>Lithium</t>
        </is>
      </c>
      <c r="I98" s="15" t="inlineStr">
        <is>
          <t>4</t>
        </is>
      </c>
      <c r="J98" s="18"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ข้อนี้ไม่ใช่คำตอบที่ถูกต้องสำหรับภาวะ HIV infection เนื่องจากกลไกการออกฤทธิ์, efficacy หรือข้อบ่งใช้ไม่ตรงกับโจทย์ที่กำหนด
• ข้อ ข. (Calcium carbonate): เป็น Phosphate binder สำหรับ CKD ต้องเคี้ยวพร้อมอาหารเพื่อจับฟอสเฟตในทางเดินอาหาร และทำหน้าที่เสริมแคลเซียม
• ข้อ ค. (Carminative mixture): ข้อนี้ไม่ใช่คำตอบที่ถูกต้องสำหรับภาวะ HIV infection เนื่องจากกลไกการออกฤทธิ์, efficacy หรือข้อบ่งใช้ไม่ตรงกับโจทย์ที่กำหนด
• ข้อ จ. (Lithium):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18" t="inlineStr"/>
      <c r="L98" s="18" t="inlineStr">
        <is>
          <t>HIV infection</t>
        </is>
      </c>
      <c r="M98" s="18" t="inlineStr">
        <is>
          <t>Clinic</t>
        </is>
      </c>
      <c r="N98" s="18" t="inlineStr">
        <is>
          <t>ข้อ 9 ชุด 1 (เฉลยข้อ ง)</t>
        </is>
      </c>
      <c r="O98" s="18" t="inlineStr">
        <is>
          <t>Mock</t>
        </is>
      </c>
      <c r="P98" s="18" t="inlineStr">
        <is>
          <t>ชุด 1</t>
        </is>
      </c>
    </row>
    <row r="99">
      <c r="A99" s="15" t="inlineStr">
        <is>
          <t>9</t>
        </is>
      </c>
      <c r="B99" s="1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18" t="inlineStr"/>
      <c r="D99" s="18" t="inlineStr">
        <is>
          <t>Clotrimazole เหน็บช่องคลอดทำให้เกิด super infection จาก bacteria</t>
        </is>
      </c>
      <c r="E99" s="18" t="inlineStr">
        <is>
          <t>Ketoconazole ชนิดรับประทานทำให้การรับรู้รสผิดปกติ</t>
        </is>
      </c>
      <c r="F99" s="18" t="inlineStr">
        <is>
          <t>Metronidazole ทำให้คลื่นไส้ อาเจียน</t>
        </is>
      </c>
      <c r="G99" s="18" t="inlineStr">
        <is>
          <t>Doxycycline ทำให้ผมร่วง</t>
        </is>
      </c>
      <c r="H99" s="18" t="inlineStr">
        <is>
          <t>Ciprofloxacin ทำให้ตับอักเสบ</t>
        </is>
      </c>
      <c r="I99" s="15" t="inlineStr">
        <is>
          <t>4</t>
        </is>
      </c>
      <c r="J99" s="18"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ข้อนี้ไม่ใช่คำตอบที่ถูกต้องสำหรับภาวะ STDs &amp; vaginitis เนื่องจากกลไกการออกฤทธิ์, efficacy หรือข้อบ่งใช้ไม่ตรงกับโจทย์ที่กำหนด
• ข้อ ข. (Ketoconazole ชนิดรับประทานทำให้การรับรู้รสผิดปกติ): ข้อนี้ไม่ใช่คำตอบที่ถูกต้องสำหรับภาวะ STDs &amp; vaginitis เนื่องจากกลไกการออกฤทธิ์, efficacy หรือข้อบ่งใช้ไม่ตรงกับโจทย์ที่กำหนด
• ข้อ ค. (Metronidazole ทำให้คลื่นไส้ อาเจียน): เป็น antianaerobic และ antiprotozoal agent ยับยั้ง Trichomonas vaginalis, Giardia, Amebiasis, และ anaerobes ห้ามดื่มแอลกอฮอล์ระหว่างใช้ยา (disulfiram-like reaction)
• ข้อ จ. (Ciprofloxacin ทำให้ตับอักเสบ): เป็น Fluoroquinolone เด่นต่อ Gram-negative รวมทั้ง Pseudomonas aeruginosa แต่มี black box warning เรื่อง tendon rupture, QT prolongation, aortic aneurysm และ dysglycemia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8" t="inlineStr"/>
      <c r="L99" s="18" t="inlineStr">
        <is>
          <t>STDs &amp; vaginitis</t>
        </is>
      </c>
      <c r="M99" s="18" t="inlineStr">
        <is>
          <t>Clinic</t>
        </is>
      </c>
      <c r="N99" s="18" t="inlineStr">
        <is>
          <t>ข้อ 9 ชุด 1 (เฉลยข้อ ง)</t>
        </is>
      </c>
      <c r="O99" s="18" t="inlineStr">
        <is>
          <t>Mock</t>
        </is>
      </c>
      <c r="P99" s="18" t="inlineStr">
        <is>
          <t>ชุด 1</t>
        </is>
      </c>
    </row>
    <row r="100">
      <c r="A100" s="15" t="inlineStr">
        <is>
          <t>9</t>
        </is>
      </c>
      <c r="B100" s="18" t="inlineStr">
        <is>
          <t>ข้อใดถูกต้องเกี่ยวกับยาต้านไวรัสในด้านกฎหมาย</t>
        </is>
      </c>
      <c r="C100" s="18" t="inlineStr"/>
      <c r="D100" s="18" t="inlineStr">
        <is>
          <t>ยาต้านไวรัสทุกชนิดสามารถขายได้ในร้านยาที่มีเภสัชกรประจำร้าน</t>
        </is>
      </c>
      <c r="E100" s="18" t="inlineStr">
        <is>
          <t>ยาต้านไวรัสทุกชนิดต้องจ่ายตามใบสั่งแพทย์เท่านั้น</t>
        </is>
      </c>
      <c r="F100" s="18" t="inlineStr">
        <is>
          <t>ยาต้านไวรัส acyclovir ชนิดรับประทาน เป็นยาควบคุมพิเศษ</t>
        </is>
      </c>
      <c r="G100" s="18" t="inlineStr">
        <is>
          <t>ยาต้านไวรัสรักษาโรคเอดส์ จัดเป็นยาอันตราย</t>
        </is>
      </c>
      <c r="H100" s="18" t="inlineStr">
        <is>
          <t>บุคลากรทางการแพทย์ทุกวิชาชีพสามารถจ่ายยาต้านไวรัส acyclovir ชนิดทาเฉพาะที่ได้</t>
        </is>
      </c>
      <c r="I100" s="15" t="inlineStr">
        <is>
          <t>4</t>
        </is>
      </c>
      <c r="J100" s="18"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ข้อนี้ไม่ใช่คำตอบที่ถูกต้องสำหรับภาวะ HIV infection เนื่องจากกลไกการออกฤทธิ์, efficacy หรือข้อบ่งใช้ไม่ตรงกับโจทย์ที่กำหนด
• ข้อ ข. (ยาต้านไวรัสทุกชนิดต้องจ่ายตามใบสั่งแพทย์เท่านั้น): ข้อนี้ไม่ใช่คำตอบที่ถูกต้องสำหรับภาวะ HIV infection เนื่องจากกลไกการออกฤทธิ์, efficacy หรือข้อบ่งใช้ไม่ตรงกับโจทย์ที่กำหนด
• ข้อ ค. (ยาต้านไวรัส acyclovir ชนิดรับประทาน เป็นยาควบคุมพิเศษ): เป็น Guanosine analog ยับยั้ง HSV และ VZV polymerase ต้องดื่มน้ำมากๆ ระหว่างได้ยา IV เพื่อป้องกัน crystal nephropathy และ obstructive AKI
• ข้อ จ. (บุคลากรทางการแพทย์ทุกวิชาชีพสามารถจ่ายยาต้านไวรัส acyclovir ชนิดทาเฉพาะที่ได้):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18" t="inlineStr"/>
      <c r="L100" s="18" t="inlineStr">
        <is>
          <t>HIV infection</t>
        </is>
      </c>
      <c r="M100" s="18" t="inlineStr">
        <is>
          <t>Clinic</t>
        </is>
      </c>
      <c r="N100" s="18" t="inlineStr">
        <is>
          <t>ข้อ 9 ชุด 1 (เฉลยข้อ ง)</t>
        </is>
      </c>
      <c r="O100" s="18" t="inlineStr">
        <is>
          <t>Mock</t>
        </is>
      </c>
      <c r="P100" s="18" t="inlineStr">
        <is>
          <t>ชุด 1</t>
        </is>
      </c>
    </row>
    <row r="101">
      <c r="A101" s="15" t="inlineStr">
        <is>
          <t>9</t>
        </is>
      </c>
      <c r="B101" s="1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18" t="inlineStr"/>
      <c r="D101" s="18" t="inlineStr">
        <is>
          <t>Steven Johnson syndrome</t>
        </is>
      </c>
      <c r="E101" s="18" t="inlineStr">
        <is>
          <t>Toxic epidermal necrolysis</t>
        </is>
      </c>
      <c r="F101" s="18" t="inlineStr">
        <is>
          <t>Rash with blisters</t>
        </is>
      </c>
      <c r="G101" s="18" t="inlineStr">
        <is>
          <t>SGPT &gt; 5X</t>
        </is>
      </c>
      <c r="H101" s="18" t="inlineStr">
        <is>
          <t>ถูกทุกข้อ</t>
        </is>
      </c>
      <c r="I101" s="15" t="inlineStr">
        <is>
          <t>4</t>
        </is>
      </c>
      <c r="J101" s="18"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ข้อนี้ไม่ใช่คำตอบที่ถูกต้องสำหรับภาวะ HIV infection เนื่องจากกลไกการออกฤทธิ์, efficacy หรือข้อบ่งใช้ไม่ตรงกับโจทย์ที่กำหนด
• ข้อ ข. (Toxic epidermal necrolysis): ข้อนี้ไม่ใช่คำตอบที่ถูกต้องสำหรับภาวะ HIV infection เนื่องจากกลไกการออกฤทธิ์, efficacy หรือข้อบ่งใช้ไม่ตรงกับโจทย์ที่กำหนด
• ข้อ ค. (Rash with blisters): ข้อนี้ไม่ใช่คำตอบที่ถูกต้องสำหรับภาวะ HIV infection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18" t="inlineStr"/>
      <c r="L101" s="18" t="inlineStr">
        <is>
          <t>HIV infection</t>
        </is>
      </c>
      <c r="M101" s="18" t="inlineStr">
        <is>
          <t>Clinic</t>
        </is>
      </c>
      <c r="N101" s="18" t="inlineStr">
        <is>
          <t>ข้อ 9 ชุด 1 (เฉลยข้อ ง)</t>
        </is>
      </c>
      <c r="O101" s="18" t="inlineStr">
        <is>
          <t>Mock</t>
        </is>
      </c>
      <c r="P101" s="18" t="inlineStr">
        <is>
          <t>ชุด 1</t>
        </is>
      </c>
    </row>
    <row r="102">
      <c r="A102" s="15" t="inlineStr">
        <is>
          <t>9</t>
        </is>
      </c>
      <c r="B102" s="18"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18" t="inlineStr"/>
      <c r="D102" s="18" t="inlineStr">
        <is>
          <t>พยาธิตัวตืด</t>
        </is>
      </c>
      <c r="E102" s="18" t="inlineStr">
        <is>
          <t>พยาธิปากขอ</t>
        </is>
      </c>
      <c r="F102" s="18" t="inlineStr">
        <is>
          <t>พยาธิเส้นด้าย</t>
        </is>
      </c>
      <c r="G102" s="18" t="inlineStr">
        <is>
          <t>พยาธิใบไม้</t>
        </is>
      </c>
      <c r="H102" s="18" t="inlineStr">
        <is>
          <t>พยาธิเท้าช้าง</t>
        </is>
      </c>
      <c r="I102" s="15" t="inlineStr">
        <is>
          <t>4</t>
        </is>
      </c>
      <c r="J102" s="18"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ข. (พยาธิปากขอ): ข้อนี้ไม่ใช่คำตอบที่ถูกต้องสำหรับภาวะ Parasitic infections เนื่องจากกลไกการออกฤทธิ์, efficacy หรือข้อบ่งใช้ไม่ตรงกับโจทย์ที่กำหนด
• ข้อ ค. (พยาธิเส้นด้าย):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8" t="inlineStr"/>
      <c r="L102" s="18" t="inlineStr">
        <is>
          <t>Parasitic infections</t>
        </is>
      </c>
      <c r="M102" s="18" t="inlineStr">
        <is>
          <t>Clinic</t>
        </is>
      </c>
      <c r="N102" s="18" t="inlineStr">
        <is>
          <t>ข้อ 9 ชุด 1 (เฉลยข้อ ง)</t>
        </is>
      </c>
      <c r="O102" s="18" t="inlineStr">
        <is>
          <t>Mock</t>
        </is>
      </c>
      <c r="P102" s="18" t="inlineStr">
        <is>
          <t>ชุด 1</t>
        </is>
      </c>
    </row>
    <row r="103">
      <c r="A103" s="15" t="inlineStr">
        <is>
          <t>10</t>
        </is>
      </c>
      <c r="B103" s="18" t="inlineStr">
        <is>
          <t>Trimethoprim สามารถทำให้อาการข้างเคียงตามข้อใด</t>
        </is>
      </c>
      <c r="C103" s="18" t="inlineStr"/>
      <c r="D103" s="18" t="inlineStr">
        <is>
          <t>Diarrhea</t>
        </is>
      </c>
      <c r="E103" s="18" t="inlineStr">
        <is>
          <t>Fatigue</t>
        </is>
      </c>
      <c r="F103" s="18" t="inlineStr">
        <is>
          <t>ปัสสาวะสีแดง</t>
        </is>
      </c>
      <c r="G103" s="18" t="inlineStr">
        <is>
          <t>Hypotension</t>
        </is>
      </c>
      <c r="H103" s="18" t="inlineStr">
        <is>
          <t>Megaloblastic anemia</t>
        </is>
      </c>
      <c r="I103" s="15" t="inlineStr">
        <is>
          <t>4</t>
        </is>
      </c>
      <c r="J103" s="18"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ข้อนี้ไม่ใช่คำตอบที่ถูกต้องสำหรับภาวะ HIV infection เนื่องจากกลไกการออกฤทธิ์, efficacy หรือข้อบ่งใช้ไม่ตรงกับโจทย์ที่กำหนด
• ข้อ ข. (Fatigue): ข้อนี้ไม่ใช่คำตอบที่ถูกต้องสำหรับภาวะ HIV infection เนื่องจากกลไกการออกฤทธิ์, efficacy หรือข้อบ่งใช้ไม่ตรงกับโจทย์ที่กำหนด
• ข้อ ค. (ปัสสาวะสีแดง): ข้อนี้ไม่ใช่คำตอบที่ถูกต้องสำหรับภาวะ HIV infection เนื่องจากกลไกการออกฤทธิ์, efficacy หรือข้อบ่งใช้ไม่ตรงกับโจทย์ที่กำหนด
• ข้อ จ. (Megaloblastic anemia):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18" t="inlineStr"/>
      <c r="L103" s="18" t="inlineStr">
        <is>
          <t>HIV infection</t>
        </is>
      </c>
      <c r="M103" s="18" t="inlineStr">
        <is>
          <t>Clinic</t>
        </is>
      </c>
      <c r="N103" s="18" t="inlineStr">
        <is>
          <t>ข้อ 10 ชุด 1 (เฉลยข้อ ง)</t>
        </is>
      </c>
      <c r="O103" s="18" t="inlineStr">
        <is>
          <t>Mock</t>
        </is>
      </c>
      <c r="P103" s="18" t="inlineStr">
        <is>
          <t>ชุด 1</t>
        </is>
      </c>
    </row>
    <row r="104">
      <c r="A104" s="15" t="inlineStr">
        <is>
          <t>10</t>
        </is>
      </c>
      <c r="B104" s="1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18" t="inlineStr"/>
      <c r="D104" s="18" t="inlineStr">
        <is>
          <t>การรักษาต้องรักษาทั้งผู้ป่วยและสามี แม้ว่าสามีจะไม่มีอาการใดๆ</t>
        </is>
      </c>
      <c r="E104" s="18" t="inlineStr">
        <is>
          <t>จำเป็นต้องให้ยาเพื่อป้องกันการกลับเป็นซ้ำเนื่องจากผู้ป่วยยังอายุน้อย</t>
        </is>
      </c>
      <c r="F104" s="18" t="inlineStr">
        <is>
          <t>ห้ามดื่มนมพร้อมยา เนื่องจากนมจะทำให้ยาถูกดูดซึมได้ลดลง</t>
        </is>
      </c>
      <c r="G104" s="18" t="inlineStr">
        <is>
          <t>อย่ากลั้นปัสสาวะ</t>
        </is>
      </c>
      <c r="H104" s="18" t="inlineStr">
        <is>
          <t>ไม่ควรล้างช่องคลอดอย่างพร่ำเพรื่อ</t>
        </is>
      </c>
      <c r="I104" s="15" t="inlineStr">
        <is>
          <t>4</t>
        </is>
      </c>
      <c r="J104" s="18"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ข้อนี้ไม่ใช่คำตอบที่ถูกต้องสำหรับภาวะ STDs &amp; vaginitis เนื่องจากกลไกการออกฤทธิ์, efficacy หรือข้อบ่งใช้ไม่ตรงกับโจทย์ที่กำหนด
• ข้อ ข. (จำเป็นต้องให้ยาเพื่อป้องกันการกลับเป็นซ้ำเนื่องจากผู้ป่วยยังอายุน้อย): ข้อนี้ไม่ใช่คำตอบที่ถูกต้องสำหรับภาวะ STDs &amp; vaginitis เนื่องจากกลไกการออกฤทธิ์, efficacy หรือข้อบ่งใช้ไม่ตรงกับโจทย์ที่กำหนด
• ข้อ ค. (ห้ามดื่มนมพร้อมยา เนื่องจากนมจะทำให้ยาถูกดูดซึมได้ลดลง): ข้อนี้ไม่ใช่คำตอบที่ถูกต้องสำหรับภาวะ STDs &amp; vaginitis เนื่องจากกลไกการออกฤทธิ์, efficacy หรือข้อบ่งใช้ไม่ตรงกับโจทย์ที่กำหนด
• ข้อ จ. (ไม่ควรล้างช่องคลอดอย่างพร่ำเพรื่อ): ข้อนี้ไม่ใช่คำตอบที่ถูกต้องสำหรับภาวะ STDs &amp; vaginitis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8" t="inlineStr"/>
      <c r="L104" s="18" t="inlineStr">
        <is>
          <t>STDs &amp; vaginitis</t>
        </is>
      </c>
      <c r="M104" s="18" t="inlineStr">
        <is>
          <t>Clinic</t>
        </is>
      </c>
      <c r="N104" s="18" t="inlineStr">
        <is>
          <t>ข้อ 10 ชุด 1 (เฉลยข้อ ง)</t>
        </is>
      </c>
      <c r="O104" s="18" t="inlineStr">
        <is>
          <t>Mock</t>
        </is>
      </c>
      <c r="P104" s="18" t="inlineStr">
        <is>
          <t>ชุด 1</t>
        </is>
      </c>
    </row>
    <row r="105">
      <c r="A105" s="15" t="inlineStr">
        <is>
          <t>10</t>
        </is>
      </c>
      <c r="B105" s="18"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18" t="inlineStr"/>
      <c r="D105" s="18" t="inlineStr">
        <is>
          <t>Indinavir</t>
        </is>
      </c>
      <c r="E105" s="18" t="inlineStr">
        <is>
          <t>Lamivudine</t>
        </is>
      </c>
      <c r="F105" s="18" t="inlineStr">
        <is>
          <t>Nevirapine</t>
        </is>
      </c>
      <c r="G105" s="18" t="inlineStr">
        <is>
          <t>Stavudine</t>
        </is>
      </c>
      <c r="H105" s="18" t="inlineStr">
        <is>
          <t>Zidovudine</t>
        </is>
      </c>
      <c r="I105" s="15" t="inlineStr">
        <is>
          <t>4</t>
        </is>
      </c>
      <c r="J105" s="18"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ข้อนี้ไม่ใช่คำตอบที่ถูกต้องสำหรับภาวะ HIV infection เนื่องจากกลไกการออกฤทธิ์, efficacy หรือข้อบ่งใช้ไม่ตรงกับโจทย์ที่กำหนด
• ข้อ ข. (Lamivudine):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จ. (Zidovudine):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18" t="inlineStr"/>
      <c r="L105" s="18" t="inlineStr">
        <is>
          <t>HIV infection</t>
        </is>
      </c>
      <c r="M105" s="18" t="inlineStr">
        <is>
          <t>Clinic</t>
        </is>
      </c>
      <c r="N105" s="18" t="inlineStr">
        <is>
          <t>ข้อ 10 ชุด 1 (เฉลยข้อ ง)</t>
        </is>
      </c>
      <c r="O105" s="18" t="inlineStr">
        <is>
          <t>Mock</t>
        </is>
      </c>
      <c r="P105" s="18" t="inlineStr">
        <is>
          <t>ชุด 1</t>
        </is>
      </c>
    </row>
    <row r="106">
      <c r="A106" s="15" t="inlineStr">
        <is>
          <t>10</t>
        </is>
      </c>
      <c r="B106" s="18"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18" t="inlineStr"/>
      <c r="D106" s="18" t="inlineStr">
        <is>
          <t>Praziquantel 5-25 mg/kg/day po once</t>
        </is>
      </c>
      <c r="E106" s="18" t="inlineStr">
        <is>
          <t>Niclosamide 2 g single dose</t>
        </is>
      </c>
      <c r="F106" s="18" t="inlineStr">
        <is>
          <t>Albendazole 400 mg single dose</t>
        </is>
      </c>
      <c r="G106" s="18" t="inlineStr">
        <is>
          <t>Mebendazole 100 mg single dose</t>
        </is>
      </c>
      <c r="H106" s="18" t="inlineStr">
        <is>
          <t>ได้ทั้งข้อ 3 และ ข้อ 4</t>
        </is>
      </c>
      <c r="I106" s="15" t="inlineStr">
        <is>
          <t>4</t>
        </is>
      </c>
      <c r="J106" s="18"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ข้อนี้ไม่ใช่คำตอบที่ถูกต้องสำหรับภาวะ HIV infection เนื่องจากกลไกการออกฤทธิ์, efficacy หรือข้อบ่งใช้ไม่ตรงกับโจทย์ที่กำหนด
• ข้อ ข. (Niclosamide 2 g single dose): ข้อนี้ไม่ใช่คำตอบที่ถูกต้องสำหรับภาวะ HIV infection เนื่องจากกลไกการออกฤทธิ์, efficacy หรือข้อบ่งใช้ไม่ตรงกับโจทย์ที่กำหนด
• ข้อ ค. (Albendazole 400 mg single dose): ข้อนี้ไม่ใช่คำตอบที่ถูกต้องสำหรับภาวะ HIV infection เนื่องจากกลไกการออกฤทธิ์, efficacy หรือข้อบ่งใช้ไม่ตรงกับโจทย์ที่กำหนด
• ข้อ จ. (ได้ทั้งข้อ 3 และ ข้อ 4):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18" t="inlineStr"/>
      <c r="L106" s="18" t="inlineStr">
        <is>
          <t>HIV infection</t>
        </is>
      </c>
      <c r="M106" s="18" t="inlineStr">
        <is>
          <t>Clinic</t>
        </is>
      </c>
      <c r="N106" s="18" t="inlineStr">
        <is>
          <t>ข้อ 10 ชุด 1 (เฉลยข้อ ง)</t>
        </is>
      </c>
      <c r="O106" s="18" t="inlineStr">
        <is>
          <t>Mock</t>
        </is>
      </c>
      <c r="P106" s="18" t="inlineStr">
        <is>
          <t>ชุด 1</t>
        </is>
      </c>
    </row>
    <row r="107">
      <c r="A107" s="15" t="inlineStr">
        <is>
          <t>11</t>
        </is>
      </c>
      <c r="B107" s="18" t="inlineStr">
        <is>
          <t>ยาในกลุ่มใดต่อไปนี้ออกฤทธิ์เป็น Bactericidal</t>
        </is>
      </c>
      <c r="C107" s="18" t="inlineStr"/>
      <c r="D107" s="18" t="inlineStr">
        <is>
          <t>Cephalosporin</t>
        </is>
      </c>
      <c r="E107" s="18" t="inlineStr">
        <is>
          <t>Tetracycline</t>
        </is>
      </c>
      <c r="F107" s="18" t="inlineStr">
        <is>
          <t>Erythromycin</t>
        </is>
      </c>
      <c r="G107" s="18" t="inlineStr">
        <is>
          <t>Chloramphenicol</t>
        </is>
      </c>
      <c r="H107" s="18" t="inlineStr">
        <is>
          <t>Trimethoprim</t>
        </is>
      </c>
      <c r="I107" s="15" t="inlineStr">
        <is>
          <t>3</t>
        </is>
      </c>
      <c r="J107" s="1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ข้อนี้ไม่ใช่คำตอบที่ถูกต้องสำหรับภาวะ HIV infection เนื่องจากกลไกการออกฤทธิ์, efficacy หรือข้อบ่งใช้ไม่ตรงกับโจทย์ที่กำหนด
• ข้อ ข. (Tetracycline): ข้อนี้ไม่ใช่คำตอบที่ถูกต้องสำหรับภาวะ HIV infection เนื่องจากกลไกการออกฤทธิ์, efficacy หรือข้อบ่งใช้ไม่ตรงกับโจทย์ที่กำหนด
• ข้อ ง. (Chloramphenicol): ข้อนี้ไม่ใช่คำตอบที่ถูกต้องสำหรับภาวะ HIV infection เนื่องจากกลไกการออกฤทธิ์, efficacy หรือข้อบ่งใช้ไม่ตรงกับโจทย์ที่กำหนด
• ข้อ จ. (Trimethoprim):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18" t="inlineStr"/>
      <c r="L107" s="18" t="inlineStr">
        <is>
          <t>HIV infection</t>
        </is>
      </c>
      <c r="M107" s="18" t="inlineStr">
        <is>
          <t>Clinic</t>
        </is>
      </c>
      <c r="N107" s="18" t="inlineStr">
        <is>
          <t>ข้อ 11 ชุด 1 (เฉลยข้อ ค)</t>
        </is>
      </c>
      <c r="O107" s="18" t="inlineStr">
        <is>
          <t>Mock</t>
        </is>
      </c>
      <c r="P107" s="18" t="inlineStr">
        <is>
          <t>ชุด 1</t>
        </is>
      </c>
    </row>
    <row r="108">
      <c r="A108" s="15" t="inlineStr">
        <is>
          <t>11</t>
        </is>
      </c>
      <c r="B108" s="1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18" t="inlineStr"/>
      <c r="D108" s="18" t="inlineStr">
        <is>
          <t>Tinea capitis</t>
        </is>
      </c>
      <c r="E108" s="18" t="inlineStr">
        <is>
          <t>Tinea caporis</t>
        </is>
      </c>
      <c r="F108" s="18" t="inlineStr">
        <is>
          <t>Tinea curis</t>
        </is>
      </c>
      <c r="G108" s="18" t="inlineStr">
        <is>
          <t>Tinea versicolor</t>
        </is>
      </c>
      <c r="H108" s="18" t="inlineStr">
        <is>
          <t>Tinea pedis</t>
        </is>
      </c>
      <c r="I108" s="15" t="inlineStr">
        <is>
          <t>3</t>
        </is>
      </c>
      <c r="J108" s="18"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ข้อนี้ไม่ใช่คำตอบที่ถูกต้องสำหรับภาวะ HIV infection เนื่องจากกลไกการออกฤทธิ์, efficacy หรือข้อบ่งใช้ไม่ตรงกับโจทย์ที่กำหนด
• ข้อ ข. (Tinea caporis): ข้อนี้ไม่ใช่คำตอบที่ถูกต้องสำหรับภาวะ HIV infection เนื่องจากกลไกการออกฤทธิ์, efficacy หรือข้อบ่งใช้ไม่ตรงกับโจทย์ที่กำหนด
• ข้อ ง. (Tinea versicolor): ข้อนี้ไม่ใช่คำตอบที่ถูกต้องสำหรับภาวะ HIV infection เนื่องจากกลไกการออกฤทธิ์, efficacy หรือข้อบ่งใช้ไม่ตรงกับโจทย์ที่กำหนด
• ข้อ จ. (Tinea pedis):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18" t="inlineStr"/>
      <c r="L108" s="18" t="inlineStr">
        <is>
          <t>HIV infection</t>
        </is>
      </c>
      <c r="M108" s="18" t="inlineStr">
        <is>
          <t>Clinic</t>
        </is>
      </c>
      <c r="N108" s="18" t="inlineStr">
        <is>
          <t>ข้อ 11 ชุด 1 (เฉลยข้อ ค)</t>
        </is>
      </c>
      <c r="O108" s="18" t="inlineStr">
        <is>
          <t>Mock</t>
        </is>
      </c>
      <c r="P108" s="18" t="inlineStr">
        <is>
          <t>ชุด 1</t>
        </is>
      </c>
    </row>
    <row r="109">
      <c r="A109" s="15" t="inlineStr">
        <is>
          <t>11</t>
        </is>
      </c>
      <c r="B109" s="18" t="inlineStr">
        <is>
          <t>การรักษาใดเหมาะสมในผู้ป่วยรายนี้</t>
        </is>
      </c>
      <c r="C109" s="18" t="inlineStr"/>
      <c r="D109" s="18" t="inlineStr">
        <is>
          <t>2HRZE/4HR และทานยาต้าน HIV ตามปกติ</t>
        </is>
      </c>
      <c r="E109" s="18" t="inlineStr">
        <is>
          <t>2HRZE/4HR และเพิ่ม ritonavir เป็น 800 mg q 12 hr</t>
        </is>
      </c>
      <c r="F109" s="18" t="inlineStr">
        <is>
          <t>2HRZE/4HR และเปลี่ยน ritonavir เป็น efavarenz</t>
        </is>
      </c>
      <c r="G109" s="18" t="inlineStr">
        <is>
          <t>2HES/10HE เพื่อป้องกัน rifampicin เกิด drug interaction กับ ritonavir</t>
        </is>
      </c>
      <c r="H109" s="18" t="inlineStr">
        <is>
          <t>2HES/10HE เพื่อป้องกัน rifampicin เกิด drug interaction กับ fluconazole</t>
        </is>
      </c>
      <c r="I109" s="15" t="inlineStr">
        <is>
          <t>3</t>
        </is>
      </c>
      <c r="J109" s="18"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ข้อนี้ไม่ใช่คำตอบที่ถูกต้องสำหรับภาวะ HIV infection เนื่องจากกลไกการออกฤทธิ์, efficacy หรือข้อบ่งใช้ไม่ตรงกับโจทย์ที่กำหนด
• ข้อ ข. (2HRZE/4HR และเพิ่ม ritonavir เป็น 800 mg q 12 hr): ข้อนี้ไม่ใช่คำตอบที่ถูกต้องสำหรับภาวะ HIV infection เนื่องจากกลไกการออกฤทธิ์, efficacy หรือข้อบ่งใช้ไม่ตรงกับโจทย์ที่กำหนด
• ข้อ ง. (2HES/10HE เพื่อป้องกัน rifampicin เกิด drug interaction กับ ritonavir):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(2HES/10HE เพื่อป้องกัน rifampicin เกิด drug interaction กับ fluconazole):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18" t="inlineStr"/>
      <c r="L109" s="18" t="inlineStr">
        <is>
          <t>HIV infection</t>
        </is>
      </c>
      <c r="M109" s="18" t="inlineStr">
        <is>
          <t>Clinic</t>
        </is>
      </c>
      <c r="N109" s="18" t="inlineStr">
        <is>
          <t>ข้อ 11 ชุด 1 (เฉลยข้อ ค)</t>
        </is>
      </c>
      <c r="O109" s="18" t="inlineStr">
        <is>
          <t>Mock</t>
        </is>
      </c>
      <c r="P109" s="18" t="inlineStr">
        <is>
          <t>ชุด 1</t>
        </is>
      </c>
    </row>
    <row r="110">
      <c r="A110" s="15" t="inlineStr">
        <is>
          <t>11</t>
        </is>
      </c>
      <c r="B110" s="18" t="inlineStr">
        <is>
          <t>ข้อใดผิดเกี่ยวกับการรักษาการติดพยาธิเส้นด้าย</t>
        </is>
      </c>
      <c r="C110" s="18" t="inlineStr"/>
      <c r="D110" s="18" t="inlineStr">
        <is>
          <t>ควรให้การรักษาซ้ำในสัปดาห์ที่ 2</t>
        </is>
      </c>
      <c r="E110" s="18" t="inlineStr">
        <is>
          <t>ควรรักษาสมาชิกในครอบครัวทั้งหมดพร้อมกัน</t>
        </is>
      </c>
      <c r="F110" s="18" t="inlineStr">
        <is>
          <t>ควรรักษาสมาชิกในครอบครัวที่เป็นเด็กพร้อมกัน</t>
        </is>
      </c>
      <c r="G110" s="18" t="inlineStr">
        <is>
          <t>หากมีอาการคันมากบริเวณรอบทวารหนักเวลากลางคืน ควรปรึกษาแพทย์หรือเภสัชกรเพื่อรับยาครีมหรือขี้ผึ้งทาแก้คัน</t>
        </is>
      </c>
      <c r="H110" s="18" t="inlineStr">
        <is>
          <t>รับประทานยาหลังอาหารทันที</t>
        </is>
      </c>
      <c r="I110" s="15" t="inlineStr">
        <is>
          <t>3</t>
        </is>
      </c>
      <c r="J110" s="18"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ข้อนี้ไม่ใช่คำตอบที่ถูกต้องสำหรับภาวะ Parasitic infections เนื่องจากกลไกการออกฤทธิ์, efficacy หรือข้อบ่งใช้ไม่ตรงกับโจทย์ที่กำหนด
• ข้อ ข. (ควรรักษาสมาชิกในครอบครัวทั้งหมดพร้อมกัน): ข้อนี้ไม่ใช่คำตอบที่ถูกต้องสำหรับภาวะ Parasitic infections เนื่องจากกลไกการออกฤทธิ์, efficacy หรือข้อบ่งใช้ไม่ตรงกับโจทย์ที่กำหนด
• ข้อ ง. (หากมีอาการคันมากบริเวณรอบทวารหนักเวลากลางคืน ควรปรึกษาแพทย์หรือเภสัชกรเพื่อรับยาครีมหรือขี้ผึ้งทาแก้คัน): ข้อนี้ไม่ใช่คำตอบที่ถูกต้องสำหรับภาวะ Parasitic infections เนื่องจากกลไกการออกฤทธิ์, efficacy หรือข้อบ่งใช้ไม่ตรงกับโจทย์ที่กำหนด
• ข้อ จ. (รับประทานยาหลังอาหารทันที):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8" t="inlineStr"/>
      <c r="L110" s="18" t="inlineStr">
        <is>
          <t>Parasitic infections</t>
        </is>
      </c>
      <c r="M110" s="18" t="inlineStr">
        <is>
          <t>Clinic</t>
        </is>
      </c>
      <c r="N110" s="18" t="inlineStr">
        <is>
          <t>ข้อ 11 ชุด 1 (เฉลยข้อ ค)</t>
        </is>
      </c>
      <c r="O110" s="18" t="inlineStr">
        <is>
          <t>Mock</t>
        </is>
      </c>
      <c r="P110" s="18" t="inlineStr">
        <is>
          <t>ชุด 1</t>
        </is>
      </c>
    </row>
    <row r="111">
      <c r="A111" s="15" t="inlineStr">
        <is>
          <t>12</t>
        </is>
      </c>
      <c r="B111" s="18" t="inlineStr">
        <is>
          <t>ยาในข้อใดออกฤทธิ์เป็น Concentration-dependent bactericidal activity</t>
        </is>
      </c>
      <c r="C111" s="18" t="inlineStr"/>
      <c r="D111" s="18" t="inlineStr">
        <is>
          <t>Penicillin</t>
        </is>
      </c>
      <c r="E111" s="18" t="inlineStr">
        <is>
          <t>Ciprofloxacin</t>
        </is>
      </c>
      <c r="F111" s="18" t="inlineStr">
        <is>
          <t>Erythromycin</t>
        </is>
      </c>
      <c r="G111" s="18" t="inlineStr">
        <is>
          <t>Cefazolin</t>
        </is>
      </c>
      <c r="H111" s="18" t="inlineStr">
        <is>
          <t>Azithromycin</t>
        </is>
      </c>
      <c r="I111" s="15" t="inlineStr">
        <is>
          <t>3</t>
        </is>
      </c>
      <c r="J111" s="1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ข้อนี้ไม่ใช่คำตอบที่ถูกต้องสำหรับภาวะ HIV infection เนื่องจากกลไกการออกฤทธิ์, efficacy หรือข้อบ่งใช้ไม่ตรงกับโจทย์ที่กำหนด
• ข้อ ข. (Ciprofloxacin): เป็น Fluoroquinolone เด่นต่อ Gram-negative รวมทั้ง Pseudomonas aeruginosa แต่มี black box warning เรื่อง tendon rupture, QT prolongation, aortic aneurysm และ dysglycemia
• ข้อ ง. (Cefazolin): เป็น 1st generation cephalosporin เป็น drug of choice สำหรับ surgical antibiotic prophylaxis และ severe MSSA bacteremia/endocarditis
• ข้อ จ. (Azithromycin):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18" t="inlineStr"/>
      <c r="L111" s="18" t="inlineStr">
        <is>
          <t>HIV infection</t>
        </is>
      </c>
      <c r="M111" s="18" t="inlineStr">
        <is>
          <t>Clinic</t>
        </is>
      </c>
      <c r="N111" s="18" t="inlineStr">
        <is>
          <t>ข้อ 12 ชุด 1 (เฉลยข้อ ค)</t>
        </is>
      </c>
      <c r="O111" s="18" t="inlineStr">
        <is>
          <t>Mock</t>
        </is>
      </c>
      <c r="P111" s="18" t="inlineStr">
        <is>
          <t>ชุด 1</t>
        </is>
      </c>
    </row>
    <row r="112">
      <c r="A112" s="15" t="inlineStr">
        <is>
          <t>12</t>
        </is>
      </c>
      <c r="B112" s="1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18" t="inlineStr"/>
      <c r="D112" s="18" t="inlineStr">
        <is>
          <t>14 วัน</t>
        </is>
      </c>
      <c r="E112" s="18" t="inlineStr">
        <is>
          <t>2 เดือน</t>
        </is>
      </c>
      <c r="F112" s="18" t="inlineStr">
        <is>
          <t>3 เดือน</t>
        </is>
      </c>
      <c r="G112" s="18" t="inlineStr">
        <is>
          <t>4 เดือน</t>
        </is>
      </c>
      <c r="H112" s="18" t="inlineStr">
        <is>
          <t>5 เดือน</t>
        </is>
      </c>
      <c r="I112" s="15" t="inlineStr">
        <is>
          <t>3</t>
        </is>
      </c>
      <c r="J112" s="18"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ข้อนี้ไม่ใช่คำตอบที่ถูกต้องสำหรับภาวะ Pneumonia เนื่องจากกลไกการออกฤทธิ์, efficacy หรือข้อบ่งใช้ไม่ตรงกับโจทย์ที่กำหนด
• ข้อ ข. (2 เดือน): ข้อนี้ไม่ใช่คำตอบที่ถูกต้องสำหรับภาวะ Pneumonia เนื่องจากกลไกการออกฤทธิ์, efficacy หรือข้อบ่งใช้ไม่ตรงกับโจทย์ที่กำหนด
• ข้อ ง. (4 เดือน): ข้อนี้ไม่ใช่คำตอบที่ถูกต้องสำหรับภาวะ Pneumonia เนื่องจากกลไกการออกฤทธิ์, efficacy หรือข้อบ่งใช้ไม่ตรงกับโจทย์ที่กำหนด
• ข้อ จ. (5 เดือน): ข้อนี้ไม่ใช่คำตอบที่ถูกต้องสำหรับภาวะ Pneumonia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8" t="inlineStr"/>
      <c r="L112" s="18" t="inlineStr">
        <is>
          <t>Pneumonia</t>
        </is>
      </c>
      <c r="M112" s="18" t="inlineStr">
        <is>
          <t>Clinic</t>
        </is>
      </c>
      <c r="N112" s="18" t="inlineStr">
        <is>
          <t>ข้อ 12 ชุด 1 (เฉลยข้อ ค)</t>
        </is>
      </c>
      <c r="O112" s="18" t="inlineStr">
        <is>
          <t>Mock</t>
        </is>
      </c>
      <c r="P112" s="18" t="inlineStr">
        <is>
          <t>ชุด 1</t>
        </is>
      </c>
    </row>
    <row r="113">
      <c r="A113" s="15" t="inlineStr">
        <is>
          <t>12</t>
        </is>
      </c>
      <c r="B113" s="18" t="inlineStr">
        <is>
          <t>หลังจากนี้ไม่ควรดำเนินการรักษาโรคของนางฟ้าได้อย่างไร</t>
        </is>
      </c>
      <c r="C113" s="18" t="inlineStr"/>
      <c r="D113" s="18" t="inlineStr">
        <is>
          <t>ดำเนินการรักษา TB ต่อไปอีก 6-9 สัปดาห์</t>
        </is>
      </c>
      <c r="E113" s="18" t="inlineStr">
        <is>
          <t>ให้ pyridoxine 10 mg/day ควบคู่กับการรักษา TB</t>
        </is>
      </c>
      <c r="F113" s="18" t="inlineStr">
        <is>
          <t>ให้การรักษาวัณโรคแบบ DOTS</t>
        </is>
      </c>
      <c r="G113" s="18" t="inlineStr">
        <is>
          <t>รับประทานยาติดต่อกันอย่างสม่ำเสมอ</t>
        </is>
      </c>
      <c r="H113" s="18" t="inlineStr">
        <is>
          <t>ตรวจ serology B hepatitis</t>
        </is>
      </c>
      <c r="I113" s="15" t="inlineStr">
        <is>
          <t>3</t>
        </is>
      </c>
      <c r="J113" s="18"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ข้อนี้ไม่ใช่คำตอบที่ถูกต้องสำหรับภาวะ HIV infection เนื่องจากกลไกการออกฤทธิ์, efficacy หรือข้อบ่งใช้ไม่ตรงกับโจทย์ที่กำหนด
• ข้อ ข. (ให้ pyridoxine 10 mg/day ควบคู่กับการรักษา TB): ข้อนี้ไม่ใช่คำตอบที่ถูกต้องสำหรับภาวะ HIV infection เนื่องจากกลไกการออกฤทธิ์, efficacy หรือข้อบ่งใช้ไม่ตรงกับโจทย์ที่กำหนด
• ข้อ ง. (รับประทานยาติดต่อกันอย่างสม่ำเสมอ): ข้อนี้ไม่ใช่คำตอบที่ถูกต้องสำหรับภาวะ HIV infection เนื่องจากกลไกการออกฤทธิ์, efficacy หรือข้อบ่งใช้ไม่ตรงกับโจทย์ที่กำหนด
• ข้อ จ. (ตรวจ serology B hepatitis):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18" t="inlineStr"/>
      <c r="L113" s="18" t="inlineStr">
        <is>
          <t>HIV infection</t>
        </is>
      </c>
      <c r="M113" s="18" t="inlineStr">
        <is>
          <t>Clinic</t>
        </is>
      </c>
      <c r="N113" s="18" t="inlineStr">
        <is>
          <t>ข้อ 12 ชุด 1 (เฉลยข้อ ค)</t>
        </is>
      </c>
      <c r="O113" s="18" t="inlineStr">
        <is>
          <t>Mock</t>
        </is>
      </c>
      <c r="P113" s="18" t="inlineStr">
        <is>
          <t>ชุด 1</t>
        </is>
      </c>
    </row>
    <row r="114">
      <c r="A114" s="15" t="inlineStr">
        <is>
          <t>12</t>
        </is>
      </c>
      <c r="B114" s="18" t="inlineStr">
        <is>
          <t>คำแนะนำใดมีประโยชน์น้อยที่สุดในการป้องกันการติดพยาธิดังกล่าว</t>
        </is>
      </c>
      <c r="C114" s="18" t="inlineStr"/>
      <c r="D114" s="18" t="inlineStr">
        <is>
          <t>ควรรับประทานอาหารที่ปรุงสุก สะอาด</t>
        </is>
      </c>
      <c r="E114" s="18" t="inlineStr">
        <is>
          <t>ล้างมือก่อนรับประทานอาหารทุกครั้ง</t>
        </is>
      </c>
      <c r="F114" s="18" t="inlineStr">
        <is>
          <t>ควรสวมรองเท้าทุกครั้งที่ออกจากบ้าน</t>
        </is>
      </c>
      <c r="G114" s="18" t="inlineStr">
        <is>
          <t>ซักเสื้อผ้า ผ้าห่ม ผ้าปูที่นอนเสมอ</t>
        </is>
      </c>
      <c r="H114" s="18" t="inlineStr">
        <is>
          <t>ตัดเล็บมือให้สั้น</t>
        </is>
      </c>
      <c r="I114" s="15" t="inlineStr">
        <is>
          <t>3</t>
        </is>
      </c>
      <c r="J114" s="18"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ข้อนี้ไม่ใช่คำตอบที่ถูกต้องสำหรับภาวะ Parasitic infections เนื่องจากกลไกการออกฤทธิ์, efficacy หรือข้อบ่งใช้ไม่ตรงกับโจทย์ที่กำหนด
• ข้อ ข. (ล้างมือก่อนรับประทานอาหารทุกครั้ง): ข้อนี้ไม่ใช่คำตอบที่ถูกต้องสำหรับภาวะ Parasitic infections เนื่องจากกลไกการออกฤทธิ์, efficacy หรือข้อบ่งใช้ไม่ตรงกับโจทย์ที่กำหนด
• ข้อ ง. (ซักเสื้อผ้า ผ้าห่ม ผ้าปูที่นอนเสมอ): ข้อนี้ไม่ใช่คำตอบที่ถูกต้องสำหรับภาวะ Parasitic infections เนื่องจากกลไกการออกฤทธิ์, efficacy หรือข้อบ่งใช้ไม่ตรงกับโจทย์ที่กำหนด
• ข้อ จ. (ตัดเล็บมือให้สั้น):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8" t="inlineStr"/>
      <c r="L114" s="18" t="inlineStr">
        <is>
          <t>Parasitic infections</t>
        </is>
      </c>
      <c r="M114" s="18" t="inlineStr">
        <is>
          <t>Clinic</t>
        </is>
      </c>
      <c r="N114" s="18" t="inlineStr">
        <is>
          <t>ข้อ 12 ชุด 1 (เฉลยข้อ ค)</t>
        </is>
      </c>
      <c r="O114" s="18" t="inlineStr">
        <is>
          <t>Mock</t>
        </is>
      </c>
      <c r="P114" s="18" t="inlineStr">
        <is>
          <t>ชุด 1</t>
        </is>
      </c>
    </row>
    <row r="115">
      <c r="A115" s="15" t="inlineStr">
        <is>
          <t>13</t>
        </is>
      </c>
      <c r="B115" s="18" t="inlineStr">
        <is>
          <t>Vancomycin ผลิตมาจากเชื้ออะไร</t>
        </is>
      </c>
      <c r="C115" s="18" t="inlineStr"/>
      <c r="D115" s="18" t="inlineStr">
        <is>
          <t>Streptomyces orchidaceus</t>
        </is>
      </c>
      <c r="E115" s="18" t="inlineStr">
        <is>
          <t>Streptomyces fradiae</t>
        </is>
      </c>
      <c r="F115" s="18" t="inlineStr">
        <is>
          <t>Bacillus subtilis</t>
        </is>
      </c>
      <c r="G115" s="18" t="inlineStr">
        <is>
          <t>Streptococcus orientalis</t>
        </is>
      </c>
      <c r="H115" s="18" t="inlineStr">
        <is>
          <t>ไม่มีข้อถูก</t>
        </is>
      </c>
      <c r="I115" s="15" t="inlineStr">
        <is>
          <t>2</t>
        </is>
      </c>
      <c r="J115" s="18"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ข้อนี้ไม่ใช่คำตอบที่ถูกต้องสำหรับภาวะ HIV infection เนื่องจากกลไกการออกฤทธิ์, efficacy หรือข้อบ่งใช้ไม่ตรงกับโจทย์ที่กำหนด
• ข้อ ค. (Bacillus subtilis): ข้อนี้ไม่ใช่คำตอบที่ถูกต้องสำหรับภาวะ HIV infection เนื่องจากกลไกการออกฤทธิ์, efficacy หรือข้อบ่งใช้ไม่ตรงกับโจทย์ที่กำหนด
• ข้อ ง. (Streptococcus orientalis): ข้อนี้ไม่ใช่คำตอบที่ถูกต้องสำหรับภาวะ HIV infection เนื่องจากกลไกการออกฤทธิ์, efficacy หรือข้อบ่งใช้ไม่ตรงกับโจทย์ที่กำหนด
• ข้อ จ. (ไม่มีข้อถูก):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18" t="inlineStr"/>
      <c r="L115" s="18" t="inlineStr">
        <is>
          <t>HIV infection</t>
        </is>
      </c>
      <c r="M115" s="18" t="inlineStr">
        <is>
          <t>Clinic</t>
        </is>
      </c>
      <c r="N115" s="18" t="inlineStr">
        <is>
          <t>ข้อ 13 ชุด 1 (เฉลยข้อ ข ค)</t>
        </is>
      </c>
      <c r="O115" s="18" t="inlineStr">
        <is>
          <t>Mock</t>
        </is>
      </c>
      <c r="P115" s="18" t="inlineStr">
        <is>
          <t>ชุด 1</t>
        </is>
      </c>
    </row>
    <row r="116">
      <c r="A116" s="15" t="inlineStr">
        <is>
          <t>13</t>
        </is>
      </c>
      <c r="B116" s="18" t="inlineStr">
        <is>
          <t>ข้อใดคือ กลไกการออกฤทธิ์ของยา griseofulvin</t>
        </is>
      </c>
      <c r="C116" s="18" t="inlineStr"/>
      <c r="D116" s="18" t="inlineStr">
        <is>
          <t>ยับยั้งการสังเคราะห์ ergosterol</t>
        </is>
      </c>
      <c r="E116" s="18" t="inlineStr">
        <is>
          <t>ยับยั้งการสร้าง mycolic acid ใน cell wall</t>
        </is>
      </c>
      <c r="F116" s="18" t="inlineStr">
        <is>
          <t>ยับยั้งการสร้าง mitosis ของ dermatophytes</t>
        </is>
      </c>
      <c r="G116" s="18" t="inlineStr">
        <is>
          <t>จับกับ phospholipids ยับยั้งการสร้าง cell wall</t>
        </is>
      </c>
      <c r="H116" s="18" t="inlineStr">
        <is>
          <t>จับกับ sterol ยับยั้งการสร้างผนังเซลล์</t>
        </is>
      </c>
      <c r="I116" s="15" t="inlineStr">
        <is>
          <t>2</t>
        </is>
      </c>
      <c r="J116" s="18"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ข้อนี้ไม่ใช่คำตอบที่ถูกต้องสำหรับภาวะ HIV infection เนื่องจากกลไกการออกฤทธิ์, efficacy หรือข้อบ่งใช้ไม่ตรงกับโจทย์ที่กำหนด
• ข้อ ค. (ยับยั้งการสร้าง mitosis ของ dermatophytes): ข้อนี้ไม่ใช่คำตอบที่ถูกต้องสำหรับภาวะ HIV infection เนื่องจากกลไกการออกฤทธิ์, efficacy หรือข้อบ่งใช้ไม่ตรงกับโจทย์ที่กำหนด
• ข้อ ง. (จับกับ phospholipids ยับยั้งการสร้าง cell wall): ข้อนี้ไม่ใช่คำตอบที่ถูกต้องสำหรับภาวะ HIV infection เนื่องจากกลไกการออกฤทธิ์, efficacy หรือข้อบ่งใช้ไม่ตรงกับโจทย์ที่กำหนด
• ข้อ จ. (จับกับ sterol ยับยั้งการสร้างผนังเซลล์):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18" t="inlineStr"/>
      <c r="L116" s="18" t="inlineStr">
        <is>
          <t>HIV infection</t>
        </is>
      </c>
      <c r="M116" s="18" t="inlineStr">
        <is>
          <t>Clinic</t>
        </is>
      </c>
      <c r="N116" s="18" t="inlineStr">
        <is>
          <t>ข้อ 13 ชุด 1 (เฉลยข้อ ข ค)</t>
        </is>
      </c>
      <c r="O116" s="18" t="inlineStr">
        <is>
          <t>Mock</t>
        </is>
      </c>
      <c r="P116" s="18" t="inlineStr">
        <is>
          <t>ชุด 1</t>
        </is>
      </c>
    </row>
    <row r="117">
      <c r="A117" s="15" t="inlineStr">
        <is>
          <t>13</t>
        </is>
      </c>
      <c r="B117" s="18"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18" t="inlineStr"/>
      <c r="D117" s="18" t="inlineStr">
        <is>
          <t>2HR/16HE: INH 300 mg, Ethambutol 800 mg, Streptomycin 1 g</t>
        </is>
      </c>
      <c r="E117" s="18" t="inlineStr">
        <is>
          <t>2HRE/7HR: INH 300 mg, Rifampicin 450 mg, Ethambutol 800 mg</t>
        </is>
      </c>
      <c r="F117" s="18" t="inlineStr">
        <is>
          <t>2HR/16HE: INH 300 mg, Ethambutol 800 mg, Streptomycin 0.75 g</t>
        </is>
      </c>
      <c r="G117" s="18" t="inlineStr">
        <is>
          <t>2HRE/7HR: INH 300 mg, Rifampicin 600 mg, Ethambutol 1200 mg</t>
        </is>
      </c>
      <c r="H117" s="18" t="inlineStr">
        <is>
          <t>2HRE/7HR: INH 300 mg, Rifampicin 450 mg, Ethambutol 800 mg</t>
        </is>
      </c>
      <c r="I117" s="15" t="inlineStr">
        <is>
          <t>2</t>
        </is>
      </c>
      <c r="J117" s="18"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18" t="inlineStr"/>
      <c r="L117" s="18" t="inlineStr">
        <is>
          <t>Tuberculosis</t>
        </is>
      </c>
      <c r="M117" s="18" t="inlineStr">
        <is>
          <t>Clinic</t>
        </is>
      </c>
      <c r="N117" s="18" t="inlineStr">
        <is>
          <t>ข้อ 13 ชุด 1 (เฉลยข้อ ข ค)</t>
        </is>
      </c>
      <c r="O117" s="18" t="inlineStr">
        <is>
          <t>Mock</t>
        </is>
      </c>
      <c r="P117" s="18" t="inlineStr">
        <is>
          <t>ชุด 1</t>
        </is>
      </c>
    </row>
    <row r="118">
      <c r="A118" s="15" t="inlineStr">
        <is>
          <t>14</t>
        </is>
      </c>
      <c r="B118" s="18" t="inlineStr">
        <is>
          <t>ยาใดมีผลข้างเคียงทำให้เกิดผิวหนังแพ้ต่อแสงผิวไหม้รู้สึกชาบริเวณที่ถูกแสง</t>
        </is>
      </c>
      <c r="C118" s="18" t="inlineStr"/>
      <c r="D118" s="18" t="inlineStr">
        <is>
          <t>Ciprofloxacin</t>
        </is>
      </c>
      <c r="E118" s="18" t="inlineStr">
        <is>
          <t>Erythromycin</t>
        </is>
      </c>
      <c r="F118" s="18" t="inlineStr">
        <is>
          <t>Cefazolin</t>
        </is>
      </c>
      <c r="G118" s="18" t="inlineStr">
        <is>
          <t>Azithromycin</t>
        </is>
      </c>
      <c r="H118" s="18" t="inlineStr">
        <is>
          <t>Doxycycline</t>
        </is>
      </c>
      <c r="I118" s="15" t="inlineStr">
        <is>
          <t>5</t>
        </is>
      </c>
      <c r="J118" s="18"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เป็น Fluoroquinolone เด่นต่อ Gram-negative รวมทั้ง Pseudomonas aeruginosa แต่มี black box warning เรื่อง tendon rupture, QT prolongation, aortic aneurysm และ dysglycemia
• ข้อ ข. (Erythromycin): ข้อนี้ไม่ใช่คำตอบที่ถูกต้องสำหรับภาวะ HIV infection เนื่องจากกลไกการออกฤทธิ์, efficacy หรือข้อบ่งใช้ไม่ตรงกับโจทย์ที่กำหนด
• ข้อ ค. (Cefazolin): เป็น 1st generation cephalosporin เป็น drug of choice สำหรับ surgical antibiotic prophylaxis และ severe MSSA bacteremia/endocarditis
• ข้อ ง. (Azithromycin):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18" t="inlineStr"/>
      <c r="L118" s="18" t="inlineStr">
        <is>
          <t>HIV infection</t>
        </is>
      </c>
      <c r="M118" s="18" t="inlineStr">
        <is>
          <t>Clinic</t>
        </is>
      </c>
      <c r="N118" s="18" t="inlineStr">
        <is>
          <t>ข้อ 14 ชุด 1 (เฉลยข้อ จ)</t>
        </is>
      </c>
      <c r="O118" s="18" t="inlineStr">
        <is>
          <t>Mock</t>
        </is>
      </c>
      <c r="P118" s="18" t="inlineStr">
        <is>
          <t>ชุด 1</t>
        </is>
      </c>
    </row>
    <row r="119">
      <c r="A119" s="15" t="inlineStr">
        <is>
          <t>14</t>
        </is>
      </c>
      <c r="B119" s="18" t="inlineStr">
        <is>
          <t>ถ้าต้องการใช้สมุนไพรในการรักษาอาการดังกล่าว สมุนไพรที่เลือกใช้</t>
        </is>
      </c>
      <c r="C119" s="18" t="inlineStr"/>
      <c r="D119" s="18" t="inlineStr">
        <is>
          <t>พญายอ</t>
        </is>
      </c>
      <c r="E119" s="18" t="inlineStr">
        <is>
          <t>ทองพันชั่ง</t>
        </is>
      </c>
      <c r="F119" s="18" t="inlineStr">
        <is>
          <t>มะแว้งต้น</t>
        </is>
      </c>
      <c r="G119" s="18" t="inlineStr">
        <is>
          <t>ใบบัวบก</t>
        </is>
      </c>
      <c r="H119" s="18" t="inlineStr">
        <is>
          <t>เปล้าน้อย</t>
        </is>
      </c>
      <c r="I119" s="15" t="inlineStr">
        <is>
          <t>5</t>
        </is>
      </c>
      <c r="J119" s="18"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ข้อนี้ไม่ใช่คำตอบที่ถูกต้องสำหรับภาวะ HIV infection เนื่องจากกลไกการออกฤทธิ์, efficacy หรือข้อบ่งใช้ไม่ตรงกับโจทย์ที่กำหนด
• ข้อ ข. (ทองพันชั่ง): ข้อนี้ไม่ใช่คำตอบที่ถูกต้องสำหรับภาวะ HIV infection เนื่องจากกลไกการออกฤทธิ์, efficacy หรือข้อบ่งใช้ไม่ตรงกับโจทย์ที่กำหนด
• ข้อ ค. (มะแว้งต้น): ข้อนี้ไม่ใช่คำตอบที่ถูกต้องสำหรับภาวะ HIV infection เนื่องจากกลไกการออกฤทธิ์, efficacy หรือข้อบ่งใช้ไม่ตรงกับโจทย์ที่กำหนด
• ข้อ ง. (ใบบัวบก):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18" t="inlineStr"/>
      <c r="L119" s="18" t="inlineStr">
        <is>
          <t>HIV infection</t>
        </is>
      </c>
      <c r="M119" s="18" t="inlineStr">
        <is>
          <t>Clinic</t>
        </is>
      </c>
      <c r="N119" s="18" t="inlineStr">
        <is>
          <t>ข้อ 14 ชุด 1 (เฉลยข้อ จ)</t>
        </is>
      </c>
      <c r="O119" s="18" t="inlineStr">
        <is>
          <t>Mock</t>
        </is>
      </c>
      <c r="P119" s="18" t="inlineStr">
        <is>
          <t>ชุด 1</t>
        </is>
      </c>
    </row>
    <row r="120">
      <c r="A120" s="15" t="inlineStr">
        <is>
          <t>14</t>
        </is>
      </c>
      <c r="B120" s="18" t="inlineStr">
        <is>
          <t>จากข้อ 13 นางฟ้าใสตานยาได้ 1 สัปดาห์ แล้วเกิดผิวหนังลอก (exfoliative dermatitis) ท่านจะทำอย่างไร</t>
        </is>
      </c>
      <c r="C120" s="18" t="inlineStr"/>
      <c r="D120" s="18" t="inlineStr">
        <is>
          <t>หยุด rifampicin แล้ว re-challenge ด้วยขนาดต่ำๆ</t>
        </is>
      </c>
      <c r="E120" s="18" t="inlineStr">
        <is>
          <t>หยุด INH แล้ว re-challenge ด้วยขนาดต่ำๆ</t>
        </is>
      </c>
      <c r="F120" s="18" t="inlineStr">
        <is>
          <t>เปลี่ยน rifampicin เป็น ofloxacin 400 mg bid</t>
        </is>
      </c>
      <c r="G120" s="18" t="inlineStr">
        <is>
          <t>หยุด ethambutol แล้ว re-challenge ด้วยขนาดต่ำๆ</t>
        </is>
      </c>
      <c r="H120" s="18" t="inlineStr">
        <is>
          <t>ให้ยา CPM ร่วมกับยาเดิม</t>
        </is>
      </c>
      <c r="I120" s="15" t="inlineStr">
        <is>
          <t>5</t>
        </is>
      </c>
      <c r="J120" s="18"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(หยุด INH แล้ว re-challenge ด้วยขนาดต่ำๆ): ข้อนี้ไม่ใช่คำตอบที่ถูกต้องสำหรับภาวะ HIV infection เนื่องจากกลไกการออกฤทธิ์, efficacy หรือข้อบ่งใช้ไม่ตรงกับโจทย์ที่กำหนด
• ข้อ ค. (เปลี่ยน rifampicin เป็น ofloxacin 400 mg bid):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(หยุด ethambutol แล้ว re-challenge ด้วยขนาดต่ำๆ):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18" t="inlineStr"/>
      <c r="L120" s="18" t="inlineStr">
        <is>
          <t>HIV infection</t>
        </is>
      </c>
      <c r="M120" s="18" t="inlineStr">
        <is>
          <t>Clinic</t>
        </is>
      </c>
      <c r="N120" s="18" t="inlineStr">
        <is>
          <t>ข้อ 14 ชุด 1 (เฉลยข้อ จ)</t>
        </is>
      </c>
      <c r="O120" s="18" t="inlineStr">
        <is>
          <t>Mock</t>
        </is>
      </c>
      <c r="P120" s="18" t="inlineStr">
        <is>
          <t>ชุด 1</t>
        </is>
      </c>
    </row>
    <row r="121">
      <c r="A121" s="15" t="inlineStr">
        <is>
          <t>15</t>
        </is>
      </c>
      <c r="B121" s="18" t="inlineStr">
        <is>
          <t>Gray baby syndrome มักเกิดในเด็กที่ได้รับยาอะไรในขนาดสูง</t>
        </is>
      </c>
      <c r="C121" s="18" t="inlineStr"/>
      <c r="D121" s="18" t="inlineStr">
        <is>
          <t>Azithromycin</t>
        </is>
      </c>
      <c r="E121" s="18" t="inlineStr">
        <is>
          <t>Doxycycline</t>
        </is>
      </c>
      <c r="F121" s="18" t="inlineStr">
        <is>
          <t>Chloramphenicol</t>
        </is>
      </c>
      <c r="G121" s="18" t="inlineStr">
        <is>
          <t>Neomycin</t>
        </is>
      </c>
      <c r="H121" s="18" t="inlineStr">
        <is>
          <t>Cephalexin</t>
        </is>
      </c>
      <c r="I121" s="15" t="inlineStr">
        <is>
          <t>4</t>
        </is>
      </c>
      <c r="J121" s="1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เป็น Macrolide ครอบคลุม atypical pathogens (Mycoplasma, Chlamydia, Legionella) ขจัดออกทางตับเป็นหลัก และมี half-life ยาวนาน (~68 ชม.)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จ.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18" t="inlineStr"/>
      <c r="L121" s="18" t="inlineStr">
        <is>
          <t>HIV infection</t>
        </is>
      </c>
      <c r="M121" s="18" t="inlineStr">
        <is>
          <t>Clinic</t>
        </is>
      </c>
      <c r="N121" s="18" t="inlineStr">
        <is>
          <t>ข้อ 15 ชุด 1 (เฉลยข้อ ง)</t>
        </is>
      </c>
      <c r="O121" s="18" t="inlineStr">
        <is>
          <t>Mock</t>
        </is>
      </c>
      <c r="P121" s="18" t="inlineStr">
        <is>
          <t>ชุด 1</t>
        </is>
      </c>
    </row>
    <row r="122">
      <c r="A122" s="15" t="inlineStr">
        <is>
          <t>15</t>
        </is>
      </c>
      <c r="B122" s="18" t="inlineStr">
        <is>
          <t>ที่ฉลากยา griseofulvin มีคำว่า micronized form ข้อดีของ micronized form คือข้อใด</t>
        </is>
      </c>
      <c r="C122" s="18" t="inlineStr"/>
      <c r="D122" s="18" t="inlineStr">
        <is>
          <t>เพื่อเพิ่มการกระจายตัวไปยังตำแหน่งที่ออกฤทธิ์</t>
        </is>
      </c>
      <c r="E122" s="18" t="inlineStr">
        <is>
          <t>เพื่อลด first pass metabolism</t>
        </is>
      </c>
      <c r="F122" s="18" t="inlineStr">
        <is>
          <t>ให้อยู่ในร่างกายานขึ้น</t>
        </is>
      </c>
      <c r="G122" s="18" t="inlineStr">
        <is>
          <t>เพื่อป้องกันการดื้อยาของเชื้อรา</t>
        </is>
      </c>
      <c r="H122" s="18" t="inlineStr">
        <is>
          <t>เพื่อเพิ่มการดูดซึมยาจากทางเดินอาหาร</t>
        </is>
      </c>
      <c r="I122" s="15" t="inlineStr">
        <is>
          <t>4</t>
        </is>
      </c>
      <c r="J122" s="18"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ข้อนี้ไม่ใช่คำตอบที่ถูกต้องสำหรับภาวะ Cystitis เนื่องจากกลไกการออกฤทธิ์, efficacy หรือข้อบ่งใช้ไม่ตรงกับโจทย์ที่กำหนด
• ข้อ ข. (เพื่อลด first pass metabolism): ข้อนี้ไม่ใช่คำตอบที่ถูกต้องสำหรับภาวะ Cystitis เนื่องจากกลไกการออกฤทธิ์, efficacy หรือข้อบ่งใช้ไม่ตรงกับโจทย์ที่กำหนด
• ข้อ ค. (ให้อยู่ในร่างกายานขึ้น): ข้อนี้ไม่ใช่คำตอบที่ถูกต้องสำหรับภาวะ Cystitis เนื่องจากกลไกการออกฤทธิ์, efficacy หรือข้อบ่งใช้ไม่ตรงกับโจทย์ที่กำหนด
• ข้อ จ. (เพื่อเพิ่มการดูดซึมยาจากทางเดินอาหาร):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8" t="inlineStr"/>
      <c r="L122" s="18" t="inlineStr">
        <is>
          <t>Cystitis</t>
        </is>
      </c>
      <c r="M122" s="18" t="inlineStr">
        <is>
          <t>Clinic</t>
        </is>
      </c>
      <c r="N122" s="18" t="inlineStr">
        <is>
          <t>ข้อ 15 ชุด 1 (เฉลยข้อ ง)</t>
        </is>
      </c>
      <c r="O122" s="18" t="inlineStr">
        <is>
          <t>Mock</t>
        </is>
      </c>
      <c r="P122" s="18" t="inlineStr">
        <is>
          <t>ชุด 1</t>
        </is>
      </c>
    </row>
    <row r="123">
      <c r="A123" s="15" t="inlineStr">
        <is>
          <t>15</t>
        </is>
      </c>
      <c r="B123" s="18"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18" t="inlineStr"/>
      <c r="D123" s="18" t="inlineStr">
        <is>
          <t>กลไกการออกฤทธิ์ คือ DNA polymerase inhibitor อาการข้างเคียงคือ neuropathy</t>
        </is>
      </c>
      <c r="E123" s="18" t="inlineStr">
        <is>
          <t>กลไกการออกฤทธิ์ คือ protein synthesis อาการข้างเคียงคือ GI disturbance</t>
        </is>
      </c>
      <c r="F123" s="18" t="inlineStr">
        <is>
          <t>กลไกการออกฤทธิ์ คือ cell wall อาการข้างเคียงคือ SJS</t>
        </is>
      </c>
      <c r="G123" s="18" t="inlineStr">
        <is>
          <t>กลไกการออกฤทธิ์ คือ DNA synthesis อาการข้างเคียงคือ anemia</t>
        </is>
      </c>
      <c r="H123" s="18" t="inlineStr">
        <is>
          <t>กลไกการออกฤทธิ์ คือ ergosterol อาการข้างเคียงคือ gynecomastia</t>
        </is>
      </c>
      <c r="I123" s="15" t="inlineStr">
        <is>
          <t>4</t>
        </is>
      </c>
      <c r="J123" s="18"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ข้อนี้ไม่ใช่คำตอบที่ถูกต้องสำหรับภาวะ HIV infection เนื่องจากกลไกการออกฤทธิ์, efficacy หรือข้อบ่งใช้ไม่ตรงกับโจทย์ที่กำหนด
• ข้อ ข. (กลไกการออกฤทธิ์ คือ protein synthesis อาการข้างเคียงคือ GI disturbance): ข้อนี้ไม่ใช่คำตอบที่ถูกต้องสำหรับภาวะ HIV infection เนื่องจากกลไกการออกฤทธิ์, efficacy หรือข้อบ่งใช้ไม่ตรงกับโจทย์ที่กำหนด
• ข้อ ค. (กลไกการออกฤทธิ์ คือ cell wall อาการข้างเคียงคือ SJS): ข้อนี้ไม่ใช่คำตอบที่ถูกต้องสำหรับภาวะ HIV infection เนื่องจากกลไกการออกฤทธิ์, efficacy หรือข้อบ่งใช้ไม่ตรงกับโจทย์ที่กำหนด
• ข้อ จ. (กลไกการออกฤทธิ์ คือ ergosterol อาการข้างเคียงคือ gynecomastia):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18" t="inlineStr"/>
      <c r="L123" s="18" t="inlineStr">
        <is>
          <t>HIV infection</t>
        </is>
      </c>
      <c r="M123" s="18" t="inlineStr">
        <is>
          <t>Clinic</t>
        </is>
      </c>
      <c r="N123" s="18" t="inlineStr">
        <is>
          <t>ข้อ 15 ชุด 1 (เฉลยข้อ ง)</t>
        </is>
      </c>
      <c r="O123" s="18" t="inlineStr">
        <is>
          <t>Mock</t>
        </is>
      </c>
      <c r="P123" s="18" t="inlineStr">
        <is>
          <t>ชุด 1</t>
        </is>
      </c>
    </row>
    <row r="124">
      <c r="A124" s="15" t="inlineStr">
        <is>
          <t>16</t>
        </is>
      </c>
      <c r="B124" s="18" t="inlineStr">
        <is>
          <t>คุณสมบัติของยาตามโครงสร้างนี้ ข้อใดผิด</t>
        </is>
      </c>
      <c r="C124" s="18" t="inlineStr"/>
      <c r="D124" s="18" t="inlineStr">
        <is>
          <t>ละลายน้ำได้น้อย</t>
        </is>
      </c>
      <c r="E124" s="18" t="inlineStr">
        <is>
          <t>มีคุณสมบัติในการฆ่าเชื้อเป็นแบบ concentration-dependent</t>
        </is>
      </c>
      <c r="F124" s="18" t="inlineStr">
        <is>
          <t>คุณสมบัติเป็น weak base</t>
        </is>
      </c>
      <c r="G124" s="18" t="inlineStr">
        <is>
          <t>เกิด Gl cramping</t>
        </is>
      </c>
      <c r="H124" s="18" t="inlineStr">
        <is>
          <t>ยาเข้าสู่สมองได้น้อยมาก</t>
        </is>
      </c>
      <c r="I124" s="15" t="inlineStr">
        <is>
          <t>2</t>
        </is>
      </c>
      <c r="J124" s="18"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ข้อนี้ไม่ใช่คำตอบที่ถูกต้องสำหรับภาวะ HIV infection เนื่องจากกลไกการออกฤทธิ์, efficacy หรือข้อบ่งใช้ไม่ตรงกับโจทย์ที่กำหนด
• ข้อ ค. (คุณสมบัติเป็น weak base): ข้อนี้ไม่ใช่คำตอบที่ถูกต้องสำหรับภาวะ HIV infection เนื่องจากกลไกการออกฤทธิ์, efficacy หรือข้อบ่งใช้ไม่ตรงกับโจทย์ที่กำหนด
• ข้อ ง. (เกิด Gl cramping): ข้อนี้ไม่ใช่คำตอบที่ถูกต้องสำหรับภาวะ HIV infection เนื่องจากกลไกการออกฤทธิ์, efficacy หรือข้อบ่งใช้ไม่ตรงกับโจทย์ที่กำหนด
• ข้อ จ. (ยาเข้าสู่สมองได้น้อยมาก):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18" t="inlineStr"/>
      <c r="L124" s="18" t="inlineStr">
        <is>
          <t>HIV infection</t>
        </is>
      </c>
      <c r="M124" s="18" t="inlineStr">
        <is>
          <t>Clinic</t>
        </is>
      </c>
      <c r="N124" s="18" t="inlineStr">
        <is>
          <t>ข้อ 16 ชุด 1 (เฉลยข้อ ข จ)</t>
        </is>
      </c>
      <c r="O124" s="18" t="inlineStr">
        <is>
          <t>Mock</t>
        </is>
      </c>
      <c r="P124" s="18" t="inlineStr">
        <is>
          <t>ชุด 1</t>
        </is>
      </c>
    </row>
    <row r="125">
      <c r="A125" s="15" t="inlineStr">
        <is>
          <t>16</t>
        </is>
      </c>
      <c r="B125" s="1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18" t="inlineStr"/>
      <c r="D125" s="18" t="inlineStr">
        <is>
          <t>มีเฉพาะยาฉีดเท่านั้น</t>
        </is>
      </c>
      <c r="E125" s="18" t="inlineStr">
        <is>
          <t>มีเฉพาะยาใช้ภายนอก</t>
        </is>
      </c>
      <c r="F125" s="18" t="inlineStr">
        <is>
          <t>มีอาการข้างเคียงน้อย</t>
        </is>
      </c>
      <c r="G125" s="18" t="inlineStr">
        <is>
          <t>ถูกเมตาบอไลต์ช้า อยู่ในร่างกายได้นาน</t>
        </is>
      </c>
      <c r="H125" s="18" t="inlineStr">
        <is>
          <t>มีปฏิกิริยาระหว่างยาลดลง</t>
        </is>
      </c>
      <c r="I125" s="15" t="inlineStr">
        <is>
          <t>2</t>
        </is>
      </c>
      <c r="J125" s="18"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ข้อนี้ไม่ใช่คำตอบที่ถูกต้องสำหรับภาวะ HIV infection เนื่องจากกลไกการออกฤทธิ์, efficacy หรือข้อบ่งใช้ไม่ตรงกับโจทย์ที่กำหนด
• ข้อ ค. (มีอาการข้างเคียงน้อย): ข้อนี้ไม่ใช่คำตอบที่ถูกต้องสำหรับภาวะ HIV infection เนื่องจากกลไกการออกฤทธิ์, efficacy หรือข้อบ่งใช้ไม่ตรงกับโจทย์ที่กำหนด
• ข้อ ง. (ถูกเมตาบอไลต์ช้า อยู่ในร่างกายได้นาน): ข้อนี้ไม่ใช่คำตอบที่ถูกต้องสำหรับภาวะ HIV infection เนื่องจากกลไกการออกฤทธิ์, efficacy หรือข้อบ่งใช้ไม่ตรงกับโจทย์ที่กำหนด
• ข้อ จ. (มีปฏิกิริยาระหว่างยาลดลง):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18" t="inlineStr"/>
      <c r="L125" s="18" t="inlineStr">
        <is>
          <t>HIV infection</t>
        </is>
      </c>
      <c r="M125" s="18" t="inlineStr">
        <is>
          <t>Clinic</t>
        </is>
      </c>
      <c r="N125" s="18" t="inlineStr">
        <is>
          <t>ข้อ 16 ชุด 1 (เฉลยข้อ ข จ)</t>
        </is>
      </c>
      <c r="O125" s="18" t="inlineStr">
        <is>
          <t>Mock</t>
        </is>
      </c>
      <c r="P125" s="18" t="inlineStr">
        <is>
          <t>ชุด 1</t>
        </is>
      </c>
    </row>
    <row r="126">
      <c r="A126" s="15" t="inlineStr">
        <is>
          <t>16</t>
        </is>
      </c>
      <c r="B126" s="18" t="inlineStr">
        <is>
          <t>ยาในข้อต่อไปนี้ เมื่อให้ร่วมกับยาอื่น อาทิ ritonavir มีผลทำให้ระดับยา ritonavir ในพลาสมาลดลง</t>
        </is>
      </c>
      <c r="C126" s="18" t="inlineStr"/>
      <c r="D126" s="18" t="inlineStr">
        <is>
          <t>Co- trimoxazole - CYP3A inducers</t>
        </is>
      </c>
      <c r="E126" s="18" t="inlineStr">
        <is>
          <t>Fluconazole - CYP3A inhibitors</t>
        </is>
      </c>
      <c r="F126" s="18" t="inlineStr">
        <is>
          <t>Isoniazid - CYP 2C inducers</t>
        </is>
      </c>
      <c r="G126" s="18" t="inlineStr">
        <is>
          <t>Pyrazinamide - CYP 2C inhibitors</t>
        </is>
      </c>
      <c r="H126" s="18" t="inlineStr">
        <is>
          <t>Rifampicin - CYP3A inducers</t>
        </is>
      </c>
      <c r="I126" s="15" t="inlineStr">
        <is>
          <t>2</t>
        </is>
      </c>
      <c r="J126" s="18"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ข้อนี้ไม่ใช่คำตอบที่ถูกต้องสำหรับภาวะ HIV infection เนื่องจากกลไกการออกฤทธิ์, efficacy หรือข้อบ่งใช้ไม่ตรงกับโจทย์ที่กำหนด
• ข้อ ค. (Isoniazid - CYP 2C inducers):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 CYP 2C inhibitors): เป็น Anti-TB agent ที่มี sterilizing effect สูงใน macrophage เสี่ยงต่อ hyperuricemia (ปวดข้อเก๊าท์) และ severe hepatotoxicity สูงสุดในกลุ่มยาวัณโรค
• ข้อ จ. (Rifampicin - CYP3A inducers):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18" t="inlineStr"/>
      <c r="L126" s="18" t="inlineStr">
        <is>
          <t>HIV infection</t>
        </is>
      </c>
      <c r="M126" s="18" t="inlineStr">
        <is>
          <t>Clinic</t>
        </is>
      </c>
      <c r="N126" s="18" t="inlineStr">
        <is>
          <t>ข้อ 16 ชุด 1 (เฉลยข้อ ข จ)</t>
        </is>
      </c>
      <c r="O126" s="18" t="inlineStr">
        <is>
          <t>Mock</t>
        </is>
      </c>
      <c r="P126" s="18" t="inlineStr">
        <is>
          <t>ชุด 1</t>
        </is>
      </c>
    </row>
    <row r="127">
      <c r="A127" s="15" t="inlineStr">
        <is>
          <t>17</t>
        </is>
      </c>
      <c r="B127" s="18" t="inlineStr">
        <is>
          <t>ข้อใดไม่ใช่เชื้อกลุ่ม anaerobic</t>
        </is>
      </c>
      <c r="C127" s="18" t="inlineStr"/>
      <c r="D127" s="18" t="inlineStr">
        <is>
          <t>Peptococcus</t>
        </is>
      </c>
      <c r="E127" s="18" t="inlineStr">
        <is>
          <t>Peptostreptococcus</t>
        </is>
      </c>
      <c r="F127" s="18" t="inlineStr">
        <is>
          <t>Clostridium</t>
        </is>
      </c>
      <c r="G127" s="18" t="inlineStr">
        <is>
          <t>Chlamydia</t>
        </is>
      </c>
      <c r="H127" s="18" t="inlineStr">
        <is>
          <t>Escherichia</t>
        </is>
      </c>
      <c r="I127" s="15" t="inlineStr">
        <is>
          <t>3</t>
        </is>
      </c>
      <c r="J127" s="18"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ข้อนี้ไม่ใช่คำตอบที่ถูกต้องสำหรับภาวะ HIV infection เนื่องจากกลไกการออกฤทธิ์, efficacy หรือข้อบ่งใช้ไม่ตรงกับโจทย์ที่กำหนด
• ข้อ ข. (Peptostreptococcus): ข้อนี้ไม่ใช่คำตอบที่ถูกต้องสำหรับภาวะ HIV infection เนื่องจากกลไกการออกฤทธิ์, efficacy หรือข้อบ่งใช้ไม่ตรงกับโจทย์ที่กำหนด
• ข้อ ง. (Chlamydia): ข้อนี้ไม่ใช่คำตอบที่ถูกต้องสำหรับภาวะ HIV infection เนื่องจากกลไกการออกฤทธิ์, efficacy หรือข้อบ่งใช้ไม่ตรงกับโจทย์ที่กำหนด
• ข้อ จ. (Escherichia):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18" t="inlineStr"/>
      <c r="L127" s="18" t="inlineStr">
        <is>
          <t>HIV infection</t>
        </is>
      </c>
      <c r="M127" s="18" t="inlineStr">
        <is>
          <t>Clinic</t>
        </is>
      </c>
      <c r="N127" s="18" t="inlineStr">
        <is>
          <t>ข้อ 17 ชุด 1 (เฉลยข้อ ค)</t>
        </is>
      </c>
      <c r="O127" s="18" t="inlineStr">
        <is>
          <t>Mock</t>
        </is>
      </c>
      <c r="P127" s="18" t="inlineStr">
        <is>
          <t>ชุด 1</t>
        </is>
      </c>
    </row>
    <row r="128">
      <c r="A128" s="15" t="inlineStr">
        <is>
          <t>17</t>
        </is>
      </c>
      <c r="B128" s="18" t="inlineStr">
        <is>
          <t>จากโครงสร้างยา Itraconazole สารนี้มีคุณสมบัติเป็นอย่างไร</t>
        </is>
      </c>
      <c r="C128" s="18" t="inlineStr"/>
      <c r="D128" s="18" t="inlineStr">
        <is>
          <t>เป็นกรดอ่อน</t>
        </is>
      </c>
      <c r="E128" s="18" t="inlineStr">
        <is>
          <t>เป็นเบสอ่อน</t>
        </is>
      </c>
      <c r="F128" s="18" t="inlineStr">
        <is>
          <t>ละลายได้ดีในน้ำ</t>
        </is>
      </c>
      <c r="G128" s="18" t="inlineStr">
        <is>
          <t>ละลายได้ดีใน methanol</t>
        </is>
      </c>
      <c r="H128" s="18" t="inlineStr">
        <is>
          <t>ละลายได้ดีในสารละลายเบสแก่</t>
        </is>
      </c>
      <c r="I128" s="15" t="inlineStr">
        <is>
          <t>3</t>
        </is>
      </c>
      <c r="J128" s="18"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ข้อนี้ไม่ใช่คำตอบที่ถูกต้องสำหรับภาวะ HIV infection เนื่องจากกลไกการออกฤทธิ์, efficacy หรือข้อบ่งใช้ไม่ตรงกับโจทย์ที่กำหนด
• ข้อ ข. (เป็นเบสอ่อน): ข้อนี้ไม่ใช่คำตอบที่ถูกต้องสำหรับภาวะ HIV infection เนื่องจากกลไกการออกฤทธิ์, efficacy หรือข้อบ่งใช้ไม่ตรงกับโจทย์ที่กำหนด
• ข้อ ง. (ละลายได้ดีใน methanol): ข้อนี้ไม่ใช่คำตอบที่ถูกต้องสำหรับภาวะ HIV infection เนื่องจากกลไกการออกฤทธิ์, efficacy หรือข้อบ่งใช้ไม่ตรงกับโจทย์ที่กำหนด
• ข้อ จ. (ละลายได้ดีในสารละลายเบสแก่):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18" t="inlineStr"/>
      <c r="L128" s="18" t="inlineStr">
        <is>
          <t>HIV infection</t>
        </is>
      </c>
      <c r="M128" s="18" t="inlineStr">
        <is>
          <t>Clinic</t>
        </is>
      </c>
      <c r="N128" s="18" t="inlineStr">
        <is>
          <t>ข้อ 17 ชุด 1 (เฉลยข้อ ค)</t>
        </is>
      </c>
      <c r="O128" s="18" t="inlineStr">
        <is>
          <t>Mock</t>
        </is>
      </c>
      <c r="P128" s="18" t="inlineStr">
        <is>
          <t>ชุด 1</t>
        </is>
      </c>
    </row>
    <row r="129">
      <c r="A129" s="15" t="inlineStr">
        <is>
          <t>17</t>
        </is>
      </c>
      <c r="B129" s="18" t="inlineStr">
        <is>
          <t>ยา rifampicin ใช้ป้องกันหรือรักษาโรคใดได้ นอกจากวัณโรค</t>
        </is>
      </c>
      <c r="C129" s="18" t="inlineStr"/>
      <c r="D129" s="18" t="inlineStr">
        <is>
          <t>Meningococcal infection</t>
        </is>
      </c>
      <c r="E129" s="18" t="inlineStr">
        <is>
          <t>HACEK endocarditis</t>
        </is>
      </c>
      <c r="F129" s="18" t="inlineStr">
        <is>
          <t>Leptospirosis</t>
        </is>
      </c>
      <c r="G129" s="18" t="inlineStr">
        <is>
          <t>Severe malaria</t>
        </is>
      </c>
      <c r="H129" s="18" t="inlineStr">
        <is>
          <t>Typhus</t>
        </is>
      </c>
      <c r="I129" s="15" t="inlineStr">
        <is>
          <t>3</t>
        </is>
      </c>
      <c r="J129" s="18"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ข้อนี้ไม่ใช่คำตอบที่ถูกต้องสำหรับภาวะ Tuberculosis เนื่องจากกลไกการออกฤทธิ์, efficacy หรือข้อบ่งใช้ไม่ตรงกับโจทย์ที่กำหนด
• ข้อ ข. (HACEK endocarditis): ข้อนี้ไม่ใช่คำตอบที่ถูกต้องสำหรับภาวะ Tuberculosis เนื่องจากกลไกการออกฤทธิ์, efficacy หรือข้อบ่งใช้ไม่ตรงกับโจทย์ที่กำหนด
• ข้อ ง. (Severe malaria): ข้อนี้ไม่ใช่คำตอบที่ถูกต้องสำหรับภาวะ Tuberculosis เนื่องจากกลไกการออกฤทธิ์, efficacy หรือข้อบ่งใช้ไม่ตรงกับโจทย์ที่กำหนด
• ข้อ จ. (Typhus):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18" t="inlineStr"/>
      <c r="L129" s="18" t="inlineStr">
        <is>
          <t>Tuberculosis</t>
        </is>
      </c>
      <c r="M129" s="18" t="inlineStr">
        <is>
          <t>Clinic</t>
        </is>
      </c>
      <c r="N129" s="18" t="inlineStr">
        <is>
          <t>ข้อ 17 ชุด 1 (เฉลยข้อ ค)</t>
        </is>
      </c>
      <c r="O129" s="18" t="inlineStr">
        <is>
          <t>Mock</t>
        </is>
      </c>
      <c r="P129" s="18" t="inlineStr">
        <is>
          <t>ชุด 1</t>
        </is>
      </c>
    </row>
    <row r="130">
      <c r="A130" s="15" t="inlineStr">
        <is>
          <t>18</t>
        </is>
      </c>
      <c r="B130" s="18" t="inlineStr">
        <is>
          <t>ยากลุ่มใดที่ขัดขวางการทำงานของไรโบโซมชนิด 50S</t>
        </is>
      </c>
      <c r="C130" s="18" t="inlineStr"/>
      <c r="D130" s="18" t="inlineStr">
        <is>
          <t>Erythromycin</t>
        </is>
      </c>
      <c r="E130" s="18" t="inlineStr">
        <is>
          <t>Doxycycline</t>
        </is>
      </c>
      <c r="F130" s="18" t="inlineStr">
        <is>
          <t>Chloramphenicol</t>
        </is>
      </c>
      <c r="G130" s="18" t="inlineStr">
        <is>
          <t>Cephalexin</t>
        </is>
      </c>
      <c r="H130" s="18" t="inlineStr">
        <is>
          <t>Rifampicin</t>
        </is>
      </c>
      <c r="I130" s="15" t="inlineStr">
        <is>
          <t>5</t>
        </is>
      </c>
      <c r="J130" s="18"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ข้อนี้ไม่ใช่คำตอบที่ถูกต้องสำหรับภาวะ HIV infection เนื่องจากกลไกการออกฤทธิ์, efficacy หรือข้อบ่งใช้ไม่ตรงกับโจทย์ที่กำหนด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ง.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18" t="inlineStr"/>
      <c r="L130" s="18" t="inlineStr">
        <is>
          <t>HIV infection</t>
        </is>
      </c>
      <c r="M130" s="18" t="inlineStr">
        <is>
          <t>Clinic</t>
        </is>
      </c>
      <c r="N130" s="18" t="inlineStr">
        <is>
          <t>ข้อ 18 ชุด 1 (เฉลยข้อ จ)</t>
        </is>
      </c>
      <c r="O130" s="18" t="inlineStr">
        <is>
          <t>Mock</t>
        </is>
      </c>
      <c r="P130" s="18" t="inlineStr">
        <is>
          <t>ชุด 1</t>
        </is>
      </c>
    </row>
    <row r="131">
      <c r="A131" s="15" t="inlineStr">
        <is>
          <t>18</t>
        </is>
      </c>
      <c r="B131" s="18" t="inlineStr">
        <is>
          <t>Itraconazole เป็น high hydrophilic at pH 8.1 Log P = 5.96 (octanol/water) pKa= 3.7 การเพิ่ม dissolution ข้อใดผิด</t>
        </is>
      </c>
      <c r="C131" s="18" t="inlineStr"/>
      <c r="D131" s="18" t="inlineStr">
        <is>
          <t>ใช้ crystalline Itraconazole</t>
        </is>
      </c>
      <c r="E131" s="18" t="inlineStr">
        <is>
          <t>ใช้ micronized Itraconazole</t>
        </is>
      </c>
      <c r="F131" s="18" t="inlineStr">
        <is>
          <t>SLS ในตำรับ</t>
        </is>
      </c>
      <c r="G131" s="18" t="inlineStr">
        <is>
          <t>เตรียมแบบ Solid dispersion</t>
        </is>
      </c>
      <c r="H131" s="18" t="inlineStr">
        <is>
          <t>ไม่มีข้อถูก</t>
        </is>
      </c>
      <c r="I131" s="15" t="inlineStr">
        <is>
          <t>5</t>
        </is>
      </c>
      <c r="J131" s="18"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ข. (ใช้ micronized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(SLS ในตำรับ): ข้อนี้ไม่ใช่คำตอบที่ถูกต้องสำหรับภาวะ Cystitis เนื่องจากกลไกการออกฤทธิ์, efficacy หรือข้อบ่งใช้ไม่ตรงกับโจทย์ที่กำหนด
• ข้อ ง. (เตรียมแบบ Solid dispersion):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8" t="inlineStr"/>
      <c r="L131" s="18" t="inlineStr">
        <is>
          <t>Cystitis</t>
        </is>
      </c>
      <c r="M131" s="18" t="inlineStr">
        <is>
          <t>Clinic</t>
        </is>
      </c>
      <c r="N131" s="18" t="inlineStr">
        <is>
          <t>ข้อ 18 ชุด 1 (เฉลยข้อ จ)</t>
        </is>
      </c>
      <c r="O131" s="18" t="inlineStr">
        <is>
          <t>Mock</t>
        </is>
      </c>
      <c r="P131" s="18" t="inlineStr">
        <is>
          <t>ชุด 1</t>
        </is>
      </c>
    </row>
    <row r="132">
      <c r="A132" s="15" t="inlineStr">
        <is>
          <t>18</t>
        </is>
      </c>
      <c r="B132" s="18"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18" t="inlineStr"/>
      <c r="D132" s="18" t="inlineStr">
        <is>
          <t>Isoniazid, Rifampicin, Pyrazinamide</t>
        </is>
      </c>
      <c r="E132" s="18" t="inlineStr">
        <is>
          <t>Rifampicin, Pyrazinamide, Streptomycin</t>
        </is>
      </c>
      <c r="F132" s="18" t="inlineStr">
        <is>
          <t>Isoniazid, Pyrazinamide, Ethambutol</t>
        </is>
      </c>
      <c r="G132" s="18" t="inlineStr">
        <is>
          <t>Rifampicin, Ethambutol, Streptomycin</t>
        </is>
      </c>
      <c r="H132" s="18" t="inlineStr">
        <is>
          <t>Isoniazid, Streptomycin, Ethambutol</t>
        </is>
      </c>
      <c r="I132" s="15" t="inlineStr">
        <is>
          <t>5</t>
        </is>
      </c>
      <c r="J132" s="18"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18" t="inlineStr"/>
      <c r="L132" s="18" t="inlineStr">
        <is>
          <t>HIV infection</t>
        </is>
      </c>
      <c r="M132" s="18" t="inlineStr">
        <is>
          <t>Clinic</t>
        </is>
      </c>
      <c r="N132" s="18" t="inlineStr">
        <is>
          <t>ข้อ 18 ชุด 1 (เฉลยข้อ จ)</t>
        </is>
      </c>
      <c r="O132" s="18" t="inlineStr">
        <is>
          <t>Mock</t>
        </is>
      </c>
      <c r="P132" s="18" t="inlineStr">
        <is>
          <t>ชุด 1</t>
        </is>
      </c>
    </row>
    <row r="133">
      <c r="A133" s="15" t="inlineStr">
        <is>
          <t>19</t>
        </is>
      </c>
      <c r="B133" s="18" t="inlineStr">
        <is>
          <t>ยาใดยับยั้งการสังเคราะห์โปรตีนโดยการขัดขวางการทำงานของไรโบโซมชนิด 30S และออกฤทธิ์แบบ Bactericidal</t>
        </is>
      </c>
      <c r="C133" s="18" t="inlineStr"/>
      <c r="D133" s="18" t="inlineStr">
        <is>
          <t>Azithromycin</t>
        </is>
      </c>
      <c r="E133" s="18" t="inlineStr">
        <is>
          <t>Doxycycline</t>
        </is>
      </c>
      <c r="F133" s="18" t="inlineStr">
        <is>
          <t>Chloramphenicol</t>
        </is>
      </c>
      <c r="G133" s="18" t="inlineStr">
        <is>
          <t>Neomycin</t>
        </is>
      </c>
      <c r="H133" s="18" t="inlineStr">
        <is>
          <t>Cephalexin</t>
        </is>
      </c>
      <c r="I133" s="15" t="inlineStr">
        <is>
          <t>4</t>
        </is>
      </c>
      <c r="J133" s="1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เป็น Macrolide ครอบคลุม atypical pathogens (Mycoplasma, Chlamydia, Legionella) ขจัดออกทางตับเป็นหลัก และมี half-life ยาวนาน (~68 ชม.)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จ.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18" t="inlineStr"/>
      <c r="L133" s="18" t="inlineStr">
        <is>
          <t>HIV infection</t>
        </is>
      </c>
      <c r="M133" s="18" t="inlineStr">
        <is>
          <t>Clinic</t>
        </is>
      </c>
      <c r="N133" s="18" t="inlineStr">
        <is>
          <t>ข้อ 19 ชุด 1 (เฉลยข้อ ง จ)</t>
        </is>
      </c>
      <c r="O133" s="18" t="inlineStr">
        <is>
          <t>Mock</t>
        </is>
      </c>
      <c r="P133" s="18" t="inlineStr">
        <is>
          <t>ชุด 1</t>
        </is>
      </c>
    </row>
    <row r="134">
      <c r="A134" s="15" t="inlineStr">
        <is>
          <t>19</t>
        </is>
      </c>
      <c r="B134" s="18" t="inlineStr">
        <is>
          <t>ข้อใดถูกต้องเกี่ยวกับการรักษาวัณโรค</t>
        </is>
      </c>
      <c r="C134" s="18" t="inlineStr"/>
      <c r="D134" s="18" t="inlineStr">
        <is>
          <t>การตรวจเสมหะเป็นวิธีที่ง่าย ประหยัด แต่ไม่เฉพาะเจาะจง</t>
        </is>
      </c>
      <c r="E134" s="18" t="inlineStr">
        <is>
          <t>ผู้ป่วยเบาหวานเป็นสาเหตุทำให้เกิดความชุกของวัณโรคมากขึ้น</t>
        </is>
      </c>
      <c r="F134" s="18" t="inlineStr">
        <is>
          <t>ผู้ที่ใช้ยากดภูมิต่างๆจะมีสิทธิ์ติดเชื้อวัณโรคได้ง่าย</t>
        </is>
      </c>
      <c r="G134" s="18" t="inlineStr">
        <is>
          <t>หลักการรักษาวัณโรคป้องกันไม่ให้ติดต่อไปสู่อื่น+ลองทดสอบประสิทธิภาพยาโดยใช้เวลาสั้น</t>
        </is>
      </c>
      <c r="H134" s="18" t="inlineStr">
        <is>
          <t>การรักษาวัณโรคคือใช้ยาขนาดสูงสุด+ใช้เวลานานๆ</t>
        </is>
      </c>
      <c r="I134" s="15" t="inlineStr">
        <is>
          <t>4</t>
        </is>
      </c>
      <c r="J134" s="18"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ข้อนี้ไม่ใช่คำตอบที่ถูกต้องสำหรับภาวะ Tuberculosis เนื่องจากกลไกการออกฤทธิ์, efficacy หรือข้อบ่งใช้ไม่ตรงกับโจทย์ที่กำหนด
• ข้อ ข. (ผู้ป่วยเบาหวานเป็นสาเหตุทำให้เกิดความชุกของวัณโรคมากขึ้น): ข้อนี้ไม่ใช่คำตอบที่ถูกต้องสำหรับภาวะ Tuberculosis เนื่องจากกลไกการออกฤทธิ์, efficacy หรือข้อบ่งใช้ไม่ตรงกับโจทย์ที่กำหนด
• ข้อ ค. (ผู้ที่ใช้ยากดภูมิต่างๆจะมีสิทธิ์ติดเชื้อวัณโรคได้ง่าย): ข้อนี้ไม่ใช่คำตอบที่ถูกต้องสำหรับภาวะ Tuberculosis เนื่องจากกลไกการออกฤทธิ์, efficacy หรือข้อบ่งใช้ไม่ตรงกับโจทย์ที่กำหนด
• ข้อ จ. (การรักษาวัณโรคคือใช้ยาขนาดสูงสุด+ใช้เวลานานๆ):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18" t="inlineStr"/>
      <c r="L134" s="18" t="inlineStr">
        <is>
          <t>Tuberculosis</t>
        </is>
      </c>
      <c r="M134" s="18" t="inlineStr">
        <is>
          <t>Clinic</t>
        </is>
      </c>
      <c r="N134" s="18" t="inlineStr">
        <is>
          <t>ข้อ 19 ชุด 1 (เฉลยข้อ ง จ)</t>
        </is>
      </c>
      <c r="O134" s="18" t="inlineStr">
        <is>
          <t>Mock</t>
        </is>
      </c>
      <c r="P134" s="18" t="inlineStr">
        <is>
          <t>ชุด 1</t>
        </is>
      </c>
    </row>
    <row r="135">
      <c r="A135" s="15" t="inlineStr">
        <is>
          <t>20</t>
        </is>
      </c>
      <c r="B135" s="18" t="inlineStr">
        <is>
          <t>Cefepime เป็นยากลุ่ม cephalosporin gen ใด</t>
        </is>
      </c>
      <c r="C135" s="18" t="inlineStr"/>
      <c r="D135" s="18" t="inlineStr">
        <is>
          <t>Dolutegravir 50 mg OD</t>
        </is>
      </c>
      <c r="E135" s="18" t="inlineStr">
        <is>
          <t>Vancomycin 1 g IV Q12H</t>
        </is>
      </c>
      <c r="F135" s="18" t="inlineStr">
        <is>
          <t>Meropenem 1 g IV Q8H</t>
        </is>
      </c>
      <c r="G135" s="18" t="inlineStr">
        <is>
          <t>Cefazolin 1 g IV Q8H</t>
        </is>
      </c>
      <c r="H135" s="18" t="inlineStr">
        <is>
          <t>Amoxicillin/Clavulanate 1 g BID</t>
        </is>
      </c>
      <c r="I135" s="15" t="inlineStr">
        <is>
          <t>1</t>
        </is>
      </c>
      <c r="J135" s="1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18" t="inlineStr"/>
      <c r="L135" s="18" t="inlineStr">
        <is>
          <t>HIV infection</t>
        </is>
      </c>
      <c r="M135" s="18" t="inlineStr">
        <is>
          <t>Clinic</t>
        </is>
      </c>
      <c r="N135" s="18" t="inlineStr">
        <is>
          <t>ข้อ 20 ชุด 1 (เฉลยข้อ ก)</t>
        </is>
      </c>
      <c r="O135" s="18" t="inlineStr">
        <is>
          <t>Mock</t>
        </is>
      </c>
      <c r="P135" s="18" t="inlineStr">
        <is>
          <t>ชุด 1</t>
        </is>
      </c>
    </row>
    <row r="136">
      <c r="A136" s="15" t="inlineStr">
        <is>
          <t>20</t>
        </is>
      </c>
      <c r="B136" s="18" t="inlineStr">
        <is>
          <t>ยาในข้อใดจัดเป็น second line ในการรักษา TB</t>
        </is>
      </c>
      <c r="C136" s="18" t="inlineStr"/>
      <c r="D136" s="18" t="inlineStr">
        <is>
          <t>Streptomycin</t>
        </is>
      </c>
      <c r="E136" s="18" t="inlineStr">
        <is>
          <t>Augmentin</t>
        </is>
      </c>
      <c r="F136" s="18" t="inlineStr">
        <is>
          <t>Cyclosporine</t>
        </is>
      </c>
      <c r="G136" s="18" t="inlineStr">
        <is>
          <t>Ofloxacin</t>
        </is>
      </c>
      <c r="H136" s="18" t="inlineStr">
        <is>
          <t>Capreomycin</t>
        </is>
      </c>
      <c r="I136" s="15" t="inlineStr">
        <is>
          <t>1</t>
        </is>
      </c>
      <c r="J136" s="18"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ข้อนี้ไม่ใช่คำตอบที่ถูกต้องสำหรับภาวะ Tuberculosis เนื่องจากกลไกการออกฤทธิ์, efficacy หรือข้อบ่งใช้ไม่ตรงกับโจทย์ที่กำหนด
• ข้อ ค. (Cyclosporine): ข้อนี้ไม่ใช่คำตอบที่ถูกต้องสำหรับภาวะ Tuberculosis เนื่องจากกลไกการออกฤทธิ์, efficacy หรือข้อบ่งใช้ไม่ตรงกับโจทย์ที่กำหนด
• ข้อ ง. (Ofloxacin): ข้อนี้ไม่ใช่คำตอบที่ถูกต้องสำหรับภาวะ Tuberculosis เนื่องจากกลไกการออกฤทธิ์, efficacy หรือข้อบ่งใช้ไม่ตรงกับโจทย์ที่กำหนด
• ข้อ จ. (Capreomycin):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18" t="inlineStr"/>
      <c r="L136" s="18" t="inlineStr">
        <is>
          <t>Tuberculosis</t>
        </is>
      </c>
      <c r="M136" s="18" t="inlineStr">
        <is>
          <t>Clinic</t>
        </is>
      </c>
      <c r="N136" s="18" t="inlineStr">
        <is>
          <t>ข้อ 20 ชุด 1 (เฉลยข้อ ก)</t>
        </is>
      </c>
      <c r="O136" s="18" t="inlineStr">
        <is>
          <t>Mock</t>
        </is>
      </c>
      <c r="P136" s="18" t="inlineStr">
        <is>
          <t>ชุด 1</t>
        </is>
      </c>
    </row>
    <row r="137">
      <c r="A137" s="15" t="inlineStr">
        <is>
          <t>21</t>
        </is>
      </c>
      <c r="B137" s="18" t="inlineStr">
        <is>
          <t>ข้อใดถูกต้องเกี่ยวกับยาต้านไวรัสเอดส์</t>
        </is>
      </c>
      <c r="C137" s="18" t="inlineStr"/>
      <c r="D137" s="18" t="inlineStr">
        <is>
          <t>NNRTIs สามารถออกฤทธิ์ได้โดยต้องผ่านกระบวนการเปลี่ยนแปลงในร่างกายก่อน</t>
        </is>
      </c>
      <c r="E137" s="18" t="inlineStr">
        <is>
          <t>NRTIs นอกจากรักษา HIV infection ยังสามารถรักษา Hep B ได้ด้วย</t>
        </is>
      </c>
      <c r="F137" s="18" t="inlineStr">
        <is>
          <t>NRTIs จะต้องถูกเติมหมู่ฟอสเฟตก่อนถึงจะเข้าไปยับยั้ง reverse transcriptase ได้</t>
        </is>
      </c>
      <c r="G137" s="18" t="inlineStr">
        <is>
          <t>Abacavir และ entecavir จัดอยู่ในกลุ่ม protease inhibitor (PIs)</t>
        </is>
      </c>
      <c r="H137" s="18" t="inlineStr">
        <is>
          <t>PIs ทุกชนิดใช้เพื่อรักษาการติดเชื้อไวรัสเอดส์เพียงอย่างเดียว</t>
        </is>
      </c>
      <c r="I137" s="15" t="inlineStr">
        <is>
          <t>3</t>
        </is>
      </c>
      <c r="J137" s="18"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ข้อนี้ไม่ใช่คำตอบที่ถูกต้องสำหรับภาวะ HIV infection เนื่องจากกลไกการออกฤทธิ์, efficacy หรือข้อบ่งใช้ไม่ตรงกับโจทย์ที่กำหนด
• ข้อ ข. (NRTIs นอกจากรักษา HIV infection ยังสามารถรักษา Hep B ได้ด้วย): ข้อนี้ไม่ใช่คำตอบที่ถูกต้องสำหรับภาวะ HIV infection เนื่องจากกลไกการออกฤทธิ์, efficacy หรือข้อบ่งใช้ไม่ตรงกับโจทย์ที่กำหนด
• ข้อ ง. (Abacavir และ entecavir จัดอยู่ในกลุ่ม protease inhibitor (PIs)): ข้อนี้ไม่ใช่คำตอบที่ถูกต้องสำหรับภาวะ HIV infection เนื่องจากกลไกการออกฤทธิ์, efficacy หรือข้อบ่งใช้ไม่ตรงกับโจทย์ที่กำหนด
• ข้อ จ. (PIs ทุกชนิดใช้เพื่อรักษาการติดเชื้อไวรัสเอดส์เพียงอย่างเดียว):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18" t="inlineStr"/>
      <c r="L137" s="18" t="inlineStr">
        <is>
          <t>HIV infection</t>
        </is>
      </c>
      <c r="M137" s="18" t="inlineStr">
        <is>
          <t>Clinic</t>
        </is>
      </c>
      <c r="N137" s="18" t="inlineStr">
        <is>
          <t>ข้อ 21 ชุด 1 (เฉลยข้อ ค)</t>
        </is>
      </c>
      <c r="O137" s="18" t="inlineStr">
        <is>
          <t>Mock</t>
        </is>
      </c>
      <c r="P137" s="18" t="inlineStr">
        <is>
          <t>ชุด 1</t>
        </is>
      </c>
    </row>
    <row r="138">
      <c r="A138" s="15" t="inlineStr">
        <is>
          <t>22</t>
        </is>
      </c>
      <c r="B138" s="18" t="inlineStr">
        <is>
          <t>ข้อใดผิดเกี่ยวกับยาในกลุ่ม NNRTIs</t>
        </is>
      </c>
      <c r="C138" s="18" t="inlineStr"/>
      <c r="D138" s="18" t="inlineStr">
        <is>
          <t>ยาในกลุ่มนี้ไม่ต้องเติมหมู่ฟอสเฟตจากร่างกายในการออกฤทธิ์</t>
        </is>
      </c>
      <c r="E138" s="18" t="inlineStr">
        <is>
          <t>Nevirapine ห้ามให้ในผู้ป่วยหญิง HIV ที่มี CD4+ สูงกว่า 250 cell/mm3</t>
        </is>
      </c>
      <c r="F138" s="18" t="inlineStr">
        <is>
          <t>Efavirenz ควรรับประทานยาพร้อมอาหารที่มีไขมันสูง</t>
        </is>
      </c>
      <c r="G138" s="18" t="inlineStr">
        <is>
          <t>อาการไม่พึงประสงค์ที่สำคัญของ nevirapine คือ SJS, Hepatitis</t>
        </is>
      </c>
      <c r="H138" s="18" t="inlineStr">
        <is>
          <t>NNRTIs ที่ได้รับการรับรองจาก FDA ล่าสุด คือ rilpivirine</t>
        </is>
      </c>
      <c r="I138" s="15" t="inlineStr">
        <is>
          <t>4</t>
        </is>
      </c>
      <c r="J138" s="18"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ข้อนี้ไม่ใช่คำตอบที่ถูกต้องสำหรับภาวะ HIV infection เนื่องจากกลไกการออกฤทธิ์, efficacy หรือข้อบ่งใช้ไม่ตรงกับโจทย์ที่กำหนด
• ข้อ ข. (Nevirapine ห้ามให้ในผู้ป่วยหญิง HIV ที่มี CD4+ สูงกว่า 250 cell/mm3): ข้อนี้ไม่ใช่คำตอบที่ถูกต้องสำหรับภาวะ HIV infection เนื่องจากกลไกการออกฤทธิ์, efficacy หรือข้อบ่งใช้ไม่ตรงกับโจทย์ที่กำหนด
• ข้อ ค. (Efavirenz ควรรับประทานยาพร้อมอาหารที่มีไขมันสูง): เป็น NNRTI ที่มี neuropsychiatric ADRs เด่น (ฝันร้าย เวียนศีรษะ ซึมเศร้า หลอน) จึงต้องแนะนำให้รับประทานก่อนนอนตอนท้องว่าง
• ข้อ จ. (NNRTIs ที่ได้รับการรับรองจาก FDA ล่าสุด คือ rilpivirine):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18" t="inlineStr"/>
      <c r="L138" s="18" t="inlineStr">
        <is>
          <t>HIV infection</t>
        </is>
      </c>
      <c r="M138" s="18" t="inlineStr">
        <is>
          <t>Clinic</t>
        </is>
      </c>
      <c r="N138" s="18" t="inlineStr">
        <is>
          <t>ข้อ 22 ชุด 1 (เฉลยข้อ ง)</t>
        </is>
      </c>
      <c r="O138" s="18" t="inlineStr">
        <is>
          <t>Mock</t>
        </is>
      </c>
      <c r="P138" s="18" t="inlineStr">
        <is>
          <t>ชุด 1</t>
        </is>
      </c>
    </row>
    <row r="139">
      <c r="A139" s="15" t="inlineStr">
        <is>
          <t>23</t>
        </is>
      </c>
      <c r="B139" s="18" t="inlineStr">
        <is>
          <t>ข้อใดผิดเกี่ยวกับยาในกลุ่ม protease inhibitor</t>
        </is>
      </c>
      <c r="C139" s="18" t="inlineStr"/>
      <c r="D139" s="18" t="inlineStr">
        <is>
          <t>PIs ห้ามให้ร่วมกับ ergotamine เนื่องจากจะทำให้เกิดภาวะ ergotism</t>
        </is>
      </c>
      <c r="E139" s="18" t="inlineStr">
        <is>
          <t>PIs ทุกตัวมีผลทำให้การกระจายตัวของไขมันผิดปกติแต่ไม่ได้ทำให้ระดับไขมันในเลือดผิดปกติ</t>
        </is>
      </c>
      <c r="F139" s="18" t="inlineStr">
        <is>
          <t>Ritonavir ช่วยทำให้ระดับของ lopinavir ในเลือดสูงขึ้น</t>
        </is>
      </c>
      <c r="G139" s="18" t="inlineStr">
        <is>
          <t>Atazanavir ทำให้ผู้ป่วยมีความร่วมมือในการรับประทานยาจากการรับประทานเพียงวันละครั้ง</t>
        </is>
      </c>
      <c r="H139" s="18" t="inlineStr">
        <is>
          <t>Indinavir ทำให้เกิด nephrolithiasis ต้องดื่มน้ำอย่างเพียงพอ</t>
        </is>
      </c>
      <c r="I139" s="15" t="inlineStr">
        <is>
          <t>1</t>
        </is>
      </c>
      <c r="J139" s="18"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ข้อนี้ไม่ใช่คำตอบที่ถูกต้องสำหรับภาวะ HIV infection เนื่องจากกลไกการออกฤทธิ์, efficacy หรือข้อบ่งใช้ไม่ตรงกับโจทย์ที่กำหนด
• ข้อ ค. (Ritonavir ช่วยทำให้ระดับของ lopinavir ในเลือดสูงขึ้น): ข้อนี้ไม่ใช่คำตอบที่ถูกต้องสำหรับภาวะ HIV infection เนื่องจากกลไกการออกฤทธิ์, efficacy หรือข้อบ่งใช้ไม่ตรงกับโจทย์ที่กำหนด
• ข้อ ง. (Atazanavir ทำให้ผู้ป่วยมีความร่วมมือในการรับประทานยาจากการรับประทานเพียงวันละครั้ง): ข้อนี้ไม่ใช่คำตอบที่ถูกต้องสำหรับภาวะ HIV infection เนื่องจากกลไกการออกฤทธิ์, efficacy หรือข้อบ่งใช้ไม่ตรงกับโจทย์ที่กำหนด
• ข้อ จ. (Indinavir ทำให้เกิด nephrolithiasis ต้องดื่มน้ำอย่างเพียงพอ):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18" t="inlineStr"/>
      <c r="L139" s="18" t="inlineStr">
        <is>
          <t>HIV infection</t>
        </is>
      </c>
      <c r="M139" s="18" t="inlineStr">
        <is>
          <t>Clinic</t>
        </is>
      </c>
      <c r="N139" s="18" t="inlineStr">
        <is>
          <t>ข้อ 23 ชุด 1 (เฉลยข้อ ก)</t>
        </is>
      </c>
      <c r="O139" s="18" t="inlineStr">
        <is>
          <t>Mock</t>
        </is>
      </c>
      <c r="P139" s="18" t="inlineStr">
        <is>
          <t>ชุด 1</t>
        </is>
      </c>
    </row>
    <row r="140">
      <c r="A140" s="15" t="inlineStr">
        <is>
          <t>24</t>
        </is>
      </c>
      <c r="B140" s="18"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18" t="inlineStr"/>
      <c r="D140" s="18" t="inlineStr">
        <is>
          <t>Zidovudine</t>
        </is>
      </c>
      <c r="E140" s="18" t="inlineStr">
        <is>
          <t>Lamivudine</t>
        </is>
      </c>
      <c r="F140" s="18" t="inlineStr">
        <is>
          <t>Nevirapine</t>
        </is>
      </c>
      <c r="G140" s="18" t="inlineStr">
        <is>
          <t>Efavirenz</t>
        </is>
      </c>
      <c r="H140" s="18" t="inlineStr">
        <is>
          <t>Stavudine</t>
        </is>
      </c>
      <c r="I140" s="15" t="inlineStr">
        <is>
          <t>1</t>
        </is>
      </c>
      <c r="J140" s="18"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(Efavirenz): เป็น NNRTI ที่มี neuropsychiatric ADRs เด่น (ฝันร้าย เวียนศีรษะ ซึมเศร้า หลอน) จึงต้องแนะนำให้รับประทานก่อนนอนตอนท้องว่าง
• ข้อ จ. (Stavudine):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18" t="inlineStr"/>
      <c r="L140" s="18" t="inlineStr">
        <is>
          <t>HIV infection</t>
        </is>
      </c>
      <c r="M140" s="18" t="inlineStr">
        <is>
          <t>Clinic</t>
        </is>
      </c>
      <c r="N140" s="18" t="inlineStr">
        <is>
          <t>ข้อ 24 ชุด 1 (เฉลยข้อ ก)</t>
        </is>
      </c>
      <c r="O140" s="18" t="inlineStr">
        <is>
          <t>Mock</t>
        </is>
      </c>
      <c r="P140" s="18" t="inlineStr">
        <is>
          <t>ชุด 1</t>
        </is>
      </c>
    </row>
    <row r="141">
      <c r="A141" s="15" t="inlineStr">
        <is>
          <t>25</t>
        </is>
      </c>
      <c r="B141" s="18"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18" t="inlineStr"/>
      <c r="D141" s="18" t="inlineStr">
        <is>
          <t>Abacavir</t>
        </is>
      </c>
      <c r="E141" s="18" t="inlineStr">
        <is>
          <t>Ritonavir</t>
        </is>
      </c>
      <c r="F141" s="18" t="inlineStr">
        <is>
          <t>Nevirapine</t>
        </is>
      </c>
      <c r="G141" s="18" t="inlineStr">
        <is>
          <t>Lamivudine</t>
        </is>
      </c>
      <c r="H141" s="18" t="inlineStr">
        <is>
          <t>Diravirdine</t>
        </is>
      </c>
      <c r="I141" s="15" t="inlineStr">
        <is>
          <t>2</t>
        </is>
      </c>
      <c r="J141" s="1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(Diravirdine):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18" t="inlineStr"/>
      <c r="L141" s="18" t="inlineStr">
        <is>
          <t>HIV infection</t>
        </is>
      </c>
      <c r="M141" s="18" t="inlineStr">
        <is>
          <t>Clinic</t>
        </is>
      </c>
      <c r="N141" s="18" t="inlineStr">
        <is>
          <t>ข้อ 25 ชุด 1 (เฉลยข้อ ข)</t>
        </is>
      </c>
      <c r="O141" s="18" t="inlineStr">
        <is>
          <t>Mock</t>
        </is>
      </c>
      <c r="P141" s="18" t="inlineStr">
        <is>
          <t>ชุด 1</t>
        </is>
      </c>
    </row>
    <row r="142">
      <c r="A142" s="15" t="inlineStr">
        <is>
          <t>26</t>
        </is>
      </c>
      <c r="B142" s="18" t="inlineStr">
        <is>
          <t>เมื่อพิจารณาโครงสร้างของ ritonavir ท่านคิดว่าข้อใดไม่ถูกต้อง</t>
        </is>
      </c>
      <c r="C142" s="18" t="inlineStr"/>
      <c r="D142" s="18" t="inlineStr">
        <is>
          <t>เมื่อให้ยาร่วมกับอาหารจะดูดซึมได้มากขึ้น</t>
        </is>
      </c>
      <c r="E142" s="18" t="inlineStr">
        <is>
          <t>ยามีการละลายน้ำต่ำ จึงดูดซึมไม่ดี</t>
        </is>
      </c>
      <c r="F142" s="18" t="inlineStr">
        <is>
          <t>สลายตัวได้ง่ายในความร้อน</t>
        </is>
      </c>
      <c r="G142" s="18" t="inlineStr">
        <is>
          <t>มีลักษณะเป็น peptide-like</t>
        </is>
      </c>
      <c r="H142" s="18" t="inlineStr">
        <is>
          <t>ยามี ค่า log P 5.22 แสดงว่าละลายน้ำได้ไม่ดี</t>
        </is>
      </c>
      <c r="I142" s="15" t="inlineStr">
        <is>
          <t>1</t>
        </is>
      </c>
      <c r="J142" s="18"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ข้อนี้ไม่ใช่คำตอบที่ถูกต้องสำหรับภาวะ HIV infection เนื่องจากกลไกการออกฤทธิ์, efficacy หรือข้อบ่งใช้ไม่ตรงกับโจทย์ที่กำหนด
• ข้อ ค. (สลายตัวได้ง่ายในความร้อน): ข้อนี้ไม่ใช่คำตอบที่ถูกต้องสำหรับภาวะ HIV infection เนื่องจากกลไกการออกฤทธิ์, efficacy หรือข้อบ่งใช้ไม่ตรงกับโจทย์ที่กำหนด
• ข้อ ง. (มีลักษณะเป็น peptide-like): ข้อนี้ไม่ใช่คำตอบที่ถูกต้องสำหรับภาวะ HIV infection เนื่องจากกลไกการออกฤทธิ์, efficacy หรือข้อบ่งใช้ไม่ตรงกับโจทย์ที่กำหนด
• ข้อ จ. (ยามี ค่า log P 5.22 แสดงว่าละลายน้ำได้ไม่ดี):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18" t="inlineStr"/>
      <c r="L142" s="18" t="inlineStr">
        <is>
          <t>HIV infection</t>
        </is>
      </c>
      <c r="M142" s="18" t="inlineStr">
        <is>
          <t>Clinic</t>
        </is>
      </c>
      <c r="N142" s="18" t="inlineStr">
        <is>
          <t>ข้อ 26 ชุด 1 (เฉลยข้อ ก)</t>
        </is>
      </c>
      <c r="O142" s="18" t="inlineStr">
        <is>
          <t>Mock</t>
        </is>
      </c>
      <c r="P142" s="18" t="inlineStr">
        <is>
          <t>ชุด 1</t>
        </is>
      </c>
    </row>
    <row r="143">
      <c r="A143" s="15" t="inlineStr">
        <is>
          <t>27</t>
        </is>
      </c>
      <c r="B143" s="18" t="inlineStr">
        <is>
          <t>สมุนไพรใดมีฤทธิ์ยับยั้ง HIV ได้ในหลอดทดลอง และเริ่มมีการใช้ในผู้ป่วย HIV บ้างแล้ว</t>
        </is>
      </c>
      <c r="C143" s="18" t="inlineStr"/>
      <c r="D143" s="18" t="inlineStr">
        <is>
          <t>ฟ้าทะลายโจร</t>
        </is>
      </c>
      <c r="E143" s="18" t="inlineStr">
        <is>
          <t>มะระขี้นก</t>
        </is>
      </c>
      <c r="F143" s="18" t="inlineStr">
        <is>
          <t>ปลาไหลเผือก</t>
        </is>
      </c>
      <c r="G143" s="18" t="inlineStr">
        <is>
          <t>หญ้าปักกิ่ง</t>
        </is>
      </c>
      <c r="H143" s="18" t="inlineStr">
        <is>
          <t>ดอกดาวเรือง</t>
        </is>
      </c>
      <c r="I143" s="15" t="inlineStr">
        <is>
          <t>2</t>
        </is>
      </c>
      <c r="J143" s="18"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ข้อนี้ไม่ใช่คำตอบที่ถูกต้องสำหรับภาวะ HIV infection เนื่องจากกลไกการออกฤทธิ์, efficacy หรือข้อบ่งใช้ไม่ตรงกับโจทย์ที่กำหนด
• ข้อ ค. (ปลาไหลเผือก): ข้อนี้ไม่ใช่คำตอบที่ถูกต้องสำหรับภาวะ HIV infection เนื่องจากกลไกการออกฤทธิ์, efficacy หรือข้อบ่งใช้ไม่ตรงกับโจทย์ที่กำหนด
• ข้อ ง. (หญ้าปักกิ่ง): ข้อนี้ไม่ใช่คำตอบที่ถูกต้องสำหรับภาวะ HIV infection เนื่องจากกลไกการออกฤทธิ์, efficacy หรือข้อบ่งใช้ไม่ตรงกับโจทย์ที่กำหนด
• ข้อ จ. (ดอกดาวเรือง):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18" t="inlineStr"/>
      <c r="L143" s="18" t="inlineStr">
        <is>
          <t>HIV infection</t>
        </is>
      </c>
      <c r="M143" s="18" t="inlineStr">
        <is>
          <t>Clinic</t>
        </is>
      </c>
      <c r="N143" s="18" t="inlineStr">
        <is>
          <t>ข้อ 27 ชุด 1 (เฉลยข้อ ข)</t>
        </is>
      </c>
      <c r="O143" s="18" t="inlineStr">
        <is>
          <t>Mock</t>
        </is>
      </c>
      <c r="P143" s="18" t="inlineStr">
        <is>
          <t>ชุด 1</t>
        </is>
      </c>
    </row>
    <row r="144">
      <c r="A144" s="15" t="inlineStr">
        <is>
          <t>28</t>
        </is>
      </c>
      <c r="B144" s="18" t="inlineStr">
        <is>
          <t>ยาหลักที่ใช้ในการรักษา PCP คือ</t>
        </is>
      </c>
      <c r="C144" s="18" t="inlineStr"/>
      <c r="D144" s="18" t="inlineStr">
        <is>
          <t>Zidovudine</t>
        </is>
      </c>
      <c r="E144" s="18" t="inlineStr">
        <is>
          <t>Cotrimoxazole</t>
        </is>
      </c>
      <c r="F144" s="18" t="inlineStr">
        <is>
          <t>Ceftriaxone</t>
        </is>
      </c>
      <c r="G144" s="18" t="inlineStr">
        <is>
          <t>Acyclovir</t>
        </is>
      </c>
      <c r="H144" s="18" t="inlineStr">
        <is>
          <t>Ciprofloxacin</t>
        </is>
      </c>
      <c r="I144" s="15" t="inlineStr">
        <is>
          <t>1</t>
        </is>
      </c>
      <c r="J144" s="18"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8" t="inlineStr"/>
      <c r="L144" s="18" t="inlineStr">
        <is>
          <t>Pneumonia</t>
        </is>
      </c>
      <c r="M144" s="18" t="inlineStr">
        <is>
          <t>Clinic</t>
        </is>
      </c>
      <c r="N144" s="18" t="inlineStr">
        <is>
          <t>ข้อ 28 ชุด 1 (เฉลยข้อ ก)</t>
        </is>
      </c>
      <c r="O144" s="18" t="inlineStr">
        <is>
          <t>Mock</t>
        </is>
      </c>
      <c r="P144" s="18" t="inlineStr">
        <is>
          <t>ชุด 1</t>
        </is>
      </c>
    </row>
    <row r="145">
      <c r="A145" s="15" t="inlineStr">
        <is>
          <t>29</t>
        </is>
      </c>
      <c r="B145" s="18"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18" t="inlineStr"/>
      <c r="D145" s="18" t="inlineStr">
        <is>
          <t>กลไกการออกฤทธิ์คือ DNA polymerase inhibitor อาการข้างเคียงคือ neuropathy</t>
        </is>
      </c>
      <c r="E145" s="18" t="inlineStr">
        <is>
          <t>กลไกการออกฤทธิ์คือ Protein synthesis อาการข้างเคียงคือ GI disturbance</t>
        </is>
      </c>
      <c r="F145" s="18" t="inlineStr">
        <is>
          <t>กลไกการออกฤทธิ์คือ cell wall อาการข้างเคียงคือ SJS</t>
        </is>
      </c>
      <c r="G145" s="18" t="inlineStr">
        <is>
          <t>กลไกการออกฤทธิ์คือ DNA synthesis อาการข้างเคียงคือ anemia</t>
        </is>
      </c>
      <c r="H145" s="18" t="inlineStr">
        <is>
          <t>กลไกการออกฤทธิ์คือ ergosterol อาการข้างเคียงคือ gynecomastia</t>
        </is>
      </c>
      <c r="I145" s="15" t="inlineStr">
        <is>
          <t>1</t>
        </is>
      </c>
      <c r="J145" s="18"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ข้อนี้ไม่ใช่คำตอบที่ถูกต้องสำหรับภาวะ Cystitis เนื่องจากกลไกการออกฤทธิ์, efficacy หรือข้อบ่งใช้ไม่ตรงกับโจทย์ที่กำหนด
• ข้อ ค. (กลไกการออกฤทธิ์คือ cell wall อาการข้างเคียงคือ SJS): ข้อนี้ไม่ใช่คำตอบที่ถูกต้องสำหรับภาวะ Cystitis เนื่องจากกลไกการออกฤทธิ์, efficacy หรือข้อบ่งใช้ไม่ตรงกับโจทย์ที่กำหนด
• ข้อ ง. (กลไกการออกฤทธิ์คือ DNA synthesis อาการข้างเคียงคือ anemia): ข้อนี้ไม่ใช่คำตอบที่ถูกต้องสำหรับภาวะ Cystitis เนื่องจากกลไกการออกฤทธิ์, efficacy หรือข้อบ่งใช้ไม่ตรงกับโจทย์ที่กำหนด
• ข้อ จ. (กลไกการออกฤทธิ์คือ ergosterol อาการข้างเคียงคือ gynecomastia):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8" t="inlineStr"/>
      <c r="L145" s="18" t="inlineStr">
        <is>
          <t>Cystitis</t>
        </is>
      </c>
      <c r="M145" s="18" t="inlineStr">
        <is>
          <t>Clinic</t>
        </is>
      </c>
      <c r="N145" s="18" t="inlineStr">
        <is>
          <t>ข้อ 29 ชุด 1 (เฉลยข้อ ก)</t>
        </is>
      </c>
      <c r="O145" s="18" t="inlineStr">
        <is>
          <t>Mock</t>
        </is>
      </c>
      <c r="P145" s="18" t="inlineStr">
        <is>
          <t>ชุด 1</t>
        </is>
      </c>
    </row>
    <row r="146">
      <c r="A146" s="15" t="inlineStr">
        <is>
          <t>30</t>
        </is>
      </c>
      <c r="B146" s="18" t="inlineStr">
        <is>
          <t>คำแนะนำเกี่ยวกับเรื่องการใช้ยาเพื่อป้องกัน PCP อย่างไรจึงจะเหมาะสม</t>
        </is>
      </c>
      <c r="C146" s="18" t="inlineStr"/>
      <c r="D146" s="18" t="inlineStr">
        <is>
          <t>ห้ามรับประทานร่วมกับนม ยาลดกรด</t>
        </is>
      </c>
      <c r="E146" s="18" t="inlineStr">
        <is>
          <t>รับประทานยาอย่างสม่ำเสมอและปัสสาวะอาจมีสีแดงได้</t>
        </is>
      </c>
      <c r="F146" s="18" t="inlineStr">
        <is>
          <t>รักษาสุขภาพให้แข็งแรงและทำจิตใจให้สดชื่นแจ่มใส</t>
        </is>
      </c>
      <c r="G146" s="18" t="inlineStr">
        <is>
          <t>ให้กินยาหลังอาหารทันที เนื่องจากมีผลระคายเคืองกระเพาะอาหาร</t>
        </is>
      </c>
      <c r="H146" s="18" t="inlineStr">
        <is>
          <t>อาจทำให้เกิดผื่นชนิดรุนแรง ควรสังเกตอาการและแจ้งให้แพทย์ทราบทันที</t>
        </is>
      </c>
      <c r="I146" s="15" t="inlineStr">
        <is>
          <t>4</t>
        </is>
      </c>
      <c r="J146" s="18"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ข้อนี้ไม่ใช่คำตอบที่ถูกต้องสำหรับภาวะ Cystitis เนื่องจากกลไกการออกฤทธิ์, efficacy หรือข้อบ่งใช้ไม่ตรงกับโจทย์ที่กำหนด
• ข้อ ข. (รับประทานยาอย่างสม่ำเสมอและปัสสาวะอาจมีสีแดงได้): ข้อนี้ไม่ใช่คำตอบที่ถูกต้องสำหรับภาวะ Cystitis เนื่องจากกลไกการออกฤทธิ์, efficacy หรือข้อบ่งใช้ไม่ตรงกับโจทย์ที่กำหนด
• ข้อ ค. (รักษาสุขภาพให้แข็งแรงและทำจิตใจให้สดชื่นแจ่มใส): ข้อนี้ไม่ใช่คำตอบที่ถูกต้องสำหรับภาวะ Cystitis เนื่องจากกลไกการออกฤทธิ์, efficacy หรือข้อบ่งใช้ไม่ตรงกับโจทย์ที่กำหนด
• ข้อ จ. (อาจทำให้เกิดผื่นชนิดรุนแรง ควรสังเกตอาการและแจ้งให้แพทย์ทราบทันที):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8" t="inlineStr"/>
      <c r="L146" s="18" t="inlineStr">
        <is>
          <t>Cystitis</t>
        </is>
      </c>
      <c r="M146" s="18" t="inlineStr">
        <is>
          <t>Clinic</t>
        </is>
      </c>
      <c r="N146" s="18" t="inlineStr">
        <is>
          <t>ข้อ 30 ชุด 1 (เฉลยข้อ ง)</t>
        </is>
      </c>
      <c r="O146" s="18" t="inlineStr">
        <is>
          <t>Mock</t>
        </is>
      </c>
      <c r="P146" s="18" t="inlineStr">
        <is>
          <t>ชุด 1</t>
        </is>
      </c>
    </row>
    <row r="147">
      <c r="A147" s="15" t="inlineStr">
        <is>
          <t>31</t>
        </is>
      </c>
      <c r="B147" s="18" t="inlineStr">
        <is>
          <t>ผู้ป่วยรายนี้หลังจากกลับบ้านควรได้รับยาป้องกัน PCP แบบ secondary prophylaxis อย่างไร</t>
        </is>
      </c>
      <c r="C147" s="18" t="inlineStr"/>
      <c r="D147" s="18" t="inlineStr">
        <is>
          <t>Cotrimoxazole (80 TMP/400 SMZ) 1/2 เม็ด วันละ 1 ครั้ง</t>
        </is>
      </c>
      <c r="E147" s="18" t="inlineStr">
        <is>
          <t>Cotrimoxazole (80 TMP/400 SMZ) 2 เม็ด วันละ 1 ครั้ง</t>
        </is>
      </c>
      <c r="F147" s="18" t="inlineStr">
        <is>
          <t>Cotrimoxazole (80 TMP/400 SMZ) 2 เม็ด สัปดาห์ละ 3 ครั้ง</t>
        </is>
      </c>
      <c r="G147" s="18" t="inlineStr">
        <is>
          <t>Cotrimozazole vaginal tablets ครึ่งเม็ด วันละ 3 ครั้ง</t>
        </is>
      </c>
      <c r="H147" s="18" t="inlineStr">
        <is>
          <t>Fluconazole 2 เม็ด ทุกสัปดาห์</t>
        </is>
      </c>
      <c r="I147" s="15" t="inlineStr">
        <is>
          <t>2</t>
        </is>
      </c>
      <c r="J147" s="18"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เป็นยาผสม Trimethoprim/Sulfamethoxazole (TMP/SMX) เป็น drug of choice สำหรับ PCP/PJP prophylaxis &amp; treatment, Stenotrophomonas และ Nocardia ระวัง hyperkalemia และ SCARs
• ข้อ ค. (Cotrimoxazole (80 TMP/400 SMZ) 2 เม็ด สัปดาห์ละ 3 ครั้ง): เป็นยาผสม Trimethoprim/Sulfamethoxazole (TMP/SMX) เป็น drug of choice สำหรับ PCP/PJP prophylaxis &amp; treatment, Stenotrophomonas และ Nocardia ระวัง hyperkalemia และ SCARs
• ข้อ ง. (Cotrimozazole vaginal tablets ครึ่งเม็ด วันละ 3 ครั้ง): ข้อนี้ไม่ใช่คำตอบที่ถูกต้องสำหรับภาวะ HIV infection เนื่องจากกลไกการออกฤทธิ์, efficacy หรือข้อบ่งใช้ไม่ตรงกับโจทย์ที่กำหนด
• ข้อ จ. (Fluconazole 2 เม็ด ทุกสัปดาห์):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18" t="inlineStr"/>
      <c r="L147" s="18" t="inlineStr">
        <is>
          <t>HIV infection</t>
        </is>
      </c>
      <c r="M147" s="18" t="inlineStr">
        <is>
          <t>Clinic</t>
        </is>
      </c>
      <c r="N147" s="18" t="inlineStr">
        <is>
          <t>ข้อ 31 ชุด 1 (เฉลยข้อ ข)</t>
        </is>
      </c>
      <c r="O147" s="18" t="inlineStr">
        <is>
          <t>Mock</t>
        </is>
      </c>
      <c r="P147" s="18" t="inlineStr">
        <is>
          <t>ชุด 1</t>
        </is>
      </c>
    </row>
    <row r="148">
      <c r="A148" s="15" t="inlineStr">
        <is>
          <t>32</t>
        </is>
      </c>
      <c r="B148" s="18" t="inlineStr">
        <is>
          <t>ยาต้านเชื้อราที่สามารถรักษา oral candidiasis ยกเว้นข้อใด</t>
        </is>
      </c>
      <c r="C148" s="18" t="inlineStr"/>
      <c r="D148" s="18" t="inlineStr">
        <is>
          <t>Cotrimazole lozenges</t>
        </is>
      </c>
      <c r="E148" s="18" t="inlineStr">
        <is>
          <t>Nystatin suspensions</t>
        </is>
      </c>
      <c r="F148" s="18" t="inlineStr">
        <is>
          <t>Miconazole oral gels</t>
        </is>
      </c>
      <c r="G148" s="18" t="inlineStr">
        <is>
          <t>Ketoconazole tablets</t>
        </is>
      </c>
      <c r="H148" s="18" t="inlineStr">
        <is>
          <t>Fluconazole tablets</t>
        </is>
      </c>
      <c r="I148" s="15" t="inlineStr">
        <is>
          <t>1</t>
        </is>
      </c>
      <c r="J148" s="18"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ข้อนี้ไม่ใช่คำตอบที่ถูกต้องสำหรับภาวะ HIV infection เนื่องจากกลไกการออกฤทธิ์, efficacy หรือข้อบ่งใช้ไม่ตรงกับโจทย์ที่กำหนด
• ข้อ ค. (Miconazole oral gels): ข้อนี้ไม่ใช่คำตอบที่ถูกต้องสำหรับภาวะ HIV infection เนื่องจากกลไกการออกฤทธิ์, efficacy หรือข้อบ่งใช้ไม่ตรงกับโจทย์ที่กำหนด
• ข้อ ง. (Ketoconazole tablets): ข้อนี้ไม่ใช่คำตอบที่ถูกต้องสำหรับภาวะ HIV infection เนื่องจากกลไกการออกฤทธิ์, efficacy หรือข้อบ่งใช้ไม่ตรงกับโจทย์ที่กำหนด
• ข้อ จ. (Fluconazole tablets):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18" t="inlineStr"/>
      <c r="L148" s="18" t="inlineStr">
        <is>
          <t>HIV infection</t>
        </is>
      </c>
      <c r="M148" s="18" t="inlineStr">
        <is>
          <t>Clinic</t>
        </is>
      </c>
      <c r="N148" s="18" t="inlineStr">
        <is>
          <t>ข้อ 32 ชุด 1 (เฉลยข้อ )</t>
        </is>
      </c>
      <c r="O148" s="18" t="inlineStr">
        <is>
          <t>Mock</t>
        </is>
      </c>
      <c r="P148" s="18" t="inlineStr">
        <is>
          <t>ชุด 1</t>
        </is>
      </c>
    </row>
    <row r="149">
      <c r="A149" s="15" t="inlineStr">
        <is>
          <t>33</t>
        </is>
      </c>
      <c r="B149" s="18"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18" t="inlineStr"/>
      <c r="D149" s="18" t="inlineStr">
        <is>
          <t>พบเชื้อมากในมูลนกพิราบ</t>
        </is>
      </c>
      <c r="E149" s="18" t="inlineStr">
        <is>
          <t>พบในดินและอุจจาระค้างคาว</t>
        </is>
      </c>
      <c r="F149" s="18" t="inlineStr">
        <is>
          <t>เชื้อเป็น normal flora ในระบบทางเดินอาหาร</t>
        </is>
      </c>
      <c r="G149" s="18" t="inlineStr">
        <is>
          <t>อยู่ตามธรรมชาติ เชื้อเข้าสู่ร่างกายทางบาดแผลที่ผิวหนัง</t>
        </is>
      </c>
      <c r="H149" s="18" t="inlineStr">
        <is>
          <t>เป็น opportunistic fungi</t>
        </is>
      </c>
      <c r="I149" s="15" t="inlineStr">
        <is>
          <t>5</t>
        </is>
      </c>
      <c r="J149" s="18"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ข้อนี้ไม่ใช่คำตอบที่ถูกต้องสำหรับภาวะ HIV infection เนื่องจากกลไกการออกฤทธิ์, efficacy หรือข้อบ่งใช้ไม่ตรงกับโจทย์ที่กำหนด
• ข้อ ข. (พบในดินและอุจจาระค้างคาว): ข้อนี้ไม่ใช่คำตอบที่ถูกต้องสำหรับภาวะ HIV infection เนื่องจากกลไกการออกฤทธิ์, efficacy หรือข้อบ่งใช้ไม่ตรงกับโจทย์ที่กำหนด
• ข้อ ค. (เชื้อเป็น normal flora ในระบบทางเดินอาหาร): ข้อนี้ไม่ใช่คำตอบที่ถูกต้องสำหรับภาวะ HIV infection เนื่องจากกลไกการออกฤทธิ์, efficacy หรือข้อบ่งใช้ไม่ตรงกับโจทย์ที่กำหนด
• ข้อ ง. (อยู่ตามธรรมชาติ เชื้อเข้าสู่ร่างกายทางบาดแผลที่ผิวหนัง):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18" t="inlineStr"/>
      <c r="L149" s="18" t="inlineStr">
        <is>
          <t>HIV infection</t>
        </is>
      </c>
      <c r="M149" s="18" t="inlineStr">
        <is>
          <t>Clinic</t>
        </is>
      </c>
      <c r="N149" s="18" t="inlineStr">
        <is>
          <t>ข้อ 33 ชุด 1 (เฉลยข้อ จ)</t>
        </is>
      </c>
      <c r="O149" s="18" t="inlineStr">
        <is>
          <t>Mock</t>
        </is>
      </c>
      <c r="P149" s="18" t="inlineStr">
        <is>
          <t>ชุด 1</t>
        </is>
      </c>
    </row>
    <row r="150">
      <c r="A150" s="15" t="inlineStr">
        <is>
          <t>34</t>
        </is>
      </c>
      <c r="B150" s="18" t="inlineStr">
        <is>
          <t>ผู้ป่วยรายนี้จำเป็นต้องได้รับยาเพื่อป้องกัน cryptococcosis หรือไม่ (ถ้าควรได้รับ ผู้ป่วยจะต้องได้รับยาใด)</t>
        </is>
      </c>
      <c r="C150" s="18" t="inlineStr"/>
      <c r="D150" s="18" t="inlineStr">
        <is>
          <t>จำเป็นต้องได้รับยาเพื่อป้องกัน cryptococcosis ยาที่ควรได้คือ fluconazole 400 mg สัปดาห์ละครั้ง</t>
        </is>
      </c>
      <c r="E150" s="18" t="inlineStr">
        <is>
          <t>จำเป็นต้องได้รับยาเพื่อป้องกัน cryptococcosis ยาที่ควรได้คือ amphotericin B 0.6-0.7 mg/kg/day หยดเข้าหลอดเลือดดำเป็นเวลา 7-14 วัน</t>
        </is>
      </c>
      <c r="F150" s="18" t="inlineStr">
        <is>
          <t>จำเป็นต้องได้รับยาเพื่อป้องกัน cryptococcosis ยาที่ควรได้คือ TMP-SMX SS tablet 2 เม็ด กินวันละครั้ง</t>
        </is>
      </c>
      <c r="G150" s="18" t="inlineStr">
        <is>
          <t>จำเป็นต้องได้รับยาเพื่อป้องกัน cryptococcosis ยาที่ควรได้คือ amphotericin B 1.0 mg/kg/day หยดเข้าหลอดเลือดดำเป็นเวลา 7-14 วัน</t>
        </is>
      </c>
      <c r="H150" s="18" t="inlineStr">
        <is>
          <t>ไม่จำเป็นต้องได้รับยาเพื่อป้องกัน cryptococcosis อีก</t>
        </is>
      </c>
      <c r="I150" s="15" t="inlineStr">
        <is>
          <t>5</t>
        </is>
      </c>
      <c r="J150" s="18"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เป็น Triazole antifungal เป็น first-line สำหรับ Candida albicans และ Cryptococcal maintenance therapy ขับออกทางไตเด่นชัดจึงต้องปรับ dose ตาม CrCl
• ข้อ ข. (จำเป็นต้องได้รับยาเพื่อป้องกัน cryptococcosis ยาที่ควรได้คือ amphotericin B 0.6-0.7 mg/kg/day หยดเข้าหลอดเลือดดำเป็นเวลา 7-14 วัน): เป็น polyene antifungal มี broad spectrum ต่อ systemic fungal infections แต่มี infusion-related reactions (ไข้ หนาวสั่น) และ severe nephrotoxicity (hypokalemia, hypomagnesemia)
• ข้อ ค. (จำเป็นต้องได้รับยาเพื่อป้องกัน cryptococcosis ยาที่ควรได้คือ TMP-SMX SS tablet 2 เม็ด กินวันละครั้ง): ข้อนี้ไม่ใช่คำตอบที่ถูกต้องสำหรับภาวะ HIV infection เนื่องจากกลไกการออกฤทธิ์, efficacy หรือข้อบ่งใช้ไม่ตรงกับโจทย์ที่กำหนด
• ข้อ ง. (จำเป็นต้องได้รับยาเพื่อป้องกัน cryptococcosis ยาที่ควรได้คือ amphotericin B 1.0 mg/kg/day หยดเข้าหลอดเลือดดำเป็นเวลา 7-14 วัน): เป็น polyene antifungal มี broad spectrum ต่อ systemic fungal infections แต่มี infusion-related reactions (ไข้ หนาวสั่น) และ severe nephrotoxicity (hypokalemia, hypomagnesemia)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18" t="inlineStr"/>
      <c r="L150" s="18" t="inlineStr">
        <is>
          <t>HIV infection</t>
        </is>
      </c>
      <c r="M150" s="18" t="inlineStr">
        <is>
          <t>Clinic</t>
        </is>
      </c>
      <c r="N150" s="18" t="inlineStr">
        <is>
          <t>ข้อ 34 ชุด 1 (เฉลยข้อ จ)</t>
        </is>
      </c>
      <c r="O150" s="18" t="inlineStr">
        <is>
          <t>Mock</t>
        </is>
      </c>
      <c r="P150" s="18" t="inlineStr">
        <is>
          <t>ชุด 1</t>
        </is>
      </c>
    </row>
    <row r="151">
      <c r="A151" s="15" t="inlineStr">
        <is>
          <t>35</t>
        </is>
      </c>
      <c r="B151" s="18" t="inlineStr">
        <is>
          <t>ผู้ป่วยรายนี้จะพิจารณาหยุดยาป้องกัน histoplasmosis เมื่อใด</t>
        </is>
      </c>
      <c r="C151" s="18" t="inlineStr"/>
      <c r="D151" s="18" t="inlineStr">
        <is>
          <t>CD4 ≥ 50 cells/mm³</t>
        </is>
      </c>
      <c r="E151" s="18" t="inlineStr">
        <is>
          <t>CD4 ≥ 100 cells/mm³</t>
        </is>
      </c>
      <c r="F151" s="18" t="inlineStr">
        <is>
          <t>CD4 ≥ 150 cells/mm³</t>
        </is>
      </c>
      <c r="G151" s="18" t="inlineStr">
        <is>
          <t>CD4 ≥ 200 cells/mm³</t>
        </is>
      </c>
      <c r="H151" s="18" t="inlineStr">
        <is>
          <t>CD4 ≥ 250 cells/mm³</t>
        </is>
      </c>
      <c r="I151" s="15" t="inlineStr">
        <is>
          <t>3</t>
        </is>
      </c>
      <c r="J151" s="18"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ข้อนี้ไม่ใช่คำตอบที่ถูกต้องสำหรับภาวะ HIV infection เนื่องจากกลไกการออกฤทธิ์, efficacy หรือข้อบ่งใช้ไม่ตรงกับโจทย์ที่กำหนด
• ข้อ ข. (CD4 ≥ 100 cells/mm³): ข้อนี้ไม่ใช่คำตอบที่ถูกต้องสำหรับภาวะ HIV infection เนื่องจากกลไกการออกฤทธิ์, efficacy หรือข้อบ่งใช้ไม่ตรงกับโจทย์ที่กำหนด
• ข้อ ง. (CD4 ≥ 200 cells/mm³): ข้อนี้ไม่ใช่คำตอบที่ถูกต้องสำหรับภาวะ HIV infection เนื่องจากกลไกการออกฤทธิ์, efficacy หรือข้อบ่งใช้ไม่ตรงกับโจทย์ที่กำหนด
• ข้อ จ. (CD4 ≥ 250 cells/mm³):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18" t="inlineStr"/>
      <c r="L151" s="18" t="inlineStr">
        <is>
          <t>HIV infection</t>
        </is>
      </c>
      <c r="M151" s="18" t="inlineStr">
        <is>
          <t>Clinic</t>
        </is>
      </c>
      <c r="N151" s="18" t="inlineStr">
        <is>
          <t>ข้อ 35 ชุด 1 (เฉลยข้อ ค)</t>
        </is>
      </c>
      <c r="O151" s="18" t="inlineStr">
        <is>
          <t>Mock</t>
        </is>
      </c>
      <c r="P151" s="18" t="inlineStr">
        <is>
          <t>ชุด 1</t>
        </is>
      </c>
    </row>
    <row r="152">
      <c r="A152" s="15" t="inlineStr">
        <is>
          <t>36</t>
        </is>
      </c>
      <c r="B152" s="18"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18" t="inlineStr"/>
      <c r="D152" s="18" t="inlineStr">
        <is>
          <t>Cryptococcus sp.</t>
        </is>
      </c>
      <c r="E152" s="18" t="inlineStr">
        <is>
          <t>Aspergillus sp.</t>
        </is>
      </c>
      <c r="F152" s="18" t="inlineStr">
        <is>
          <t>Candida sp.</t>
        </is>
      </c>
      <c r="G152" s="18" t="inlineStr">
        <is>
          <t>Histoplasma sp.</t>
        </is>
      </c>
      <c r="H152" s="18" t="inlineStr">
        <is>
          <t>Blastomyces sp.</t>
        </is>
      </c>
      <c r="I152" s="15" t="inlineStr">
        <is>
          <t>1</t>
        </is>
      </c>
      <c r="J152" s="18"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ข้อนี้ไม่ใช่คำตอบที่ถูกต้องสำหรับภาวะ HIV infection เนื่องจากกลไกการออกฤทธิ์, efficacy หรือข้อบ่งใช้ไม่ตรงกับโจทย์ที่กำหนด
• ข้อ ค. (Candida sp.): ข้อนี้ไม่ใช่คำตอบที่ถูกต้องสำหรับภาวะ HIV infection เนื่องจากกลไกการออกฤทธิ์, efficacy หรือข้อบ่งใช้ไม่ตรงกับโจทย์ที่กำหนด
• ข้อ ง. (Histoplasma sp.): ข้อนี้ไม่ใช่คำตอบที่ถูกต้องสำหรับภาวะ HIV infection เนื่องจากกลไกการออกฤทธิ์, efficacy หรือข้อบ่งใช้ไม่ตรงกับโจทย์ที่กำหนด
• ข้อ จ. (Blastomyces sp.):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18" t="inlineStr"/>
      <c r="L152" s="18" t="inlineStr">
        <is>
          <t>HIV infection</t>
        </is>
      </c>
      <c r="M152" s="18" t="inlineStr">
        <is>
          <t>Clinic</t>
        </is>
      </c>
      <c r="N152" s="18" t="inlineStr">
        <is>
          <t>ข้อ 36 ชุด 1 (เฉลยข้อ ก)</t>
        </is>
      </c>
      <c r="O152" s="18" t="inlineStr">
        <is>
          <t>Mock</t>
        </is>
      </c>
      <c r="P152" s="18" t="inlineStr">
        <is>
          <t>ชุด 1</t>
        </is>
      </c>
    </row>
    <row r="153">
      <c r="A153" s="15" t="inlineStr">
        <is>
          <t>37</t>
        </is>
      </c>
      <c r="B153" s="18" t="inlineStr">
        <is>
          <t>การรักษาที่เหมาะสมสำหรับผู้ป่วยรายนี้คือข้อใด</t>
        </is>
      </c>
      <c r="C153" s="18" t="inlineStr"/>
      <c r="D153" s="18" t="inlineStr">
        <is>
          <t>Induction phase: Amphotericin B 0.6-0.7 mg/kg/day หยดเข้าหลอดเลือดดำเป็นเวลา 7-14 วัน, Consolidation phase: Itraconazole 200 mg กินวันละ 2 ครั้ง เป็นเวลา 10-12 สัปดาห์</t>
        </is>
      </c>
      <c r="E153" s="18"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18" t="inlineStr">
        <is>
          <t>Induction phase: Amphotericin B 0.3-0.5 mg/kg/day หยดเข้าหลอดเลือดดำ เป็นเวลา 7-14 วัน, Consolidation phase: Fluconazole 200 mg กินวันละครั้ง เป็นเวลา 14-21 วัน</t>
        </is>
      </c>
      <c r="G153" s="18"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18" t="inlineStr">
        <is>
          <t>Fluconazole 400-800 mg/day ร่วมกับ intrathecal Amphotericin B 1-1.5 mg/day</t>
        </is>
      </c>
      <c r="I153" s="15" t="inlineStr">
        <is>
          <t>2</t>
        </is>
      </c>
      <c r="J153" s="18"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(Induction phase: Amphotericin B 0.3-0.5 mg/kg/day หยดเข้าหลอดเลือดดำ เป็นเวลา 7-14 วัน, Consolidation phase: Fluconazole 200 mg กินวันละครั้ง เป็นเวลา 14-21 วัน): เป็น Triazole antifungal เป็น first-line สำหรับ Candida albicans และ Cryptococcal maintenance therapy ขับออกทางไตเด่นชัดจึงต้องปรับ dose ตาม CrCl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ข้อนี้ไม่ใช่คำตอบที่ถูกต้องสำหรับภาวะ HIV infection เนื่องจากกลไกการออกฤทธิ์, efficacy หรือข้อบ่งใช้ไม่ตรงกับโจทย์ที่กำหนด
• ข้อ จ. (Fluconazole 400-800 mg/day ร่วมกับ intrathecal Amphotericin B 1-1.5 mg/day):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18" t="inlineStr"/>
      <c r="L153" s="18" t="inlineStr">
        <is>
          <t>HIV infection</t>
        </is>
      </c>
      <c r="M153" s="18" t="inlineStr">
        <is>
          <t>Clinic</t>
        </is>
      </c>
      <c r="N153" s="18" t="inlineStr">
        <is>
          <t>ข้อ 37 ชุด 1 (เฉลยข้อ ข)</t>
        </is>
      </c>
      <c r="O153" s="18" t="inlineStr">
        <is>
          <t>Mock</t>
        </is>
      </c>
      <c r="P153" s="18" t="inlineStr">
        <is>
          <t>ชุด 1</t>
        </is>
      </c>
    </row>
    <row r="154">
      <c r="A154" s="15" t="inlineStr">
        <is>
          <t>38</t>
        </is>
      </c>
      <c r="B154" s="18"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18" t="inlineStr"/>
      <c r="D154" s="18" t="inlineStr">
        <is>
          <t>วัณโรค</t>
        </is>
      </c>
      <c r="E154" s="18" t="inlineStr">
        <is>
          <t>ปอดบวม</t>
        </is>
      </c>
      <c r="F154" s="18" t="inlineStr">
        <is>
          <t>หนองใน</t>
        </is>
      </c>
      <c r="G154" s="18" t="inlineStr">
        <is>
          <t>เชื้อราแคนดิดา</t>
        </is>
      </c>
      <c r="H154" s="18" t="inlineStr">
        <is>
          <t>เอดส์</t>
        </is>
      </c>
      <c r="I154" s="15" t="inlineStr">
        <is>
          <t>1</t>
        </is>
      </c>
      <c r="J154" s="18"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ข้อนี้ไม่ใช่คำตอบที่ถูกต้องสำหรับภาวะ HIV infection เนื่องจากกลไกการออกฤทธิ์, efficacy หรือข้อบ่งใช้ไม่ตรงกับโจทย์ที่กำหนด
• ข้อ ค. (หนองใน): ข้อนี้ไม่ใช่คำตอบที่ถูกต้องสำหรับภาวะ HIV infection เนื่องจากกลไกการออกฤทธิ์, efficacy หรือข้อบ่งใช้ไม่ตรงกับโจทย์ที่กำหนด
• ข้อ ง. (เชื้อราแคนดิดา): ข้อนี้ไม่ใช่คำตอบที่ถูกต้องสำหรับภาวะ HIV infection เนื่องจากกลไกการออกฤทธิ์, efficacy หรือข้อบ่งใช้ไม่ตรงกับโจทย์ที่กำหนด
• ข้อ จ. (เอดส์):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18" t="inlineStr"/>
      <c r="L154" s="18" t="inlineStr">
        <is>
          <t>HIV infection</t>
        </is>
      </c>
      <c r="M154" s="18" t="inlineStr">
        <is>
          <t>Clinic</t>
        </is>
      </c>
      <c r="N154" s="18" t="inlineStr">
        <is>
          <t>ข้อ 38 ชุด 1 (เฉลยข้อ )</t>
        </is>
      </c>
      <c r="O154" s="18" t="inlineStr">
        <is>
          <t>Mock</t>
        </is>
      </c>
      <c r="P154" s="18" t="inlineStr">
        <is>
          <t>ชุด 1</t>
        </is>
      </c>
    </row>
    <row r="155">
      <c r="A155" s="15" t="inlineStr">
        <is>
          <t>39</t>
        </is>
      </c>
      <c r="B155" s="18" t="inlineStr">
        <is>
          <t>ยา GPOvir ขององค์การเภสัชกรรมประกอบด้วย</t>
        </is>
      </c>
      <c r="C155" s="18" t="inlineStr"/>
      <c r="D155" s="18" t="inlineStr">
        <is>
          <t>Zidovudine + Didanosine + Ritonavir</t>
        </is>
      </c>
      <c r="E155" s="18" t="inlineStr">
        <is>
          <t>Stavudine + Lamivudine + Saquinavir</t>
        </is>
      </c>
      <c r="F155" s="18" t="inlineStr">
        <is>
          <t>Stavudine + Lamivudine + Nevirapine</t>
        </is>
      </c>
      <c r="G155" s="18" t="inlineStr">
        <is>
          <t>Stavudine + Lamivudine + Tenofovir</t>
        </is>
      </c>
      <c r="H155" s="18" t="inlineStr">
        <is>
          <t>ไม่มีข้อใดถูก</t>
        </is>
      </c>
      <c r="I155" s="15" t="inlineStr">
        <is>
          <t>3</t>
        </is>
      </c>
      <c r="J155" s="18"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ข้อนี้ไม่ใช่คำตอบที่ถูกต้องสำหรับภาวะ HIV infection เนื่องจากกลไกการออกฤทธิ์, efficacy หรือข้อบ่งใช้ไม่ตรงกับโจทย์ที่กำหนด
• ข้อ ข. (Stavudine + Lamivudine + Saquinavir): ข้อนี้ไม่ใช่คำตอบที่ถูกต้องสำหรับภาวะ HIV infection เนื่องจากกลไกการออกฤทธิ์, efficacy หรือข้อบ่งใช้ไม่ตรงกับโจทย์ที่กำหนด
• ข้อ ง. (Stavudine + Lamivudine + Tenofovir): เป็น Nucleotide reverse transcriptase inhibitor (NRTI) แกนหลักใน HIV และ HBV therapy แต่ TDF ต้องระวัง nephrotoxicity (Fanconi syndrome) และ bone mineral density loss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18" t="inlineStr"/>
      <c r="L155" s="18" t="inlineStr">
        <is>
          <t>HIV infection</t>
        </is>
      </c>
      <c r="M155" s="18" t="inlineStr">
        <is>
          <t>Clinic</t>
        </is>
      </c>
      <c r="N155" s="18" t="inlineStr">
        <is>
          <t>ข้อ 39 ชุด 1 (เฉลยข้อ ค)</t>
        </is>
      </c>
      <c r="O155" s="18" t="inlineStr">
        <is>
          <t>Mock</t>
        </is>
      </c>
      <c r="P155" s="18" t="inlineStr">
        <is>
          <t>ชุด 1</t>
        </is>
      </c>
    </row>
    <row r="156">
      <c r="A156" s="15" t="inlineStr">
        <is>
          <t>40</t>
        </is>
      </c>
      <c r="B156" s="18"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18" t="inlineStr"/>
      <c r="D156" s="18" t="inlineStr">
        <is>
          <t>Abacavir</t>
        </is>
      </c>
      <c r="E156" s="18" t="inlineStr">
        <is>
          <t>Ritonavir</t>
        </is>
      </c>
      <c r="F156" s="18" t="inlineStr">
        <is>
          <t>Nevirapine</t>
        </is>
      </c>
      <c r="G156" s="18" t="inlineStr">
        <is>
          <t>Lamivudine</t>
        </is>
      </c>
      <c r="H156" s="18" t="inlineStr">
        <is>
          <t>Diravirdine</t>
        </is>
      </c>
      <c r="I156" s="15" t="inlineStr">
        <is>
          <t>2</t>
        </is>
      </c>
      <c r="J156" s="1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(Diravirdine):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18" t="inlineStr"/>
      <c r="L156" s="18" t="inlineStr">
        <is>
          <t>HIV infection</t>
        </is>
      </c>
      <c r="M156" s="18" t="inlineStr">
        <is>
          <t>Clinic</t>
        </is>
      </c>
      <c r="N156" s="18" t="inlineStr">
        <is>
          <t>ข้อ 40 ชุด 1 (เฉลยข้อ ข)</t>
        </is>
      </c>
      <c r="O156" s="18" t="inlineStr">
        <is>
          <t>Mock</t>
        </is>
      </c>
      <c r="P156" s="18" t="inlineStr">
        <is>
          <t>ชุด 1</t>
        </is>
      </c>
    </row>
    <row r="157">
      <c r="A157" s="15" t="inlineStr">
        <is>
          <t>41</t>
        </is>
      </c>
      <c r="B157" s="18" t="inlineStr">
        <is>
          <t>ฝ้าขาวที่เกิดที่กระพุ้งแก้มในรูปแบบยาน้ำกลั้วปาก สามารถรักษาได้โดยยาชนิดใด</t>
        </is>
      </c>
      <c r="C157" s="18" t="inlineStr"/>
      <c r="D157" s="18" t="inlineStr">
        <is>
          <t>Cotrimazole</t>
        </is>
      </c>
      <c r="E157" s="18" t="inlineStr">
        <is>
          <t>Nystatin</t>
        </is>
      </c>
      <c r="F157" s="18" t="inlineStr">
        <is>
          <t>Claritromycin</t>
        </is>
      </c>
      <c r="G157" s="18" t="inlineStr">
        <is>
          <t>Itraconazole</t>
        </is>
      </c>
      <c r="H157" s="18" t="inlineStr">
        <is>
          <t>Amphotericin B</t>
        </is>
      </c>
      <c r="I157" s="15" t="inlineStr">
        <is>
          <t>2</t>
        </is>
      </c>
      <c r="J157" s="18"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ข้อนี้ไม่ใช่คำตอบที่ถูกต้องสำหรับภาวะ HIV infection เนื่องจากกลไกการออกฤทธิ์, efficacy หรือข้อบ่งใช้ไม่ตรงกับโจทย์ที่กำหนด
• ข้อ ค. (Claritromycin): ข้อนี้ไม่ใช่คำตอบที่ถูกต้องสำหรับภาวะ HIV infection เนื่องจากกลไกการออกฤทธิ์, efficacy หรือข้อบ่งใช้ไม่ตรงกับโจทย์ที่กำหนด
• ข้อ ง.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(Amphotericin B): เป็น polyene antifungal มี broad spectrum ต่อ systemic fungal infections แต่มี infusion-related reactions (ไข้ หนาวสั่น) และ severe nephrotoxicity (hypokalemia, hypomagnesemia)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18" t="inlineStr"/>
      <c r="L157" s="18" t="inlineStr">
        <is>
          <t>HIV infection</t>
        </is>
      </c>
      <c r="M157" s="18" t="inlineStr">
        <is>
          <t>Clinic</t>
        </is>
      </c>
      <c r="N157" s="18" t="inlineStr">
        <is>
          <t>ข้อ 41 ชุด 1 (เฉลยข้อ ข ง)</t>
        </is>
      </c>
      <c r="O157" s="18" t="inlineStr">
        <is>
          <t>Mock</t>
        </is>
      </c>
      <c r="P157" s="18" t="inlineStr">
        <is>
          <t>ชุด 1</t>
        </is>
      </c>
    </row>
    <row r="158">
      <c r="A158" s="15" t="inlineStr">
        <is>
          <t>42</t>
        </is>
      </c>
      <c r="B158" s="18" t="inlineStr">
        <is>
          <t>จงบอกกลไกออกฤทธิ์ของ zidovudine</t>
        </is>
      </c>
      <c r="C158" s="18" t="inlineStr"/>
      <c r="D158" s="18" t="inlineStr">
        <is>
          <t>Inhibit protein synthesis</t>
        </is>
      </c>
      <c r="E158" s="18" t="inlineStr">
        <is>
          <t>Inhibit HIV protease</t>
        </is>
      </c>
      <c r="F158" s="18" t="inlineStr">
        <is>
          <t>Inhibit HIV reverse transcriptase</t>
        </is>
      </c>
      <c r="G158" s="18" t="inlineStr">
        <is>
          <t>Inhibit thymidine kinase</t>
        </is>
      </c>
      <c r="H158" s="18" t="inlineStr">
        <is>
          <t>Inhibit cell wall synthesis</t>
        </is>
      </c>
      <c r="I158" s="15" t="inlineStr">
        <is>
          <t>3</t>
        </is>
      </c>
      <c r="J158" s="18"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ข้อนี้ไม่ใช่คำตอบที่ถูกต้องสำหรับภาวะ HIV infection เนื่องจากกลไกการออกฤทธิ์, efficacy หรือข้อบ่งใช้ไม่ตรงกับโจทย์ที่กำหนด
• ข้อ ข. (Inhibit HIV protease): ข้อนี้ไม่ใช่คำตอบที่ถูกต้องสำหรับภาวะ HIV infection เนื่องจากกลไกการออกฤทธิ์, efficacy หรือข้อบ่งใช้ไม่ตรงกับโจทย์ที่กำหนด
• ข้อ ง. (Inhibit thymidine kinase): ข้อนี้ไม่ใช่คำตอบที่ถูกต้องสำหรับภาวะ HIV infection เนื่องจากกลไกการออกฤทธิ์, efficacy หรือข้อบ่งใช้ไม่ตรงกับโจทย์ที่กำหนด
• ข้อ จ. (Inhibit cell wall synthesis):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18" t="inlineStr"/>
      <c r="L158" s="18" t="inlineStr">
        <is>
          <t>HIV infection</t>
        </is>
      </c>
      <c r="M158" s="18" t="inlineStr">
        <is>
          <t>Clinic</t>
        </is>
      </c>
      <c r="N158" s="18" t="inlineStr">
        <is>
          <t>ข้อ 42 ชุด 1 (เฉลยข้อ ค)</t>
        </is>
      </c>
      <c r="O158" s="18" t="inlineStr">
        <is>
          <t>Mock</t>
        </is>
      </c>
      <c r="P158" s="18" t="inlineStr">
        <is>
          <t>ชุด 1</t>
        </is>
      </c>
    </row>
    <row r="159">
      <c r="A159" s="15" t="inlineStr">
        <is>
          <t>43</t>
        </is>
      </c>
      <c r="B159" s="18" t="inlineStr">
        <is>
          <t>พิจารณาโครงสร้างของ Ritonavir ท่านคิดว่าข้อใดไม่ถูกต้อง</t>
        </is>
      </c>
      <c r="C159" s="18" t="inlineStr"/>
      <c r="D159" s="18" t="inlineStr">
        <is>
          <t>เมื่อให้ยาร่วมกับอาหารยาจะออกฤทธิ์ช้าลง</t>
        </is>
      </c>
      <c r="E159" s="18" t="inlineStr">
        <is>
          <t>ยามีการละลายน้ำต่ำ จึงดูดซึมได้ไม่ดี</t>
        </is>
      </c>
      <c r="F159" s="18" t="inlineStr">
        <is>
          <t>เนื่องจากเป็น peptide-like จึงสลายตัวได้ง่ายในกรดในกระเพาะอาหาร</t>
        </is>
      </c>
      <c r="G159" s="18" t="inlineStr">
        <is>
          <t>ไม่มี basic functionality จึงไม่ ionize ในทางเดินอาหาร</t>
        </is>
      </c>
      <c r="H159" s="18" t="inlineStr">
        <is>
          <t>ยามี polar functionality จึงละลายน้ำได้ดี</t>
        </is>
      </c>
      <c r="I159" s="15" t="inlineStr">
        <is>
          <t>1</t>
        </is>
      </c>
      <c r="J159" s="18"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ข้อนี้ไม่ใช่คำตอบที่ถูกต้องสำหรับภาวะ HIV infection เนื่องจากกลไกการออกฤทธิ์, efficacy หรือข้อบ่งใช้ไม่ตรงกับโจทย์ที่กำหนด
• ข้อ ค. (เนื่องจากเป็น peptide-like จึงสลายตัวได้ง่ายในกรดในกระเพาะอาหาร): ข้อนี้ไม่ใช่คำตอบที่ถูกต้องสำหรับภาวะ HIV infection เนื่องจากกลไกการออกฤทธิ์, efficacy หรือข้อบ่งใช้ไม่ตรงกับโจทย์ที่กำหนด
• ข้อ ง. (ไม่มี basic functionality จึงไม่ ionize ในทางเดินอาหาร): ข้อนี้ไม่ใช่คำตอบที่ถูกต้องสำหรับภาวะ HIV infection เนื่องจากกลไกการออกฤทธิ์, efficacy หรือข้อบ่งใช้ไม่ตรงกับโจทย์ที่กำหนด
• ข้อ จ. (ยามี polar functionality จึงละลายน้ำได้ดี):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18" t="inlineStr"/>
      <c r="L159" s="18" t="inlineStr">
        <is>
          <t>HIV infection</t>
        </is>
      </c>
      <c r="M159" s="18" t="inlineStr">
        <is>
          <t>Clinic</t>
        </is>
      </c>
      <c r="N159" s="18" t="inlineStr">
        <is>
          <t>ข้อ 43 ชุด 1 (เฉลยข้อ ก ง จ)</t>
        </is>
      </c>
      <c r="O159" s="18" t="inlineStr">
        <is>
          <t>Mock</t>
        </is>
      </c>
      <c r="P159" s="18" t="inlineStr">
        <is>
          <t>ชุด 1</t>
        </is>
      </c>
    </row>
    <row r="160">
      <c r="A160" s="15" t="inlineStr">
        <is>
          <t>44</t>
        </is>
      </c>
      <c r="B160" s="18"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18" t="inlineStr"/>
      <c r="D160" s="18" t="inlineStr">
        <is>
          <t>ยาเสียเนื่องจาก air oxidation</t>
        </is>
      </c>
      <c r="E160" s="18" t="inlineStr">
        <is>
          <t>ยาเสียเนื่องจาก hydrolysis ของส่วน hydrozone</t>
        </is>
      </c>
      <c r="F160" s="18" t="inlineStr">
        <is>
          <t>ยาไม่เสีย เป็นธรรมชาติของยาเม็ดชนิดนี้</t>
        </is>
      </c>
      <c r="G160" s="18" t="inlineStr">
        <is>
          <t>ยาเสียเนื่องจากความชื้นในอากาศ</t>
        </is>
      </c>
      <c r="H160" s="18" t="inlineStr">
        <is>
          <t>ยาไม่เสีย สีที่เกิดขึ้นนั้นเกิดกับการแต่งสี</t>
        </is>
      </c>
      <c r="I160" s="15" t="inlineStr">
        <is>
          <t>3</t>
        </is>
      </c>
      <c r="J160" s="18"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ข้อนี้ไม่ใช่คำตอบที่ถูกต้องสำหรับภาวะ HIV infection เนื่องจากกลไกการออกฤทธิ์, efficacy หรือข้อบ่งใช้ไม่ตรงกับโจทย์ที่กำหนด
• ข้อ ข. (ยาเสียเนื่องจาก hydrolysis ของส่วน hydrozone): ข้อนี้ไม่ใช่คำตอบที่ถูกต้องสำหรับภาวะ HIV infection เนื่องจากกลไกการออกฤทธิ์, efficacy หรือข้อบ่งใช้ไม่ตรงกับโจทย์ที่กำหนด
• ข้อ ง. (ยาเสียเนื่องจากความชื้นในอากาศ): ข้อนี้ไม่ใช่คำตอบที่ถูกต้องสำหรับภาวะ HIV infection เนื่องจากกลไกการออกฤทธิ์, efficacy หรือข้อบ่งใช้ไม่ตรงกับโจทย์ที่กำหนด
• ข้อ จ. (ยาไม่เสีย สีที่เกิดขึ้นนั้นเกิดกับการแต่งสี):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18" t="inlineStr"/>
      <c r="L160" s="18" t="inlineStr">
        <is>
          <t>HIV infection</t>
        </is>
      </c>
      <c r="M160" s="18" t="inlineStr">
        <is>
          <t>Clinic</t>
        </is>
      </c>
      <c r="N160" s="18" t="inlineStr">
        <is>
          <t>ข้อ 44 ชุด 1 (เฉลยข้อ ค)</t>
        </is>
      </c>
      <c r="O160" s="18" t="inlineStr">
        <is>
          <t>Mock</t>
        </is>
      </c>
      <c r="P160" s="18" t="inlineStr">
        <is>
          <t>ชุด 1</t>
        </is>
      </c>
    </row>
    <row r="161">
      <c r="A161" s="15" t="inlineStr">
        <is>
          <t>160</t>
        </is>
      </c>
      <c r="B161" s="18"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18" t="inlineStr"/>
      <c r="D161" s="18" t="inlineStr">
        <is>
          <t>ขาด Vitamin D เนื่องจากได้รับแสงแดดไม่พอ</t>
        </is>
      </c>
      <c r="E161" s="18" t="inlineStr">
        <is>
          <t>ขาด Vitamin B6 เนื่องจากได้รับการรักษาด้วยยา isoniazid</t>
        </is>
      </c>
      <c r="F161" s="18" t="inlineStr">
        <is>
          <t>ขาด folate เนื่องจากสูญเสียปัสสาวะเพิ่มขึ้น</t>
        </is>
      </c>
      <c r="G161" s="18" t="inlineStr">
        <is>
          <t>ขาด Vitamin B12 เนื่องจากการดูดซึมผิดปกติ</t>
        </is>
      </c>
      <c r="H161" s="18" t="inlineStr">
        <is>
          <t>ขาด Zn เนื่องจากยาท าให้เบื่ออาหาร จึงได้รับ Zn จากอาหารน้อยลง</t>
        </is>
      </c>
      <c r="I161" s="15" t="inlineStr">
        <is>
          <t>1</t>
        </is>
      </c>
      <c r="J161" s="18"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ค. (ขาด Vitamin B6 เนื่องจากได้รับการรักษาด้วยยา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(ขาด folate เนื่องจากสูญเสียปัสสาวะเพิ่มขึ้น): ข้อนี้ไม่ใช่คำตอบที่ถูกต้องสำหรับภาวะ HIV infection เนื่องจากกลไกการออกฤทธิ์, efficacy หรือข้อบ่งใช้ไม่ตรงกับโจทย์ที่กำหนด
• ข้อ จ. (ขาด Vitamin B12 เนื่องจากการดูดซึมผิดปกติ):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18" t="inlineStr"/>
      <c r="L161" s="18" t="inlineStr">
        <is>
          <t>HIV infection</t>
        </is>
      </c>
      <c r="M161" s="18" t="inlineStr">
        <is>
          <t>Infectious Diseases</t>
        </is>
      </c>
      <c r="N161" s="18" t="inlineStr">
        <is>
          <t>Mock PLE-CC 1 ข้อ 104</t>
        </is>
      </c>
      <c r="O161" s="18" t="inlineStr">
        <is>
          <t>Mock</t>
        </is>
      </c>
      <c r="P161" s="18" t="inlineStr">
        <is>
          <t>Mock RxCU83</t>
        </is>
      </c>
      <c r="Q161" s="18" t="inlineStr"/>
    </row>
    <row r="162">
      <c r="A162" s="15" t="inlineStr">
        <is>
          <t>161</t>
        </is>
      </c>
      <c r="B162" s="18" t="inlineStr">
        <is>
          <t>อาการของผู้ป่วยเข้าได้กับโรคใด</t>
        </is>
      </c>
      <c r="C162" s="18" t="inlineStr"/>
      <c r="D162" s="18" t="inlineStr">
        <is>
          <t>photosensitivity</t>
        </is>
      </c>
      <c r="E162" s="18" t="inlineStr">
        <is>
          <t>eczema</t>
        </is>
      </c>
      <c r="F162" s="18" t="inlineStr">
        <is>
          <t>impetigo</t>
        </is>
      </c>
      <c r="G162" s="18" t="inlineStr">
        <is>
          <t>canker sore</t>
        </is>
      </c>
      <c r="H162" s="18" t="inlineStr">
        <is>
          <t>Cold sore</t>
        </is>
      </c>
      <c r="I162" s="15" t="inlineStr">
        <is>
          <t>4</t>
        </is>
      </c>
      <c r="J162" s="18"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(photosensitivity): ข้อนี้ไม่ใช่คำตอบที่ถูกต้องสำหรับภาวะ HIV infection เนื่องจากกลไกการออกฤทธิ์, efficacy หรือข้อบ่งใช้ไม่ตรงกับโจทย์ที่กำหนด
• ข้อ ค. (eczema): ข้อนี้ไม่ใช่คำตอบที่ถูกต้องสำหรับภาวะ HIV infection เนื่องจากกลไกการออกฤทธิ์, efficacy หรือข้อบ่งใช้ไม่ตรงกับโจทย์ที่กำหนด
• ข้อ ง. (impetigo):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18" t="inlineStr"/>
      <c r="L162" s="18" t="inlineStr">
        <is>
          <t>HIV infection</t>
        </is>
      </c>
      <c r="M162" s="18" t="inlineStr">
        <is>
          <t>Infectious Diseases</t>
        </is>
      </c>
      <c r="N162" s="18" t="inlineStr">
        <is>
          <t>Mock PLE-CC 1 ข้อ 119</t>
        </is>
      </c>
      <c r="O162" s="18" t="inlineStr">
        <is>
          <t>Mock</t>
        </is>
      </c>
      <c r="P162" s="18" t="inlineStr">
        <is>
          <t>Mock RxCU83</t>
        </is>
      </c>
      <c r="Q162" s="18" t="inlineStr"/>
    </row>
    <row r="163">
      <c r="A163" s="15" t="inlineStr">
        <is>
          <t>162</t>
        </is>
      </c>
      <c r="B163" s="18" t="inlineStr">
        <is>
          <t>ข้อใดไม่ใช่ปัจจัยกระตุ้นที่สำคัญที่ทำให้โรคนี้กำเริบ</t>
        </is>
      </c>
      <c r="C163" s="18" t="inlineStr"/>
      <c r="D163" s="18" t="inlineStr">
        <is>
          <t>การนอนหลับไม่เพียงพอ</t>
        </is>
      </c>
      <c r="E163" s="18" t="inlineStr">
        <is>
          <t>ภาวะเครียด</t>
        </is>
      </c>
      <c r="F163" s="18" t="inlineStr">
        <is>
          <t>เจอแสงแดดจัด</t>
        </is>
      </c>
      <c r="G163" s="18" t="inlineStr">
        <is>
          <t>การได้รับ amoxicillin</t>
        </is>
      </c>
      <c r="H163" s="18" t="inlineStr">
        <is>
          <t>ติดเชื้อไวรัสเช่นไข้หวัด</t>
        </is>
      </c>
      <c r="I163" s="15" t="inlineStr">
        <is>
          <t>2</t>
        </is>
      </c>
      <c r="J163" s="18"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(การนอนหลับไม่เพียงพอ): ข้อนี้ไม่ใช่คำตอบที่ถูกต้องสำหรับภาวะ HIV infection เนื่องจากกลไกการออกฤทธิ์, efficacy หรือข้อบ่งใช้ไม่ตรงกับโจทย์ที่กำหนด
• ข้อ ง. (เจอแสงแดดจัด): ข้อนี้ไม่ใช่คำตอบที่ถูกต้องสำหรับภาวะ HIV infection เนื่องจากกลไกการออกฤทธิ์, efficacy หรือข้อบ่งใช้ไม่ตรงกับโจทย์ที่กำหนด
• ข้อ จ. (การได้รับ amoxicillin):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18" t="inlineStr"/>
      <c r="L163" s="18" t="inlineStr">
        <is>
          <t>HIV infection</t>
        </is>
      </c>
      <c r="M163" s="18" t="inlineStr">
        <is>
          <t>Infectious Diseases</t>
        </is>
      </c>
      <c r="N163" s="18" t="inlineStr">
        <is>
          <t>Mock PLE-CC 1 ข้อ 123</t>
        </is>
      </c>
      <c r="O163" s="18" t="inlineStr">
        <is>
          <t>Mock</t>
        </is>
      </c>
      <c r="P163" s="18" t="inlineStr">
        <is>
          <t>Mock RxCU83</t>
        </is>
      </c>
      <c r="Q163" s="18" t="inlineStr"/>
    </row>
    <row r="164">
      <c r="A164" s="15" t="inlineStr">
        <is>
          <t>163</t>
        </is>
      </c>
      <c r="B164" s="1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18" t="inlineStr"/>
      <c r="D164" s="18" t="inlineStr">
        <is>
          <t>Omeprazole + Metronidazole + Bismuth subsalicylate + tetracycline</t>
        </is>
      </c>
      <c r="E164" s="18" t="inlineStr">
        <is>
          <t>Omeprazole + Levofloxacin + Amoxicillin</t>
        </is>
      </c>
      <c r="F164" s="18" t="inlineStr">
        <is>
          <t>Lansoprazole + Clarithromycin + Amoxicillin</t>
        </is>
      </c>
      <c r="G164" s="18" t="inlineStr">
        <is>
          <t>Lansoprazole + Amoxicillin + Metronidazole + Bismuth subsalicylate</t>
        </is>
      </c>
      <c r="H164" s="18" t="inlineStr">
        <is>
          <t>Lansoprazole + Clarithromycin + Bismuth subsalicylate + Amoxicillin (ไม่มั่นใจ choice ข้อนี้)</t>
        </is>
      </c>
      <c r="I164" s="15" t="inlineStr">
        <is>
          <t>1</t>
        </is>
      </c>
      <c r="J164" s="18"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18" t="inlineStr"/>
      <c r="L164" s="18" t="inlineStr">
        <is>
          <t>HIV infection</t>
        </is>
      </c>
      <c r="M164" s="18" t="inlineStr">
        <is>
          <t>Infectious Diseases</t>
        </is>
      </c>
      <c r="N164" s="18" t="inlineStr">
        <is>
          <t>PLE_CC1_2567_Key ข้อ 9</t>
        </is>
      </c>
      <c r="O164" s="18" t="inlineStr">
        <is>
          <t>ข้อสอบจริง</t>
        </is>
      </c>
      <c r="P164" s="18" t="inlineStr">
        <is>
          <t>ปี 2567</t>
        </is>
      </c>
      <c r="Q164" s="18" t="inlineStr"/>
    </row>
    <row r="165">
      <c r="A165" s="15" t="inlineStr">
        <is>
          <t>164</t>
        </is>
      </c>
      <c r="B165" s="18"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18" t="inlineStr"/>
      <c r="D165" s="18" t="inlineStr">
        <is>
          <t>Cefixime</t>
        </is>
      </c>
      <c r="E165" s="18" t="inlineStr">
        <is>
          <t>Levofloxacin</t>
        </is>
      </c>
      <c r="F165" s="18" t="inlineStr">
        <is>
          <t>Clindamycin</t>
        </is>
      </c>
      <c r="G165" s="18" t="inlineStr">
        <is>
          <t>Erythromycin</t>
        </is>
      </c>
      <c r="H165" s="18" t="inlineStr">
        <is>
          <t>Amoxicillin clavulanate</t>
        </is>
      </c>
      <c r="I165" s="15" t="inlineStr">
        <is>
          <t>1</t>
        </is>
      </c>
      <c r="J165" s="18"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(Cefixime): ข้อนี้ไม่ใช่คำตอบที่ถูกต้องสำหรับภาวะ Pneumonia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Pneumonia เนื่องจากกลไกการออกฤทธิ์, efficacy หรือข้อบ่งใช้ไม่ตรงกับโจทย์ที่กำหนด
• ข้อ จ. (Erythromycin):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18" t="inlineStr"/>
      <c r="L165" s="18" t="inlineStr">
        <is>
          <t>Pneumonia</t>
        </is>
      </c>
      <c r="M165" s="18" t="inlineStr">
        <is>
          <t>Infectious Diseases</t>
        </is>
      </c>
      <c r="N165" s="18" t="inlineStr">
        <is>
          <t>PLE_CC1_2567_Key ข้อ 37</t>
        </is>
      </c>
      <c r="O165" s="18" t="inlineStr">
        <is>
          <t>ข้อสอบจริง</t>
        </is>
      </c>
      <c r="P165" s="18" t="inlineStr">
        <is>
          <t>ปี 2567</t>
        </is>
      </c>
      <c r="Q165" s="18" t="inlineStr"/>
    </row>
    <row r="166">
      <c r="A166" s="15" t="inlineStr">
        <is>
          <t>165</t>
        </is>
      </c>
      <c r="B166" s="18" t="inlineStr">
        <is>
          <t>Case HIV CD4 &lt; 150 ต้องได้ยาป้องกัน OI (Opportunistic Infection) อะไรบ้าง " A</t>
        </is>
      </c>
      <c r="C166" s="18" t="inlineStr"/>
      <c r="D166" s="18" t="inlineStr">
        <is>
          <t>Co-trimoxazole</t>
        </is>
      </c>
      <c r="E166" s="18" t="inlineStr">
        <is>
          <t>Fluconazole</t>
        </is>
      </c>
      <c r="F166" s="18" t="inlineStr">
        <is>
          <t>Azithromycin</t>
        </is>
      </c>
      <c r="G166" s="18" t="inlineStr">
        <is>
          <t>Co-trimoxazole + Fluconazole</t>
        </is>
      </c>
      <c r="H166" s="18" t="inlineStr">
        <is>
          <t>Co-trimoxazole + Fluconazole + azithromycin X ร *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15" t="inlineStr">
        <is>
          <t>1</t>
        </is>
      </c>
      <c r="J166" s="18"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(Co-trimoxazole): ข้อนี้ไม่ใช่คำตอบที่ถูกต้องสำหรับภาวะ HIV infection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(Azithromycin): เป็น Macrolide ครอบคลุม atypical pathogens (Mycoplasma, Chlamydia, Legionella) ขจัดออกทางตับเป็นหลัก และมี half-life ยาวนาน (~68 ชม.)
• ข้อ จ. (Co-trimoxazole +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18" t="inlineStr"/>
      <c r="L166" s="18" t="inlineStr">
        <is>
          <t>HIV infection</t>
        </is>
      </c>
      <c r="M166" s="18" t="inlineStr">
        <is>
          <t>Infectious Diseases</t>
        </is>
      </c>
      <c r="N166" s="18" t="inlineStr">
        <is>
          <t>PLE_CC1_2567_Key ข้อ 75</t>
        </is>
      </c>
      <c r="O166" s="18" t="inlineStr">
        <is>
          <t>ข้อสอบจริง</t>
        </is>
      </c>
      <c r="P166" s="18" t="inlineStr">
        <is>
          <t>ปี 2567</t>
        </is>
      </c>
      <c r="Q166" s="18" t="inlineStr"/>
    </row>
    <row r="167">
      <c r="A167" s="15" t="inlineStr">
        <is>
          <t>166</t>
        </is>
      </c>
      <c r="B167" s="18" t="inlineStr">
        <is>
          <t>โครงสร้างหมายเลขใดของ triamcinolone acetonide มีบทบาทสำคัญในการเพิ่ม lipophilicity PLE-PC1 Preparation 2567</t>
        </is>
      </c>
      <c r="C167" s="18" t="inlineStr"/>
      <c r="D167" s="18" t="inlineStr">
        <is>
          <t>Infectious Diseases</t>
        </is>
      </c>
      <c r="E167" s="18" t="inlineStr">
        <is>
          <t>Ciprofloxacin 500 mg BID</t>
        </is>
      </c>
      <c r="F167" s="18" t="inlineStr">
        <is>
          <t>Azithromycin 500 mg OD</t>
        </is>
      </c>
      <c r="G167" s="18" t="inlineStr">
        <is>
          <t>Doxycycline 100 mg BID</t>
        </is>
      </c>
      <c r="H167" s="18" t="inlineStr">
        <is>
          <t>Cotrimoxazole 160/800 mg BID</t>
        </is>
      </c>
      <c r="I167" s="15" t="inlineStr">
        <is>
          <t>1</t>
        </is>
      </c>
      <c r="J167"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18" t="inlineStr"/>
      <c r="L167" s="18" t="inlineStr">
        <is>
          <t>HIV infection</t>
        </is>
      </c>
      <c r="M167" s="18" t="inlineStr">
        <is>
          <t>Infectious Diseases</t>
        </is>
      </c>
      <c r="N167" s="18" t="inlineStr">
        <is>
          <t>PLE_CC1_2567_Key ข้อ 95</t>
        </is>
      </c>
      <c r="O167" s="18" t="inlineStr">
        <is>
          <t>ข้อสอบจริง</t>
        </is>
      </c>
      <c r="P167" s="18" t="inlineStr">
        <is>
          <t>ปี 2567</t>
        </is>
      </c>
    </row>
    <row r="168">
      <c r="A168" s="15" t="inlineStr">
        <is>
          <t>167</t>
        </is>
      </c>
      <c r="B168" s="18" t="inlineStr">
        <is>
          <t>อาการใดที่ใช@แยก acute bacterial rhinosinusitis ออกจากการติดเชื้อในระบบทางเดินหายใจส6วนบน</t>
        </is>
      </c>
      <c r="C168" s="18" t="inlineStr"/>
      <c r="D168" s="18" t="inlineStr">
        <is>
          <t>Maxillary pain</t>
        </is>
      </c>
      <c r="E168" s="18" t="inlineStr">
        <is>
          <t>Sneezing</t>
        </is>
      </c>
      <c r="F168" s="18" t="inlineStr">
        <is>
          <t>Purulent conjunctivitis</t>
        </is>
      </c>
      <c r="G168" s="18" t="inlineStr">
        <is>
          <t>ไอ</t>
        </is>
      </c>
      <c r="H168" s="18"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15" t="inlineStr">
        <is>
          <t>1</t>
        </is>
      </c>
      <c r="J168" s="18"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(Maxillary pain): ข้อนี้ไม่ใช่คำตอบที่ถูกต้องสำหรับภาวะ URTI เนื่องจากกลไกการออกฤทธิ์, efficacy หรือข้อบ่งใช้ไม่ตรงกับโจทย์ที่กำหนด
• ข้อ ค. (Sneezing): ข้อนี้ไม่ใช่คำตอบที่ถูกต้องสำหรับภาวะ URTI เนื่องจากกลไกการออกฤทธิ์, efficacy หรือข้อบ่งใช้ไม่ตรงกับโจทย์ที่กำหนด
• ข้อ ง. (Purulent conjunctivitis): ข้อนี้ไม่ใช่คำตอบที่ถูกต้องสำหรับภาวะ URTI เนื่องจากกลไกการออกฤทธิ์, efficacy หรือข้อบ่งใช้ไม่ตรงกับโจทย์ที่กำหนด
• ข้อ จ. (ไอ):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18" t="inlineStr"/>
      <c r="L168" s="18" t="inlineStr">
        <is>
          <t>URTI</t>
        </is>
      </c>
      <c r="M168" s="18" t="inlineStr">
        <is>
          <t>Infectious Diseases</t>
        </is>
      </c>
      <c r="N168" s="18" t="inlineStr">
        <is>
          <t>PLE_CC1_2567_Key ข้อ 104</t>
        </is>
      </c>
      <c r="O168" s="18" t="inlineStr">
        <is>
          <t>ข้อสอบจริง</t>
        </is>
      </c>
      <c r="P168" s="18" t="inlineStr">
        <is>
          <t>ปี 2567</t>
        </is>
      </c>
      <c r="Q168" s="18" t="inlineStr"/>
    </row>
    <row r="169">
      <c r="A169" s="15" t="inlineStr">
        <is>
          <t>168</t>
        </is>
      </c>
      <c r="B169" s="1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18" t="inlineStr"/>
      <c r="D169" s="18" t="inlineStr">
        <is>
          <t>Infectious Diseases</t>
        </is>
      </c>
      <c r="E169" s="18" t="inlineStr">
        <is>
          <t>Tenofovir/Emtricitabine 300/200 mg OD</t>
        </is>
      </c>
      <c r="F169" s="18" t="inlineStr">
        <is>
          <t>Dolutegravir 50 mg OD</t>
        </is>
      </c>
      <c r="G169" s="18" t="inlineStr">
        <is>
          <t>Vancomycin 1 g IV Q12H</t>
        </is>
      </c>
      <c r="H169" s="18" t="inlineStr">
        <is>
          <t>Meropenem 1 g IV Q8H</t>
        </is>
      </c>
      <c r="I169" s="15" t="inlineStr">
        <is>
          <t>1</t>
        </is>
      </c>
      <c r="J169"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18" t="inlineStr"/>
      <c r="L169" s="18" t="inlineStr">
        <is>
          <t>HIV infection</t>
        </is>
      </c>
      <c r="M169" s="18" t="inlineStr">
        <is>
          <t>Infectious Diseases</t>
        </is>
      </c>
      <c r="N169" s="18" t="inlineStr">
        <is>
          <t>PLE_CC1_2567_Set1_Key ข้อ 9</t>
        </is>
      </c>
      <c r="O169" s="18" t="inlineStr">
        <is>
          <t>ข้อสอบจริง</t>
        </is>
      </c>
      <c r="P169" s="18" t="inlineStr">
        <is>
          <t>ปี 2567</t>
        </is>
      </c>
    </row>
    <row r="170">
      <c r="A170" s="15" t="inlineStr">
        <is>
          <t>169</t>
        </is>
      </c>
      <c r="B170" s="18" t="inlineStr">
        <is>
          <t>จากตำรับน้ำตาเทียม หากไม่มี Hydroxypropyl-guar สามารถใช้สารในข้อใดทำหน้าที่แทนได้ สารเพิ่มความหนืด ติดเชื้อ bacteria</t>
        </is>
      </c>
      <c r="C170" s="18" t="inlineStr"/>
      <c r="D170" s="18" t="inlineStr">
        <is>
          <t>ethyl cellulose</t>
        </is>
      </c>
      <c r="E170" s="18" t="inlineStr">
        <is>
          <t>Cellulose acetate</t>
        </is>
      </c>
      <c r="F170" s="18" t="inlineStr">
        <is>
          <t>Polysorbate 80</t>
        </is>
      </c>
      <c r="G170" s="18" t="inlineStr">
        <is>
          <t>Sorbitol</t>
        </is>
      </c>
      <c r="H170" s="18"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15" t="inlineStr">
        <is>
          <t>1</t>
        </is>
      </c>
      <c r="J170" s="18"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(ethyl cellulose): ข้อนี้ไม่ใช่คำตอบที่ถูกต้องสำหรับภาวะ HIV infection เนื่องจากกลไกการออกฤทธิ์, efficacy หรือข้อบ่งใช้ไม่ตรงกับโจทย์ที่กำหนด
• ข้อ ค. (Cellulose acetate): ข้อนี้ไม่ใช่คำตอบที่ถูกต้องสำหรับภาวะ HIV infection เนื่องจากกลไกการออกฤทธิ์, efficacy หรือข้อบ่งใช้ไม่ตรงกับโจทย์ที่กำหนด
• ข้อ ง. (Polysorbate 80): เป็น Non-ionic surfactant (Tween 80) มีค่า HLB สูง (~15) ทำหน้าที่เป็น O/W emulsifying agent, solubilizer และ wetting agent
• ข้อ จ. (Sorbitol):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18" t="inlineStr"/>
      <c r="L170" s="18" t="inlineStr">
        <is>
          <t>HIV infection</t>
        </is>
      </c>
      <c r="M170" s="18" t="inlineStr">
        <is>
          <t>Infectious Diseases</t>
        </is>
      </c>
      <c r="N170" s="18" t="inlineStr">
        <is>
          <t>PLE_CC1_2567_Set1_Key ข้อ 32</t>
        </is>
      </c>
      <c r="O170" s="18" t="inlineStr">
        <is>
          <t>ข้อสอบจริง</t>
        </is>
      </c>
      <c r="P170" s="18" t="inlineStr">
        <is>
          <t>ปี 2567</t>
        </is>
      </c>
      <c r="Q170" s="18" t="inlineStr"/>
    </row>
    <row r="171">
      <c r="A171" s="15" t="inlineStr">
        <is>
          <t>170</t>
        </is>
      </c>
      <c r="B171" s="18" t="inlineStr">
        <is>
          <t>Case HIV CD4 &lt; 150 ต้องได้ยาป้องกัน OI (Opportunistic Infection) อะไรบ้าง " A</t>
        </is>
      </c>
      <c r="C171" s="18" t="inlineStr"/>
      <c r="D171" s="18" t="inlineStr">
        <is>
          <t>Docusate Sodium - lubricant</t>
        </is>
      </c>
      <c r="E171" s="18" t="inlineStr">
        <is>
          <t>glycerin - Osmotic</t>
        </is>
      </c>
      <c r="F171" s="18" t="inlineStr">
        <is>
          <t>psyllium husk - stimulant</t>
        </is>
      </c>
      <c r="G171" s="18" t="inlineStr">
        <is>
          <t>bisacodyl - bulk forming</t>
        </is>
      </c>
      <c r="H171" s="18" t="inlineStr">
        <is>
          <t>*จำ choice ไม่ได้*</t>
        </is>
      </c>
      <c r="I171" s="15" t="inlineStr">
        <is>
          <t>1</t>
        </is>
      </c>
      <c r="J171" s="18"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(Docusate Sodium - lubricant): ข้อนี้ไม่ใช่คำตอบที่ถูกต้องสำหรับภาวะ HIV infection เนื่องจากกลไกการออกฤทธิ์, efficacy หรือข้อบ่งใช้ไม่ตรงกับโจทย์ที่กำหนด
• ข้อ ค. (glycerin - Osmotic): ข้อนี้ไม่ใช่คำตอบที่ถูกต้องสำหรับภาวะ HIV infection เนื่องจากกลไกการออกฤทธิ์, efficacy หรือข้อบ่งใช้ไม่ตรงกับโจทย์ที่กำหนด
• ข้อ ง. (psyllium husk - stimulant): ข้อนี้ไม่ใช่คำตอบที่ถูกต้องสำหรับภาวะ HIV infection เนื่องจากกลไกการออกฤทธิ์, efficacy หรือข้อบ่งใช้ไม่ตรงกับโจทย์ที่กำหนด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18" t="inlineStr"/>
      <c r="L171" s="18" t="inlineStr">
        <is>
          <t>HIV infection</t>
        </is>
      </c>
      <c r="M171" s="18" t="inlineStr">
        <is>
          <t>Infectious Diseases</t>
        </is>
      </c>
      <c r="N171" s="18" t="inlineStr">
        <is>
          <t>PLE_CC1_2567_Set1_Key ข้อ 75</t>
        </is>
      </c>
      <c r="O171" s="18" t="inlineStr">
        <is>
          <t>ข้อสอบจริง</t>
        </is>
      </c>
      <c r="P171" s="18" t="inlineStr">
        <is>
          <t>ปี 2567</t>
        </is>
      </c>
      <c r="Q171" s="18" t="inlineStr"/>
    </row>
    <row r="172">
      <c r="A172" s="15" t="inlineStr">
        <is>
          <t>171</t>
        </is>
      </c>
      <c r="B172" s="18" t="inlineStr">
        <is>
          <t>ยาชนิดใดน่าจะเป็นสาเหตุของการแพ้มากที่สุดในผู้ป่วยรายนี้ &amp; &lt; PLE-PC1 Preparation 2567 PLE-PC1 Preparation 2567</t>
        </is>
      </c>
      <c r="C172" s="18" t="inlineStr"/>
      <c r="D172" s="18" t="inlineStr">
        <is>
          <t>Infectious Diseases</t>
        </is>
      </c>
      <c r="E172" s="18" t="inlineStr">
        <is>
          <t>Doxycycline 100 mg BID</t>
        </is>
      </c>
      <c r="F172" s="18" t="inlineStr">
        <is>
          <t>Cotrimoxazole 160/800 mg BID</t>
        </is>
      </c>
      <c r="G172" s="18" t="inlineStr">
        <is>
          <t>Metronidazole 400 mg TID</t>
        </is>
      </c>
      <c r="H172" s="18" t="inlineStr">
        <is>
          <t>Nitrofurantoin 100 mg BID</t>
        </is>
      </c>
      <c r="I172" s="15" t="inlineStr">
        <is>
          <t>1</t>
        </is>
      </c>
      <c r="J172"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18" t="inlineStr"/>
      <c r="L172" s="18" t="inlineStr">
        <is>
          <t>HIV infection</t>
        </is>
      </c>
      <c r="M172" s="18" t="inlineStr">
        <is>
          <t>Infectious Diseases</t>
        </is>
      </c>
      <c r="N172" s="18" t="inlineStr">
        <is>
          <t>PLE_CC1_2567_Set1_Key ข้อ 77</t>
        </is>
      </c>
      <c r="O172" s="18" t="inlineStr">
        <is>
          <t>ข้อสอบจริง</t>
        </is>
      </c>
      <c r="P172" s="18" t="inlineStr">
        <is>
          <t>ปี 2567</t>
        </is>
      </c>
    </row>
    <row r="173">
      <c r="A173" s="15" t="inlineStr">
        <is>
          <t>172</t>
        </is>
      </c>
      <c r="B173" s="18"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18" t="inlineStr"/>
      <c r="D173" s="18" t="inlineStr">
        <is>
          <t>Infectious Diseases</t>
        </is>
      </c>
      <c r="E173" s="18" t="inlineStr">
        <is>
          <t>Nitrofurantoin 100 mg BID</t>
        </is>
      </c>
      <c r="F173" s="18" t="inlineStr">
        <is>
          <t>Tenofovir/Emtricitabine 300/200 mg OD</t>
        </is>
      </c>
      <c r="G173" s="18" t="inlineStr">
        <is>
          <t>Dolutegravir 50 mg OD</t>
        </is>
      </c>
      <c r="H173" s="18" t="inlineStr">
        <is>
          <t>Vancomycin 1 g IV Q12H</t>
        </is>
      </c>
      <c r="I173" s="15" t="inlineStr">
        <is>
          <t>1</t>
        </is>
      </c>
      <c r="J173"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18" t="inlineStr"/>
      <c r="L173" s="18" t="inlineStr">
        <is>
          <t>HIV infection</t>
        </is>
      </c>
      <c r="M173" s="18" t="inlineStr">
        <is>
          <t>Infectious Diseases</t>
        </is>
      </c>
      <c r="N173" s="18" t="inlineStr">
        <is>
          <t>PLE_CC1_2567_Set1_Key ข้อ 86</t>
        </is>
      </c>
      <c r="O173" s="18" t="inlineStr">
        <is>
          <t>ข้อสอบจริง</t>
        </is>
      </c>
      <c r="P173" s="18" t="inlineStr">
        <is>
          <t>ปี 2567</t>
        </is>
      </c>
    </row>
    <row r="174">
      <c r="A174" s="15" t="inlineStr">
        <is>
          <t>173</t>
        </is>
      </c>
      <c r="B174" s="18" t="inlineStr">
        <is>
          <t>สูตรยาPrep. ตัวเลือก</t>
        </is>
      </c>
      <c r="C174" s="18" t="inlineStr"/>
      <c r="D174" s="18" t="inlineStr">
        <is>
          <t>Infectious Diseases</t>
        </is>
      </c>
      <c r="E174" s="18" t="inlineStr">
        <is>
          <t>Vancomycin 1 g IV Q12H</t>
        </is>
      </c>
      <c r="F174" s="18" t="inlineStr">
        <is>
          <t>Meropenem 1 g IV Q8H</t>
        </is>
      </c>
      <c r="G174" s="18" t="inlineStr">
        <is>
          <t>Cefazolin 1 g IV Q8H</t>
        </is>
      </c>
      <c r="H174" s="18" t="inlineStr">
        <is>
          <t>Amoxicillin/Clavulanate 1 g BID</t>
        </is>
      </c>
      <c r="I174" s="15" t="inlineStr">
        <is>
          <t>1</t>
        </is>
      </c>
      <c r="J174"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18" t="inlineStr"/>
      <c r="L174" s="18" t="inlineStr">
        <is>
          <t>HIV infection</t>
        </is>
      </c>
      <c r="M174" s="18" t="inlineStr">
        <is>
          <t>Infectious Diseases</t>
        </is>
      </c>
      <c r="N174" s="18" t="inlineStr">
        <is>
          <t>PLE-CC1 ปี 2566 Day 1 ข้อ 1</t>
        </is>
      </c>
      <c r="O174" s="18" t="inlineStr">
        <is>
          <t>ข้อสอบจริง</t>
        </is>
      </c>
      <c r="P174" s="18" t="inlineStr">
        <is>
          <t>ปี 2566</t>
        </is>
      </c>
    </row>
    <row r="175">
      <c r="A175" s="15" t="inlineStr">
        <is>
          <t>174</t>
        </is>
      </c>
      <c r="B175" s="18" t="inlineStr">
        <is>
          <t>Fasting blood glucose ??? Prophylaxis สำหรับป้องกันHIV ใช้สูตรยาใด Favipiravir ขายในร้านยาได้มั้ยเพราะอะไร</t>
        </is>
      </c>
      <c r="C175" s="18" t="inlineStr"/>
      <c r="D175" s="18" t="inlineStr">
        <is>
          <t>Infectious Diseases</t>
        </is>
      </c>
      <c r="E175" s="18" t="inlineStr">
        <is>
          <t>Amoxicillin/Clavulanate 1 g BID</t>
        </is>
      </c>
      <c r="F175" s="18" t="inlineStr">
        <is>
          <t>Ceftriaxone 1 g IV OD</t>
        </is>
      </c>
      <c r="G175" s="18" t="inlineStr">
        <is>
          <t>Ciprofloxacin 500 mg BID</t>
        </is>
      </c>
      <c r="H175" s="18" t="inlineStr">
        <is>
          <t>Azithromycin 500 mg OD</t>
        </is>
      </c>
      <c r="I175" s="15" t="inlineStr">
        <is>
          <t>1</t>
        </is>
      </c>
      <c r="J175"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18" t="inlineStr"/>
      <c r="L175" s="18" t="inlineStr">
        <is>
          <t>HIV infection</t>
        </is>
      </c>
      <c r="M175" s="18" t="inlineStr">
        <is>
          <t>Infectious Diseases</t>
        </is>
      </c>
      <c r="N175" s="18" t="inlineStr">
        <is>
          <t>PLE-CC1 ปี 2566 Day 1 ข้อ 5</t>
        </is>
      </c>
      <c r="O175" s="18" t="inlineStr">
        <is>
          <t>ข้อสอบจริง</t>
        </is>
      </c>
      <c r="P175" s="18" t="inlineStr">
        <is>
          <t>ปี 2566</t>
        </is>
      </c>
    </row>
    <row r="176">
      <c r="A176" s="15" t="inlineStr">
        <is>
          <t>175</t>
        </is>
      </c>
      <c r="B176" s="18" t="inlineStr">
        <is>
          <t>Oral antibiotics</t>
        </is>
      </c>
      <c r="C176" s="18" t="inlineStr"/>
      <c r="D176" s="18" t="inlineStr">
        <is>
          <t>Infectious Diseases</t>
        </is>
      </c>
      <c r="E176" s="18" t="inlineStr">
        <is>
          <t>Azithromycin 500 mg OD</t>
        </is>
      </c>
      <c r="F176" s="18" t="inlineStr">
        <is>
          <t>Doxycycline 100 mg BID</t>
        </is>
      </c>
      <c r="G176" s="18" t="inlineStr">
        <is>
          <t>Cotrimoxazole 160/800 mg BID</t>
        </is>
      </c>
      <c r="H176" s="18" t="inlineStr">
        <is>
          <t>Metronidazole 400 mg TID</t>
        </is>
      </c>
      <c r="I176" s="15" t="inlineStr">
        <is>
          <t>1</t>
        </is>
      </c>
      <c r="J176"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18" t="inlineStr"/>
      <c r="L176" s="18" t="inlineStr">
        <is>
          <t>HIV infection</t>
        </is>
      </c>
      <c r="M176" s="18" t="inlineStr">
        <is>
          <t>Infectious Diseases</t>
        </is>
      </c>
      <c r="N176" s="18" t="inlineStr">
        <is>
          <t>PLE-CC1 ปี 2566 Day 2 ข้อ 4</t>
        </is>
      </c>
      <c r="O176" s="18" t="inlineStr">
        <is>
          <t>ข้อสอบจริง</t>
        </is>
      </c>
      <c r="P176" s="18" t="inlineStr">
        <is>
          <t>ปี 2566</t>
        </is>
      </c>
    </row>
    <row r="177">
      <c r="A177" s="15" t="inlineStr">
        <is>
          <t>176</t>
        </is>
      </c>
      <c r="B177" s="18" t="inlineStr">
        <is>
          <t>ondansetron + dexsamethasone + Aprepitant</t>
        </is>
      </c>
      <c r="C177" s="18" t="inlineStr"/>
      <c r="D177" s="18" t="inlineStr">
        <is>
          <t>Infectious Diseases</t>
        </is>
      </c>
      <c r="E177" s="18" t="inlineStr">
        <is>
          <t>Metronidazole 400 mg TID</t>
        </is>
      </c>
      <c r="F177" s="18" t="inlineStr">
        <is>
          <t>Nitrofurantoin 100 mg BID</t>
        </is>
      </c>
      <c r="G177" s="18" t="inlineStr">
        <is>
          <t>Tenofovir/Emtricitabine 300/200 mg OD</t>
        </is>
      </c>
      <c r="H177" s="18" t="inlineStr">
        <is>
          <t>Dolutegravir 50 mg OD</t>
        </is>
      </c>
      <c r="I177" s="15" t="inlineStr">
        <is>
          <t>1</t>
        </is>
      </c>
      <c r="J177"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18" t="inlineStr"/>
      <c r="L177" s="18" t="inlineStr">
        <is>
          <t>HIV infection</t>
        </is>
      </c>
      <c r="M177" s="18" t="inlineStr">
        <is>
          <t>Infectious Diseases</t>
        </is>
      </c>
      <c r="N177" s="18" t="inlineStr">
        <is>
          <t>PLE-CC1 ปี 2566 Day 2 ข้อ 1</t>
        </is>
      </c>
      <c r="O177" s="18" t="inlineStr">
        <is>
          <t>ข้อสอบจริง</t>
        </is>
      </c>
      <c r="P177" s="18" t="inlineStr">
        <is>
          <t>ปี 2566</t>
        </is>
      </c>
    </row>
    <row r="178">
      <c r="A178" s="15" t="inlineStr">
        <is>
          <t>177</t>
        </is>
      </c>
      <c r="B178" s="18" t="inlineStr">
        <is>
          <t>เริมที่ปากให้Acyclovir ยังไง(การทำงานของไตปกติ) ตัวเลือก</t>
        </is>
      </c>
      <c r="C178" s="18" t="inlineStr"/>
      <c r="D178" s="18" t="inlineStr">
        <is>
          <t>Infectious Diseases</t>
        </is>
      </c>
      <c r="E178" s="18" t="inlineStr">
        <is>
          <t>Dolutegravir 50 mg OD</t>
        </is>
      </c>
      <c r="F178" s="18" t="inlineStr">
        <is>
          <t>Vancomycin 1 g IV Q12H</t>
        </is>
      </c>
      <c r="G178" s="18" t="inlineStr">
        <is>
          <t>Meropenem 1 g IV Q8H</t>
        </is>
      </c>
      <c r="H178" s="18" t="inlineStr">
        <is>
          <t>Cefazolin 1 g IV Q8H</t>
        </is>
      </c>
      <c r="I178" s="15" t="inlineStr">
        <is>
          <t>1</t>
        </is>
      </c>
      <c r="J178"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18" t="inlineStr"/>
      <c r="L178" s="18" t="inlineStr">
        <is>
          <t>HIV infection</t>
        </is>
      </c>
      <c r="M178" s="18" t="inlineStr">
        <is>
          <t>Infectious Diseases</t>
        </is>
      </c>
      <c r="N178" s="18" t="inlineStr">
        <is>
          <t>PLE-CC1 ปี 2566 Day 2 ข้อ 7</t>
        </is>
      </c>
      <c r="O178" s="18" t="inlineStr">
        <is>
          <t>ข้อสอบจริง</t>
        </is>
      </c>
      <c r="P178" s="18" t="inlineStr">
        <is>
          <t>ปี 2566</t>
        </is>
      </c>
    </row>
    <row r="179">
      <c r="A179" s="15" t="inlineStr">
        <is>
          <t>178</t>
        </is>
      </c>
      <c r="B179" s="18" t="inlineStr">
        <is>
          <t>พืชที่ใช้รักษาเริม. ตัวเลือก</t>
        </is>
      </c>
      <c r="C179" s="18" t="inlineStr"/>
      <c r="D179" s="18" t="inlineStr">
        <is>
          <t>Infectious Diseases</t>
        </is>
      </c>
      <c r="E179" s="18" t="inlineStr">
        <is>
          <t>Cefazolin 1 g IV Q8H</t>
        </is>
      </c>
      <c r="F179" s="18" t="inlineStr">
        <is>
          <t>Amoxicillin/Clavulanate 1 g BID</t>
        </is>
      </c>
      <c r="G179" s="18" t="inlineStr">
        <is>
          <t>Ceftriaxone 1 g IV OD</t>
        </is>
      </c>
      <c r="H179" s="18" t="inlineStr">
        <is>
          <t>Ciprofloxacin 500 mg BID</t>
        </is>
      </c>
      <c r="I179" s="15" t="inlineStr">
        <is>
          <t>1</t>
        </is>
      </c>
      <c r="J179"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18" t="inlineStr"/>
      <c r="L179" s="18" t="inlineStr">
        <is>
          <t>HIV infection</t>
        </is>
      </c>
      <c r="M179" s="18" t="inlineStr">
        <is>
          <t>Infectious Diseases</t>
        </is>
      </c>
      <c r="N179" s="18" t="inlineStr">
        <is>
          <t>PLE-CC1 ปี 2566 Day 2 ข้อ 26</t>
        </is>
      </c>
      <c r="O179" s="18" t="inlineStr">
        <is>
          <t>ข้อสอบจริง</t>
        </is>
      </c>
      <c r="P179" s="18" t="inlineStr">
        <is>
          <t>ปี 2566</t>
        </is>
      </c>
    </row>
    <row r="180">
      <c r="A180" s="15" t="inlineStr">
        <is>
          <t>179</t>
        </is>
      </c>
      <c r="B180" s="18" t="inlineStr">
        <is>
          <t>Amoxicillin 500 mg bid 10วัน</t>
        </is>
      </c>
      <c r="C180" s="18" t="inlineStr"/>
      <c r="D180" s="18" t="inlineStr">
        <is>
          <t>Infectious Diseases</t>
        </is>
      </c>
      <c r="E180" s="18" t="inlineStr">
        <is>
          <t>Ciprofloxacin 500 mg BID</t>
        </is>
      </c>
      <c r="F180" s="18" t="inlineStr">
        <is>
          <t>Azithromycin 500 mg OD</t>
        </is>
      </c>
      <c r="G180" s="18" t="inlineStr">
        <is>
          <t>Doxycycline 100 mg BID</t>
        </is>
      </c>
      <c r="H180" s="18" t="inlineStr">
        <is>
          <t>Cotrimoxazole 160/800 mg BID</t>
        </is>
      </c>
      <c r="I180" s="15" t="inlineStr">
        <is>
          <t>1</t>
        </is>
      </c>
      <c r="J180" s="18"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18" t="inlineStr"/>
      <c r="L180" s="18" t="inlineStr">
        <is>
          <t>URTI</t>
        </is>
      </c>
      <c r="M180" s="18" t="inlineStr">
        <is>
          <t>Infectious Diseases</t>
        </is>
      </c>
      <c r="N180" s="18" t="inlineStr">
        <is>
          <t>PLE-CC1 ปี 2566 Day 2 ข้อ 1</t>
        </is>
      </c>
      <c r="O180" s="18" t="inlineStr">
        <is>
          <t>ข้อสอบจริง</t>
        </is>
      </c>
      <c r="P180" s="18" t="inlineStr">
        <is>
          <t>ปี 2566</t>
        </is>
      </c>
    </row>
    <row r="181">
      <c r="A181" s="15" t="inlineStr">
        <is>
          <t>180</t>
        </is>
      </c>
      <c r="B181" s="18" t="inlineStr">
        <is>
          <t>คำถามต่อจากสถานการณ์เคสตกขาวสีเขียวเหลืองมีฟองถามว่าข้อใดเป็นปัจจัยที่ทำให้ติดเชื้อดังกล่าว ตัวเลือก</t>
        </is>
      </c>
      <c r="C181" s="18" t="inlineStr"/>
      <c r="D181" s="18" t="inlineStr">
        <is>
          <t>Infectious Diseases</t>
        </is>
      </c>
      <c r="E181" s="18" t="inlineStr">
        <is>
          <t>ใส่เสื้อผ้า</t>
        </is>
      </c>
      <c r="F181" s="18" t="inlineStr">
        <is>
          <t>Metronidazole 400 mg TID</t>
        </is>
      </c>
      <c r="G181" s="18" t="inlineStr">
        <is>
          <t>Nitrofurantoin 100 mg BID</t>
        </is>
      </c>
      <c r="H181" s="18" t="inlineStr">
        <is>
          <t>Tenofovir/Emtricitabine 300/200 mg OD</t>
        </is>
      </c>
      <c r="I181" s="15" t="inlineStr">
        <is>
          <t>1</t>
        </is>
      </c>
      <c r="J181" s="18"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ข้อนี้ไม่ใช่คำตอบที่ถูกต้องสำหรับภาวะ STDs &amp; vaginitis เนื่องจากกลไกการออกฤทธิ์, efficacy หรือข้อบ่งใช้ไม่ตรงกับโจทย์ที่กำหนด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18" t="inlineStr"/>
      <c r="L181" s="18" t="inlineStr">
        <is>
          <t>STDs &amp; vaginitis</t>
        </is>
      </c>
      <c r="M181" s="18" t="inlineStr">
        <is>
          <t>Infectious Diseases</t>
        </is>
      </c>
      <c r="N181" s="18" t="inlineStr">
        <is>
          <t>PLE-CC1 ปี 2566 Day 2 ข้อ 66</t>
        </is>
      </c>
      <c r="O181" s="18" t="inlineStr">
        <is>
          <t>ข้อสอบจริง</t>
        </is>
      </c>
      <c r="P181" s="18" t="inlineStr">
        <is>
          <t>ปี 2566</t>
        </is>
      </c>
    </row>
    <row r="182">
      <c r="A182" s="15" t="inlineStr">
        <is>
          <t>181</t>
        </is>
      </c>
      <c r="B182" s="18" t="inlineStr">
        <is>
          <t>Aprepitant + Ondansetron + Dexamethasone</t>
        </is>
      </c>
      <c r="C182" s="18" t="inlineStr"/>
      <c r="D182" s="18" t="inlineStr">
        <is>
          <t>Infectious Diseases</t>
        </is>
      </c>
      <c r="E182" s="18" t="inlineStr">
        <is>
          <t>Tenofovir/Emtricitabine 300/200 mg OD</t>
        </is>
      </c>
      <c r="F182" s="18" t="inlineStr">
        <is>
          <t>Dolutegravir 50 mg OD</t>
        </is>
      </c>
      <c r="G182" s="18" t="inlineStr">
        <is>
          <t>Vancomycin 1 g IV Q12H</t>
        </is>
      </c>
      <c r="H182" s="18" t="inlineStr">
        <is>
          <t>Meropenem 1 g IV Q8H</t>
        </is>
      </c>
      <c r="I182" s="15" t="inlineStr">
        <is>
          <t>5</t>
        </is>
      </c>
      <c r="J182" s="1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18" t="inlineStr"/>
      <c r="L182" s="18" t="inlineStr">
        <is>
          <t>HIV infection</t>
        </is>
      </c>
      <c r="M182" s="18" t="inlineStr">
        <is>
          <t>Infectious Diseases</t>
        </is>
      </c>
      <c r="N182" s="18" t="inlineStr">
        <is>
          <t>PLE-CC1 ปี 2566 Day 2 ข้อ 5</t>
        </is>
      </c>
      <c r="O182" s="18" t="inlineStr">
        <is>
          <t>ข้อสอบจริง</t>
        </is>
      </c>
      <c r="P182" s="18" t="inlineStr">
        <is>
          <t>ปี 2566</t>
        </is>
      </c>
    </row>
    <row r="183">
      <c r="A183" s="15" t="inlineStr">
        <is>
          <t>182</t>
        </is>
      </c>
      <c r="B183" s="18"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18" t="inlineStr"/>
      <c r="D183" s="18" t="inlineStr">
        <is>
          <t>Venlafaxine</t>
        </is>
      </c>
      <c r="E183" s="18" t="inlineStr">
        <is>
          <t>NSAIDs สักตัว ลืมชื่อ (น;าจะ naproxen ไม;ก็ diclofenac)</t>
        </is>
      </c>
      <c r="F183" s="18" t="inlineStr">
        <is>
          <t>จำ choice ไม;ได</t>
        </is>
      </c>
      <c r="G183" s="18" t="inlineStr">
        <is>
          <t>จำ choice ไม;ได</t>
        </is>
      </c>
      <c r="H183" s="18" t="inlineStr">
        <is>
          <t>* จำ choice ไม;ได# *</t>
        </is>
      </c>
      <c r="I183" s="15" t="inlineStr">
        <is>
          <t>1</t>
        </is>
      </c>
      <c r="J183" s="18"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(Venlafaxine): ข้อนี้ไม่ใช่คำตอบที่ถูกต้องสำหรับภาวะ HIV infection เนื่องจากกลไกการออกฤทธิ์, efficacy หรือข้อบ่งใช้ไม่ตรงกับโจทย์ที่กำหนด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18" t="inlineStr"/>
      <c r="L183" s="18" t="inlineStr">
        <is>
          <t>HIV infection</t>
        </is>
      </c>
      <c r="M183" s="18" t="inlineStr">
        <is>
          <t>Infectious Diseases</t>
        </is>
      </c>
      <c r="N183" s="18" t="inlineStr">
        <is>
          <t>PLE_CC1_2565_Day1_Key ข้อ 12</t>
        </is>
      </c>
      <c r="O183" s="18" t="inlineStr">
        <is>
          <t>ข้อสอบจริง</t>
        </is>
      </c>
      <c r="P183" s="18" t="inlineStr">
        <is>
          <t>ปี 2565</t>
        </is>
      </c>
      <c r="Q183" s="18" t="inlineStr"/>
    </row>
    <row r="184">
      <c r="A184" s="15" t="inlineStr">
        <is>
          <t>183</t>
        </is>
      </c>
      <c r="B184" s="18"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18" t="inlineStr"/>
      <c r="D184" s="18" t="inlineStr">
        <is>
          <t>Amoxicillin + Clarithromycin + Omeprazole for 14 days</t>
        </is>
      </c>
      <c r="E184" s="18" t="inlineStr">
        <is>
          <t>Amoxicillin + Metronidazole + Omeprazole for 14 days</t>
        </is>
      </c>
      <c r="F184" s="18" t="inlineStr">
        <is>
          <t>จำ choice ไม;ได</t>
        </is>
      </c>
      <c r="G184" s="18" t="inlineStr">
        <is>
          <t>จำ choice ไม;ได</t>
        </is>
      </c>
      <c r="H184" s="18" t="inlineStr">
        <is>
          <t>* จำ choice ไม;ได# *</t>
        </is>
      </c>
      <c r="I184" s="15" t="inlineStr">
        <is>
          <t>1</t>
        </is>
      </c>
      <c r="J184" s="18"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Clarithromycin + Omeprazole for 14 days): เป็น Aminopenicillin ยับยั้ง bacterial cell wall synthesis เป็น first-line สำหรับ uncomplicated bacterial infections (เช่น Strep pharyngitis, AOM, sinusitis)
• ข้อ ค. (Amoxicillin + Metronidazole + Omeprazole for 14 days): เป็น Aminopenicillin ยับยั้ง bacterial cell wall synthesis เป็น first-line สำหรับ uncomplicated bacterial infections (เช่น Strep pharyngitis, AOM, sinusitis)
• ข้อ ง. (จำ choice ไม;ได):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18" t="inlineStr"/>
      <c r="L184" s="18" t="inlineStr">
        <is>
          <t>HIV infection</t>
        </is>
      </c>
      <c r="M184" s="18" t="inlineStr">
        <is>
          <t>Infectious Diseases</t>
        </is>
      </c>
      <c r="N184" s="18" t="inlineStr">
        <is>
          <t>PLE_CC1_2565_Day1_Key ข้อ 28</t>
        </is>
      </c>
      <c r="O184" s="18" t="inlineStr">
        <is>
          <t>ข้อสอบจริง</t>
        </is>
      </c>
      <c r="P184" s="18" t="inlineStr">
        <is>
          <t>ปี 2565</t>
        </is>
      </c>
      <c r="Q184" s="18" t="inlineStr"/>
    </row>
    <row r="185">
      <c r="A185" s="15" t="inlineStr">
        <is>
          <t>184</t>
        </is>
      </c>
      <c r="B185" s="18"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18" t="inlineStr"/>
      <c r="D185" s="18" t="inlineStr">
        <is>
          <t>Atopic dermatitis</t>
        </is>
      </c>
      <c r="E185" s="18" t="inlineStr">
        <is>
          <t>Contact dermatitis</t>
        </is>
      </c>
      <c r="F185" s="18" t="inlineStr">
        <is>
          <t>Scabies</t>
        </is>
      </c>
      <c r="G185" s="18" t="inlineStr">
        <is>
          <t>Pediculosis Pubis</t>
        </is>
      </c>
      <c r="H185" s="18" t="inlineStr">
        <is>
          <t>* จำ choice ไม;ได# *</t>
        </is>
      </c>
      <c r="I185" s="15" t="inlineStr">
        <is>
          <t>1</t>
        </is>
      </c>
      <c r="J185" s="18"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(Atopic dermatitis): ข้อนี้ไม่ใช่คำตอบที่ถูกต้องสำหรับภาวะ HIV infection เนื่องจากกลไกการออกฤทธิ์, efficacy หรือข้อบ่งใช้ไม่ตรงกับโจทย์ที่กำหนด
• ข้อ ค. (Contact dermatitis): ข้อนี้ไม่ใช่คำตอบที่ถูกต้องสำหรับภาวะ HIV infection เนื่องจากกลไกการออกฤทธิ์, efficacy หรือข้อบ่งใช้ไม่ตรงกับโจทย์ที่กำหนด
• ข้อ ง. (Scabies): ข้อนี้ไม่ใช่คำตอบที่ถูกต้องสำหรับภาวะ HIV infection เนื่องจากกลไกการออกฤทธิ์, efficacy หรือข้อบ่งใช้ไม่ตรงกับโจทย์ที่กำหนด
• ข้อ จ. (Pediculosis Pubis):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18" t="inlineStr"/>
      <c r="L185" s="18" t="inlineStr">
        <is>
          <t>HIV infection</t>
        </is>
      </c>
      <c r="M185" s="18" t="inlineStr">
        <is>
          <t>Infectious Diseases</t>
        </is>
      </c>
      <c r="N185" s="18" t="inlineStr">
        <is>
          <t>PLE_CC1_2565_Day1_Key ข้อ 48</t>
        </is>
      </c>
      <c r="O185" s="18" t="inlineStr">
        <is>
          <t>ข้อสอบจริง</t>
        </is>
      </c>
      <c r="P185" s="18" t="inlineStr">
        <is>
          <t>ปี 2565</t>
        </is>
      </c>
      <c r="Q185" s="18" t="inlineStr"/>
    </row>
    <row r="186">
      <c r="A186" s="15" t="inlineStr">
        <is>
          <t>185</t>
        </is>
      </c>
      <c r="B186" s="18" t="inlineStr">
        <is>
          <t>part อื่นๆ PLE-CC1 Preparation 2565</t>
        </is>
      </c>
      <c r="C186" s="18" t="inlineStr"/>
      <c r="D186" s="18" t="inlineStr">
        <is>
          <t>Infectious Diseases</t>
        </is>
      </c>
      <c r="E186" s="18" t="inlineStr">
        <is>
          <t>Nitrofurantoin 100 mg BID</t>
        </is>
      </c>
      <c r="F186" s="18" t="inlineStr">
        <is>
          <t>Tenofovir/Emtricitabine 300/200 mg OD</t>
        </is>
      </c>
      <c r="G186" s="18" t="inlineStr">
        <is>
          <t>Dolutegravir 50 mg OD</t>
        </is>
      </c>
      <c r="H186" s="18" t="inlineStr">
        <is>
          <t>Vancomycin 1 g IV Q12H</t>
        </is>
      </c>
      <c r="I186" s="15" t="inlineStr">
        <is>
          <t>1</t>
        </is>
      </c>
      <c r="J186"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18" t="inlineStr"/>
      <c r="L186" s="18" t="inlineStr">
        <is>
          <t>HIV infection</t>
        </is>
      </c>
      <c r="M186" s="18" t="inlineStr">
        <is>
          <t>Infectious Diseases</t>
        </is>
      </c>
      <c r="N186" s="18" t="inlineStr">
        <is>
          <t>PLE_CC1_2565_Day1_Key ข้อ 20</t>
        </is>
      </c>
      <c r="O186" s="18" t="inlineStr">
        <is>
          <t>ข้อสอบจริง</t>
        </is>
      </c>
      <c r="P186" s="18" t="inlineStr">
        <is>
          <t>ปี 2565</t>
        </is>
      </c>
    </row>
    <row r="187">
      <c r="A187" s="15" t="inlineStr">
        <is>
          <t>186</t>
        </is>
      </c>
      <c r="B187" s="18"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18" t="inlineStr"/>
      <c r="D187" s="18" t="inlineStr">
        <is>
          <t>ยาเปQนรูปแบบ ophthalmic suspension</t>
        </is>
      </c>
      <c r="E187" s="18" t="inlineStr">
        <is>
          <t>ไม-จำเปQนต$องใส- preservative เพราะยาตา sterile อยู-แล$ว</t>
        </is>
      </c>
      <c r="F187" s="18" t="inlineStr">
        <is>
          <t>ต$องปรับ pH ให$เท-ากับน้ำตา คือ pH 7.4</t>
        </is>
      </c>
      <c r="G187" s="18" t="inlineStr">
        <is>
          <t>ต$องปรับ pH 7.4 เพื่อให$เปQน isotonic</t>
        </is>
      </c>
      <c r="H187" s="18" t="inlineStr">
        <is>
          <t>ใช$ NaCl ในการทำให$สารละลายเปQน isotonic solution</t>
        </is>
      </c>
      <c r="I187" s="15" t="inlineStr">
        <is>
          <t>1</t>
        </is>
      </c>
      <c r="J187" s="18"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(ยาเปQนรูปแบบ ophthalmic suspension): ข้อนี้ไม่ใช่คำตอบที่ถูกต้องสำหรับภาวะ HIV infection เนื่องจากกลไกการออกฤทธิ์, efficacy หรือข้อบ่งใช้ไม่ตรงกับโจทย์ที่กำหนด
• ข้อ ค. (ไม-จำเปQนต$องใส- preservative เพราะยาตา sterile อยู-แล$ว): ข้อนี้ไม่ใช่คำตอบที่ถูกต้องสำหรับภาวะ HIV infection เนื่องจากกลไกการออกฤทธิ์, efficacy หรือข้อบ่งใช้ไม่ตรงกับโจทย์ที่กำหนด
• ข้อ ง. (ต$องปรับ pH ให$เท-ากับน้ำตา คือ pH 7.4): ข้อนี้ไม่ใช่คำตอบที่ถูกต้องสำหรับภาวะ HIV infection เนื่องจากกลไกการออกฤทธิ์, efficacy หรือข้อบ่งใช้ไม่ตรงกับโจทย์ที่กำหนด
• ข้อ จ. (ต$องปรับ pH 7.4 เพื่อให$เปQน isotonic):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18" t="inlineStr"/>
      <c r="L187" s="18" t="inlineStr">
        <is>
          <t>HIV infection</t>
        </is>
      </c>
      <c r="M187" s="18" t="inlineStr">
        <is>
          <t>Infectious Diseases</t>
        </is>
      </c>
      <c r="N187" s="18" t="inlineStr">
        <is>
          <t>PLE_CC1_2565_Day2_Key ข้อ 42</t>
        </is>
      </c>
      <c r="O187" s="18" t="inlineStr">
        <is>
          <t>ข้อสอบจริง</t>
        </is>
      </c>
      <c r="P187" s="18" t="inlineStr">
        <is>
          <t>ปี 2565</t>
        </is>
      </c>
      <c r="Q187" s="18" t="inlineStr"/>
    </row>
    <row r="188">
      <c r="A188" s="15" t="inlineStr">
        <is>
          <t>187</t>
        </is>
      </c>
      <c r="B188" s="18" t="inlineStr">
        <is>
          <t>ดื้อยา isoniazid, rifampicin จัดเปQนแบบใด</t>
        </is>
      </c>
      <c r="C188" s="18" t="inlineStr"/>
      <c r="D188" s="18" t="inlineStr">
        <is>
          <t>poly-drug resistance TB</t>
        </is>
      </c>
      <c r="E188" s="18" t="inlineStr">
        <is>
          <t>mono resistance TB</t>
        </is>
      </c>
      <c r="F188" s="18" t="inlineStr">
        <is>
          <t>MDR-TB</t>
        </is>
      </c>
      <c r="G188" s="18" t="inlineStr">
        <is>
          <t>Pre-XDR-TB</t>
        </is>
      </c>
      <c r="H188" s="18" t="inlineStr">
        <is>
          <t>XDR-TB สูตรตำรับ Rifampicin capsule 1.2 g Glycerin PEG 400 Sorbitol solution Ascorbic acid EDTA PLE-CC1 Preparation 2565</t>
        </is>
      </c>
      <c r="I188" s="15" t="inlineStr">
        <is>
          <t>1</t>
        </is>
      </c>
      <c r="J188" s="18"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(poly-drug resistance TB): ข้อนี้ไม่ใช่คำตอบที่ถูกต้องสำหรับภาวะ Tuberculosis เนื่องจากกลไกการออกฤทธิ์, efficacy หรือข้อบ่งใช้ไม่ตรงกับโจทย์ที่กำหนด
• ข้อ ค. (mono resistance TB): ข้อนี้ไม่ใช่คำตอบที่ถูกต้องสำหรับภาวะ Tuberculosis เนื่องจากกลไกการออกฤทธิ์, efficacy หรือข้อบ่งใช้ไม่ตรงกับโจทย์ที่กำหนด
• ข้อ ง. (MDR-TB): ข้อนี้ไม่ใช่คำตอบที่ถูกต้องสำหรับภาวะ Tuberculosis เนื่องจากกลไกการออกฤทธิ์, efficacy หรือข้อบ่งใช้ไม่ตรงกับโจทย์ที่กำหนด
• ข้อ จ. (Pre-XDR-TB):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18" t="inlineStr"/>
      <c r="L188" s="18" t="inlineStr">
        <is>
          <t>Tuberculosis</t>
        </is>
      </c>
      <c r="M188" s="18" t="inlineStr">
        <is>
          <t>Infectious Diseases</t>
        </is>
      </c>
      <c r="N188" s="18" t="inlineStr">
        <is>
          <t>PLE_CC1_2565_Day2_Key ข้อ 55</t>
        </is>
      </c>
      <c r="O188" s="18" t="inlineStr">
        <is>
          <t>ข้อสอบจริง</t>
        </is>
      </c>
      <c r="P188" s="18" t="inlineStr">
        <is>
          <t>ปี 2565</t>
        </is>
      </c>
      <c r="Q188" s="18" t="inlineStr"/>
    </row>
    <row r="189">
      <c r="A189" s="15" t="inlineStr">
        <is>
          <t>188</t>
        </is>
      </c>
      <c r="B189" s="18" t="inlineStr">
        <is>
          <t>ผู$ป&amp;วยควรได$รับยาต$านวัณโรคสูตรใดเปQนทางเลือกแรก ………………………………………………………………………………………………………………………………………………………… …………………………………………………………………………………………………………………………………………………………..</t>
        </is>
      </c>
      <c r="C189" s="18" t="inlineStr"/>
      <c r="D189" s="18" t="inlineStr">
        <is>
          <t>Infectious Diseases</t>
        </is>
      </c>
      <c r="E189" s="18" t="inlineStr">
        <is>
          <t>Azithromycin 500 mg OD</t>
        </is>
      </c>
      <c r="F189" s="18" t="inlineStr">
        <is>
          <t>Doxycycline 100 mg BID</t>
        </is>
      </c>
      <c r="G189" s="18" t="inlineStr">
        <is>
          <t>Cotrimoxazole 160/800 mg BID</t>
        </is>
      </c>
      <c r="H189" s="18" t="inlineStr">
        <is>
          <t>Metronidazole 400 mg TID</t>
        </is>
      </c>
      <c r="I189" s="15" t="inlineStr">
        <is>
          <t>1</t>
        </is>
      </c>
      <c r="J189" s="1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18" t="inlineStr"/>
      <c r="L189" s="18" t="inlineStr">
        <is>
          <t>Tuberculosis</t>
        </is>
      </c>
      <c r="M189" s="18" t="inlineStr">
        <is>
          <t>Infectious Diseases</t>
        </is>
      </c>
      <c r="N189" s="18" t="inlineStr">
        <is>
          <t>PLE_CC1_2565_Day2_Key ข้อ 48</t>
        </is>
      </c>
      <c r="O189" s="18" t="inlineStr">
        <is>
          <t>ข้อสอบจริง</t>
        </is>
      </c>
      <c r="P189" s="18" t="inlineStr">
        <is>
          <t>ปี 2565</t>
        </is>
      </c>
    </row>
    <row r="190">
      <c r="A190" s="15" t="inlineStr">
        <is>
          <t>189</t>
        </is>
      </c>
      <c r="B190" s="18" t="inlineStr">
        <is>
          <t>เกี่ยวกับติดเชื้อราในช-องคลอด ข$อใดเหมาะสมที่จะแนะนำในการใช$ยากับผู$ป&amp;วยรายนี้ STI management guideline 2024 Vaginal candidiasis</t>
        </is>
      </c>
      <c r="C190" s="18" t="inlineStr"/>
      <c r="D190" s="18" t="inlineStr">
        <is>
          <t>ให$ใช$ clotrimazole เหน็บร-วมด$วย</t>
        </is>
      </c>
      <c r="E190" s="18" t="inlineStr">
        <is>
          <t>ดื่มน้ำ cranberry เพื่อป¢องกันการกลับเปQนซ้ำ</t>
        </is>
      </c>
      <c r="F190" s="18" t="inlineStr">
        <is>
          <t>หลีกเลี่ยงการมีเพศสัมพันธ6 จนกว-าตกขาวจะหาย</t>
        </is>
      </c>
      <c r="G190" s="18" t="inlineStr">
        <is>
          <t>ให$สวนล$างช-องคลอดด$วย lactic acid เพื่อป¢องกันการกลับมาเปQนซ้ำ</t>
        </is>
      </c>
      <c r="H190" s="18" t="inlineStr">
        <is>
          <t>หลีกเลี่ยงการกินยาร-วมกับนมหรือยาลดกรด</t>
        </is>
      </c>
      <c r="I190" s="15" t="inlineStr">
        <is>
          <t>1</t>
        </is>
      </c>
      <c r="J190" s="18"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(ให$ใช$ clotrimazole เหน็บร-วมด$วย): ข้อนี้ไม่ใช่คำตอบที่ถูกต้องสำหรับภาวะ HIV infection เนื่องจากกลไกการออกฤทธิ์, efficacy หรือข้อบ่งใช้ไม่ตรงกับโจทย์ที่กำหนด
• ข้อ ค. (ดื่มน้ำ cranberry เพื่อป¢องกันการกลับเปQนซ้ำ): ข้อนี้ไม่ใช่คำตอบที่ถูกต้องสำหรับภาวะ HIV infection เนื่องจากกลไกการออกฤทธิ์, efficacy หรือข้อบ่งใช้ไม่ตรงกับโจทย์ที่กำหนด
• ข้อ ง. (หลีกเลี่ยงการมีเพศสัมพันธ6 จนกว-าตกขาวจะหาย): ข้อนี้ไม่ใช่คำตอบที่ถูกต้องสำหรับภาวะ HIV infection เนื่องจากกลไกการออกฤทธิ์, efficacy หรือข้อบ่งใช้ไม่ตรงกับโจทย์ที่กำหนด
• ข้อ จ. (ให$สวนล$างช-องคลอดด$วย lactic acid เพื่อป¢องกันการกลับมาเปQนซ้ำ):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18" t="inlineStr"/>
      <c r="L190" s="18" t="inlineStr">
        <is>
          <t>HIV infection</t>
        </is>
      </c>
      <c r="M190" s="18" t="inlineStr">
        <is>
          <t>Infectious Diseases</t>
        </is>
      </c>
      <c r="N190" s="18" t="inlineStr">
        <is>
          <t>PLE_CC1_2565_Day2_Key ข้อ 63</t>
        </is>
      </c>
      <c r="O190" s="18" t="inlineStr">
        <is>
          <t>ข้อสอบจริง</t>
        </is>
      </c>
      <c r="P190" s="18" t="inlineStr">
        <is>
          <t>ปี 2565</t>
        </is>
      </c>
      <c r="Q190" s="18" t="inlineStr"/>
    </row>
    <row r="191">
      <c r="A191" s="15" t="inlineStr">
        <is>
          <t>190</t>
        </is>
      </c>
      <c r="B191" s="18"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18" t="inlineStr"/>
      <c r="D191" s="18" t="inlineStr">
        <is>
          <t>ขายยาปลอม</t>
        </is>
      </c>
      <c r="E191" s="18" t="inlineStr">
        <is>
          <t>ขายยาผิดมาตรฐาน</t>
        </is>
      </c>
      <c r="F191" s="18" t="inlineStr">
        <is>
          <t>ไม-ควบคุมการขายให$เปQนไปตาม....</t>
        </is>
      </c>
      <c r="G191" s="18" t="inlineStr">
        <is>
          <t>จำ choice ไม-ได$</t>
        </is>
      </c>
      <c r="H191" s="18" t="inlineStr">
        <is>
          <t>* จำ choice ไม-ได$ *</t>
        </is>
      </c>
      <c r="I191" s="15" t="inlineStr">
        <is>
          <t>1</t>
        </is>
      </c>
      <c r="J191" s="18"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(ขายยาปลอม): ข้อนี้ไม่ใช่คำตอบที่ถูกต้องสำหรับภาวะ HIV infection เนื่องจากกลไกการออกฤทธิ์, efficacy หรือข้อบ่งใช้ไม่ตรงกับโจทย์ที่กำหนด
• ข้อ ค. (ขายยาผิดมาตรฐาน): ข้อนี้ไม่ใช่คำตอบที่ถูกต้องสำหรับภาวะ HIV infection เนื่องจากกลไกการออกฤทธิ์, efficacy หรือข้อบ่งใช้ไม่ตรงกับโจทย์ที่กำหนด
• ข้อ ง. (ไม-ควบคุมการขายให$เปQนไปตาม....):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18" t="inlineStr"/>
      <c r="L191" s="18" t="inlineStr">
        <is>
          <t>HIV infection</t>
        </is>
      </c>
      <c r="M191" s="18" t="inlineStr">
        <is>
          <t>Infectious Diseases</t>
        </is>
      </c>
      <c r="N191" s="18" t="inlineStr">
        <is>
          <t>PLE_CC1_2565_Day2_Key ข้อ 64</t>
        </is>
      </c>
      <c r="O191" s="18" t="inlineStr">
        <is>
          <t>ข้อสอบจริง</t>
        </is>
      </c>
      <c r="P191" s="18" t="inlineStr">
        <is>
          <t>ปี 2565</t>
        </is>
      </c>
      <c r="Q191" s="18" t="inlineStr"/>
    </row>
    <row r="192">
      <c r="A192" s="15" t="inlineStr">
        <is>
          <t>191</t>
        </is>
      </c>
      <c r="B192" s="18" t="inlineStr">
        <is>
          <t>TB 2 เคส (เคสนึงเริ่มยาสูตรไหน อีก เคสเปsนผื่นแพuยา)</t>
        </is>
      </c>
      <c r="C192" s="18" t="inlineStr"/>
      <c r="D192" s="18" t="inlineStr">
        <is>
          <t>Infectious Diseases</t>
        </is>
      </c>
      <c r="E192" s="18" t="inlineStr">
        <is>
          <t>Cefazolin 1 g IV Q8H</t>
        </is>
      </c>
      <c r="F192" s="18" t="inlineStr">
        <is>
          <t>Amoxicillin/Clavulanate 1 g BID</t>
        </is>
      </c>
      <c r="G192" s="18" t="inlineStr">
        <is>
          <t>Ceftriaxone 1 g IV OD</t>
        </is>
      </c>
      <c r="H192" s="18" t="inlineStr">
        <is>
          <t>Ciprofloxacin 500 mg BID</t>
        </is>
      </c>
      <c r="I192" s="15" t="inlineStr">
        <is>
          <t>1</t>
        </is>
      </c>
      <c r="J192" s="1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18" t="inlineStr"/>
      <c r="L192" s="18" t="inlineStr">
        <is>
          <t>Tuberculosis</t>
        </is>
      </c>
      <c r="M192" s="18" t="inlineStr">
        <is>
          <t>Infectious Diseases</t>
        </is>
      </c>
      <c r="N192" s="18" t="inlineStr">
        <is>
          <t>PLE_CC1_2565_Day2_Key ข้อ 16</t>
        </is>
      </c>
      <c r="O192" s="18" t="inlineStr">
        <is>
          <t>ข้อสอบจริง</t>
        </is>
      </c>
      <c r="P192" s="18" t="inlineStr">
        <is>
          <t>ปี 2565</t>
        </is>
      </c>
    </row>
    <row r="193">
      <c r="A193" s="15" t="inlineStr">
        <is>
          <t>194</t>
        </is>
      </c>
      <c r="B193" s="18"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18" t="inlineStr"/>
      <c r="D193" s="18" t="inlineStr">
        <is>
          <t>Infectious Diseases</t>
        </is>
      </c>
      <c r="E193" s="18" t="inlineStr">
        <is>
          <t>เหมาะสม</t>
        </is>
      </c>
      <c r="F193" s="18" t="inlineStr">
        <is>
          <t>ไม่เหมาะสม ควรใช้ HRZES</t>
        </is>
      </c>
      <c r="G193" s="18"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18" t="inlineStr">
        <is>
          <t>Meropenem 1 g IV Q8H</t>
        </is>
      </c>
      <c r="I193" s="15" t="inlineStr">
        <is>
          <t>1</t>
        </is>
      </c>
      <c r="J193" s="1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ข้อนี้ไม่ใช่คำตอบที่ถูกต้องสำหรับภาวะ Tuberculosis เนื่องจากกลไกการออกฤทธิ์, efficacy หรือข้อบ่งใช้ไม่ตรงกับโจทย์ที่กำหนด
• ข้อ ค. (ไม่เหมาะสม ควรใช้ HRZES): ข้อนี้ไม่ใช่คำตอบที่ถูกต้องสำหรับภาวะ Tuberculosis เนื่องจากกลไกการออกฤทธิ์, efficacy หรือข้อบ่งใช้ไม่ตรงกับโจทย์ที่กำหนด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เป็น Respiratory Fluoroquinolone ครอบคลุมทั้ง Streptococcus pneumoniae, atypicals และ Pseudomonas aeruginosa ใช้รักษา CAP, complicated UTI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18" t="inlineStr"/>
      <c r="L193" s="18" t="inlineStr">
        <is>
          <t>Tuberculosis</t>
        </is>
      </c>
      <c r="M193" s="18" t="inlineStr">
        <is>
          <t>Infectious Diseases</t>
        </is>
      </c>
      <c r="N193" s="18" t="inlineStr">
        <is>
          <t>PLE_CC1_2564_All_Key ข้อ 47</t>
        </is>
      </c>
      <c r="O193" s="18" t="inlineStr">
        <is>
          <t>ข้อสอบจริง</t>
        </is>
      </c>
      <c r="P193" s="18" t="inlineStr">
        <is>
          <t>ปี 2564</t>
        </is>
      </c>
    </row>
    <row r="194">
      <c r="A194" s="15" t="inlineStr">
        <is>
          <t>195</t>
        </is>
      </c>
      <c r="B194" s="18" t="inlineStr">
        <is>
          <t>ถ้าจะเพิ่ม compliance ให้ผู้ป่วย TB ที่ใช้ยา 4 ตัว ข้อใดไม่ควรทำที่สุด</t>
        </is>
      </c>
      <c r="C194" s="18" t="inlineStr"/>
      <c r="D194" s="18" t="inlineStr">
        <is>
          <t>Infectious Diseases</t>
        </is>
      </c>
      <c r="E194" s="18" t="inlineStr">
        <is>
          <t>ตอกยา 4 ชั้น</t>
        </is>
      </c>
      <c r="F194" s="18" t="inlineStr">
        <is>
          <t>ทำเป็นเคลือบให้ยาปลดปล่อยมาทีละชั้น</t>
        </is>
      </c>
      <c r="G194" s="18"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18" t="inlineStr">
        <is>
          <t>Ceftriaxone 1 g IV OD</t>
        </is>
      </c>
      <c r="I194" s="15" t="inlineStr">
        <is>
          <t>1</t>
        </is>
      </c>
      <c r="J194" s="1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ข้อนี้ไม่ใช่คำตอบที่ถูกต้องสำหรับภาวะ Tuberculosis เนื่องจากกลไกการออกฤทธิ์, efficacy หรือข้อบ่งใช้ไม่ตรงกับโจทย์ที่กำหนด
• ข้อ ค. (ทำเป็นเคลือบให้ยาปลดปล่อยมาทีละชั้น): ข้อนี้ไม่ใช่คำตอบที่ถูกต้องสำหรับภาวะ Tuberculosis เนื่องจากกลไกการออกฤทธิ์, efficacy หรือข้อบ่งใช้ไม่ตรงกับโจทย์ที่กำหนด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ข้อนี้ไม่ใช่คำตอบที่ถูกต้องสำหรับภาวะ Tuberculosis เนื่องจากกลไกการออกฤทธิ์, efficacy หรือข้อบ่งใช้ไม่ตรงกับโจทย์ที่กำหนด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18" t="inlineStr"/>
      <c r="L194" s="18" t="inlineStr">
        <is>
          <t>Tuberculosis</t>
        </is>
      </c>
      <c r="M194" s="18" t="inlineStr">
        <is>
          <t>Infectious Diseases</t>
        </is>
      </c>
      <c r="N194" s="18" t="inlineStr">
        <is>
          <t>PLE_CC1_2564_All_Key ข้อ 49</t>
        </is>
      </c>
      <c r="O194" s="18" t="inlineStr">
        <is>
          <t>ข้อสอบจริง</t>
        </is>
      </c>
      <c r="P194" s="18" t="inlineStr">
        <is>
          <t>ปี 2564</t>
        </is>
      </c>
    </row>
    <row r="195">
      <c r="A195" s="15" t="inlineStr">
        <is>
          <t>197</t>
        </is>
      </c>
      <c r="B195" s="18" t="inlineStr">
        <is>
          <t>ข้อใดต่อไปนี้ผิดเกี่ยวกับการใช้ยารักษาโรค TB (ถามเกี่ยวกับอาการข้างเคียงของยาที่ควรรีบไปพบแพทย์)</t>
        </is>
      </c>
      <c r="C195" s="18" t="inlineStr"/>
      <c r="D195" s="18" t="inlineStr">
        <is>
          <t>Infectious Diseases</t>
        </is>
      </c>
      <c r="E195" s="18" t="inlineStr">
        <is>
          <t>มีอาการทางตาให้รีบไปพบแพทย์</t>
        </is>
      </c>
      <c r="F195" s="18" t="inlineStr">
        <is>
          <t>คลื่นไส้ อาเจียน เบื่ออาหาร มีไข้ ให้รีบไปพบแพทย์</t>
        </is>
      </c>
      <c r="G195" s="18"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18" t="inlineStr">
        <is>
          <t>Nitrofurantoin 100 mg BID</t>
        </is>
      </c>
      <c r="I195" s="15" t="inlineStr">
        <is>
          <t>1</t>
        </is>
      </c>
      <c r="J195" s="1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ข้อนี้ไม่ใช่คำตอบที่ถูกต้องสำหรับภาวะ Tuberculosis เนื่องจากกลไกการออกฤทธิ์, efficacy หรือข้อบ่งใช้ไม่ตรงกับโจทย์ที่กำหนด
• ข้อ ค. (คลื่นไส้ อาเจียน เบื่ออาหาร มีไข้ ให้รีบไปพบแพทย์): ข้อนี้ไม่ใช่คำตอบที่ถูกต้องสำหรับภาวะ Tuberculosis เนื่องจากกลไกการออกฤทธิ์, efficacy หรือข้อบ่งใช้ไม่ตรงกับโจทย์ที่กำหนด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ข้อนี้ไม่ใช่คำตอบที่ถูกต้องสำหรับภาวะ Tuberculosis เนื่องจากกลไกการออกฤทธิ์, efficacy หรือข้อบ่งใช้ไม่ตรงกับโจทย์ที่กำหนด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18" t="inlineStr"/>
      <c r="L195" s="18" t="inlineStr">
        <is>
          <t>Tuberculosis</t>
        </is>
      </c>
      <c r="M195" s="18" t="inlineStr">
        <is>
          <t>Infectious Diseases</t>
        </is>
      </c>
      <c r="N195" s="18" t="inlineStr">
        <is>
          <t>PLE_CC1_2564_All_Key ข้อ 48</t>
        </is>
      </c>
      <c r="O195" s="18" t="inlineStr">
        <is>
          <t>ข้อสอบจริง</t>
        </is>
      </c>
      <c r="P195" s="18" t="inlineStr">
        <is>
          <t>ปี 2564</t>
        </is>
      </c>
    </row>
    <row r="196">
      <c r="A196" s="15" t="inlineStr">
        <is>
          <t>198</t>
        </is>
      </c>
      <c r="B196" s="18"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18" t="inlineStr"/>
      <c r="D196" s="18" t="inlineStr">
        <is>
          <t>Infectious Diseases</t>
        </is>
      </c>
      <c r="E196" s="18" t="inlineStr">
        <is>
          <t>Nitrofurantoin 100 mg BID</t>
        </is>
      </c>
      <c r="F196" s="18" t="inlineStr">
        <is>
          <t>Tenofovir/Emtricitabine 300/200 mg OD</t>
        </is>
      </c>
      <c r="G196" s="18" t="inlineStr">
        <is>
          <t>Dolutegravir 50 mg OD</t>
        </is>
      </c>
      <c r="H196" s="18" t="inlineStr">
        <is>
          <t>Vancomycin 1 g IV Q12H</t>
        </is>
      </c>
      <c r="I196" s="15" t="inlineStr">
        <is>
          <t>1</t>
        </is>
      </c>
      <c r="J196"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18" t="inlineStr"/>
      <c r="L196" s="18" t="inlineStr">
        <is>
          <t>HIV infection</t>
        </is>
      </c>
      <c r="M196" s="18" t="inlineStr">
        <is>
          <t>Infectious Diseases</t>
        </is>
      </c>
      <c r="N196" s="18" t="inlineStr">
        <is>
          <t>PLE_CC1_2564_All_Key ข้อ 75</t>
        </is>
      </c>
      <c r="O196" s="18" t="inlineStr">
        <is>
          <t>ข้อสอบจริง</t>
        </is>
      </c>
      <c r="P196" s="18" t="inlineStr">
        <is>
          <t>ปี 2564</t>
        </is>
      </c>
    </row>
    <row r="197">
      <c r="A197" s="15" t="inlineStr">
        <is>
          <t>199</t>
        </is>
      </c>
      <c r="B197" s="18"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18" t="inlineStr"/>
      <c r="D197" s="18" t="inlineStr">
        <is>
          <t>Infectious Diseases</t>
        </is>
      </c>
      <c r="E197" s="18" t="inlineStr">
        <is>
          <t>Vancomycin 1 g IV Q12H</t>
        </is>
      </c>
      <c r="F197" s="18" t="inlineStr">
        <is>
          <t>Meropenem 1 g IV Q8H</t>
        </is>
      </c>
      <c r="G197" s="18" t="inlineStr">
        <is>
          <t>Cefazolin 1 g IV Q8H</t>
        </is>
      </c>
      <c r="H197" s="18" t="inlineStr">
        <is>
          <t>Amoxicillin/Clavulanate 1 g BID</t>
        </is>
      </c>
      <c r="I197" s="15" t="inlineStr">
        <is>
          <t>1</t>
        </is>
      </c>
      <c r="J197" s="1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18" t="inlineStr"/>
      <c r="L197" s="18" t="inlineStr">
        <is>
          <t>HIV infection</t>
        </is>
      </c>
      <c r="M197" s="18" t="inlineStr">
        <is>
          <t>Infectious Diseases</t>
        </is>
      </c>
      <c r="N197" s="18" t="inlineStr">
        <is>
          <t>PLE_CC1_2564_All_Key ข้อ 76</t>
        </is>
      </c>
      <c r="O197" s="18" t="inlineStr">
        <is>
          <t>ข้อสอบจริง</t>
        </is>
      </c>
      <c r="P197" s="18" t="inlineStr">
        <is>
          <t>ปี 2564</t>
        </is>
      </c>
    </row>
    <row r="198">
      <c r="A198" s="15" t="inlineStr">
        <is>
          <t>200</t>
        </is>
      </c>
      <c r="B198" s="18" t="inlineStr">
        <is>
          <t>แผลแบบใดไม่ควรให้ยา ATB</t>
        </is>
      </c>
      <c r="C198" s="18" t="inlineStr"/>
      <c r="D198" s="18" t="inlineStr">
        <is>
          <t>แผลเปิดขอบเรียบตื้นที่แขน 3 cm</t>
        </is>
      </c>
      <c r="E198" s="18" t="inlineStr">
        <is>
          <t>แผลเปิดขอบเรียบที่ท้อง 3 cm</t>
        </is>
      </c>
      <c r="F198" s="18" t="inlineStr">
        <is>
          <t>แผลเปิดขอบเรียบที่ต้นขา 10 cm</t>
        </is>
      </c>
      <c r="G198" s="18" t="inlineStr">
        <is>
          <t>แผลขอบหยักเลอะดิน</t>
        </is>
      </c>
      <c r="H198" s="18" t="inlineStr">
        <is>
          <t>แผลโดนกัด</t>
        </is>
      </c>
      <c r="I198" s="15" t="inlineStr">
        <is>
          <t>1</t>
        </is>
      </c>
      <c r="J198" s="18"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(แผลเปิดขอบเรียบตื้นที่แขน 3 cm): ข้อนี้ไม่ใช่คำตอบที่ถูกต้องสำหรับภาวะ Tuberculosis เนื่องจากกลไกการออกฤทธิ์, efficacy หรือข้อบ่งใช้ไม่ตรงกับโจทย์ที่กำหนด
• ข้อ ค. (แผลเปิดขอบเรียบที่ท้อง 3 cm): ข้อนี้ไม่ใช่คำตอบที่ถูกต้องสำหรับภาวะ Tuberculosis เนื่องจากกลไกการออกฤทธิ์, efficacy หรือข้อบ่งใช้ไม่ตรงกับโจทย์ที่กำหนด
• ข้อ ง. (แผลเปิดขอบเรียบที่ต้นขา 10 cm): ข้อนี้ไม่ใช่คำตอบที่ถูกต้องสำหรับภาวะ Tuberculosis เนื่องจากกลไกการออกฤทธิ์, efficacy หรือข้อบ่งใช้ไม่ตรงกับโจทย์ที่กำหนด
• ข้อ จ. (แผลขอบหยักเลอะดิน):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18" t="inlineStr"/>
      <c r="L198" s="18" t="inlineStr">
        <is>
          <t>Tuberculosis</t>
        </is>
      </c>
      <c r="M198" s="18" t="inlineStr">
        <is>
          <t>Infectious Diseases</t>
        </is>
      </c>
      <c r="N198" s="18" t="inlineStr">
        <is>
          <t>PLE_CC1_2564_All_Key ข้อ 89</t>
        </is>
      </c>
      <c r="O198" s="18" t="inlineStr">
        <is>
          <t>ข้อสอบจริง</t>
        </is>
      </c>
      <c r="P198" s="18" t="inlineStr">
        <is>
          <t>ปี 2564</t>
        </is>
      </c>
      <c r="Q198" s="18" t="inlineStr"/>
    </row>
    <row r="199">
      <c r="A199" s="15" t="inlineStr">
        <is>
          <t>200</t>
        </is>
      </c>
      <c r="B199" s="18" t="inlineStr">
        <is>
          <t>ผู้ป่วยติดเชื้อใด</t>
        </is>
      </c>
      <c r="C199" s="18" t="inlineStr"/>
      <c r="D199" s="18" t="inlineStr">
        <is>
          <t>E.coli</t>
        </is>
      </c>
      <c r="E199" s="18" t="inlineStr">
        <is>
          <t>Neissera gonorrhea</t>
        </is>
      </c>
      <c r="F199" s="18" t="inlineStr">
        <is>
          <t>Hemophilus ducreyi</t>
        </is>
      </c>
      <c r="G199" s="18" t="inlineStr">
        <is>
          <t>Trichomomas vaginalis</t>
        </is>
      </c>
      <c r="H199" s="18" t="inlineStr">
        <is>
          <t>Herpes simplex type 2 X หË´มนาÆปทาซËาทืกกรณิ ÂวËนาต้จ²ÆดËรงบ¯นืญ´ต ceftriaxone 500 mg IM single dose + Suziabespie and (azithromycin 1g single dose</t>
        </is>
      </c>
      <c r="I199" s="15" t="inlineStr">
        <is>
          <t>1</t>
        </is>
      </c>
      <c r="J199" s="18"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ข้อนี้ไม่ใช่คำตอบที่ถูกต้องสำหรับภาวะ HIV infection เนื่องจากกลไกการออกฤทธิ์, efficacy หรือข้อบ่งใช้ไม่ตรงกับโจทย์ที่กำหนด
• ข้อ ค. (Hemophilus ducreyi): ข้อนี้ไม่ใช่คำตอบที่ถูกต้องสำหรับภาวะ HIV infection เนื่องจากกลไกการออกฤทธิ์, efficacy หรือข้อบ่งใช้ไม่ตรงกับโจทย์ที่กำหนด
• ข้อ ง. (Trichomomas vaginalis): ข้อนี้ไม่ใช่คำตอบที่ถูกต้องสำหรับภาวะ HIV infection เนื่องจากกลไกการออกฤทธิ์, efficacy หรือข้อบ่งใช้ไม่ตรงกับโจทย์ที่กำหนด
• ข้อ จ. (Herpes simplex type 2 X หË´มนาÆปทาซËาทืกกรณิ ÂวËนาต้จ²ÆดËรงบ¯นืญ´ต ceftriaxone 500 mg IM single dose + Suziabespie and (azithromycin 1g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18" t="inlineStr"/>
      <c r="L199" s="18" t="inlineStr">
        <is>
          <t>HIV infection</t>
        </is>
      </c>
      <c r="M199" s="18" t="inlineStr">
        <is>
          <t>Clinic</t>
        </is>
      </c>
      <c r="N199" s="18" t="inlineStr">
        <is>
          <t>ข้อ 44 (PLE_CC1_2562_Key.md)</t>
        </is>
      </c>
      <c r="O199" s="18" t="inlineStr">
        <is>
          <t>ข้อสอบจริง</t>
        </is>
      </c>
      <c r="P199" s="18" t="inlineStr">
        <is>
          <t>ปี 2562</t>
        </is>
      </c>
    </row>
    <row r="200">
      <c r="A200" s="15" t="inlineStr">
        <is>
          <t>201</t>
        </is>
      </c>
      <c r="B200" s="18" t="inlineStr">
        <is>
          <t>การตรวจทางห้องปฏิบัติการใดมีเหมาะสมน้อยที่สุด , mossae X veudigerdesi ิg , netstarrine Gi , UTI motigino. isg &amp;IsGase!wrose God virus interne Distants erew we multi nucleated</t>
        </is>
      </c>
      <c r="C200" s="18" t="inlineStr"/>
      <c r="D200" s="18" t="inlineStr">
        <is>
          <t>Giemza stain</t>
        </is>
      </c>
      <c r="E200" s="18" t="inlineStr">
        <is>
          <t>Dark field</t>
        </is>
      </c>
      <c r="F200" s="18" t="inlineStr">
        <is>
          <t>Gram strain and culture</t>
        </is>
      </c>
      <c r="G200" s="18" t="inlineStr">
        <is>
          <t>RPR</t>
        </is>
      </c>
      <c r="H200" s="18" t="inlineStr">
        <is>
          <t>VDRL</t>
        </is>
      </c>
      <c r="I200" s="15" t="inlineStr">
        <is>
          <t>1</t>
        </is>
      </c>
      <c r="J200" s="18"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ข้อนี้ไม่ใช่คำตอบที่ถูกต้องสำหรับภาวะ Cystitis เนื่องจากกลไกการออกฤทธิ์, efficacy หรือข้อบ่งใช้ไม่ตรงกับโจทย์ที่กำหนด
• ข้อ ค. (Gram strain and culture): ข้อนี้ไม่ใช่คำตอบที่ถูกต้องสำหรับภาวะ Cystitis เนื่องจากกลไกการออกฤทธิ์, efficacy หรือข้อบ่งใช้ไม่ตรงกับโจทย์ที่กำหนด
• ข้อ ง. (RPR): ข้อนี้ไม่ใช่คำตอบที่ถูกต้องสำหรับภาวะ Cystitis เนื่องจากกลไกการออกฤทธิ์, efficacy หรือข้อบ่งใช้ไม่ตรงกับโจทย์ที่กำหนด
• ข้อ จ. (VDRL):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18" t="inlineStr"/>
      <c r="L200" s="18" t="inlineStr">
        <is>
          <t>Cystitis</t>
        </is>
      </c>
      <c r="M200" s="18" t="inlineStr">
        <is>
          <t>Clinic</t>
        </is>
      </c>
      <c r="N200" s="18" t="inlineStr">
        <is>
          <t>ข้อ 47 (PLE_CC1_2562_Key.md)</t>
        </is>
      </c>
      <c r="O200" s="18" t="inlineStr">
        <is>
          <t>ข้อสอบจริง</t>
        </is>
      </c>
      <c r="P200" s="18" t="inlineStr">
        <is>
          <t>ปี 2562</t>
        </is>
      </c>
    </row>
    <row r="201">
      <c r="A201" s="15" t="inlineStr">
        <is>
          <t>202</t>
        </is>
      </c>
      <c r="B201" s="18" t="inlineStr">
        <is>
          <t>หากผู้ป่วยต้องการป้องกันการติดเชื้อ HIV (Prep prophylaxis) ควรได้รับยาสูตรใด giant cell virox drei (WBC verepent ~ I</t>
        </is>
      </c>
      <c r="C201" s="18" t="inlineStr"/>
      <c r="D201" s="18" t="inlineStr">
        <is>
          <t>AZT monotherapy</t>
        </is>
      </c>
      <c r="E201" s="18" t="inlineStr">
        <is>
          <t>AZT+3TC</t>
        </is>
      </c>
      <c r="F201" s="18" t="inlineStr">
        <is>
          <t>TDF+FTC</t>
        </is>
      </c>
      <c r="G201" s="18" t="inlineStr">
        <is>
          <t>TDF+3TC+EFV</t>
        </is>
      </c>
      <c r="H201" s="18" t="inlineStr">
        <is>
          <t>d4T+3TC+NVP</t>
        </is>
      </c>
      <c r="I201" s="15" t="inlineStr">
        <is>
          <t>1</t>
        </is>
      </c>
      <c r="J201" s="18"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ข้อนี้ไม่ใช่คำตอบที่ถูกต้องสำหรับภาวะ HIV infection เนื่องจากกลไกการออกฤทธิ์, efficacy หรือข้อบ่งใช้ไม่ตรงกับโจทย์ที่กำหนด
• ข้อ ค. (TDF+FTC): ข้อนี้ไม่ใช่คำตอบที่ถูกต้องสำหรับภาวะ HIV infection เนื่องจากกลไกการออกฤทธิ์, efficacy หรือข้อบ่งใช้ไม่ตรงกับโจทย์ที่กำหนด
• ข้อ ง. (TDF+3TC+EFV): ข้อนี้ไม่ใช่คำตอบที่ถูกต้องสำหรับภาวะ HIV infection เนื่องจากกลไกการออกฤทธิ์, efficacy หรือข้อบ่งใช้ไม่ตรงกับโจทย์ที่กำหนด
• ข้อ จ. (d4T+3TC+NVP):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18" t="inlineStr"/>
      <c r="L201" s="18" t="inlineStr">
        <is>
          <t>HIV infection</t>
        </is>
      </c>
      <c r="M201" s="18" t="inlineStr">
        <is>
          <t>Clinic</t>
        </is>
      </c>
      <c r="N201" s="18" t="inlineStr">
        <is>
          <t>ข้อ 48 (PLE_CC1_2562_Key.md)</t>
        </is>
      </c>
      <c r="O201" s="18" t="inlineStr">
        <is>
          <t>ข้อสอบจริง</t>
        </is>
      </c>
      <c r="P201" s="18" t="inlineStr">
        <is>
          <t>ปี 2562</t>
        </is>
      </c>
    </row>
    <row r="202">
      <c r="A202" s="15" t="inlineStr">
        <is>
          <t>203</t>
        </is>
      </c>
      <c r="B202" s="18" t="inlineStr">
        <is>
          <t>ควรจัดการ การให้ยาอย่างไรกับผู้ป่วย x Tumogross hs isoniazid X X isoniazid X &amp;eied's extensive phase I, R 41862 intensive phase : I , R, ~ 56 Ecwiddie . X --- 1s</t>
        </is>
      </c>
      <c r="C202" s="18" t="inlineStr"/>
      <c r="D202" s="18" t="inlineStr">
        <is>
          <t>ให้ยาทุกตัวเหมือนเดิม</t>
        </is>
      </c>
      <c r="E202" s="18" t="inlineStr">
        <is>
          <t>หยุดยา H,R,Z แล้วไปให้ยาตัวอื่นที่ไม่เกิดอาการไม่พึงประสงค์นี้แทน</t>
        </is>
      </c>
      <c r="F202" s="18" t="inlineStr">
        <is>
          <t>หยุดยา H แล้วไปให้ยาตัวอื่นที่ไม่เกิดอาการไม่พึงประสงค์นี้แทน</t>
        </is>
      </c>
      <c r="G202" s="18" t="inlineStr">
        <is>
          <t>หยุดยา R แล้วไปให้ยาตัวอื่นที่ไม่เกิดอาการไม่พึงประสงค์นี้แทน</t>
        </is>
      </c>
      <c r="H202" s="18" t="inlineStr">
        <is>
          <t>หยุดยา E แล้วไปให้ยาตัวอื่นที่ไม่เกิดอาการไม่พึงประสงค์นี้แทน หË´มนาÆปทาซËาทืกกรณิ ÂวËนาต้จ²ÆดËรงบ¯นืญ´ต ~</t>
        </is>
      </c>
      <c r="I202" s="15" t="inlineStr">
        <is>
          <t>1</t>
        </is>
      </c>
      <c r="J202" s="18"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ค. (หยุดยา H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ง. (หยุดยา R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จ. (หยุดยา E แล้วไปให้ยาตัวอื่นที่ไม่เกิดอาการไม่พึงประสงค์นี้แทน หË´มนาÆปทาซËาทืกกรณิ ÂวËนาต้จ²ÆดËรงบ¯นืญ´ต ~):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18" t="inlineStr"/>
      <c r="L202" s="18" t="inlineStr">
        <is>
          <t>Tuberculosis</t>
        </is>
      </c>
      <c r="M202" s="18" t="inlineStr">
        <is>
          <t>Clinic</t>
        </is>
      </c>
      <c r="N202" s="18" t="inlineStr">
        <is>
          <t>ข้อ 11 (PLE_CC1_2562_Key.md)</t>
        </is>
      </c>
      <c r="O202" s="18" t="inlineStr">
        <is>
          <t>ข้อสอบจริง</t>
        </is>
      </c>
      <c r="P202" s="18" t="inlineStr">
        <is>
          <t>ปี 2562</t>
        </is>
      </c>
    </row>
    <row r="203">
      <c r="A203" s="15" t="inlineStr">
        <is>
          <t>204</t>
        </is>
      </c>
      <c r="B203" s="18" t="inlineStr">
        <is>
          <t>จงคำนวณ ANC (WBC count 2000, PMN 5%, Band 5%, Eosinophil 1%. Lymphocyte 1) - X reversible</t>
        </is>
      </c>
      <c r="C203" s="18" t="inlineStr"/>
      <c r="D203" s="15" t="inlineStr">
        <is>
          <t>50</t>
        </is>
      </c>
      <c r="E203" s="15" t="inlineStr">
        <is>
          <t>100</t>
        </is>
      </c>
      <c r="F203" s="15" t="inlineStr">
        <is>
          <t>150</t>
        </is>
      </c>
      <c r="G203" s="15" t="inlineStr">
        <is>
          <t>200</t>
        </is>
      </c>
      <c r="H203" s="15" t="inlineStr">
        <is>
          <t>240</t>
        </is>
      </c>
      <c r="I203" s="15" t="inlineStr">
        <is>
          <t>1</t>
        </is>
      </c>
      <c r="J203" s="18"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ข้อนี้ไม่ใช่คำตอบที่ถูกต้องสำหรับภาวะ HIV infection เนื่องจากกลไกการออกฤทธิ์, efficacy หรือข้อบ่งใช้ไม่ตรงกับโจทย์ที่กำหนด
• ข้อ ค. (150): ข้อนี้ไม่ใช่คำตอบที่ถูกต้องสำหรับภาวะ HIV infection เนื่องจากกลไกการออกฤทธิ์, efficacy หรือข้อบ่งใช้ไม่ตรงกับโจทย์ที่กำหนด
• ข้อ ง. (200): ข้อนี้ไม่ใช่คำตอบที่ถูกต้องสำหรับภาวะ HIV infection เนื่องจากกลไกการออกฤทธิ์, efficacy หรือข้อบ่งใช้ไม่ตรงกับโจทย์ที่กำหนด
• ข้อ จ. (240):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18" t="inlineStr"/>
      <c r="L203" s="18" t="inlineStr">
        <is>
          <t>HIV infection</t>
        </is>
      </c>
      <c r="M203" s="18" t="inlineStr">
        <is>
          <t>Clinic</t>
        </is>
      </c>
      <c r="N203" s="18" t="inlineStr">
        <is>
          <t>ข้อ 54 (PLE_CC1_2562_Key.md)</t>
        </is>
      </c>
      <c r="O203" s="18" t="inlineStr">
        <is>
          <t>ข้อสอบจริง</t>
        </is>
      </c>
      <c r="P203" s="18" t="inlineStr">
        <is>
          <t>ปี 2562</t>
        </is>
      </c>
    </row>
    <row r="204">
      <c r="A204" s="15" t="inlineStr">
        <is>
          <t>205</t>
        </is>
      </c>
      <c r="B204" s="18" t="inlineStr">
        <is>
          <t>จากอาการผูป%วยเกิดจากการติดเชื้อใดมากที่สุด</t>
        </is>
      </c>
      <c r="C204" s="18" t="inlineStr"/>
      <c r="D204" s="18" t="inlineStr">
        <is>
          <t>HSV-1</t>
        </is>
      </c>
      <c r="E204" s="18" t="inlineStr">
        <is>
          <t>HSV-2</t>
        </is>
      </c>
      <c r="F204" s="18" t="inlineStr">
        <is>
          <t>Varicella zoster virus</t>
        </is>
      </c>
      <c r="G204" s="18" t="inlineStr">
        <is>
          <t>Neisseria gonorrhea</t>
        </is>
      </c>
      <c r="H204" s="18" t="inlineStr">
        <is>
          <t>Chlamydia trachomatis I</t>
        </is>
      </c>
      <c r="I204" s="15" t="inlineStr">
        <is>
          <t>1</t>
        </is>
      </c>
      <c r="J204" s="18"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ข้อนี้ไม่ใช่คำตอบที่ถูกต้องสำหรับภาวะ HIV infection เนื่องจากกลไกการออกฤทธิ์, efficacy หรือข้อบ่งใช้ไม่ตรงกับโจทย์ที่กำหนด
• ข้อ ค. (Varicella zoster virus): ข้อนี้ไม่ใช่คำตอบที่ถูกต้องสำหรับภาวะ HIV infection เนื่องจากกลไกการออกฤทธิ์, efficacy หรือข้อบ่งใช้ไม่ตรงกับโจทย์ที่กำหนด
• ข้อ ง. (Neisseria gonorrhea): ข้อนี้ไม่ใช่คำตอบที่ถูกต้องสำหรับภาวะ HIV infection เนื่องจากกลไกการออกฤทธิ์, efficacy หรือข้อบ่งใช้ไม่ตรงกับโจทย์ที่กำหนด
• ข้อ จ. (Chlamydia trachomatis I):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18" t="inlineStr"/>
      <c r="L204" s="18" t="inlineStr">
        <is>
          <t>HIV infection</t>
        </is>
      </c>
      <c r="M204" s="18" t="inlineStr">
        <is>
          <t>Clinic</t>
        </is>
      </c>
      <c r="N204" s="18" t="inlineStr">
        <is>
          <t>ข้อ 22 (PLE_CC1_2561_Key.md)</t>
        </is>
      </c>
      <c r="O204" s="18" t="inlineStr">
        <is>
          <t>ข้อสอบจริง</t>
        </is>
      </c>
      <c r="P204" s="18" t="inlineStr">
        <is>
          <t>ปี 2561</t>
        </is>
      </c>
    </row>
    <row r="205">
      <c r="A205" s="15" t="inlineStr">
        <is>
          <t>206</t>
        </is>
      </c>
      <c r="B205" s="18" t="inlineStr">
        <is>
          <t>ขอใดคือกลไกการออกฤทธิ์ของยา valacyclovir</t>
        </is>
      </c>
      <c r="C205" s="18" t="inlineStr"/>
      <c r="D205" s="18" t="inlineStr">
        <is>
          <t>Protease inhibitor</t>
        </is>
      </c>
      <c r="E205" s="18" t="inlineStr">
        <is>
          <t>Integrase inhibitor</t>
        </is>
      </c>
      <c r="F205" s="18" t="inlineStr">
        <is>
          <t>Inhibit cell wall synthesis</t>
        </is>
      </c>
      <c r="G205" s="18" t="inlineStr">
        <is>
          <t>DNA polymerase inhibitor</t>
        </is>
      </c>
      <c r="H205" s="18" t="inlineStr">
        <is>
          <t>Nucleotide reverse transcriptase inhibitor t</t>
        </is>
      </c>
      <c r="I205" s="15" t="inlineStr">
        <is>
          <t>1</t>
        </is>
      </c>
      <c r="J205" s="18"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(Integrase inhibitor): ข้อนี้ไม่ใช่คำตอบที่ถูกต้องสำหรับภาวะ HIV infection เนื่องจากกลไกการออกฤทธิ์, efficacy หรือข้อบ่งใช้ไม่ตรงกับโจทย์ที่กำหนด
• ข้อ ค. (Inhibit cell wall synthesis): ข้อนี้ไม่ใช่คำตอบที่ถูกต้องสำหรับภาวะ HIV infection เนื่องจากกลไกการออกฤทธิ์, efficacy หรือข้อบ่งใช้ไม่ตรงกับโจทย์ที่กำหนด
• ข้อ ง. (DNA polymerase inhibitor): ข้อนี้ไม่ใช่คำตอบที่ถูกต้องสำหรับภาวะ HIV infection เนื่องจากกลไกการออกฤทธิ์, efficacy หรือข้อบ่งใช้ไม่ตรงกับโจทย์ที่กำหนด
• ข้อ จ. (Nucleotide reverse transcriptase inhibitor t):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18" t="inlineStr"/>
      <c r="L205" s="18" t="inlineStr">
        <is>
          <t>HIV infection</t>
        </is>
      </c>
      <c r="M205" s="18" t="inlineStr">
        <is>
          <t>Clinic</t>
        </is>
      </c>
      <c r="N205" s="18" t="inlineStr">
        <is>
          <t>ข้อ 23 (PLE_CC1_2561_Key.md)</t>
        </is>
      </c>
      <c r="O205" s="18" t="inlineStr">
        <is>
          <t>ข้อสอบจริง</t>
        </is>
      </c>
      <c r="P205" s="18" t="inlineStr">
        <is>
          <t>ปี 2561</t>
        </is>
      </c>
    </row>
    <row r="206">
      <c r="A206" s="15" t="inlineStr">
        <is>
          <t>207</t>
        </is>
      </c>
      <c r="B206" s="18"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18" t="inlineStr"/>
      <c r="D206" s="18" t="inlineStr">
        <is>
          <t>90.3 %</t>
        </is>
      </c>
      <c r="E206" s="18" t="inlineStr">
        <is>
          <t>92.4 %</t>
        </is>
      </c>
      <c r="F206" s="18" t="inlineStr">
        <is>
          <t>93.4 %</t>
        </is>
      </c>
      <c r="G206" s="18" t="inlineStr">
        <is>
          <t>94.7 %</t>
        </is>
      </c>
      <c r="H206" s="18" t="inlineStr">
        <is>
          <t>95.6 % o</t>
        </is>
      </c>
      <c r="I206" s="15" t="inlineStr">
        <is>
          <t>1</t>
        </is>
      </c>
      <c r="J206" s="18"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ข้อนี้ไม่ใช่คำตอบที่ถูกต้องสำหรับภาวะ HIV infection เนื่องจากกลไกการออกฤทธิ์, efficacy หรือข้อบ่งใช้ไม่ตรงกับโจทย์ที่กำหนด
• ข้อ ค. (93.4 %): ข้อนี้ไม่ใช่คำตอบที่ถูกต้องสำหรับภาวะ HIV infection เนื่องจากกลไกการออกฤทธิ์, efficacy หรือข้อบ่งใช้ไม่ตรงกับโจทย์ที่กำหนด
• ข้อ ง. (94.7 %): ข้อนี้ไม่ใช่คำตอบที่ถูกต้องสำหรับภาวะ HIV infection เนื่องจากกลไกการออกฤทธิ์, efficacy หรือข้อบ่งใช้ไม่ตรงกับโจทย์ที่กำหนด
• ข้อ จ. (95.6 % o):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18" t="inlineStr"/>
      <c r="L206" s="18" t="inlineStr">
        <is>
          <t>HIV infection</t>
        </is>
      </c>
      <c r="M206" s="18" t="inlineStr">
        <is>
          <t>Clinic</t>
        </is>
      </c>
      <c r="N206" s="18" t="inlineStr">
        <is>
          <t>ข้อ 24 (PLE_CC1_2561_Key.md)</t>
        </is>
      </c>
      <c r="O206" s="18" t="inlineStr">
        <is>
          <t>ข้อสอบจริง</t>
        </is>
      </c>
      <c r="P206" s="18" t="inlineStr">
        <is>
          <t>ปี 2561</t>
        </is>
      </c>
    </row>
    <row r="207">
      <c r="A207" s="15" t="inlineStr">
        <is>
          <t>208</t>
        </is>
      </c>
      <c r="B207" s="18" t="inlineStr">
        <is>
          <t>จากกรณีศึกษาขางตนคาดว!าผูป%วยติดเชื้อตัวใด</t>
        </is>
      </c>
      <c r="C207" s="18" t="inlineStr"/>
      <c r="D207" s="18" t="inlineStr">
        <is>
          <t>Candida albican</t>
        </is>
      </c>
      <c r="E207" s="18" t="inlineStr">
        <is>
          <t>Malassezia furfur</t>
        </is>
      </c>
      <c r="F207" s="18" t="inlineStr">
        <is>
          <t>Tricosporum spp.</t>
        </is>
      </c>
      <c r="G207" s="18" t="inlineStr">
        <is>
          <t>Epidermophyton spp.</t>
        </is>
      </c>
      <c r="H207" s="18" t="inlineStr">
        <is>
          <t>Cryptococcus neoforman</t>
        </is>
      </c>
      <c r="I207" s="15" t="inlineStr">
        <is>
          <t>1</t>
        </is>
      </c>
      <c r="J207" s="18"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ข้อนี้ไม่ใช่คำตอบที่ถูกต้องสำหรับภาวะ HIV infection เนื่องจากกลไกการออกฤทธิ์, efficacy หรือข้อบ่งใช้ไม่ตรงกับโจทย์ที่กำหนด
• ข้อ ค. (Tricosporum spp.): ข้อนี้ไม่ใช่คำตอบที่ถูกต้องสำหรับภาวะ HIV infection เนื่องจากกลไกการออกฤทธิ์, efficacy หรือข้อบ่งใช้ไม่ตรงกับโจทย์ที่กำหนด
• ข้อ ง. (Epidermophyton spp.): ข้อนี้ไม่ใช่คำตอบที่ถูกต้องสำหรับภาวะ HIV infection เนื่องจากกลไกการออกฤทธิ์, efficacy หรือข้อบ่งใช้ไม่ตรงกับโจทย์ที่กำหนด
• ข้อ จ. (Cryptococcus neoforman):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18" t="inlineStr"/>
      <c r="L207" s="18" t="inlineStr">
        <is>
          <t>HIV infection</t>
        </is>
      </c>
      <c r="M207" s="18" t="inlineStr">
        <is>
          <t>Clinic</t>
        </is>
      </c>
      <c r="N207" s="18" t="inlineStr">
        <is>
          <t>ข้อ 38 (PLE_CC1_2561_Key.md)</t>
        </is>
      </c>
      <c r="O207" s="18" t="inlineStr">
        <is>
          <t>ข้อสอบจริง</t>
        </is>
      </c>
      <c r="P207" s="18" t="inlineStr">
        <is>
          <t>ปี 2561</t>
        </is>
      </c>
    </row>
    <row r="208">
      <c r="A208" s="15" t="inlineStr">
        <is>
          <t>209</t>
        </is>
      </c>
      <c r="B208" s="18" t="inlineStr">
        <is>
          <t>สูตรยาต(านไวรัสสูตรใดที่ใช(ในการปqองกันก.อนสัมผัสโรค (PrEP)</t>
        </is>
      </c>
      <c r="C208" s="18" t="inlineStr"/>
      <c r="D208" s="18" t="inlineStr">
        <is>
          <t>TDF + 3TC</t>
        </is>
      </c>
      <c r="E208" s="18" t="inlineStr">
        <is>
          <t>AZT + 3TC</t>
        </is>
      </c>
      <c r="F208" s="18" t="inlineStr">
        <is>
          <t>TDF + FTC</t>
        </is>
      </c>
      <c r="G208" s="18" t="inlineStr">
        <is>
          <t>TDF + FTC + Lo/r</t>
        </is>
      </c>
      <c r="H208" s="18" t="inlineStr">
        <is>
          <t>TDF + 3TC + EFV</t>
        </is>
      </c>
      <c r="I208" s="15" t="inlineStr">
        <is>
          <t>1</t>
        </is>
      </c>
      <c r="J208" s="18"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ข้อนี้ไม่ใช่คำตอบที่ถูกต้องสำหรับภาวะ HIV infection เนื่องจากกลไกการออกฤทธิ์, efficacy หรือข้อบ่งใช้ไม่ตรงกับโจทย์ที่กำหนด
• ข้อ ค. (TDF + FTC): ข้อนี้ไม่ใช่คำตอบที่ถูกต้องสำหรับภาวะ HIV infection เนื่องจากกลไกการออกฤทธิ์, efficacy หรือข้อบ่งใช้ไม่ตรงกับโจทย์ที่กำหนด
• ข้อ ง. (TDF + FTC + Lo/r): ข้อนี้ไม่ใช่คำตอบที่ถูกต้องสำหรับภาวะ HIV infection เนื่องจากกลไกการออกฤทธิ์, efficacy หรือข้อบ่งใช้ไม่ตรงกับโจทย์ที่กำหนด
• ข้อ จ. (TDF + 3TC + EFV):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18" t="inlineStr"/>
      <c r="L208" s="18" t="inlineStr">
        <is>
          <t>HIV infection</t>
        </is>
      </c>
      <c r="M208" s="18" t="inlineStr">
        <is>
          <t>Clinic</t>
        </is>
      </c>
      <c r="N208" s="18" t="inlineStr">
        <is>
          <t>ข้อ 47 (PLE_CC1_2561_Key.md)</t>
        </is>
      </c>
      <c r="O208" s="18" t="inlineStr">
        <is>
          <t>ข้อสอบจริง</t>
        </is>
      </c>
      <c r="P208" s="18" t="inlineStr">
        <is>
          <t>ปี 2561</t>
        </is>
      </c>
    </row>
    <row r="209">
      <c r="A209" s="15" t="inlineStr">
        <is>
          <t>210</t>
        </is>
      </c>
      <c r="B209" s="18"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18" t="inlineStr"/>
      <c r="D209" s="18" t="inlineStr">
        <is>
          <t>Perceived susceptibility ต่้า</t>
        </is>
      </c>
      <c r="E209" s="18" t="inlineStr">
        <is>
          <t>Perceived barrier ต่้า</t>
        </is>
      </c>
      <c r="F209" s="18" t="inlineStr">
        <is>
          <t>Perceived benefit ต่้า</t>
        </is>
      </c>
      <c r="G209" s="18" t="inlineStr">
        <is>
          <t>Perceived seriousness ต่้า</t>
        </is>
      </c>
      <c r="H209" s="18" t="inlineStr">
        <is>
          <t>ไม่มีปัจจัยกระตุ้นให้ใส่ถุงยาง</t>
        </is>
      </c>
      <c r="I209" s="15" t="inlineStr">
        <is>
          <t>1</t>
        </is>
      </c>
      <c r="J209" s="18"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ข้อนี้ไม่ใช่คำตอบที่ถูกต้องสำหรับภาวะ HIV infection เนื่องจากกลไกการออกฤทธิ์, efficacy หรือข้อบ่งใช้ไม่ตรงกับโจทย์ที่กำหนด
• ข้อ ค. (Perceived benefit ต่้า): ข้อนี้ไม่ใช่คำตอบที่ถูกต้องสำหรับภาวะ HIV infection เนื่องจากกลไกการออกฤทธิ์, efficacy หรือข้อบ่งใช้ไม่ตรงกับโจทย์ที่กำหนด
• ข้อ ง. (Perceived seriousness ต่้า): ข้อนี้ไม่ใช่คำตอบที่ถูกต้องสำหรับภาวะ HIV infection เนื่องจากกลไกการออกฤทธิ์, efficacy หรือข้อบ่งใช้ไม่ตรงกับโจทย์ที่กำหนด
• ข้อ จ. (ไม่มีปัจจัยกระตุ้นให้ใส่ถุงยาง):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18" t="inlineStr"/>
      <c r="L209" s="18" t="inlineStr">
        <is>
          <t>HIV infection</t>
        </is>
      </c>
      <c r="M209" s="18" t="inlineStr">
        <is>
          <t>Clinic</t>
        </is>
      </c>
      <c r="N209" s="18" t="inlineStr">
        <is>
          <t>ข้อ 4 (PLE_CC1_2560 22 April Set 1.md)</t>
        </is>
      </c>
      <c r="O209" s="18" t="inlineStr">
        <is>
          <t>ข้อสอบจริง</t>
        </is>
      </c>
      <c r="P209" s="18" t="inlineStr">
        <is>
          <t>ปี 2560</t>
        </is>
      </c>
    </row>
    <row r="210">
      <c r="A210" s="15" t="inlineStr">
        <is>
          <t>211</t>
        </is>
      </c>
      <c r="B210" s="18" t="inlineStr">
        <is>
          <t>ข้อใดไม่ถูกต้องเกี่ยวกับการเรียกยาคืน</t>
        </is>
      </c>
      <c r="C210" s="18" t="inlineStr"/>
      <c r="D210" s="18" t="inlineStr">
        <is>
          <t>ต้องสามารถเรียกยาคืนได้ทันทีเมื่อเกิดปัญหา</t>
        </is>
      </c>
      <c r="E210" s="18" t="inlineStr">
        <is>
          <t>การเรียกยาคืนเป็นหน้าที่ของฝ่ายขายและการตลาดเท่านั้น</t>
        </is>
      </c>
      <c r="F210" s="18" t="inlineStr">
        <is>
          <t>มีระบบการเรียกยาคืนที่เป็นปัจจุบัน</t>
        </is>
      </c>
      <c r="G210" s="18" t="inlineStr">
        <is>
          <t>ถ้าเกิดปัญหาต้องมีการเรียกยาคืน</t>
        </is>
      </c>
      <c r="H210" s="18" t="inlineStr">
        <is>
          <t>การเรียกยาคืนต้องแจ้ง อย. ทุกครั้ง</t>
        </is>
      </c>
      <c r="I210" s="15" t="inlineStr">
        <is>
          <t>1</t>
        </is>
      </c>
      <c r="J210" s="18"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(การเรียกยาคืนเป็นหน้าที่ของฝ่ายขายและการตลาดเท่านั้น): ข้อนี้ไม่ใช่คำตอบที่ถูกต้องสำหรับภาวะ HIV infection เนื่องจากกลไกการออกฤทธิ์, efficacy หรือข้อบ่งใช้ไม่ตรงกับโจทย์ที่กำหนด
• ข้อ ค. (มีระบบการเรียกยาคืนที่เป็นปัจจุบัน): ข้อนี้ไม่ใช่คำตอบที่ถูกต้องสำหรับภาวะ HIV infection เนื่องจากกลไกการออกฤทธิ์, efficacy หรือข้อบ่งใช้ไม่ตรงกับโจทย์ที่กำหนด
• ข้อ ง. (ถ้าเกิดปัญหาต้องมีการเรียกยาคืน): ข้อนี้ไม่ใช่คำตอบที่ถูกต้องสำหรับภาวะ HIV infection เนื่องจากกลไกการออกฤทธิ์, efficacy หรือข้อบ่งใช้ไม่ตรงกับโจทย์ที่กำหนด
• ข้อ จ. (การเรียกยาคืนต้องแจ้ง อย. ทุกครั้ง):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18" t="inlineStr"/>
      <c r="L210" s="18" t="inlineStr">
        <is>
          <t>HIV infection</t>
        </is>
      </c>
      <c r="M210" s="18" t="inlineStr">
        <is>
          <t>Clinic</t>
        </is>
      </c>
      <c r="N210" s="18" t="inlineStr">
        <is>
          <t>ข้อ 8 (PLE_CC1_2558_Key.md)</t>
        </is>
      </c>
      <c r="O210" s="18" t="inlineStr">
        <is>
          <t>ข้อสอบจริง</t>
        </is>
      </c>
      <c r="P210" s="18" t="inlineStr">
        <is>
          <t>ปี 2558</t>
        </is>
      </c>
    </row>
    <row r="211">
      <c r="A211" s="15" t="inlineStr">
        <is>
          <t>212</t>
        </is>
      </c>
      <c r="B211" s="18" t="inlineStr">
        <is>
          <t>ข้อใดไม่ถูกต้องเกี่ยวกับ amoxicillin/clavulanic acid</t>
        </is>
      </c>
      <c r="C211" s="18" t="inlineStr"/>
      <c r="D211" s="18" t="inlineStr">
        <is>
          <t>ไม่ถูกทำลายโดย beta lactamase</t>
        </is>
      </c>
      <c r="E211" s="18" t="inlineStr">
        <is>
          <t>เกิดปฏิกิริยา hydrolysis</t>
        </is>
      </c>
      <c r="F211" s="18" t="inlineStr">
        <is>
          <t>เกิดปฏิกิริยา epimerization</t>
        </is>
      </c>
      <c r="G211" s="18" t="inlineStr">
        <is>
          <t>Clavulanic acid ไม่ใช่สารออกฤทธิ์</t>
        </is>
      </c>
      <c r="H211" s="18" t="inlineStr">
        <is>
          <t>เป็นยาในกลุ่ม aminopenicillin กรณีศึกษา 3</t>
        </is>
      </c>
      <c r="I211" s="15" t="inlineStr">
        <is>
          <t>1</t>
        </is>
      </c>
      <c r="J211" s="18"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ข้อนี้ไม่ใช่คำตอบที่ถูกต้องสำหรับภาวะ URTI เนื่องจากกลไกการออกฤทธิ์, efficacy หรือข้อบ่งใช้ไม่ตรงกับโจทย์ที่กำหนด
• ข้อ ค. (เกิดปฏิกิริยา epimerization): ข้อนี้ไม่ใช่คำตอบที่ถูกต้องสำหรับภาวะ URTI เนื่องจากกลไกการออกฤทธิ์, efficacy หรือข้อบ่งใช้ไม่ตรงกับโจทย์ที่กำหนด
• ข้อ ง. (Clavulanic acid ไม่ใช่สารออกฤทธิ์): ข้อนี้ไม่ใช่คำตอบที่ถูกต้องสำหรับภาวะ URTI เนื่องจากกลไกการออกฤทธิ์, efficacy หรือข้อบ่งใช้ไม่ตรงกับโจทย์ที่กำหนด
• ข้อ จ. (เป็นยาในกลุ่ม aminopenicillin กรณีศึกษา 3): ข้อนี้ไม่ใช่คำตอบที่ถูกต้องสำหรับภาวะ URTI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18" t="inlineStr"/>
      <c r="L211" s="18" t="inlineStr">
        <is>
          <t>URTI</t>
        </is>
      </c>
      <c r="M211" s="18" t="inlineStr">
        <is>
          <t>Clinic</t>
        </is>
      </c>
      <c r="N211" s="18" t="inlineStr">
        <is>
          <t>ข้อ 16 (PLE_CC1_2558_Key.md)</t>
        </is>
      </c>
      <c r="O211" s="18" t="inlineStr">
        <is>
          <t>ข้อสอบจริง</t>
        </is>
      </c>
      <c r="P211" s="18" t="inlineStr">
        <is>
          <t>ปี 2558</t>
        </is>
      </c>
    </row>
    <row r="212">
      <c r="A212" s="15" t="inlineStr">
        <is>
          <t>213</t>
        </is>
      </c>
      <c r="B212" s="18" t="inlineStr">
        <is>
          <t>ข้อใดคือสูตรยารักษาแรก ที่แนะนำให้ใช้ในผู้ติดเชื้อเอชไอวีที่ไม่มีข้อห้ามใช้</t>
        </is>
      </c>
      <c r="C212" s="18" t="inlineStr"/>
      <c r="D212" s="18" t="inlineStr">
        <is>
          <t>TDF+FTC+RPV</t>
        </is>
      </c>
      <c r="E212" s="18" t="inlineStr">
        <is>
          <t>TDF+3TC+EFV</t>
        </is>
      </c>
      <c r="F212" s="18" t="inlineStr">
        <is>
          <t>TDF+FTC+DTG</t>
        </is>
      </c>
      <c r="G212" s="18" t="inlineStr">
        <is>
          <t>ABC+3TC+DTG</t>
        </is>
      </c>
      <c r="H212" s="18" t="inlineStr">
        <is>
          <t>AZT+FTC+DTG</t>
        </is>
      </c>
      <c r="I212" s="15" t="inlineStr">
        <is>
          <t>1</t>
        </is>
      </c>
      <c r="J212" s="18"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(TDF+3TC+EFV): ข้อนี้ไม่ใช่คำตอบที่ถูกต้องสำหรับภาวะ HIV infection เนื่องจากกลไกการออกฤทธิ์, efficacy หรือข้อบ่งใช้ไม่ตรงกับโจทย์ที่กำหนด
• ข้อ ค. (TDF+FTC+DTG): วัคซีนรวมคอตีบ-บาดทะยัก ฉีดกระตุ้นทุก 10 ปี หรือใช้ในหญิงตั้งครรภ์และผู้ใหญ่
• ข้อ ง. (ABC+3TC+DTG): วัคซีนรวมคอตีบ-บาดทะยัก ฉีดกระตุ้นทุก 10 ปี หรือใช้ในหญิงตั้งครรภ์และผู้ใหญ่
• ข้อ จ. (AZT+FTC+DTG): วัคซีนรวมคอตีบ-บาดทะยัก ฉีดกระตุ้นทุก 10 ปี หรือใช้ในหญิงตั้งครรภ์และผู้ใหญ่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18" t="inlineStr"/>
      <c r="L212" s="18" t="inlineStr">
        <is>
          <t>HIV infection</t>
        </is>
      </c>
      <c r="M212" s="18" t="inlineStr">
        <is>
          <t>Clinic</t>
        </is>
      </c>
      <c r="N212" s="18" t="inlineStr">
        <is>
          <t>ข้อ 31 (Pharmtutor_2024_Set1.md)</t>
        </is>
      </c>
      <c r="O212" s="18" t="inlineStr">
        <is>
          <t>Mock</t>
        </is>
      </c>
      <c r="P212" s="18" t="inlineStr">
        <is>
          <t>Mock Pharmtutor 2024</t>
        </is>
      </c>
    </row>
    <row r="213">
      <c r="A213" s="15" t="inlineStr">
        <is>
          <t>214</t>
        </is>
      </c>
      <c r="B213" s="18" t="inlineStr">
        <is>
          <t>การใช้ยา Amoxicillin+Clavulanic acid สามารถพบผลข้างเคียงใดได้บ่อยที่สุด</t>
        </is>
      </c>
      <c r="C213" s="18" t="inlineStr"/>
      <c r="D213" s="18" t="inlineStr">
        <is>
          <t>คลื่นไส้ อาเจียน</t>
        </is>
      </c>
      <c r="E213" s="18" t="inlineStr">
        <is>
          <t>กรดไหลย้อน</t>
        </is>
      </c>
      <c r="F213" s="18" t="inlineStr">
        <is>
          <t>ท้องเสีย</t>
        </is>
      </c>
      <c r="G213" s="18" t="inlineStr">
        <is>
          <t>ไอ</t>
        </is>
      </c>
      <c r="H213" s="18" t="inlineStr">
        <is>
          <t>เวียนศีรษะ</t>
        </is>
      </c>
      <c r="I213" s="15" t="inlineStr">
        <is>
          <t>1</t>
        </is>
      </c>
      <c r="J213" s="18"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(กรดไหลย้อน): ข้อนี้ไม่ใช่คำตอบที่ถูกต้องสำหรับภาวะ URTI เนื่องจากกลไกการออกฤทธิ์, efficacy หรือข้อบ่งใช้ไม่ตรงกับโจทย์ที่กำหนด
• ข้อ ค. (ท้องเสีย): ข้อนี้ไม่ใช่คำตอบที่ถูกต้องสำหรับภาวะ URTI เนื่องจากกลไกการออกฤทธิ์, efficacy หรือข้อบ่งใช้ไม่ตรงกับโจทย์ที่กำหนด
• ข้อ ง. (ไอ): ข้อนี้ไม่ใช่คำตอบที่ถูกต้องสำหรับภาวะ URTI เนื่องจากกลไกการออกฤทธิ์, efficacy หรือข้อบ่งใช้ไม่ตรงกับโจทย์ที่กำหนด
• ข้อ จ. (เวียนศีรษะ): ข้อนี้ไม่ใช่คำตอบที่ถูกต้องสำหรับภาวะ URTI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18" t="inlineStr"/>
      <c r="L213" s="18" t="inlineStr">
        <is>
          <t>URTI</t>
        </is>
      </c>
      <c r="M213" s="18" t="inlineStr">
        <is>
          <t>Clinic</t>
        </is>
      </c>
      <c r="N213" s="18" t="inlineStr">
        <is>
          <t>ข้อ 36 (Pharmtutor_2024_Set1.md)</t>
        </is>
      </c>
      <c r="O213" s="18" t="inlineStr">
        <is>
          <t>Mock</t>
        </is>
      </c>
      <c r="P213" s="18" t="inlineStr">
        <is>
          <t>Mock Pharmtutor 2024</t>
        </is>
      </c>
    </row>
    <row r="214">
      <c r="A214" s="15" t="inlineStr">
        <is>
          <t>215</t>
        </is>
      </c>
      <c r="B214" s="18"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18" t="inlineStr"/>
      <c r="D214" s="18" t="inlineStr">
        <is>
          <t>Trichomonas</t>
        </is>
      </c>
      <c r="E214" s="18" t="inlineStr">
        <is>
          <t>Candida Albicans</t>
        </is>
      </c>
      <c r="F214" s="18" t="inlineStr">
        <is>
          <t>Herpes Simplex</t>
        </is>
      </c>
      <c r="G214" s="18" t="inlineStr">
        <is>
          <t>Chlamydia</t>
        </is>
      </c>
      <c r="H214" s="18" t="inlineStr">
        <is>
          <t>Papilloma Virus</t>
        </is>
      </c>
      <c r="I214" s="15" t="inlineStr">
        <is>
          <t>1</t>
        </is>
      </c>
      <c r="J214" s="18"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ข้อนี้ไม่ใช่คำตอบที่ถูกต้องสำหรับภาวะ STDs &amp; vaginitis เนื่องจากกลไกการออกฤทธิ์, efficacy หรือข้อบ่งใช้ไม่ตรงกับโจทย์ที่กำหนด
• ข้อ ค. (Herpes Simplex): ข้อนี้ไม่ใช่คำตอบที่ถูกต้องสำหรับภาวะ STDs &amp; vaginitis เนื่องจากกลไกการออกฤทธิ์, efficacy หรือข้อบ่งใช้ไม่ตรงกับโจทย์ที่กำหนด
• ข้อ ง. (Chlamydia): ข้อนี้ไม่ใช่คำตอบที่ถูกต้องสำหรับภาวะ STDs &amp; vaginitis เนื่องจากกลไกการออกฤทธิ์, efficacy หรือข้อบ่งใช้ไม่ตรงกับโจทย์ที่กำหนด
• ข้อ จ. (Papilloma Virus): ข้อนี้ไม่ใช่คำตอบที่ถูกต้องสำหรับภาวะ STDs &amp; vaginitis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18" t="inlineStr"/>
      <c r="L214" s="18" t="inlineStr">
        <is>
          <t>STDs &amp; vaginitis</t>
        </is>
      </c>
      <c r="M214" s="18" t="inlineStr">
        <is>
          <t>Clinic</t>
        </is>
      </c>
      <c r="N214" s="18" t="inlineStr">
        <is>
          <t>ข้อ 41 (Pharmtutor_2024_Set1.md)</t>
        </is>
      </c>
      <c r="O214" s="18" t="inlineStr">
        <is>
          <t>Mock</t>
        </is>
      </c>
      <c r="P214" s="18" t="inlineStr">
        <is>
          <t>Mock Pharmtutor 2024</t>
        </is>
      </c>
    </row>
    <row r="215">
      <c r="A215" s="15" t="inlineStr">
        <is>
          <t>216</t>
        </is>
      </c>
      <c r="B215" s="18" t="inlineStr">
        <is>
          <t>เชื้อสาเหตุใดที่พบได้มากที่สุดในการติดเชื้อปอกอักเสบชนิด Community-acquired pneumonia (CAP)</t>
        </is>
      </c>
      <c r="C215" s="18" t="inlineStr"/>
      <c r="D215" s="18" t="inlineStr">
        <is>
          <t>Pseudomonas aeruginosa</t>
        </is>
      </c>
      <c r="E215" s="18" t="inlineStr">
        <is>
          <t>Acinetobacter baumannii</t>
        </is>
      </c>
      <c r="F215" s="18" t="inlineStr">
        <is>
          <t>Klebsiella pneumoniae</t>
        </is>
      </c>
      <c r="G215" s="18" t="inlineStr">
        <is>
          <t>Mycoplasma pneumoniae</t>
        </is>
      </c>
      <c r="H215" s="18" t="inlineStr">
        <is>
          <t>Streptococcus pneumoniae</t>
        </is>
      </c>
      <c r="I215" s="15" t="inlineStr">
        <is>
          <t>1</t>
        </is>
      </c>
      <c r="J215" s="18"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(Acinetobacter baumannii): ข้อนี้ไม่ใช่คำตอบที่ถูกต้องสำหรับภาวะ Pneumonia เนื่องจากกลไกการออกฤทธิ์, efficacy หรือข้อบ่งใช้ไม่ตรงกับโจทย์ที่กำหนด
• ข้อ ค. (Klebsiella pneumoniae): ข้อนี้ไม่ใช่คำตอบที่ถูกต้องสำหรับภาวะ Pneumonia เนื่องจากกลไกการออกฤทธิ์, efficacy หรือข้อบ่งใช้ไม่ตรงกับโจทย์ที่กำหนด
• ข้อ ง. (Mycoplasma pneumoniae): ข้อนี้ไม่ใช่คำตอบที่ถูกต้องสำหรับภาวะ Pneumonia เนื่องจากกลไกการออกฤทธิ์, efficacy หรือข้อบ่งใช้ไม่ตรงกับโจทย์ที่กำหนด
• ข้อ จ. (Streptococcus pneumoniae):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18" t="inlineStr"/>
      <c r="L215" s="18" t="inlineStr">
        <is>
          <t>Pneumonia</t>
        </is>
      </c>
      <c r="M215" s="18" t="inlineStr">
        <is>
          <t>Clinic</t>
        </is>
      </c>
      <c r="N215" s="18" t="inlineStr">
        <is>
          <t>ข้อ 43 (Pharmtutor_2024_Set1.md)</t>
        </is>
      </c>
      <c r="O215" s="18" t="inlineStr">
        <is>
          <t>Mock</t>
        </is>
      </c>
      <c r="P215" s="18" t="inlineStr">
        <is>
          <t>Mock Pharmtutor 2024</t>
        </is>
      </c>
    </row>
    <row r="216">
      <c r="A216" s="15" t="inlineStr">
        <is>
          <t>217</t>
        </is>
      </c>
      <c r="B216" s="18" t="inlineStr">
        <is>
          <t>หากผู้ป่วยมีการติดเชื้อ MRSA ยาชนิดใดเหมาะสมมากที่สุด</t>
        </is>
      </c>
      <c r="C216" s="18" t="inlineStr"/>
      <c r="D216" s="18" t="inlineStr">
        <is>
          <t>Ceftazidime</t>
        </is>
      </c>
      <c r="E216" s="18" t="inlineStr">
        <is>
          <t>Meropenem</t>
        </is>
      </c>
      <c r="F216" s="18" t="inlineStr">
        <is>
          <t>Piperacillin-tazobactam</t>
        </is>
      </c>
      <c r="G216" s="18" t="inlineStr">
        <is>
          <t>Vancomycin</t>
        </is>
      </c>
      <c r="H216" s="18" t="inlineStr">
        <is>
          <t>Levofloxacin</t>
        </is>
      </c>
      <c r="I216" s="15" t="inlineStr">
        <is>
          <t>1</t>
        </is>
      </c>
      <c r="J216" s="18"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ข. (Meropenem): เป็น Carbapenem มี broad spectrum ครอบคลุม multidrug-resistant gram-negative รวมทั้ง Pseudomonas aeruginosa และ ESBL-producing bacteria มีความเสี่ยงต่ออาการชักต่ำกว่า imipenem
• ข้อ ค. (Piperacillin-tazobactam): ข้อนี้ไม่ใช่คำตอบที่ถูกต้องสำหรับภาวะ HIV infection เนื่องจากกลไกการออกฤทธิ์, efficacy หรือข้อบ่งใช้ไม่ตรงกับโจทย์ที่กำหนด
• ข้อ ง. (Vancomycin): เป็น Glycopeptide antibiotic ยับยั้ง MRSA และ Enterococcus ต้อง monitoring trough level (target 15-20 mcg/mL ใน severe infections) เพื่อป้องกัน nephrotoxicity และ ototoxity
• ข้อ จ. (Levofloxacin): เป็น Respiratory Fluoroquinolone ครอบคลุมทั้ง Streptococcus pneumoniae, atypicals และ Pseudomonas aeruginosa ใช้รักษา CAP, complicated UTI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18" t="inlineStr"/>
      <c r="L216" s="18" t="inlineStr">
        <is>
          <t>HIV infection</t>
        </is>
      </c>
      <c r="M216" s="18" t="inlineStr">
        <is>
          <t>Clinic</t>
        </is>
      </c>
      <c r="N216" s="18" t="inlineStr">
        <is>
          <t>ข้อ 44 (Pharmtutor_2024_Set1.md)</t>
        </is>
      </c>
      <c r="O216" s="18" t="inlineStr">
        <is>
          <t>Mock</t>
        </is>
      </c>
      <c r="P216" s="18" t="inlineStr">
        <is>
          <t>Mock Pharmtutor 2024</t>
        </is>
      </c>
    </row>
    <row r="217">
      <c r="A217" s="15" t="inlineStr">
        <is>
          <t>218</t>
        </is>
      </c>
      <c r="B217" s="18" t="inlineStr">
        <is>
          <t>ข้อใดต่อไปนี้ คือ specific test ของ dosage form ดังกล่าว</t>
        </is>
      </c>
      <c r="C217" s="18" t="inlineStr"/>
      <c r="D217" s="18" t="inlineStr">
        <is>
          <t>Minimum fill</t>
        </is>
      </c>
      <c r="E217" s="18" t="inlineStr">
        <is>
          <t>Impurities test</t>
        </is>
      </c>
      <c r="F217" s="18" t="inlineStr">
        <is>
          <t>Sterility tests</t>
        </is>
      </c>
      <c r="G217" s="18" t="inlineStr">
        <is>
          <t>Microbial limit test</t>
        </is>
      </c>
      <c r="H217" s="18" t="inlineStr">
        <is>
          <t>Assay</t>
        </is>
      </c>
      <c r="I217" s="15" t="inlineStr">
        <is>
          <t>1</t>
        </is>
      </c>
      <c r="J217" s="18"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ข้อนี้ไม่ใช่คำตอบที่ถูกต้องสำหรับภาวะ HIV infection เนื่องจากกลไกการออกฤทธิ์, efficacy หรือข้อบ่งใช้ไม่ตรงกับโจทย์ที่กำหนด
• ข้อ ค. (Sterility tests): ข้อนี้ไม่ใช่คำตอบที่ถูกต้องสำหรับภาวะ HIV infection เนื่องจากกลไกการออกฤทธิ์, efficacy หรือข้อบ่งใช้ไม่ตรงกับโจทย์ที่กำหนด
• ข้อ ง. (Microbial limit test): ข้อนี้ไม่ใช่คำตอบที่ถูกต้องสำหรับภาวะ HIV infection เนื่องจากกลไกการออกฤทธิ์, efficacy หรือข้อบ่งใช้ไม่ตรงกับโจทย์ที่กำหนด
• ข้อ จ. (Assay):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18" t="inlineStr"/>
      <c r="L217" s="18" t="inlineStr">
        <is>
          <t>HIV infection</t>
        </is>
      </c>
      <c r="M217" s="18" t="inlineStr">
        <is>
          <t>Clinic</t>
        </is>
      </c>
      <c r="N217" s="18" t="inlineStr">
        <is>
          <t>ข้อ 101 (Pharmtutor_2024_Set1.md)</t>
        </is>
      </c>
      <c r="O217" s="18" t="inlineStr">
        <is>
          <t>Mock</t>
        </is>
      </c>
      <c r="P217" s="18" t="inlineStr">
        <is>
          <t>Mock Pharmtutor 2024</t>
        </is>
      </c>
    </row>
    <row r="218">
      <c r="A218" s="15" t="inlineStr">
        <is>
          <t>219</t>
        </is>
      </c>
      <c r="B218" s="18"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18" t="inlineStr"/>
      <c r="D218" s="18" t="inlineStr">
        <is>
          <t>300/1000</t>
        </is>
      </c>
      <c r="E218" s="18" t="inlineStr">
        <is>
          <t>350/1000</t>
        </is>
      </c>
      <c r="F218" s="18" t="inlineStr">
        <is>
          <t>50/700</t>
        </is>
      </c>
      <c r="G218" s="18" t="inlineStr">
        <is>
          <t>350/700</t>
        </is>
      </c>
      <c r="H218" s="18" t="inlineStr">
        <is>
          <t>50/1000</t>
        </is>
      </c>
      <c r="I218" s="15" t="inlineStr">
        <is>
          <t>1</t>
        </is>
      </c>
      <c r="J218" s="18"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(350/1000): ข้อนี้ไม่ใช่คำตอบที่ถูกต้องสำหรับภาวะ HIV infection เนื่องจากกลไกการออกฤทธิ์, efficacy หรือข้อบ่งใช้ไม่ตรงกับโจทย์ที่กำหนด
• ข้อ ค. (50/700): ข้อนี้ไม่ใช่คำตอบที่ถูกต้องสำหรับภาวะ HIV infection เนื่องจากกลไกการออกฤทธิ์, efficacy หรือข้อบ่งใช้ไม่ตรงกับโจทย์ที่กำหนด
• ข้อ ง. (350/700): ข้อนี้ไม่ใช่คำตอบที่ถูกต้องสำหรับภาวะ HIV infection เนื่องจากกลไกการออกฤทธิ์, efficacy หรือข้อบ่งใช้ไม่ตรงกับโจทย์ที่กำหนด
• ข้อ จ. (50/1000):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18" t="inlineStr"/>
      <c r="L218" s="18" t="inlineStr">
        <is>
          <t>HIV infection</t>
        </is>
      </c>
      <c r="M218" s="18" t="inlineStr">
        <is>
          <t>Clinic</t>
        </is>
      </c>
      <c r="N218" s="18" t="inlineStr">
        <is>
          <t>ข้อ 115 (Pharmtutor_2024_Set1.md)</t>
        </is>
      </c>
      <c r="O218" s="18" t="inlineStr">
        <is>
          <t>Mock</t>
        </is>
      </c>
      <c r="P218" s="18" t="inlineStr">
        <is>
          <t>Mock Pharmtutor 2024</t>
        </is>
      </c>
    </row>
    <row r="219">
      <c r="A219" s="15" t="inlineStr">
        <is>
          <t>220</t>
        </is>
      </c>
      <c r="B219" s="18" t="inlineStr">
        <is>
          <t>ข้อใดคือ กลไกการออกฤทธิ์ของ Acyclovir</t>
        </is>
      </c>
      <c r="C219" s="18" t="inlineStr"/>
      <c r="D219" s="18" t="inlineStr">
        <is>
          <t>ยับยั้ง Viral DNA polymerase</t>
        </is>
      </c>
      <c r="E219" s="18" t="inlineStr">
        <is>
          <t>ยับยั้ง 14-alpha demethylase</t>
        </is>
      </c>
      <c r="F219" s="18" t="inlineStr">
        <is>
          <t>ยับยั้งการสร้าง nucleic acid</t>
        </is>
      </c>
      <c r="G219" s="18" t="inlineStr">
        <is>
          <t>ยับยั้ง DNA gyrase</t>
        </is>
      </c>
      <c r="H219" s="18" t="inlineStr">
        <is>
          <t>ยับยั้ง Nucleoside reverse transcriptase</t>
        </is>
      </c>
      <c r="I219" s="15" t="inlineStr">
        <is>
          <t>1</t>
        </is>
      </c>
      <c r="J219" s="18"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ข้อนี้ไม่ใช่คำตอบที่ถูกต้องสำหรับภาวะ HIV infection เนื่องจากกลไกการออกฤทธิ์, efficacy หรือข้อบ่งใช้ไม่ตรงกับโจทย์ที่กำหนด
• ข้อ ค. (ยับยั้งการสร้าง nucleic acid): ข้อนี้ไม่ใช่คำตอบที่ถูกต้องสำหรับภาวะ HIV infection เนื่องจากกลไกการออกฤทธิ์, efficacy หรือข้อบ่งใช้ไม่ตรงกับโจทย์ที่กำหนด
• ข้อ ง. (ยับยั้ง DNA gyrase): ข้อนี้ไม่ใช่คำตอบที่ถูกต้องสำหรับภาวะ HIV infection เนื่องจากกลไกการออกฤทธิ์, efficacy หรือข้อบ่งใช้ไม่ตรงกับโจทย์ที่กำหนด
• ข้อ จ. (ยับยั้ง Nucleoside reverse transcriptase):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18" t="inlineStr"/>
      <c r="L219" s="18" t="inlineStr">
        <is>
          <t>HIV infection</t>
        </is>
      </c>
      <c r="M219" s="18" t="inlineStr">
        <is>
          <t>Clinic</t>
        </is>
      </c>
      <c r="N219" s="18" t="inlineStr">
        <is>
          <t>ข้อ 15 (Pharmtutor_2024_Set2.md)</t>
        </is>
      </c>
      <c r="O219" s="18" t="inlineStr">
        <is>
          <t>Mock</t>
        </is>
      </c>
      <c r="P219" s="18" t="inlineStr">
        <is>
          <t>Mock Pharmtutor 2024</t>
        </is>
      </c>
    </row>
    <row r="220">
      <c r="A220" s="15" t="inlineStr">
        <is>
          <t>221</t>
        </is>
      </c>
      <c r="B220" s="18"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18" t="inlineStr"/>
      <c r="D220" s="18" t="inlineStr">
        <is>
          <t>Tenofovir + Emtricitabine</t>
        </is>
      </c>
      <c r="E220" s="18" t="inlineStr">
        <is>
          <t>Tenofovir + Lamivudine + Dolutegravir</t>
        </is>
      </c>
      <c r="F220" s="18" t="inlineStr">
        <is>
          <t>Tenofovir + Emtricitabine + Zidovudine</t>
        </is>
      </c>
      <c r="G220" s="18" t="inlineStr">
        <is>
          <t>Zidovudine + Lamivudine + Nevirapine</t>
        </is>
      </c>
      <c r="H220" s="18" t="inlineStr">
        <is>
          <t>Abacavir + Lamivudine + Dolutegravir</t>
        </is>
      </c>
      <c r="I220" s="15" t="inlineStr">
        <is>
          <t>1</t>
        </is>
      </c>
      <c r="J220" s="18"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เป็น Nucleotide reverse transcriptase inhibitor (NRTI) แกนหลักใน HIV และ HBV therapy แต่ TDF ต้องระวัง nephrotoxicity (Fanconi syndrome) และ bone mineral density loss
• ข้อ ค. (Tenofovir + Emtricitabine + Zidovudine): เป็น Nucleotide reverse transcriptase inhibitor (NRTI) แกนหลักใน HIV และ HBV therapy แต่ TDF ต้องระวัง nephrotoxicity (Fanconi syndrome) และ bone mineral density loss
• ข้อ ง. (Zidovudine + Lamivudine + Nevirapine): ข้อนี้ไม่ใช่คำตอบที่ถูกต้องสำหรับภาวะ HIV infection เนื่องจากกลไกการออกฤทธิ์, efficacy หรือข้อบ่งใช้ไม่ตรงกับโจทย์ที่กำหนด
• ข้อ จ. (Abacavir + Lamivudine + Dolutegravir):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18" t="inlineStr"/>
      <c r="L220" s="18" t="inlineStr">
        <is>
          <t>HIV infection</t>
        </is>
      </c>
      <c r="M220" s="18" t="inlineStr">
        <is>
          <t>Clinic</t>
        </is>
      </c>
      <c r="N220" s="18" t="inlineStr">
        <is>
          <t>ข้อ 32 (Pharmtutor_2024_Set2.md)</t>
        </is>
      </c>
      <c r="O220" s="18" t="inlineStr">
        <is>
          <t>Mock</t>
        </is>
      </c>
      <c r="P220" s="18" t="inlineStr">
        <is>
          <t>Mock Pharmtutor 2024</t>
        </is>
      </c>
    </row>
    <row r="221">
      <c r="A221" s="15" t="inlineStr">
        <is>
          <t>222</t>
        </is>
      </c>
      <c r="B221" s="18" t="inlineStr">
        <is>
          <t>อธิบายความแตกต่างของโรคคอหอยอักเสบ (Pharyngystis) ระหว่างสาเหตุจากการติดเชื้อไวรัสและแบคทีเรีย</t>
        </is>
      </c>
      <c r="C221" s="18" t="inlineStr"/>
      <c r="D221" s="18" t="inlineStr">
        <is>
          <t>การติดเชื้อไวรัสส่วนมากมีอาการของไข้แสดงเด่น</t>
        </is>
      </c>
      <c r="E221" s="18" t="inlineStr">
        <is>
          <t>การติดเชื้อไวรัสจะมีอาการรุนแรงจำเป้นต้องใช้ยาในการรักษาผู้ป่วยทุกรายโดยเฉพาะกรณีคนไข้เด็กและผู้สูง อายุ</t>
        </is>
      </c>
      <c r="F221" s="18"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18" t="inlineStr">
        <is>
          <t>การที่ผู้ป่วยมีอาการของจุดหนองบริเวณลำคอ ร่วมกับบวมบริเวณลำคอ ส่วนมากมีสาเหตุมาจากการติดเชื้อแบคทีเรีย</t>
        </is>
      </c>
      <c r="H221" s="18"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15" t="inlineStr">
        <is>
          <t>1</t>
        </is>
      </c>
      <c r="J221" s="18"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ติดเชื้อไวรัสจะมีอาการรุนแรงจำเป้นต้องใช้ยาในการรักษาผู้ป่วยทุกรายโดยเฉพาะกรณีคนไข้เด็กและผู้สูง อายุ): ข้อนี้ไม่ใช่คำตอบที่ถูกต้องสำหรับภาวะ HIV infection เนื่องจากกลไกการออกฤทธิ์, efficacy หรือข้อบ่งใช้ไม่ตรงกับโจทย์ที่กำหนด
• ข้อ ค. (การตอบสนองต่อการติดเชื้อแบคทีเรีย เมื่อพบว่ามีอาการแสดงแล้วจำเป็นต้องใช้ยาปฏิชีวนะในการรักษาในผู้ป่วยทุกราย): ข้อนี้ไม่ใช่คำตอบที่ถูกต้องสำหรับภาวะ HIV infection เนื่องจากกลไกการออกฤทธิ์, efficacy หรือข้อบ่งใช้ไม่ตรงกับโจทย์ที่กำหนด
• ข้อ ง. (การที่ผู้ป่วยมีอาการของจุดหนองบริเวณลำคอ ร่วมกับบวมบริเวณลำคอ ส่วนมากมีสาเหตุมาจากการติดเชื้อแบคทีเรีย): ข้อนี้ไม่ใช่คำตอบที่ถูกต้องสำหรับภาวะ HIV infection เนื่องจากกลไกการออกฤทธิ์, efficacy หรือข้อบ่งใช้ไม่ตรงกับโจทย์ที่กำหนด
• ข้อ จ. (การติดเชื้อแบคทีเรียจะมีอาการคล้ายกับติดเชื้อไวรัส แต่จะพบอาการแสดงที่น้องกว่าการติดเชื้อไวรัสอย่างมีนัยสำคัญ):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18" t="inlineStr"/>
      <c r="L221" s="18" t="inlineStr">
        <is>
          <t>HIV infection</t>
        </is>
      </c>
      <c r="M221" s="18" t="inlineStr">
        <is>
          <t>Clinic</t>
        </is>
      </c>
      <c r="N221" s="18" t="inlineStr">
        <is>
          <t>ข้อ 36 (Pharmtutor_2024_Set2.md)</t>
        </is>
      </c>
      <c r="O221" s="18" t="inlineStr">
        <is>
          <t>Mock</t>
        </is>
      </c>
      <c r="P221" s="18" t="inlineStr">
        <is>
          <t>Mock Pharmtutor 2024</t>
        </is>
      </c>
    </row>
    <row r="222">
      <c r="A222" s="15" t="inlineStr">
        <is>
          <t>223</t>
        </is>
      </c>
      <c r="B222" s="18"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18" t="inlineStr"/>
      <c r="D222" s="18" t="inlineStr">
        <is>
          <t>Group A staphylococcus</t>
        </is>
      </c>
      <c r="E222" s="18" t="inlineStr">
        <is>
          <t>Rotavirus</t>
        </is>
      </c>
      <c r="F222" s="18" t="inlineStr">
        <is>
          <t>Ebstein-Barr</t>
        </is>
      </c>
      <c r="G222" s="18" t="inlineStr">
        <is>
          <t>Group A streptococcus</t>
        </is>
      </c>
      <c r="H222" s="18" t="inlineStr">
        <is>
          <t>Gram negative Bacilli</t>
        </is>
      </c>
      <c r="I222" s="15" t="inlineStr">
        <is>
          <t>1</t>
        </is>
      </c>
      <c r="J222" s="18"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(Rotavirus): เป็น Live oral vaccine หยอดทางปากเข็มแรกที่ 2 เดือน และเข็ม 2 ที่ 4 เดือน (ห้ามเริ่มเข็มแรกเมื่ออายุเกิน 15 สัปดาห์)
• ข้อ ค. (Ebstein-Barr): ข้อนี้ไม่ใช่คำตอบที่ถูกต้องสำหรับภาวะ HIV infection เนื่องจากกลไกการออกฤทธิ์, efficacy หรือข้อบ่งใช้ไม่ตรงกับโจทย์ที่กำหนด
• ข้อ ง. (Group A streptococcus): ข้อนี้ไม่ใช่คำตอบที่ถูกต้องสำหรับภาวะ HIV infection เนื่องจากกลไกการออกฤทธิ์, efficacy หรือข้อบ่งใช้ไม่ตรงกับโจทย์ที่กำหนด
• ข้อ จ. (Gram negative Bacilli):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18" t="inlineStr"/>
      <c r="L222" s="18" t="inlineStr">
        <is>
          <t>HIV infection</t>
        </is>
      </c>
      <c r="M222" s="18" t="inlineStr">
        <is>
          <t>Clinic</t>
        </is>
      </c>
      <c r="N222" s="18" t="inlineStr">
        <is>
          <t>ข้อ 37 (Pharmtutor_2024_Set2.md)</t>
        </is>
      </c>
      <c r="O222" s="18" t="inlineStr">
        <is>
          <t>Mock</t>
        </is>
      </c>
      <c r="P222" s="18" t="inlineStr">
        <is>
          <t>Mock Pharmtutor 2024</t>
        </is>
      </c>
    </row>
    <row r="223">
      <c r="A223" s="15" t="inlineStr">
        <is>
          <t>224</t>
        </is>
      </c>
      <c r="B223" s="18"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18" t="inlineStr"/>
      <c r="D223" s="18" t="inlineStr">
        <is>
          <t>Dolutegravir 50 mg OD</t>
        </is>
      </c>
      <c r="E223" s="18" t="inlineStr">
        <is>
          <t>Vancomycin 1 g IV Q12H</t>
        </is>
      </c>
      <c r="F223" s="18" t="inlineStr">
        <is>
          <t>Meropenem 1 g IV Q8H</t>
        </is>
      </c>
      <c r="G223" s="18" t="inlineStr">
        <is>
          <t>Cefazolin 1 g IV Q8H</t>
        </is>
      </c>
      <c r="H223" s="18" t="inlineStr">
        <is>
          <t>Amoxicillin/Clavulanate 1 g BID</t>
        </is>
      </c>
      <c r="I223" s="15" t="inlineStr">
        <is>
          <t>1</t>
        </is>
      </c>
      <c r="J223" s="1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18" t="inlineStr"/>
      <c r="L223" s="18" t="inlineStr">
        <is>
          <t>Cystitis</t>
        </is>
      </c>
      <c r="M223" s="18" t="inlineStr">
        <is>
          <t>Clinic</t>
        </is>
      </c>
      <c r="N223" s="18" t="inlineStr">
        <is>
          <t>ข้อ 3 (PLE_CC1_2557.md)</t>
        </is>
      </c>
      <c r="O223" s="18" t="inlineStr">
        <is>
          <t>ข้อสอบจริง</t>
        </is>
      </c>
      <c r="P223" s="18" t="inlineStr">
        <is>
          <t>ปี 2557</t>
        </is>
      </c>
    </row>
    <row r="224">
      <c r="A224" s="15" t="inlineStr">
        <is>
          <t>225</t>
        </is>
      </c>
      <c r="B224" s="18"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18" t="inlineStr"/>
      <c r="D224" s="18" t="inlineStr">
        <is>
          <t>Cefazolin 1 g IV Q8H</t>
        </is>
      </c>
      <c r="E224" s="18" t="inlineStr">
        <is>
          <t>Amoxicillin/Clavulanate 1 g BID</t>
        </is>
      </c>
      <c r="F224" s="18" t="inlineStr">
        <is>
          <t>Ceftriaxone 1 g IV OD</t>
        </is>
      </c>
      <c r="G224" s="18" t="inlineStr">
        <is>
          <t>Ciprofloxacin 500 mg BID</t>
        </is>
      </c>
      <c r="H224" s="18" t="inlineStr">
        <is>
          <t>Azithromycin 500 mg OD</t>
        </is>
      </c>
      <c r="I224" s="15" t="inlineStr">
        <is>
          <t>1</t>
        </is>
      </c>
      <c r="J224" s="18"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18" t="inlineStr"/>
      <c r="L224" s="18" t="inlineStr">
        <is>
          <t>Pneumonia</t>
        </is>
      </c>
      <c r="M224" s="18" t="inlineStr">
        <is>
          <t>Clinic</t>
        </is>
      </c>
      <c r="N224" s="18" t="inlineStr">
        <is>
          <t>ข้อ 3 (PLE_CC1_2557.md)</t>
        </is>
      </c>
      <c r="O224" s="18" t="inlineStr">
        <is>
          <t>ข้อสอบจริง</t>
        </is>
      </c>
      <c r="P224" s="18" t="inlineStr">
        <is>
          <t>ปี 2557</t>
        </is>
      </c>
    </row>
    <row r="225">
      <c r="A225" s="15" t="inlineStr">
        <is>
          <t>226</t>
        </is>
      </c>
      <c r="B225" s="18"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18" t="inlineStr"/>
      <c r="D225" s="18" t="inlineStr">
        <is>
          <t>Ciprofloxacin 500 mg BID</t>
        </is>
      </c>
      <c r="E225" s="18" t="inlineStr">
        <is>
          <t>Azithromycin 500 mg OD</t>
        </is>
      </c>
      <c r="F225" s="18" t="inlineStr">
        <is>
          <t>Doxycycline 100 mg BID</t>
        </is>
      </c>
      <c r="G225" s="18" t="inlineStr">
        <is>
          <t>Cotrimoxazole 160/800 mg BID</t>
        </is>
      </c>
      <c r="H225" s="18" t="inlineStr">
        <is>
          <t>Metronidazole 400 mg TID</t>
        </is>
      </c>
      <c r="I225" s="15" t="inlineStr">
        <is>
          <t>1</t>
        </is>
      </c>
      <c r="J225" s="18"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18" t="inlineStr"/>
      <c r="L225" s="18" t="inlineStr">
        <is>
          <t>Pneumonia</t>
        </is>
      </c>
      <c r="M225" s="18" t="inlineStr">
        <is>
          <t>Clinic</t>
        </is>
      </c>
      <c r="N225" s="18" t="inlineStr">
        <is>
          <t>ข้อ 4 (PLE_CC1_2557.md)</t>
        </is>
      </c>
      <c r="O225" s="18" t="inlineStr">
        <is>
          <t>ข้อสอบจริง</t>
        </is>
      </c>
      <c r="P225" s="18" t="inlineStr">
        <is>
          <t>ปี 2557</t>
        </is>
      </c>
    </row>
    <row r="226">
      <c r="A226" s="15" t="inlineStr">
        <is>
          <t>227</t>
        </is>
      </c>
      <c r="B226" s="18" t="inlineStr">
        <is>
          <t>เป็น isotonic solution</t>
        </is>
      </c>
      <c r="C226" s="18" t="inlineStr"/>
      <c r="D226" s="18" t="inlineStr">
        <is>
          <t>Cotrimoxazole 160/800 mg BID</t>
        </is>
      </c>
      <c r="E226" s="18" t="inlineStr">
        <is>
          <t>Metronidazole 400 mg TID</t>
        </is>
      </c>
      <c r="F226" s="18" t="inlineStr">
        <is>
          <t>Nitrofurantoin 100 mg BID</t>
        </is>
      </c>
      <c r="G226" s="18" t="inlineStr">
        <is>
          <t>Tenofovir/Emtricitabine 300/200 mg OD</t>
        </is>
      </c>
      <c r="H226" s="18" t="inlineStr">
        <is>
          <t>Dolutegravir 50 mg OD</t>
        </is>
      </c>
      <c r="I226" s="15" t="inlineStr">
        <is>
          <t>1</t>
        </is>
      </c>
      <c r="J226" s="1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18" t="inlineStr"/>
      <c r="L226" s="18" t="inlineStr">
        <is>
          <t>Cystitis</t>
        </is>
      </c>
      <c r="M226" s="18" t="inlineStr">
        <is>
          <t>Clinic</t>
        </is>
      </c>
      <c r="N226" s="18" t="inlineStr">
        <is>
          <t>ข้อ 4 (PLE_CC1_2556.md)</t>
        </is>
      </c>
      <c r="O226" s="18" t="inlineStr">
        <is>
          <t>ข้อสอบจริง</t>
        </is>
      </c>
      <c r="P226" s="18" t="inlineStr">
        <is>
          <t>ปี 2556</t>
        </is>
      </c>
    </row>
    <row r="227">
      <c r="A227" s="15" t="inlineStr">
        <is>
          <t>228</t>
        </is>
      </c>
      <c r="B227" s="18" t="inlineStr">
        <is>
          <t>ข้อใดควรแนะนำสำหรับผู้ป่วยรายนี้ (Caseติดเชื้อ tricomonasis)</t>
        </is>
      </c>
      <c r="C227" s="18" t="inlineStr"/>
      <c r="D227" s="18" t="inlineStr">
        <is>
          <t>Tenofovir/Emtricitabine 300/200 mg OD</t>
        </is>
      </c>
      <c r="E227" s="18" t="inlineStr">
        <is>
          <t>Dolutegravir 50 mg OD</t>
        </is>
      </c>
      <c r="F227" s="18" t="inlineStr">
        <is>
          <t>Vancomycin 1 g IV Q12H</t>
        </is>
      </c>
      <c r="G227" s="18" t="inlineStr">
        <is>
          <t>Meropenem 1 g IV Q8H</t>
        </is>
      </c>
      <c r="H227" s="18" t="inlineStr">
        <is>
          <t>Cefazolin 1 g IV Q8H</t>
        </is>
      </c>
      <c r="I227" s="15" t="inlineStr">
        <is>
          <t>1</t>
        </is>
      </c>
      <c r="J227" s="1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18" t="inlineStr"/>
      <c r="L227" s="18" t="inlineStr">
        <is>
          <t>HIV infection</t>
        </is>
      </c>
      <c r="M227" s="18" t="inlineStr">
        <is>
          <t>Clinic</t>
        </is>
      </c>
      <c r="N227" s="18" t="inlineStr">
        <is>
          <t>ข้อ 5 (PLE_CC1_2556.md)</t>
        </is>
      </c>
      <c r="O227" s="18" t="inlineStr">
        <is>
          <t>ข้อสอบจริง</t>
        </is>
      </c>
      <c r="P227" s="18" t="inlineStr">
        <is>
          <t>ปี 2556</t>
        </is>
      </c>
    </row>
    <row r="228">
      <c r="A228" s="15" t="inlineStr">
        <is>
          <t>229</t>
        </is>
      </c>
      <c r="B228" s="18" t="inlineStr">
        <is>
          <t>ติดเชื้อแบคทีเรียในโพรงจมูก</t>
        </is>
      </c>
      <c r="C228" s="18" t="inlineStr"/>
      <c r="D228" s="18" t="inlineStr">
        <is>
          <t>Meropenem 1 g IV Q8H</t>
        </is>
      </c>
      <c r="E228" s="18" t="inlineStr">
        <is>
          <t>Cefazolin 1 g IV Q8H</t>
        </is>
      </c>
      <c r="F228" s="18" t="inlineStr">
        <is>
          <t>Amoxicillin/Clavulanate 1 g BID</t>
        </is>
      </c>
      <c r="G228" s="18" t="inlineStr">
        <is>
          <t>Ceftriaxone 1 g IV OD</t>
        </is>
      </c>
      <c r="H228" s="18" t="inlineStr">
        <is>
          <t>Ciprofloxacin 500 mg BID</t>
        </is>
      </c>
      <c r="I228" s="15" t="inlineStr">
        <is>
          <t>1</t>
        </is>
      </c>
      <c r="J228" s="1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18" t="inlineStr"/>
      <c r="L228" s="18" t="inlineStr">
        <is>
          <t>HIV infection</t>
        </is>
      </c>
      <c r="M228" s="18" t="inlineStr">
        <is>
          <t>Clinic</t>
        </is>
      </c>
      <c r="N228" s="18" t="inlineStr">
        <is>
          <t>ข้อ 2 (PLE_CC1_2555 Day 2.md)</t>
        </is>
      </c>
      <c r="O228" s="18" t="inlineStr">
        <is>
          <t>ข้อสอบจริง</t>
        </is>
      </c>
      <c r="P228" s="18" t="inlineStr">
        <is>
          <t>ปี 2555</t>
        </is>
      </c>
    </row>
    <row r="229">
      <c r="A229" s="15" t="inlineStr">
        <is>
          <t>230</t>
        </is>
      </c>
      <c r="B229" s="18" t="inlineStr">
        <is>
          <t>ติดเชื้อแบคทีเรีย</t>
        </is>
      </c>
      <c r="C229" s="18" t="inlineStr"/>
      <c r="D229" s="18" t="inlineStr">
        <is>
          <t>Ceftriaxone 1 g IV OD</t>
        </is>
      </c>
      <c r="E229" s="18" t="inlineStr">
        <is>
          <t>Ciprofloxacin 500 mg BID</t>
        </is>
      </c>
      <c r="F229" s="18" t="inlineStr">
        <is>
          <t>Azithromycin 500 mg OD</t>
        </is>
      </c>
      <c r="G229" s="18" t="inlineStr">
        <is>
          <t>Doxycycline 100 mg BID</t>
        </is>
      </c>
      <c r="H229" s="18" t="inlineStr">
        <is>
          <t>Cotrimoxazole 160/800 mg BID</t>
        </is>
      </c>
      <c r="I229" s="15" t="inlineStr">
        <is>
          <t>1</t>
        </is>
      </c>
      <c r="J229" s="1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18" t="inlineStr"/>
      <c r="L229" s="18" t="inlineStr">
        <is>
          <t>HIV infection</t>
        </is>
      </c>
      <c r="M229" s="18" t="inlineStr">
        <is>
          <t>Clinic</t>
        </is>
      </c>
      <c r="N229" s="18" t="inlineStr">
        <is>
          <t>ข้อ 1 (PLE_CC1_2555 Day 2.md)</t>
        </is>
      </c>
      <c r="O229" s="18" t="inlineStr">
        <is>
          <t>ข้อสอบจริง</t>
        </is>
      </c>
      <c r="P229" s="18" t="inlineStr">
        <is>
          <t>ปี 2555</t>
        </is>
      </c>
    </row>
    <row r="230">
      <c r="A230" s="15" t="inlineStr">
        <is>
          <t>231</t>
        </is>
      </c>
      <c r="B230" s="18" t="inlineStr">
        <is>
          <t>เปลี่ยนจาก amoxicillin เป็น ciprofloxacin</t>
        </is>
      </c>
      <c r="C230" s="18" t="inlineStr"/>
      <c r="D230" s="18" t="inlineStr">
        <is>
          <t>Doxycycline 100 mg BID</t>
        </is>
      </c>
      <c r="E230" s="18" t="inlineStr">
        <is>
          <t>Cotrimoxazole 160/800 mg BID</t>
        </is>
      </c>
      <c r="F230" s="18" t="inlineStr">
        <is>
          <t>Metronidazole 400 mg TID</t>
        </is>
      </c>
      <c r="G230" s="18" t="inlineStr">
        <is>
          <t>Nitrofurantoin 100 mg BID</t>
        </is>
      </c>
      <c r="H230" s="18" t="inlineStr">
        <is>
          <t>Tenofovir/Emtricitabine 300/200 mg OD</t>
        </is>
      </c>
      <c r="I230" s="15" t="inlineStr">
        <is>
          <t>1</t>
        </is>
      </c>
      <c r="J230" s="18"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18" t="inlineStr"/>
      <c r="L230" s="18" t="inlineStr">
        <is>
          <t>Cystitis</t>
        </is>
      </c>
      <c r="M230" s="18" t="inlineStr">
        <is>
          <t>Clinic</t>
        </is>
      </c>
      <c r="N230" s="18" t="inlineStr">
        <is>
          <t>ข้อ 3 (PLE_CC1_2555 Day 2.md)</t>
        </is>
      </c>
      <c r="O230" s="18" t="inlineStr">
        <is>
          <t>ข้อสอบจริง</t>
        </is>
      </c>
      <c r="P230" s="18" t="inlineStr">
        <is>
          <t>ปี 2555</t>
        </is>
      </c>
    </row>
    <row r="231">
      <c r="A231" s="15" t="inlineStr">
        <is>
          <t>232</t>
        </is>
      </c>
      <c r="B231" s="18" t="inlineStr">
        <is>
          <t>เปลี่ยนจาก amoxicillin เป็น azithromycin</t>
        </is>
      </c>
      <c r="C231" s="18" t="inlineStr"/>
      <c r="D231" s="18" t="inlineStr">
        <is>
          <t>Nitrofurantoin 100 mg BID</t>
        </is>
      </c>
      <c r="E231" s="18" t="inlineStr">
        <is>
          <t>Tenofovir/Emtricitabine 300/200 mg OD</t>
        </is>
      </c>
      <c r="F231" s="18" t="inlineStr">
        <is>
          <t>Dolutegravir 50 mg OD</t>
        </is>
      </c>
      <c r="G231" s="18" t="inlineStr">
        <is>
          <t>Vancomycin 1 g IV Q12H</t>
        </is>
      </c>
      <c r="H231" s="18" t="inlineStr">
        <is>
          <t>Meropenem 1 g IV Q8H</t>
        </is>
      </c>
      <c r="I231" s="15" t="inlineStr">
        <is>
          <t>1</t>
        </is>
      </c>
      <c r="J231" s="18"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18" t="inlineStr"/>
      <c r="L231" s="18" t="inlineStr">
        <is>
          <t>Pneumonia</t>
        </is>
      </c>
      <c r="M231" s="18" t="inlineStr">
        <is>
          <t>Clinic</t>
        </is>
      </c>
      <c r="N231" s="18" t="inlineStr">
        <is>
          <t>ข้อ 4 (PLE_CC1_2555 Day 2.md)</t>
        </is>
      </c>
      <c r="O231" s="18" t="inlineStr">
        <is>
          <t>ข้อสอบจริง</t>
        </is>
      </c>
      <c r="P231" s="18" t="inlineStr">
        <is>
          <t>ปี 2555</t>
        </is>
      </c>
    </row>
    <row r="232">
      <c r="A232" s="15" t="inlineStr">
        <is>
          <t>233</t>
        </is>
      </c>
      <c r="B232" s="18" t="inlineStr">
        <is>
          <t>ลด amoxicillin ลงครึ่งหนึ่ง</t>
        </is>
      </c>
      <c r="C232" s="18" t="inlineStr"/>
      <c r="D232" s="18" t="inlineStr">
        <is>
          <t>Vancomycin 1 g IV Q12H</t>
        </is>
      </c>
      <c r="E232" s="18" t="inlineStr">
        <is>
          <t>Meropenem 1 g IV Q8H</t>
        </is>
      </c>
      <c r="F232" s="18" t="inlineStr">
        <is>
          <t>Cefazolin 1 g IV Q8H</t>
        </is>
      </c>
      <c r="G232" s="18" t="inlineStr">
        <is>
          <t>Amoxicillin/Clavulanate 1 g BID</t>
        </is>
      </c>
      <c r="H232" s="18" t="inlineStr">
        <is>
          <t>Ceftriaxone 1 g IV OD</t>
        </is>
      </c>
      <c r="I232" s="15" t="inlineStr">
        <is>
          <t>1</t>
        </is>
      </c>
      <c r="J232" s="18"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18" t="inlineStr"/>
      <c r="L232" s="18" t="inlineStr">
        <is>
          <t>URTI</t>
        </is>
      </c>
      <c r="M232" s="18" t="inlineStr">
        <is>
          <t>Clinic</t>
        </is>
      </c>
      <c r="N232" s="18" t="inlineStr">
        <is>
          <t>ข้อ 5 (PLE_CC1_2555 Day 2.md)</t>
        </is>
      </c>
      <c r="O232" s="18" t="inlineStr">
        <is>
          <t>ข้อสอบจริง</t>
        </is>
      </c>
      <c r="P232" s="18" t="inlineStr">
        <is>
          <t>ปี 2555</t>
        </is>
      </c>
    </row>
    <row r="233">
      <c r="A233" s="15" t="inlineStr">
        <is>
          <t>234</t>
        </is>
      </c>
      <c r="B233" s="18" t="inlineStr">
        <is>
          <t>ติดเชื้อแบคทีเรีย แต่ติดเชื้อเพิ่มอีกตัวหนึ่ง</t>
        </is>
      </c>
      <c r="C233" s="18" t="inlineStr"/>
      <c r="D233" s="18" t="inlineStr">
        <is>
          <t>Amoxicillin/Clavulanate 1 g BID</t>
        </is>
      </c>
      <c r="E233" s="18" t="inlineStr">
        <is>
          <t>Ceftriaxone 1 g IV OD</t>
        </is>
      </c>
      <c r="F233" s="18" t="inlineStr">
        <is>
          <t>Ciprofloxacin 500 mg BID</t>
        </is>
      </c>
      <c r="G233" s="18" t="inlineStr">
        <is>
          <t>Azithromycin 500 mg OD</t>
        </is>
      </c>
      <c r="H233" s="18" t="inlineStr">
        <is>
          <t>Doxycycline 100 mg BID</t>
        </is>
      </c>
      <c r="I233" s="15" t="inlineStr">
        <is>
          <t>1</t>
        </is>
      </c>
      <c r="J233" s="1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18" t="inlineStr"/>
      <c r="L233" s="18" t="inlineStr">
        <is>
          <t>HIV infection</t>
        </is>
      </c>
      <c r="M233" s="18" t="inlineStr">
        <is>
          <t>Clinic</t>
        </is>
      </c>
      <c r="N233" s="18" t="inlineStr">
        <is>
          <t>ข้อ 2 (PLE_CC1_2555 Day 2.md)</t>
        </is>
      </c>
      <c r="O233" s="18" t="inlineStr">
        <is>
          <t>ข้อสอบจริง</t>
        </is>
      </c>
      <c r="P233" s="18" t="inlineStr">
        <is>
          <t>ปี 2555</t>
        </is>
      </c>
    </row>
    <row r="234">
      <c r="A234" s="15" t="inlineStr">
        <is>
          <t>236</t>
        </is>
      </c>
      <c r="B234" s="18" t="inlineStr">
        <is>
          <t>ติดเชื้อที่หูส่วนกลาง</t>
        </is>
      </c>
      <c r="C234" s="18" t="inlineStr"/>
      <c r="D234" s="18" t="inlineStr">
        <is>
          <t>Metronidazole 400 mg TID</t>
        </is>
      </c>
      <c r="E234" s="18" t="inlineStr">
        <is>
          <t>Nitrofurantoin 100 mg BID</t>
        </is>
      </c>
      <c r="F234" s="18" t="inlineStr">
        <is>
          <t>Tenofovir/Emtricitabine 300/200 mg OD</t>
        </is>
      </c>
      <c r="G234" s="18" t="inlineStr">
        <is>
          <t>Dolutegravir 50 mg OD</t>
        </is>
      </c>
      <c r="H234" s="18" t="inlineStr">
        <is>
          <t>Vancomycin 1 g IV Q12H</t>
        </is>
      </c>
      <c r="I234" s="15" t="inlineStr">
        <is>
          <t>1</t>
        </is>
      </c>
      <c r="J234" s="1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18" t="inlineStr"/>
      <c r="L234" s="18" t="inlineStr">
        <is>
          <t>HIV infection</t>
        </is>
      </c>
      <c r="M234" s="18" t="inlineStr">
        <is>
          <t>Clinic</t>
        </is>
      </c>
      <c r="N234" s="18" t="inlineStr">
        <is>
          <t>ข้อ 2 (PLE_CC1_2555 Day 2.md)</t>
        </is>
      </c>
      <c r="O234" s="18" t="inlineStr">
        <is>
          <t>ข้อสอบจริง</t>
        </is>
      </c>
      <c r="P234" s="18" t="inlineStr">
        <is>
          <t>ปี 2555</t>
        </is>
      </c>
    </row>
    <row r="235">
      <c r="A235" s="15" t="inlineStr">
        <is>
          <t>237</t>
        </is>
      </c>
      <c r="B235" s="18" t="inlineStr">
        <is>
          <t>Burrow solution</t>
        </is>
      </c>
      <c r="C235" s="18" t="inlineStr"/>
      <c r="D235" s="18" t="inlineStr">
        <is>
          <t>) .......... ointment</t>
        </is>
      </c>
      <c r="E235" s="18" t="inlineStr">
        <is>
          <t>Vancomycin 1 g IV Q12H</t>
        </is>
      </c>
      <c r="F235" s="18" t="inlineStr">
        <is>
          <t>Meropenem 1 g IV Q8H</t>
        </is>
      </c>
      <c r="G235" s="18" t="inlineStr">
        <is>
          <t>Cefazolin 1 g IV Q8H</t>
        </is>
      </c>
      <c r="H235" s="18" t="inlineStr">
        <is>
          <t>Amoxicillin/Clavulanate 1 g BID</t>
        </is>
      </c>
      <c r="I235" s="15" t="inlineStr">
        <is>
          <t>1</t>
        </is>
      </c>
      <c r="J235" s="18"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18" t="inlineStr"/>
      <c r="L235" s="18" t="inlineStr">
        <is>
          <t>Cystitis</t>
        </is>
      </c>
      <c r="M235" s="18" t="inlineStr">
        <is>
          <t>Clinic</t>
        </is>
      </c>
      <c r="N235" s="18" t="inlineStr">
        <is>
          <t>ข้อ 2 (PLE_CC1_2555 Day 2.md)</t>
        </is>
      </c>
      <c r="O235" s="18" t="inlineStr">
        <is>
          <t>ข้อสอบจริง</t>
        </is>
      </c>
      <c r="P235" s="18" t="inlineStr">
        <is>
          <t>ปี 2555</t>
        </is>
      </c>
    </row>
    <row r="236">
      <c r="A236" s="15" t="inlineStr">
        <is>
          <t>238</t>
        </is>
      </c>
      <c r="B236" s="18"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18" t="inlineStr"/>
      <c r="D236" s="18" t="inlineStr">
        <is>
          <t>Cefazolin 1 g IV Q8H</t>
        </is>
      </c>
      <c r="E236" s="18" t="inlineStr">
        <is>
          <t>Amoxicillin/Clavulanate 1 g BID</t>
        </is>
      </c>
      <c r="F236" s="18" t="inlineStr">
        <is>
          <t>Ceftriaxone 1 g IV OD</t>
        </is>
      </c>
      <c r="G236" s="18" t="inlineStr">
        <is>
          <t>Ciprofloxacin 500 mg BID</t>
        </is>
      </c>
      <c r="H236" s="18" t="inlineStr">
        <is>
          <t>Azithromycin 500 mg OD</t>
        </is>
      </c>
      <c r="I236" s="15" t="inlineStr">
        <is>
          <t>1</t>
        </is>
      </c>
      <c r="J236" s="1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18" t="inlineStr"/>
      <c r="L236" s="18" t="inlineStr">
        <is>
          <t>Cystitis</t>
        </is>
      </c>
      <c r="M236" s="18" t="inlineStr">
        <is>
          <t>Clinic</t>
        </is>
      </c>
      <c r="N236" s="18" t="inlineStr">
        <is>
          <t>ข้อ 5 (PLE_CC1_2555 Day 2.md)</t>
        </is>
      </c>
      <c r="O236" s="18" t="inlineStr">
        <is>
          <t>ข้อสอบจริง</t>
        </is>
      </c>
      <c r="P236" s="18" t="inlineStr">
        <is>
          <t>ปี 2555</t>
        </is>
      </c>
    </row>
    <row r="237">
      <c r="A237" s="15" t="inlineStr">
        <is>
          <t>239</t>
        </is>
      </c>
      <c r="B237" s="18" t="inlineStr">
        <is>
          <t>การจะตรวจว่าผู้ป่วยเป็นวัณโรคต้องตรวจหาเชื้ออะไร</t>
        </is>
      </c>
      <c r="C237" s="18" t="inlineStr"/>
      <c r="D237" s="18" t="inlineStr">
        <is>
          <t>Ciprofloxacin 500 mg BID</t>
        </is>
      </c>
      <c r="E237" s="18" t="inlineStr">
        <is>
          <t>Azithromycin 500 mg OD</t>
        </is>
      </c>
      <c r="F237" s="18" t="inlineStr">
        <is>
          <t>Doxycycline 100 mg BID</t>
        </is>
      </c>
      <c r="G237" s="18" t="inlineStr">
        <is>
          <t>Cotrimoxazole 160/800 mg BID</t>
        </is>
      </c>
      <c r="H237" s="18" t="inlineStr">
        <is>
          <t>Metronidazole 400 mg TID</t>
        </is>
      </c>
      <c r="I237" s="15" t="inlineStr">
        <is>
          <t>1</t>
        </is>
      </c>
      <c r="J237" s="1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18" t="inlineStr"/>
      <c r="L237" s="18" t="inlineStr">
        <is>
          <t>Tuberculosis</t>
        </is>
      </c>
      <c r="M237" s="18" t="inlineStr">
        <is>
          <t>Clinic</t>
        </is>
      </c>
      <c r="N237" s="18" t="inlineStr">
        <is>
          <t>ข้อ 1 (PLE_CC1_2555 Day 2.md)</t>
        </is>
      </c>
      <c r="O237" s="18" t="inlineStr">
        <is>
          <t>ข้อสอบจริง</t>
        </is>
      </c>
      <c r="P237" s="18" t="inlineStr">
        <is>
          <t>ปี 2555</t>
        </is>
      </c>
    </row>
    <row r="238">
      <c r="A238" s="15" t="inlineStr">
        <is>
          <t>240</t>
        </is>
      </c>
      <c r="B238" s="18" t="inlineStr">
        <is>
          <t>ติดเชื้อ HIV แต่ไม่ใช่ผู้ป่วยเอดส์</t>
        </is>
      </c>
      <c r="C238" s="18" t="inlineStr"/>
      <c r="D238" s="18" t="inlineStr">
        <is>
          <t>Cotrimoxazole 160/800 mg BID</t>
        </is>
      </c>
      <c r="E238" s="18" t="inlineStr">
        <is>
          <t>Metronidazole 400 mg TID</t>
        </is>
      </c>
      <c r="F238" s="18" t="inlineStr">
        <is>
          <t>Nitrofurantoin 100 mg BID</t>
        </is>
      </c>
      <c r="G238" s="18" t="inlineStr">
        <is>
          <t>Tenofovir/Emtricitabine 300/200 mg OD</t>
        </is>
      </c>
      <c r="H238" s="18" t="inlineStr">
        <is>
          <t>Dolutegravir 50 mg OD</t>
        </is>
      </c>
      <c r="I238" s="15" t="inlineStr">
        <is>
          <t>1</t>
        </is>
      </c>
      <c r="J238" s="18"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18" t="inlineStr"/>
      <c r="L238" s="18" t="inlineStr">
        <is>
          <t>HIV infection</t>
        </is>
      </c>
      <c r="M238" s="18" t="inlineStr">
        <is>
          <t>Clinic</t>
        </is>
      </c>
      <c r="N238" s="18" t="inlineStr">
        <is>
          <t>ข้อ 1 (PLE_CC1_2555 Day 2.md)</t>
        </is>
      </c>
      <c r="O238" s="18" t="inlineStr">
        <is>
          <t>ข้อสอบจริง</t>
        </is>
      </c>
      <c r="P238" s="18" t="inlineStr">
        <is>
          <t>ปี 2555</t>
        </is>
      </c>
    </row>
    <row r="239">
      <c r="A239" s="15" t="inlineStr">
        <is>
          <t>241</t>
        </is>
      </c>
      <c r="B239" s="18" t="inlineStr">
        <is>
          <t>ติดเชื้อวัณโรคแต่ไม่เป็นเอดส์</t>
        </is>
      </c>
      <c r="C239" s="18" t="inlineStr"/>
      <c r="D239" s="18" t="inlineStr">
        <is>
          <t>Tenofovir/Emtricitabine 300/200 mg OD</t>
        </is>
      </c>
      <c r="E239" s="18" t="inlineStr">
        <is>
          <t>Dolutegravir 50 mg OD</t>
        </is>
      </c>
      <c r="F239" s="18" t="inlineStr">
        <is>
          <t>Vancomycin 1 g IV Q12H</t>
        </is>
      </c>
      <c r="G239" s="18" t="inlineStr">
        <is>
          <t>Meropenem 1 g IV Q8H</t>
        </is>
      </c>
      <c r="H239" s="18" t="inlineStr">
        <is>
          <t>Cefazolin 1 g IV Q8H</t>
        </is>
      </c>
      <c r="I239" s="15" t="inlineStr">
        <is>
          <t>1</t>
        </is>
      </c>
      <c r="J239" s="18"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18" t="inlineStr"/>
      <c r="L239" s="18" t="inlineStr">
        <is>
          <t>Tuberculosis</t>
        </is>
      </c>
      <c r="M239" s="18" t="inlineStr">
        <is>
          <t>Clinic</t>
        </is>
      </c>
      <c r="N239" s="18" t="inlineStr">
        <is>
          <t>ข้อ 2 (PLE_CC1_2555 Day 2.md)</t>
        </is>
      </c>
      <c r="O239" s="18" t="inlineStr">
        <is>
          <t>ข้อสอบจริง</t>
        </is>
      </c>
      <c r="P239" s="18" t="inlineStr">
        <is>
          <t>ปี 2555</t>
        </is>
      </c>
    </row>
    <row r="240">
      <c r="A240" s="15" t="inlineStr">
        <is>
          <t>242</t>
        </is>
      </c>
      <c r="B240" s="18" t="inlineStr">
        <is>
          <t>เลือกสูตร GPO-vir หลังรักษา TB 2-4 สัปดาห์</t>
        </is>
      </c>
      <c r="C240" s="18" t="inlineStr"/>
      <c r="D240" s="18" t="inlineStr">
        <is>
          <t>Meropenem 1 g IV Q8H</t>
        </is>
      </c>
      <c r="E240" s="18" t="inlineStr">
        <is>
          <t>Cefazolin 1 g IV Q8H</t>
        </is>
      </c>
      <c r="F240" s="18" t="inlineStr">
        <is>
          <t>Amoxicillin/Clavulanate 1 g BID</t>
        </is>
      </c>
      <c r="G240" s="18" t="inlineStr">
        <is>
          <t>Ceftriaxone 1 g IV OD</t>
        </is>
      </c>
      <c r="H240" s="18" t="inlineStr">
        <is>
          <t>Ciprofloxacin 500 mg BID</t>
        </is>
      </c>
      <c r="I240" s="15" t="inlineStr">
        <is>
          <t>1</t>
        </is>
      </c>
      <c r="J240" s="18"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18" t="inlineStr"/>
      <c r="L240" s="18" t="inlineStr">
        <is>
          <t>Tuberculosis</t>
        </is>
      </c>
      <c r="M240" s="18" t="inlineStr">
        <is>
          <t>Clinic</t>
        </is>
      </c>
      <c r="N240" s="18" t="inlineStr">
        <is>
          <t>ข้อ 1 (PLE_CC1_2555 Day 2.md)</t>
        </is>
      </c>
      <c r="O240" s="18" t="inlineStr">
        <is>
          <t>ข้อสอบจริง</t>
        </is>
      </c>
      <c r="P240" s="18" t="inlineStr">
        <is>
          <t>ปี 2555</t>
        </is>
      </c>
    </row>
    <row r="241">
      <c r="A241" s="15" t="inlineStr">
        <is>
          <t>243</t>
        </is>
      </c>
      <c r="B241" s="18" t="inlineStr">
        <is>
          <t>เปลี่ยนเป็น Efavirenz เพื่อป้องกันการเกิดอันตรกิริยากับยา Rifampin</t>
        </is>
      </c>
      <c r="C241" s="18" t="inlineStr"/>
      <c r="D241" s="18" t="inlineStr">
        <is>
          <t>Ceftriaxone 1 g IV OD</t>
        </is>
      </c>
      <c r="E241" s="18" t="inlineStr">
        <is>
          <t>Ciprofloxacin 500 mg BID</t>
        </is>
      </c>
      <c r="F241" s="18" t="inlineStr">
        <is>
          <t>Azithromycin 500 mg OD</t>
        </is>
      </c>
      <c r="G241" s="18" t="inlineStr">
        <is>
          <t>Doxycycline 100 mg BID</t>
        </is>
      </c>
      <c r="H241" s="18" t="inlineStr">
        <is>
          <t>Cotrimoxazole 160/800 mg BID</t>
        </is>
      </c>
      <c r="I241" s="15" t="inlineStr">
        <is>
          <t>1</t>
        </is>
      </c>
      <c r="J241" s="1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18" t="inlineStr"/>
      <c r="L241" s="18" t="inlineStr">
        <is>
          <t>HIV infection</t>
        </is>
      </c>
      <c r="M241" s="18" t="inlineStr">
        <is>
          <t>Clinic</t>
        </is>
      </c>
      <c r="N241" s="18" t="inlineStr">
        <is>
          <t>ข้อ 4 (PLE_CC1_2555 Day 2.md)</t>
        </is>
      </c>
      <c r="O241" s="18" t="inlineStr">
        <is>
          <t>ข้อสอบจริง</t>
        </is>
      </c>
      <c r="P241" s="18" t="inlineStr">
        <is>
          <t>ปี 2555</t>
        </is>
      </c>
    </row>
    <row r="242">
      <c r="A242" s="15" t="inlineStr">
        <is>
          <t>244</t>
        </is>
      </c>
      <c r="B242" s="18" t="inlineStr">
        <is>
          <t>KI+I2 เป็นการเตรียมยาโดยใช้เทคนิคพิเศษที่เรียกว่าอะไร</t>
        </is>
      </c>
      <c r="C242" s="18" t="inlineStr"/>
      <c r="D242" s="18" t="inlineStr">
        <is>
          <t>complexation</t>
        </is>
      </c>
      <c r="E242" s="18" t="inlineStr">
        <is>
          <t>trituration</t>
        </is>
      </c>
      <c r="F242" s="18" t="inlineStr">
        <is>
          <t>emulsification</t>
        </is>
      </c>
      <c r="G242" s="18" t="inlineStr">
        <is>
          <t>suspension</t>
        </is>
      </c>
      <c r="H242" s="18" t="inlineStr">
        <is>
          <t>levigation 39.การทำ KI+I2 ควรเตรียมโดยข้อใด</t>
        </is>
      </c>
      <c r="I242" s="15" t="inlineStr">
        <is>
          <t>1</t>
        </is>
      </c>
      <c r="J242" s="18"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ข้อนี้ไม่ใช่คำตอบที่ถูกต้องสำหรับภาวะ HIV infection เนื่องจากกลไกการออกฤทธิ์, efficacy หรือข้อบ่งใช้ไม่ตรงกับโจทย์ที่กำหนด
• ข้อ ค. (emulsification): ข้อนี้ไม่ใช่คำตอบที่ถูกต้องสำหรับภาวะ HIV infection เนื่องจากกลไกการออกฤทธิ์, efficacy หรือข้อบ่งใช้ไม่ตรงกับโจทย์ที่กำหนด
• ข้อ ง. (suspension): ข้อนี้ไม่ใช่คำตอบที่ถูกต้องสำหรับภาวะ HIV infection เนื่องจากกลไกการออกฤทธิ์, efficacy หรือข้อบ่งใช้ไม่ตรงกับโจทย์ที่กำหนด
• ข้อ จ. (levigation 39.การทำ KI+I2 ควรเตรียมโดยข้อใด):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18" t="inlineStr"/>
      <c r="L242" s="18" t="inlineStr">
        <is>
          <t>HIV infection</t>
        </is>
      </c>
      <c r="M242" s="18" t="inlineStr">
        <is>
          <t>Clinic</t>
        </is>
      </c>
      <c r="N242" s="18" t="inlineStr">
        <is>
          <t>ข้อ 38 (PLE_CC1_2554 SET1.md)</t>
        </is>
      </c>
      <c r="O242" s="18" t="inlineStr">
        <is>
          <t>ข้อสอบจริง</t>
        </is>
      </c>
      <c r="P242" s="18" t="inlineStr">
        <is>
          <t>ปี 2554</t>
        </is>
      </c>
    </row>
    <row r="243">
      <c r="A243" s="15" t="inlineStr">
        <is>
          <t>245</t>
        </is>
      </c>
      <c r="B243" s="18" t="inlineStr">
        <is>
          <t>ผลข้างเคียงจากการใช้ยา acyclovir</t>
        </is>
      </c>
      <c r="C243" s="18" t="inlineStr"/>
      <c r="D243" s="18" t="inlineStr">
        <is>
          <t>ปวดเมื่อย</t>
        </is>
      </c>
      <c r="E243" s="18" t="inlineStr">
        <is>
          <t>ตาพร่า</t>
        </is>
      </c>
      <c r="F243" s="18" t="inlineStr">
        <is>
          <t>คลื่นไส้ อาเจียน</t>
        </is>
      </c>
      <c r="G243" s="18" t="inlineStr">
        <is>
          <t>หยุดหายใจ อ้างอิง: www.drugs.com</t>
        </is>
      </c>
      <c r="H243" s="18" t="inlineStr">
        <is>
          <t>Meropenem 1 g IV Q8H</t>
        </is>
      </c>
      <c r="I243" s="15" t="inlineStr">
        <is>
          <t>3</t>
        </is>
      </c>
      <c r="J243" s="18"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ข้อนี้ไม่ใช่คำตอบที่ถูกต้องสำหรับภาวะ HIV infection เนื่องจากกลไกการออกฤทธิ์, efficacy หรือข้อบ่งใช้ไม่ตรงกับโจทย์ที่กำหนด
• ข้อ ข. (ตาพร่า): ข้อนี้ไม่ใช่คำตอบที่ถูกต้องสำหรับภาวะ HIV infection เนื่องจากกลไกการออกฤทธิ์, efficacy หรือข้อบ่งใช้ไม่ตรงกับโจทย์ที่กำหนด
• ข้อ ง. (หยุดหายใจ อ้างอิง: www.drugs.com): ข้อนี้ไม่ใช่คำตอบที่ถูกต้องสำหรับภาวะ HIV infection เนื่องจากกลไกการออกฤทธิ์, efficacy หรือข้อบ่งใช้ไม่ตรงกับโจทย์ที่กำหนด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18" t="inlineStr"/>
      <c r="L243" s="18" t="inlineStr">
        <is>
          <t>HIV infection</t>
        </is>
      </c>
      <c r="M243" s="18" t="inlineStr">
        <is>
          <t>Clinic</t>
        </is>
      </c>
      <c r="N243" s="18" t="inlineStr">
        <is>
          <t>ข้อ 6 (PLE_CC1_2554 SET2.md)</t>
        </is>
      </c>
      <c r="O243" s="18" t="inlineStr">
        <is>
          <t>ข้อสอบจริง</t>
        </is>
      </c>
      <c r="P243" s="18" t="inlineStr">
        <is>
          <t>ปี 2554</t>
        </is>
      </c>
    </row>
    <row r="244">
      <c r="A244" s="15" t="inlineStr">
        <is>
          <t>246</t>
        </is>
      </c>
      <c r="B244" s="18"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18" t="inlineStr"/>
      <c r="D244" s="18" t="inlineStr">
        <is>
          <t>Vancomycin 1 g IV Q12H</t>
        </is>
      </c>
      <c r="E244" s="18" t="inlineStr">
        <is>
          <t>Meropenem 1 g IV Q8H</t>
        </is>
      </c>
      <c r="F244" s="18" t="inlineStr">
        <is>
          <t>Cefazolin 1 g IV Q8H</t>
        </is>
      </c>
      <c r="G244" s="18" t="inlineStr">
        <is>
          <t>Amoxicillin/Clavulanate 1 g BID</t>
        </is>
      </c>
      <c r="H244" s="18" t="inlineStr">
        <is>
          <t>Ceftriaxone 1 g IV OD</t>
        </is>
      </c>
      <c r="I244" s="15" t="inlineStr">
        <is>
          <t>1</t>
        </is>
      </c>
      <c r="J244" s="18"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18" t="inlineStr"/>
      <c r="L244" s="18" t="inlineStr">
        <is>
          <t>Cystitis</t>
        </is>
      </c>
      <c r="M244" s="18" t="inlineStr">
        <is>
          <t>Clinic</t>
        </is>
      </c>
      <c r="N244" s="18" t="inlineStr">
        <is>
          <t>ข้อ 1 (PLE_CC1_2554 SET2.md)</t>
        </is>
      </c>
      <c r="O244" s="18" t="inlineStr">
        <is>
          <t>ข้อสอบจริง</t>
        </is>
      </c>
      <c r="P244" s="18" t="inlineStr">
        <is>
          <t>ปี 2554</t>
        </is>
      </c>
    </row>
    <row r="245">
      <c r="A245" s="15" t="inlineStr">
        <is>
          <t>247</t>
        </is>
      </c>
      <c r="B245" s="18" t="inlineStr">
        <is>
          <t>ท่านควรจ่ายปฏิชีวนะใด แก่ผู้ป่วยรายนี้ เพื่อป้องกันการติดเชื้อข้างต้น ก . ketoconazole</t>
        </is>
      </c>
      <c r="C245" s="18" t="inlineStr"/>
      <c r="D245" s="18" t="inlineStr">
        <is>
          <t>imipenam ค . tetracycline</t>
        </is>
      </c>
      <c r="E245" s="18" t="inlineStr">
        <is>
          <t>amoxicillin</t>
        </is>
      </c>
      <c r="F245" s="18" t="inlineStr">
        <is>
          <t>cloxacillin carbapenem (MSSA) โดย cloxacillin มีประสิทธิภาพดีที่สุดใน ,cephalosporin ส่วน ketoconazole เป็นยารักษาเชื้อรา (Survival Guide on Pharmacotherapy Vol. 1)</t>
        </is>
      </c>
      <c r="G245" s="18" t="inlineStr">
        <is>
          <t>Azithromycin 500 mg OD</t>
        </is>
      </c>
      <c r="H245" s="18" t="inlineStr">
        <is>
          <t>Doxycycline 100 mg BID</t>
        </is>
      </c>
      <c r="I245" s="15" t="inlineStr">
        <is>
          <t>5</t>
        </is>
      </c>
      <c r="J245" s="18"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ข้อนี้ไม่ใช่คำตอบที่ถูกต้องสำหรับภาวะ HIV infection เนื่องจากกลไกการออกฤทธิ์, efficacy หรือข้อบ่งใช้ไม่ตรงกับโจทย์ที่กำหนด
• ข้อ ข. (amoxicillin): เป็น Aminopenicillin ยับยั้ง bacterial cell wall synthesis เป็น first-line สำหรับ uncomplicated bacterial infections (เช่น Strep pharyngitis, AOM, sinusitis)
• ข้อ ค. (cloxacillin carbapenem (MSSA) โดย cloxacillin มีประสิทธิภาพดีที่สุดใน ,cephalosporin ส่วน ketoconazole เป็นยารักษาเชื้อรา (Survival Guide on Pharmacotherapy Vol. 1)): เป็น penicillinase-resistant penicillin เป็น drug of choice สำหรับ Methicillin-Susceptible Staphylococcus aureus (MSSA) infections ต้องรับประทานตอนท้องว่าง
• ข้อ ง.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18" t="inlineStr"/>
      <c r="L245" s="18" t="inlineStr">
        <is>
          <t>HIV infection</t>
        </is>
      </c>
      <c r="M245" s="18" t="inlineStr">
        <is>
          <t>Clinic</t>
        </is>
      </c>
      <c r="N245" s="18" t="inlineStr">
        <is>
          <t>ข้อ 24 (PLE_CC1_2554 SET2.md)</t>
        </is>
      </c>
      <c r="O245" s="18" t="inlineStr">
        <is>
          <t>ข้อสอบจริง</t>
        </is>
      </c>
      <c r="P245" s="18" t="inlineStr">
        <is>
          <t>ปี 2554</t>
        </is>
      </c>
    </row>
    <row r="246">
      <c r="A246" s="15" t="inlineStr">
        <is>
          <t>248</t>
        </is>
      </c>
      <c r="B246" s="18" t="inlineStr">
        <is>
          <t>ข้อใดถูกต้องเกี่ยวกับกลไกของยา acyclovir</t>
        </is>
      </c>
      <c r="C246" s="18" t="inlineStr"/>
      <c r="D246" s="18" t="inlineStr">
        <is>
          <t>ยับยั้ง RNA polymerase</t>
        </is>
      </c>
      <c r="E246" s="18" t="inlineStr">
        <is>
          <t>เปลี่ยนเป็น triphosphate เท่านั้น จึงจะออกฤทธิ์</t>
        </is>
      </c>
      <c r="F246" s="18" t="inlineStr">
        <is>
          <t>เป็น product เมื่อเข้าสู่ร่างกายจะกลายเป็น valacyclovir</t>
        </is>
      </c>
      <c r="G246" s="18" t="inlineStr">
        <is>
          <t>มีเฉพาะรูปแบบยารับประทานเท่านั้น</t>
        </is>
      </c>
      <c r="H246" s="18"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15" t="inlineStr">
        <is>
          <t>2</t>
        </is>
      </c>
      <c r="J246" s="18"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ข้อนี้ไม่ใช่คำตอบที่ถูกต้องสำหรับภาวะ HIV infection เนื่องจากกลไกการออกฤทธิ์, efficacy หรือข้อบ่งใช้ไม่ตรงกับโจทย์ที่กำหนด
• ข้อ ค. (เป็น product เมื่อเข้าสู่ร่างกายจะกลายเป็น valacyclovir): เป็น Guanosine analog ยับยั้ง HSV และ VZV polymerase ต้องดื่มน้ำมากๆ ระหว่างได้ยา IV เพื่อป้องกัน crystal nephropathy และ obstructive AKI
• ข้อ ง. (มีเฉพาะรูปแบบยารับประทานเท่านั้น): ข้อนี้ไม่ใช่คำตอบที่ถูกต้องสำหรับภาวะ HIV infection เนื่องจากกลไกการออกฤทธิ์, efficacy หรือข้อบ่งใช้ไม่ตรงกับโจทย์ที่กำหนด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18" t="inlineStr"/>
      <c r="L246" s="18" t="inlineStr">
        <is>
          <t>HIV infection</t>
        </is>
      </c>
      <c r="M246" s="18" t="inlineStr">
        <is>
          <t>Clinic</t>
        </is>
      </c>
      <c r="N246" s="18" t="inlineStr">
        <is>
          <t>ข้อ 4 (PLE_CC1_2554 SET2.md)</t>
        </is>
      </c>
      <c r="O246" s="18" t="inlineStr">
        <is>
          <t>ข้อสอบจริง</t>
        </is>
      </c>
      <c r="P246" s="18" t="inlineStr">
        <is>
          <t>ปี 2554</t>
        </is>
      </c>
    </row>
    <row r="247">
      <c r="A247" s="15" t="inlineStr">
        <is>
          <t>249</t>
        </is>
      </c>
      <c r="B247" s="18" t="inlineStr">
        <is>
          <t>renal insufficiency Precautions</t>
        </is>
      </c>
      <c r="C247" s="18" t="inlineStr"/>
      <c r="D247" s="18" t="inlineStr">
        <is>
          <t>Metronidazole 400 mg TID</t>
        </is>
      </c>
      <c r="E247" s="18" t="inlineStr">
        <is>
          <t>Nitrofurantoin 100 mg BID</t>
        </is>
      </c>
      <c r="F247" s="18" t="inlineStr">
        <is>
          <t>Tenofovir/Emtricitabine 300/200 mg OD</t>
        </is>
      </c>
      <c r="G247" s="18" t="inlineStr">
        <is>
          <t>Dolutegravir 50 mg OD</t>
        </is>
      </c>
      <c r="H247" s="18" t="inlineStr">
        <is>
          <t>Vancomycin 1 g IV Q12H</t>
        </is>
      </c>
      <c r="I247" s="15" t="inlineStr">
        <is>
          <t>1</t>
        </is>
      </c>
      <c r="J247" s="1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18" t="inlineStr"/>
      <c r="L247" s="18" t="inlineStr">
        <is>
          <t>Cystitis</t>
        </is>
      </c>
      <c r="M247" s="18" t="inlineStr">
        <is>
          <t>Clinic</t>
        </is>
      </c>
      <c r="N247" s="18" t="inlineStr">
        <is>
          <t>ข้อ 2 (PLE_CC1_2533.md)</t>
        </is>
      </c>
      <c r="O247" s="18" t="inlineStr">
        <is>
          <t>ข้อสอบจริง</t>
        </is>
      </c>
      <c r="P247" s="18" t="inlineStr">
        <is>
          <t>ปี 2533</t>
        </is>
      </c>
    </row>
    <row r="248">
      <c r="A248" s="15" t="inlineStr">
        <is>
          <t>250</t>
        </is>
      </c>
      <c r="B248" s="18"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18" t="inlineStr"/>
      <c r="D248" s="18" t="inlineStr">
        <is>
          <t>Dolutegravir 50 mg OD</t>
        </is>
      </c>
      <c r="E248" s="18" t="inlineStr">
        <is>
          <t>Vancomycin 1 g IV Q12H</t>
        </is>
      </c>
      <c r="F248" s="18" t="inlineStr">
        <is>
          <t>Meropenem 1 g IV Q8H</t>
        </is>
      </c>
      <c r="G248" s="18" t="inlineStr">
        <is>
          <t>Cefazolin 1 g IV Q8H</t>
        </is>
      </c>
      <c r="H248" s="18" t="inlineStr">
        <is>
          <t>Amoxicillin/Clavulanate 1 g BID</t>
        </is>
      </c>
      <c r="I248" s="15" t="inlineStr">
        <is>
          <t>1</t>
        </is>
      </c>
      <c r="J248" s="1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18" t="inlineStr"/>
      <c r="L248" s="18" t="inlineStr">
        <is>
          <t>HIV infection</t>
        </is>
      </c>
      <c r="M248" s="18" t="inlineStr">
        <is>
          <t>Clinic</t>
        </is>
      </c>
      <c r="N248" s="18" t="inlineStr">
        <is>
          <t>ข้อ 8 (PLE_CC1_2533.md)</t>
        </is>
      </c>
      <c r="O248" s="18" t="inlineStr">
        <is>
          <t>ข้อสอบจริง</t>
        </is>
      </c>
      <c r="P248" s="18" t="inlineStr">
        <is>
          <t>ปี 2533</t>
        </is>
      </c>
    </row>
    <row r="249">
      <c r="A249" s="15" t="inlineStr">
        <is>
          <t>251</t>
        </is>
      </c>
      <c r="B249" s="18" t="inlineStr">
        <is>
          <t>โรคติดเชื้อ 65 81</t>
        </is>
      </c>
      <c r="C249" s="18" t="inlineStr"/>
      <c r="D249" s="18" t="inlineStr">
        <is>
          <t>Cefazolin 1 g IV Q8H</t>
        </is>
      </c>
      <c r="E249" s="18" t="inlineStr">
        <is>
          <t>Amoxicillin/Clavulanate 1 g BID</t>
        </is>
      </c>
      <c r="F249" s="18" t="inlineStr">
        <is>
          <t>Ceftriaxone 1 g IV OD</t>
        </is>
      </c>
      <c r="G249" s="18" t="inlineStr">
        <is>
          <t>Ciprofloxacin 500 mg BID</t>
        </is>
      </c>
      <c r="H249" s="18" t="inlineStr">
        <is>
          <t>Azithromycin 500 mg OD</t>
        </is>
      </c>
      <c r="I249" s="15" t="inlineStr">
        <is>
          <t>3</t>
        </is>
      </c>
      <c r="J249" s="18"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18" t="inlineStr"/>
      <c r="L249" s="18" t="inlineStr">
        <is>
          <t>HIV infection</t>
        </is>
      </c>
      <c r="M249" s="18" t="inlineStr">
        <is>
          <t>Clinic</t>
        </is>
      </c>
      <c r="N249" s="18" t="inlineStr">
        <is>
          <t>ข้อ 4 (PLE_CC1_Practice_Exam.md)</t>
        </is>
      </c>
      <c r="O249" s="18" t="inlineStr">
        <is>
          <t>Mock</t>
        </is>
      </c>
      <c r="P249" s="18" t="inlineStr">
        <is>
          <t>Mock สภาเภสัชฯ Practice</t>
        </is>
      </c>
    </row>
    <row r="250">
      <c r="A250" s="15" t="inlineStr">
        <is>
          <t>252</t>
        </is>
      </c>
      <c r="B250" s="18"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18" t="inlineStr"/>
      <c r="D250" s="18" t="inlineStr">
        <is>
          <t>Ciprofloxacin 500 mg BID</t>
        </is>
      </c>
      <c r="E250" s="18" t="inlineStr">
        <is>
          <t>Azithromycin 500 mg OD</t>
        </is>
      </c>
      <c r="F250" s="18" t="inlineStr">
        <is>
          <t>Doxycycline 100 mg BID</t>
        </is>
      </c>
      <c r="G250" s="18" t="inlineStr">
        <is>
          <t>Cotrimoxazole 160/800 mg BID</t>
        </is>
      </c>
      <c r="H250" s="18" t="inlineStr">
        <is>
          <t>Metronidazole 400 mg TID</t>
        </is>
      </c>
      <c r="I250" s="15" t="inlineStr">
        <is>
          <t>1</t>
        </is>
      </c>
      <c r="J250" s="1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18" t="inlineStr"/>
      <c r="L250" s="18" t="inlineStr">
        <is>
          <t>HIV infection</t>
        </is>
      </c>
      <c r="M250" s="18" t="inlineStr">
        <is>
          <t>Clinic</t>
        </is>
      </c>
      <c r="N250" s="18" t="inlineStr">
        <is>
          <t>ข้อ 4 (PLE_CC1_Practice_Exam.md)</t>
        </is>
      </c>
      <c r="O250" s="18" t="inlineStr">
        <is>
          <t>Mock</t>
        </is>
      </c>
      <c r="P250" s="18" t="inlineStr">
        <is>
          <t>Mock สภาเภสัชฯ Practice</t>
        </is>
      </c>
    </row>
    <row r="251">
      <c r="A251" s="15" t="inlineStr">
        <is>
          <t>253</t>
        </is>
      </c>
      <c r="B251" s="18" t="inlineStr">
        <is>
          <t>ผู้ป่วยควรได้รับการรักษาด้วยยาต้านเชื้อวัณโรคสูตรใด</t>
        </is>
      </c>
      <c r="C251" s="18" t="inlineStr"/>
      <c r="D251" s="18" t="inlineStr">
        <is>
          <t>4HRZE/2HR</t>
        </is>
      </c>
      <c r="E251" s="18" t="inlineStr">
        <is>
          <t>2HRZES/1HRZE/5HRE</t>
        </is>
      </c>
      <c r="F251" s="18" t="inlineStr">
        <is>
          <t>2HRZE/4HR</t>
        </is>
      </c>
      <c r="G251" s="18" t="inlineStr">
        <is>
          <t>2RZE/10RE</t>
        </is>
      </c>
      <c r="H251" s="18" t="inlineStr">
        <is>
          <t>2SHE/16HE</t>
        </is>
      </c>
      <c r="I251" s="15" t="inlineStr">
        <is>
          <t>1</t>
        </is>
      </c>
      <c r="J251" s="18"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(2HRZES/1HRZE/5HRE): ข้อนี้ไม่ใช่คำตอบที่ถูกต้องสำหรับภาวะ Tuberculosis เนื่องจากกลไกการออกฤทธิ์, efficacy หรือข้อบ่งใช้ไม่ตรงกับโจทย์ที่กำหนด
• ข้อ ค. (2HRZE/4HR): ข้อนี้ไม่ใช่คำตอบที่ถูกต้องสำหรับภาวะ Tuberculosis เนื่องจากกลไกการออกฤทธิ์, efficacy หรือข้อบ่งใช้ไม่ตรงกับโจทย์ที่กำหนด
• ข้อ ง. (2RZE/10RE): ข้อนี้ไม่ใช่คำตอบที่ถูกต้องสำหรับภาวะ Tuberculosis เนื่องจากกลไกการออกฤทธิ์, efficacy หรือข้อบ่งใช้ไม่ตรงกับโจทย์ที่กำหนด
• ข้อ จ. (2SHE/16HE):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18" t="inlineStr"/>
      <c r="L251" s="18" t="inlineStr">
        <is>
          <t>Tuberculosis</t>
        </is>
      </c>
      <c r="M251" s="18" t="inlineStr">
        <is>
          <t>Clinic</t>
        </is>
      </c>
      <c r="N251" s="18" t="inlineStr">
        <is>
          <t>ข้อ 1 (PLE_CC1_Practice_Exam.md)</t>
        </is>
      </c>
      <c r="O251" s="18" t="inlineStr">
        <is>
          <t>Mock</t>
        </is>
      </c>
      <c r="P251" s="18" t="inlineStr">
        <is>
          <t>Mock สภาเภสัชฯ Practice</t>
        </is>
      </c>
    </row>
    <row r="252">
      <c r="A252" s="15" t="inlineStr">
        <is>
          <t>254</t>
        </is>
      </c>
      <c r="B252" s="18" t="inlineStr">
        <is>
          <t>ข้อใดต่อไปนี้กล่าวผิดเกี่ยวกับยา Isoniazid</t>
        </is>
      </c>
      <c r="C252" s="18" t="inlineStr"/>
      <c r="D252" s="18" t="inlineStr">
        <is>
          <t>ยาออกฤทธิ์ต้านเชื้อวัณโรคโดยยับยั้งการสร้าง DNA ของเชื้อวัณโรค</t>
        </is>
      </c>
      <c r="E252" s="18" t="inlineStr">
        <is>
          <t>ในผู้ป่วยรายนี้สามารถได้รับยา Isoniazid ในขนาด 300 mg ต่อวันได้</t>
        </is>
      </c>
      <c r="F252" s="18" t="inlineStr">
        <is>
          <t>ยาลดกรดสามารถลดประสิทธิภาพของยา Isoniazid</t>
        </is>
      </c>
      <c r="G252" s="18" t="inlineStr">
        <is>
          <t>ผู้ป่วยทุกรายที่ได้รับยา Isoniazid ควรต้องได้รับ Pyridoxine</t>
        </is>
      </c>
      <c r="H252" s="18"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15" t="inlineStr">
        <is>
          <t>1</t>
        </is>
      </c>
      <c r="J252" s="18"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(ยาลดกรดสามารถลดประสิทธิภาพของยา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(ผู้ป่วยทุกรายที่ได้รับยา Isoniazid ควรต้องได้รับ Pyridoxine):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18" t="inlineStr"/>
      <c r="L252" s="18" t="inlineStr">
        <is>
          <t>Tuberculosis</t>
        </is>
      </c>
      <c r="M252" s="18" t="inlineStr">
        <is>
          <t>Clinic</t>
        </is>
      </c>
      <c r="N252" s="18" t="inlineStr">
        <is>
          <t>ข้อ 2 (PLE_CC1_Practice_Exam.md)</t>
        </is>
      </c>
      <c r="O252" s="18" t="inlineStr">
        <is>
          <t>Mock</t>
        </is>
      </c>
      <c r="P252" s="18" t="inlineStr">
        <is>
          <t>Mock สภาเภสัชฯ Practice</t>
        </is>
      </c>
    </row>
    <row r="253">
      <c r="A253" s="15" t="inlineStr">
        <is>
          <t>255</t>
        </is>
      </c>
      <c r="B253" s="18"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18" t="inlineStr"/>
      <c r="D253" s="18" t="inlineStr">
        <is>
          <t>การให้แบบ bolus injection อาจทำให้เกิด cardiotoxic effects เช่น หัวใจหยุดเต้นได้</t>
        </is>
      </c>
      <c r="E253" s="18" t="inlineStr">
        <is>
          <t>การให้แบบ bolus injection ทำให้ยาอยู่ในกระแสเลือดไม่นานพอที่จะฆ่าเชื้อได้หมด</t>
        </is>
      </c>
      <c r="F253" s="18"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18" t="inlineStr">
        <is>
          <t>การให้แบบ bolus injection ทำให้เกิดผลข้างเคียงจากยาโดยทั่วไปลดลง แต่ผลข้างเคียงถึงแก่ชีวิตเพิ่ม มากขึ้นอย่างมาก</t>
        </is>
      </c>
      <c r="H253" s="18" t="inlineStr">
        <is>
          <t>ตำรับของตัวยาอยู่ในรูป emulsion แบบ w/o ไม่สามารถให้แบบ IV ได้</t>
        </is>
      </c>
      <c r="I253" s="15" t="inlineStr">
        <is>
          <t>1</t>
        </is>
      </c>
      <c r="J253" s="18"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วัคซีนไข้สมองอักเสบเจอี ชนิดเชื้อเป็น (Live attenuated CD.JEV) ให้ 2 เข็ม ที่อายุ 9-12 เดือน และเข็ม 2 ห่างกัน 3-12 เดือน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ง. (การให้แบบ bolus injection ทำให้เกิดผลข้างเคียงจากยาโดยทั่วไปลดลง แต่ผลข้างเคียงถึงแก่ชีวิตเพิ่ม มากขึ้นอย่างมาก): วัคซีนไข้สมองอักเสบเจอี ชนิดเชื้อเป็น (Live attenuated CD.JEV) ให้ 2 เข็ม ที่อายุ 9-12 เดือน และเข็ม 2 ห่างกัน 3-12 เดือน
• ข้อ จ. (ตำรับของตัวยาอยู่ในรูป emulsion แบบ w/o ไม่สามารถให้แบบ IV 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18" t="inlineStr"/>
      <c r="L253" s="18" t="inlineStr">
        <is>
          <t>HIV infection</t>
        </is>
      </c>
      <c r="M253" s="18" t="inlineStr">
        <is>
          <t>Clinic</t>
        </is>
      </c>
      <c r="N253" s="18" t="inlineStr">
        <is>
          <t>ข้อ 33 (PLE_CC1_Practice_Exam.md)</t>
        </is>
      </c>
      <c r="O253" s="18" t="inlineStr">
        <is>
          <t>Mock</t>
        </is>
      </c>
      <c r="P253" s="18" t="inlineStr">
        <is>
          <t>Mock สภาเภสัชฯ Practice</t>
        </is>
      </c>
    </row>
    <row r="254">
      <c r="A254" s="15" t="inlineStr">
        <is>
          <t>256</t>
        </is>
      </c>
      <c r="B254" s="18" t="inlineStr">
        <is>
          <t>ตัวยา Metronidazole สามารถใช้รักษาการติดเชื้อของสิ่งมีชีวิตกลุ่มใดได้บ้าง</t>
        </is>
      </c>
      <c r="C254" s="18" t="inlineStr"/>
      <c r="D254" s="18" t="inlineStr">
        <is>
          <t>Virus</t>
        </is>
      </c>
      <c r="E254" s="18" t="inlineStr">
        <is>
          <t>Protozoa</t>
        </is>
      </c>
      <c r="F254" s="18" t="inlineStr">
        <is>
          <t>Aerobic bacteria</t>
        </is>
      </c>
      <c r="G254" s="18"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18" t="inlineStr">
        <is>
          <t>ถูกต้องทั้งข้อ ข และ ง</t>
        </is>
      </c>
      <c r="I254" s="15" t="inlineStr">
        <is>
          <t>1</t>
        </is>
      </c>
      <c r="J254" s="18"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(Protozoa): ข้อนี้ไม่ใช่คำตอบที่ถูกต้องสำหรับภาวะ STDs &amp; vaginitis เนื่องจากกลไกการออกฤทธิ์, efficacy หรือข้อบ่งใช้ไม่ตรงกับโจทย์ที่กำหนด
• ข้อ ค. (Aerobic bacteria): ข้อนี้ไม่ใช่คำตอบที่ถูกต้องสำหรับภาวะ STDs &amp; vaginitis เนื่องจากกลไกการออกฤทธิ์, efficacy หรือข้อบ่งใช้ไม่ตรงกับโจทย์ที่กำหนด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STDs &amp; vaginitis เนื่องจากกลไกการออกฤทธิ์, efficacy หรือข้อบ่งใช้ไม่ตรงกับโจทย์ที่กำหนด
• ข้อ จ. (ถูกต้องทั้งข้อ ข และ ง): ข้อนี้ไม่ใช่คำตอบที่ถูกต้องสำหรับภาวะ STDs &amp; vaginitis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18" t="inlineStr"/>
      <c r="L254" s="18" t="inlineStr">
        <is>
          <t>STDs &amp; vaginitis</t>
        </is>
      </c>
      <c r="M254" s="18" t="inlineStr">
        <is>
          <t>Clinic</t>
        </is>
      </c>
      <c r="N254" s="18" t="inlineStr">
        <is>
          <t>ข้อ 44 (PLE_CC1_Practice_Exam.md)</t>
        </is>
      </c>
      <c r="O254" s="18" t="inlineStr">
        <is>
          <t>Mock</t>
        </is>
      </c>
      <c r="P254" s="18" t="inlineStr">
        <is>
          <t>Mock สภาเภสัชฯ Practice</t>
        </is>
      </c>
    </row>
    <row r="255">
      <c r="A255" s="15" t="inlineStr">
        <is>
          <t>257</t>
        </is>
      </c>
      <c r="B255" s="18"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18" t="inlineStr"/>
      <c r="D255" s="18"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18" t="inlineStr">
        <is>
          <t>Ketoconazole</t>
        </is>
      </c>
      <c r="F255" s="18" t="inlineStr">
        <is>
          <t>Fluconazole</t>
        </is>
      </c>
      <c r="G255" s="18" t="inlineStr">
        <is>
          <t>Itraconazole</t>
        </is>
      </c>
      <c r="H255" s="18" t="inlineStr">
        <is>
          <t>Terbinafine</t>
        </is>
      </c>
      <c r="I255" s="15" t="inlineStr">
        <is>
          <t>1</t>
        </is>
      </c>
      <c r="J255" s="18"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ข้อนี้ไม่ใช่คำตอบที่ถูกต้องสำหรับภาวะ HIV infection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(Terbinafine):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18" t="inlineStr"/>
      <c r="L255" s="18" t="inlineStr">
        <is>
          <t>HIV infection</t>
        </is>
      </c>
      <c r="M255" s="18" t="inlineStr">
        <is>
          <t>Clinic</t>
        </is>
      </c>
      <c r="N255" s="18" t="inlineStr">
        <is>
          <t>ข้อ 25 (PLE_CC1_Practice_Exam.md)</t>
        </is>
      </c>
      <c r="O255" s="18" t="inlineStr">
        <is>
          <t>Mock</t>
        </is>
      </c>
      <c r="P255" s="18" t="inlineStr">
        <is>
          <t>Mock สภาเภสัชฯ Practice</t>
        </is>
      </c>
    </row>
    <row r="256">
      <c r="A256" s="15" t="inlineStr">
        <is>
          <t>258</t>
        </is>
      </c>
      <c r="B256" s="18"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18" t="inlineStr"/>
      <c r="D256" s="18" t="inlineStr">
        <is>
          <t>เกิดจากการติดไวรัส Herpes simplex Type I</t>
        </is>
      </c>
      <c r="E256" s="18" t="inlineStr">
        <is>
          <t>ผู้ป่วยรายนี้จัดเป็น Primary Infection เนื่องจากเป็นการรักษาเริมหลังจากรักษาครั้งแรกหายขาด แล้ว</t>
        </is>
      </c>
      <c r="F256" s="18" t="inlineStr">
        <is>
          <t>เมื่อมีอาการคัน สามารถใช้ยา topical ทาภายใน 48 ชั่วโมง เพื่อลดความรุนแรงของโรค</t>
        </is>
      </c>
      <c r="G256" s="18" t="inlineStr">
        <is>
          <t>การรักษาสำหรับผู้ป่วยรายนี้ สามารถใช้ Valacyclovir 500 mg bid 3 วัน</t>
        </is>
      </c>
      <c r="H256" s="18" t="inlineStr">
        <is>
          <t>การรักษาสำหรับผู้ป่วยรายนี้ สามารถใช้ Valacyclovir 500 mg bid 7 - 10 วัน จากข้อมูลต่อไปนี้ จงตอบคำถามข้อ 34-35</t>
        </is>
      </c>
      <c r="I256" s="15" t="inlineStr">
        <is>
          <t>1</t>
        </is>
      </c>
      <c r="J256" s="18"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(ผู้ป่วยรายนี้จัดเป็น Primary Infection เนื่องจากเป็นการรักษาเริมหลังจากรักษาครั้งแรกหายขาด แล้ว): ข้อนี้ไม่ใช่คำตอบที่ถูกต้องสำหรับภาวะ HIV infection เนื่องจากกลไกการออกฤทธิ์, efficacy หรือข้อบ่งใช้ไม่ตรงกับโจทย์ที่กำหนด
• ข้อ ค. (เมื่อมีอาการคัน สามารถใช้ยา topical ทาภายใน 48 ชั่วโมง เพื่อลดความรุนแรงของโรค): ข้อนี้ไม่ใช่คำตอบที่ถูกต้องสำหรับภาวะ HIV infection เนื่องจากกลไกการออกฤทธิ์, efficacy หรือข้อบ่งใช้ไม่ตรงกับโจทย์ที่กำหนด
• ข้อ ง. (การรักษาสำหรับผู้ป่วยรายนี้ สามารถใช้ Valacyclovir 500 mg bid 3 วัน): เป็น Guanosine analog ยับยั้ง HSV และ VZV polymerase ต้องดื่มน้ำมากๆ ระหว่างได้ยา IV เพื่อป้องกัน crystal nephropathy และ obstructive AKI
• ข้อ จ. (การรักษาสำหรับผู้ป่วยรายนี้ สามารถใช้ Valacyclovir 500 mg bid 7 - 10 วัน จากข้อมูลต่อไปนี้ จงตอบคำถามข้อ 34-35):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18" t="inlineStr"/>
      <c r="L256" s="18" t="inlineStr">
        <is>
          <t>HIV infection</t>
        </is>
      </c>
      <c r="M256" s="18" t="inlineStr">
        <is>
          <t>Clinic</t>
        </is>
      </c>
      <c r="N256" s="18" t="inlineStr">
        <is>
          <t>ข้อ 33 (PLE_CC1_Practice_Exam.md)</t>
        </is>
      </c>
      <c r="O256" s="18" t="inlineStr">
        <is>
          <t>Mock</t>
        </is>
      </c>
      <c r="P256" s="18" t="inlineStr">
        <is>
          <t>Mock สภาเภสัชฯ Practice</t>
        </is>
      </c>
    </row>
    <row r="257">
      <c r="A257" s="15" t="inlineStr">
        <is>
          <t>259</t>
        </is>
      </c>
      <c r="B257" s="18" t="inlineStr">
        <is>
          <t>ข้อใดกล่าวผิดเกี่ยวกับโครงสร้างของยา Dicloxacillin และยา Amoxicillin</t>
        </is>
      </c>
      <c r="C257" s="18" t="inlineStr"/>
      <c r="D257" s="18" t="inlineStr">
        <is>
          <t>หมายเลข 1 ในโครงสร้างของยา Dicloxacillin และ Amoxicillin มีชื่อว่า Thiazolidine ring</t>
        </is>
      </c>
      <c r="E257" s="18" t="inlineStr">
        <is>
          <t>หมายเลข 3 ในโครงสร้างของยา Dicloxacillin คือ Phenyl-isoxazole ring วางตัวตั้งฉากกับ β- lactam ring ทำให้ทนต่อ β-lactamase enzyme</t>
        </is>
      </c>
      <c r="F257" s="18" t="inlineStr">
        <is>
          <t>หมายเลข 2 ในโครงสร้างของยา Amoxicillin ทำให้ยาทนกรดในกระเพาะอาหารมากขึ้น</t>
        </is>
      </c>
      <c r="G257" s="18" t="inlineStr">
        <is>
          <t>หมายเลข 4 ในโครงสร้างของยา Amoxicillin ทำให้ยา Amoxicillin เป็น para-hydroxy analog ของ Ampicillin</t>
        </is>
      </c>
      <c r="H257" s="18"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15" t="inlineStr">
        <is>
          <t>1</t>
        </is>
      </c>
      <c r="J257" s="18"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18" t="inlineStr"/>
      <c r="L257" s="18" t="inlineStr">
        <is>
          <t>URTI</t>
        </is>
      </c>
      <c r="M257" s="18" t="inlineStr">
        <is>
          <t>Clinic</t>
        </is>
      </c>
      <c r="N257" s="18" t="inlineStr">
        <is>
          <t>ข้อ 7 (PLE_CC1_Practice_Exam.md)</t>
        </is>
      </c>
      <c r="O257" s="18" t="inlineStr">
        <is>
          <t>Mock</t>
        </is>
      </c>
      <c r="P257" s="18" t="inlineStr">
        <is>
          <t>Mock สภาเภสัชฯ Practice</t>
        </is>
      </c>
    </row>
    <row r="258">
      <c r="A258" s="15" t="inlineStr">
        <is>
          <t>260</t>
        </is>
      </c>
      <c r="B258" s="18" t="inlineStr">
        <is>
          <t>หากตรวจพบว่าเกิดจากการติดเชื้อ Pseudomonas aeruginosa ยาในข้อใดที่เหมาะสมในการรักษาที่ ครอบคลุมเชื้อมากที่สุด</t>
        </is>
      </c>
      <c r="C258" s="18" t="inlineStr"/>
      <c r="D258" s="18" t="inlineStr">
        <is>
          <t>Norfloxacin</t>
        </is>
      </c>
      <c r="E258" s="18" t="inlineStr">
        <is>
          <t>Neomycin</t>
        </is>
      </c>
      <c r="F258" s="18" t="inlineStr">
        <is>
          <t>Polymyxin B</t>
        </is>
      </c>
      <c r="G258" s="18" t="inlineStr">
        <is>
          <t>Vancomycin</t>
        </is>
      </c>
      <c r="H258" s="18" t="inlineStr">
        <is>
          <t>Clarithromycin</t>
        </is>
      </c>
      <c r="I258" s="15" t="inlineStr">
        <is>
          <t>1</t>
        </is>
      </c>
      <c r="J258" s="18"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ข้อนี้ไม่ใช่คำตอบที่ถูกต้องสำหรับภาวะ HIV infection เนื่องจากกลไกการออกฤทธิ์, efficacy หรือข้อบ่งใช้ไม่ตรงกับโจทย์ที่กำหนด
• ข้อ ค. (Polymyxin B): ข้อนี้ไม่ใช่คำตอบที่ถูกต้องสำหรับภาวะ HIV infection เนื่องจากกลไกการออกฤทธิ์, efficacy หรือข้อบ่งใช้ไม่ตรงกับโจทย์ที่กำหนด
• ข้อ ง. (Vancomycin): เป็น Glycopeptide antibiotic ยับยั้ง MRSA และ Enterococcus ต้อง monitoring trough level (target 15-20 mcg/mL ใน severe infections) เพื่อป้องกัน nephrotoxicity และ ototoxity
• ข้อ จ. (Clarithromycin):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18" t="inlineStr"/>
      <c r="L258" s="18" t="inlineStr">
        <is>
          <t>HIV infection</t>
        </is>
      </c>
      <c r="M258" s="18" t="inlineStr">
        <is>
          <t>Clinic</t>
        </is>
      </c>
      <c r="N258" s="18" t="inlineStr">
        <is>
          <t>ข้อ 20 (PLE_CC1_Practice_Exam.md)</t>
        </is>
      </c>
      <c r="O258" s="18" t="inlineStr">
        <is>
          <t>Mock</t>
        </is>
      </c>
      <c r="P258" s="18" t="inlineStr">
        <is>
          <t>Mock สภาเภสัชฯ Practice</t>
        </is>
      </c>
    </row>
    <row r="259">
      <c r="A259" s="15" t="inlineStr">
        <is>
          <t>261</t>
        </is>
      </c>
      <c r="B259" s="18"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18" t="inlineStr"/>
      <c r="D259" s="18" t="inlineStr">
        <is>
          <t>1 คะแนน</t>
        </is>
      </c>
      <c r="E259" s="18" t="inlineStr">
        <is>
          <t>2 คะแนน</t>
        </is>
      </c>
      <c r="F259" s="18" t="inlineStr">
        <is>
          <t>3 คะแนน</t>
        </is>
      </c>
      <c r="G259" s="18" t="inlineStr">
        <is>
          <t>4 คะแนน</t>
        </is>
      </c>
      <c r="H259" s="18"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15" t="inlineStr">
        <is>
          <t>1</t>
        </is>
      </c>
      <c r="J259" s="18"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ข้อนี้ไม่ใช่คำตอบที่ถูกต้องสำหรับภาวะ HIV infection เนื่องจากกลไกการออกฤทธิ์, efficacy หรือข้อบ่งใช้ไม่ตรงกับโจทย์ที่กำหนด
• ข้อ ค. (3 คะแนน): ข้อนี้ไม่ใช่คำตอบที่ถูกต้องสำหรับภาวะ HIV infection เนื่องจากกลไกการออกฤทธิ์, efficacy หรือข้อบ่งใช้ไม่ตรงกับโจทย์ที่กำหนด
• ข้อ ง. (4 คะแนน): ข้อนี้ไม่ใช่คำตอบที่ถูกต้องสำหรับภาวะ HIV infection เนื่องจากกลไกการออกฤทธิ์, efficacy หรือข้อบ่งใช้ไม่ตรงกับโจทย์ที่กำหนด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18" t="inlineStr"/>
      <c r="L259" s="18" t="inlineStr">
        <is>
          <t>HIV infection</t>
        </is>
      </c>
      <c r="M259" s="18" t="inlineStr">
        <is>
          <t>Clinic</t>
        </is>
      </c>
      <c r="N259" s="18" t="inlineStr">
        <is>
          <t>ข้อ 37 (PLE_CC1_Practice_Exam.md)</t>
        </is>
      </c>
      <c r="O259" s="18" t="inlineStr">
        <is>
          <t>Mock</t>
        </is>
      </c>
      <c r="P259" s="18" t="inlineStr">
        <is>
          <t>Mock สภาเภสัชฯ Practice</t>
        </is>
      </c>
    </row>
    <row r="260">
      <c r="A260" s="15" t="inlineStr">
        <is>
          <t>262</t>
        </is>
      </c>
      <c r="B260" s="18"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18" t="inlineStr"/>
      <c r="D260" s="18" t="inlineStr">
        <is>
          <t>Maculopapular rash</t>
        </is>
      </c>
      <c r="E260" s="18" t="inlineStr">
        <is>
          <t>Stevens-Johnson syndrome</t>
        </is>
      </c>
      <c r="F260" s="18" t="inlineStr">
        <is>
          <t>Photosensitivity drug eruption</t>
        </is>
      </c>
      <c r="G260" s="18" t="inlineStr">
        <is>
          <t>Urticaria</t>
        </is>
      </c>
      <c r="H260" s="18" t="inlineStr">
        <is>
          <t>Erythema multiforme</t>
        </is>
      </c>
      <c r="I260" s="15" t="inlineStr">
        <is>
          <t>1</t>
        </is>
      </c>
      <c r="J260" s="18"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(Stevens-Johnson syndrome): ข้อนี้ไม่ใช่คำตอบที่ถูกต้องสำหรับภาวะ HIV infection เนื่องจากกลไกการออกฤทธิ์, efficacy หรือข้อบ่งใช้ไม่ตรงกับโจทย์ที่กำหนด
• ข้อ ค. (Photosensitivity drug eruption): ข้อนี้ไม่ใช่คำตอบที่ถูกต้องสำหรับภาวะ HIV infection เนื่องจากกลไกการออกฤทธิ์, efficacy หรือข้อบ่งใช้ไม่ตรงกับโจทย์ที่กำหนด
• ข้อ ง. (Urticaria): ข้อนี้ไม่ใช่คำตอบที่ถูกต้องสำหรับภาวะ HIV infection เนื่องจากกลไกการออกฤทธิ์, efficacy หรือข้อบ่งใช้ไม่ตรงกับโจทย์ที่กำหนด
• ข้อ จ. (Erythema multiforme):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18" t="inlineStr"/>
      <c r="L260" s="18" t="inlineStr">
        <is>
          <t>HIV infection</t>
        </is>
      </c>
      <c r="M260" s="18" t="inlineStr">
        <is>
          <t>Clinic</t>
        </is>
      </c>
      <c r="N260" s="18" t="inlineStr">
        <is>
          <t>ข้อ 34 (PLE_CC1_Practice_Exam.md)</t>
        </is>
      </c>
      <c r="O260" s="18" t="inlineStr">
        <is>
          <t>Mock</t>
        </is>
      </c>
      <c r="P260" s="18" t="inlineStr">
        <is>
          <t>Mock สภาเภสัชฯ Practice</t>
        </is>
      </c>
    </row>
    <row r="261">
      <c r="A261" s="15" t="inlineStr">
        <is>
          <t>263</t>
        </is>
      </c>
      <c r="B261" s="18"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18" t="inlineStr"/>
      <c r="D261" s="18" t="inlineStr">
        <is>
          <t>Active ingredient</t>
        </is>
      </c>
      <c r="E261" s="18" t="inlineStr">
        <is>
          <t>Flavoring agent</t>
        </is>
      </c>
      <c r="F261" s="18" t="inlineStr">
        <is>
          <t>Stabilizing agent</t>
        </is>
      </c>
      <c r="G261" s="18" t="inlineStr">
        <is>
          <t>Co-solvent</t>
        </is>
      </c>
      <c r="H261" s="18" t="inlineStr">
        <is>
          <t>Solvent - คอลลอยด์</t>
        </is>
      </c>
      <c r="I261" s="15" t="inlineStr">
        <is>
          <t>1</t>
        </is>
      </c>
      <c r="J261" s="18"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ข้อนี้ไม่ใช่คำตอบที่ถูกต้องสำหรับภาวะ HIV infection เนื่องจากกลไกการออกฤทธิ์, efficacy หรือข้อบ่งใช้ไม่ตรงกับโจทย์ที่กำหนด
• ข้อ ค. (Stabilizing agent): ข้อนี้ไม่ใช่คำตอบที่ถูกต้องสำหรับภาวะ HIV infection เนื่องจากกลไกการออกฤทธิ์, efficacy หรือข้อบ่งใช้ไม่ตรงกับโจทย์ที่กำหนด
• ข้อ ง. (Co-solvent): ข้อนี้ไม่ใช่คำตอบที่ถูกต้องสำหรับภาวะ HIV infection เนื่องจากกลไกการออกฤทธิ์, efficacy หรือข้อบ่งใช้ไม่ตรงกับโจทย์ที่กำหนด
• ข้อ จ. (Solvent - คอลลอยด์):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18" t="inlineStr"/>
      <c r="L261" s="18" t="inlineStr">
        <is>
          <t>HIV infection</t>
        </is>
      </c>
      <c r="M261" s="18" t="inlineStr">
        <is>
          <t>Clinic</t>
        </is>
      </c>
      <c r="N261" s="18" t="inlineStr">
        <is>
          <t>ข้อ 20 (PLE_CC1_Practice_Exam.md)</t>
        </is>
      </c>
      <c r="O261" s="18" t="inlineStr">
        <is>
          <t>Mock</t>
        </is>
      </c>
      <c r="P261" s="18" t="inlineStr">
        <is>
          <t>Mock สภาเภสัชฯ Practice</t>
        </is>
      </c>
    </row>
    <row r="262">
      <c r="A262" s="15" t="inlineStr">
        <is>
          <t>264</t>
        </is>
      </c>
      <c r="B262" s="18" t="inlineStr">
        <is>
          <t>ผู้ป่วยมีอาการติดเชื้อ เพิ่มขึ้น sinusitis เกิดจากเชื้ออะไร FงพบในยาแบบJ Kนเ%นละอองฝอย</t>
        </is>
      </c>
      <c r="C262" s="18" t="inlineStr"/>
      <c r="D262" s="18" t="inlineStr">
        <is>
          <t>Cefazolin 1 g IV Q8H</t>
        </is>
      </c>
      <c r="E262" s="18" t="inlineStr">
        <is>
          <t>Amoxicillin/Clavulanate 1 g BID</t>
        </is>
      </c>
      <c r="F262" s="18" t="inlineStr">
        <is>
          <t>Ceftriaxone 1 g IV OD</t>
        </is>
      </c>
      <c r="G262" s="18" t="inlineStr">
        <is>
          <t>Ciprofloxacin 500 mg BID</t>
        </is>
      </c>
      <c r="H262" s="18" t="inlineStr">
        <is>
          <t>Azithromycin 500 mg OD</t>
        </is>
      </c>
      <c r="I262" s="15" t="inlineStr">
        <is>
          <t>1</t>
        </is>
      </c>
      <c r="J262" s="18"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18" t="inlineStr"/>
      <c r="L262" s="18" t="inlineStr">
        <is>
          <t>URTI</t>
        </is>
      </c>
      <c r="M262" s="18" t="inlineStr">
        <is>
          <t>Clinic</t>
        </is>
      </c>
      <c r="N262" s="18" t="inlineStr">
        <is>
          <t>ข้อ 16 (PLE_CC1_Key_Rx20_UBU.md)</t>
        </is>
      </c>
      <c r="O262" s="18" t="inlineStr">
        <is>
          <t>Mock</t>
        </is>
      </c>
      <c r="P262" s="18" t="inlineStr">
        <is>
          <t>Mock Rx20 UBU</t>
        </is>
      </c>
    </row>
    <row r="263">
      <c r="A263" s="15" t="inlineStr">
        <is>
          <t>265</t>
        </is>
      </c>
      <c r="B263" s="18" t="inlineStr">
        <is>
          <t>M. catharis sinusitis เกิดจากเชื้อ S. pneumonia , H.influenza , 5. aureas</t>
        </is>
      </c>
      <c r="C263" s="18" t="inlineStr"/>
      <c r="D263" s="18" t="inlineStr">
        <is>
          <t>Ciprofloxacin 500 mg BID</t>
        </is>
      </c>
      <c r="E263" s="18" t="inlineStr">
        <is>
          <t>Azithromycin 500 mg OD</t>
        </is>
      </c>
      <c r="F263" s="18" t="inlineStr">
        <is>
          <t>Doxycycline 100 mg BID</t>
        </is>
      </c>
      <c r="G263" s="18" t="inlineStr">
        <is>
          <t>Cotrimoxazole 160/800 mg BID</t>
        </is>
      </c>
      <c r="H263" s="18" t="inlineStr">
        <is>
          <t>Metronidazole 400 mg TID</t>
        </is>
      </c>
      <c r="I263" s="15" t="inlineStr">
        <is>
          <t>1</t>
        </is>
      </c>
      <c r="J263" s="18"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18" t="inlineStr"/>
      <c r="L263" s="18" t="inlineStr">
        <is>
          <t>Pneumonia</t>
        </is>
      </c>
      <c r="M263" s="18" t="inlineStr">
        <is>
          <t>Clinic</t>
        </is>
      </c>
      <c r="N263" s="18" t="inlineStr">
        <is>
          <t>ข้อ 5 (PLE_CC1_Key_Rx20_UBU.md)</t>
        </is>
      </c>
      <c r="O263" s="18" t="inlineStr">
        <is>
          <t>Mock</t>
        </is>
      </c>
      <c r="P263" s="18" t="inlineStr">
        <is>
          <t>Mock Rx20 UBU</t>
        </is>
      </c>
    </row>
    <row r="264">
      <c r="A264" s="15" t="inlineStr">
        <is>
          <t>266</t>
        </is>
      </c>
      <c r="B264" s="18" t="inlineStr">
        <is>
          <t>Amoxicillin + clavulanic acid</t>
        </is>
      </c>
      <c r="C264" s="18" t="inlineStr"/>
      <c r="D264" s="18" t="inlineStr">
        <is>
          <t>) Vancomycin</t>
        </is>
      </c>
      <c r="E264" s="18" t="inlineStr">
        <is>
          <t>) Piperacillin/tazobactam</t>
        </is>
      </c>
      <c r="F264" s="18" t="inlineStr">
        <is>
          <t>) Meropenem First line ATB for Sinusitis คือ Amoxicillin หากไม่ได้ผลหรือแพ้ยา จึงเลือกใช้ยาอื่น โดย regimen คือ Amoxillin 500 mg TID 10-14 days</t>
        </is>
      </c>
      <c r="G264" s="18" t="inlineStr">
        <is>
          <t>Tenofovir/Emtricitabine 300/200 mg OD</t>
        </is>
      </c>
      <c r="H264" s="18" t="inlineStr">
        <is>
          <t>Dolutegravir 50 mg OD</t>
        </is>
      </c>
      <c r="I264" s="15" t="inlineStr">
        <is>
          <t>1</t>
        </is>
      </c>
      <c r="J264" s="18"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18" t="inlineStr"/>
      <c r="L264" s="18" t="inlineStr">
        <is>
          <t>URTI</t>
        </is>
      </c>
      <c r="M264" s="18" t="inlineStr">
        <is>
          <t>Clinic</t>
        </is>
      </c>
      <c r="N264" s="18" t="inlineStr">
        <is>
          <t>ข้อ 2 (PLE_CC1_Key_Rx20_UBU.md)</t>
        </is>
      </c>
      <c r="O264" s="18" t="inlineStr">
        <is>
          <t>Mock</t>
        </is>
      </c>
      <c r="P264" s="18" t="inlineStr">
        <is>
          <t>Mock Rx20 UBU</t>
        </is>
      </c>
    </row>
    <row r="265">
      <c r="A265" s="15" t="inlineStr">
        <is>
          <t>267</t>
        </is>
      </c>
      <c r="B265" s="18" t="inlineStr">
        <is>
          <t>Sorbitol solution</t>
        </is>
      </c>
      <c r="C265" s="18" t="inlineStr"/>
      <c r="D265" s="18" t="inlineStr">
        <is>
          <t>Tenofovir/Emtricitabine 300/200 mg OD</t>
        </is>
      </c>
      <c r="E265" s="18" t="inlineStr">
        <is>
          <t>Dolutegravir 50 mg OD</t>
        </is>
      </c>
      <c r="F265" s="18" t="inlineStr">
        <is>
          <t>Vancomycin 1 g IV Q12H</t>
        </is>
      </c>
      <c r="G265" s="18" t="inlineStr">
        <is>
          <t>Meropenem 1 g IV Q8H</t>
        </is>
      </c>
      <c r="H265" s="18" t="inlineStr">
        <is>
          <t>Cefazolin 1 g IV Q8H</t>
        </is>
      </c>
      <c r="I265" s="15" t="inlineStr">
        <is>
          <t>1</t>
        </is>
      </c>
      <c r="J265" s="18"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18" t="inlineStr"/>
      <c r="L265" s="18" t="inlineStr">
        <is>
          <t>Cystitis</t>
        </is>
      </c>
      <c r="M265" s="18" t="inlineStr">
        <is>
          <t>Clinic</t>
        </is>
      </c>
      <c r="N265" s="18" t="inlineStr">
        <is>
          <t>ข้อ 2 (PLE_CC1_Key_Rx20_UBU.md)</t>
        </is>
      </c>
      <c r="O265" s="18" t="inlineStr">
        <is>
          <t>Mock</t>
        </is>
      </c>
      <c r="P265" s="18" t="inlineStr">
        <is>
          <t>Mock Rx20 UBU</t>
        </is>
      </c>
    </row>
    <row r="266">
      <c r="A266" s="15" t="inlineStr">
        <is>
          <t>268</t>
        </is>
      </c>
      <c r="B266" s="18" t="inlineStr">
        <is>
          <t>Community-acquired pneumonia</t>
        </is>
      </c>
      <c r="C266" s="18" t="inlineStr"/>
      <c r="D266" s="18" t="inlineStr">
        <is>
          <t>Meropenem 1 g IV Q8H</t>
        </is>
      </c>
      <c r="E266" s="18" t="inlineStr">
        <is>
          <t>Cefazolin 1 g IV Q8H</t>
        </is>
      </c>
      <c r="F266" s="18" t="inlineStr">
        <is>
          <t>Amoxicillin/Clavulanate 1 g BID</t>
        </is>
      </c>
      <c r="G266" s="18" t="inlineStr">
        <is>
          <t>Ceftriaxone 1 g IV OD</t>
        </is>
      </c>
      <c r="H266" s="18" t="inlineStr">
        <is>
          <t>Ciprofloxacin 500 mg BID</t>
        </is>
      </c>
      <c r="I266" s="15" t="inlineStr">
        <is>
          <t>1</t>
        </is>
      </c>
      <c r="J266" s="18"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18" t="inlineStr"/>
      <c r="L266" s="18" t="inlineStr">
        <is>
          <t>Pneumonia</t>
        </is>
      </c>
      <c r="M266" s="18" t="inlineStr">
        <is>
          <t>Clinic</t>
        </is>
      </c>
      <c r="N266" s="18" t="inlineStr">
        <is>
          <t>ข้อ 2 (PLE_CC1_Key_Rx20_UBU.md)</t>
        </is>
      </c>
      <c r="O266" s="18" t="inlineStr">
        <is>
          <t>Mock</t>
        </is>
      </c>
      <c r="P266" s="18" t="inlineStr">
        <is>
          <t>Mock Rx20 UBU</t>
        </is>
      </c>
    </row>
    <row r="267">
      <c r="A267" s="15" t="inlineStr">
        <is>
          <t>269</t>
        </is>
      </c>
      <c r="B267" s="18" t="inlineStr">
        <is>
          <t>P. carinii pneumonia</t>
        </is>
      </c>
      <c r="C267" s="18" t="inlineStr"/>
      <c r="D267" s="18" t="inlineStr">
        <is>
          <t>Ceftriaxone 1 g IV OD</t>
        </is>
      </c>
      <c r="E267" s="18" t="inlineStr">
        <is>
          <t>Ciprofloxacin 500 mg BID</t>
        </is>
      </c>
      <c r="F267" s="18" t="inlineStr">
        <is>
          <t>Azithromycin 500 mg OD</t>
        </is>
      </c>
      <c r="G267" s="18" t="inlineStr">
        <is>
          <t>Doxycycline 100 mg BID</t>
        </is>
      </c>
      <c r="H267" s="18" t="inlineStr">
        <is>
          <t>Cotrimoxazole 160/800 mg BID</t>
        </is>
      </c>
      <c r="I267" s="15" t="inlineStr">
        <is>
          <t>1</t>
        </is>
      </c>
      <c r="J267" s="18"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18" t="inlineStr"/>
      <c r="L267" s="18" t="inlineStr">
        <is>
          <t>Pneumonia</t>
        </is>
      </c>
      <c r="M267" s="18" t="inlineStr">
        <is>
          <t>Clinic</t>
        </is>
      </c>
      <c r="N267" s="18" t="inlineStr">
        <is>
          <t>ข้อ 3 (PLE_CC1_Key_Rx20_UBU.md)</t>
        </is>
      </c>
      <c r="O267" s="18" t="inlineStr">
        <is>
          <t>Mock</t>
        </is>
      </c>
      <c r="P267" s="18" t="inlineStr">
        <is>
          <t>Mock Rx20 UBU</t>
        </is>
      </c>
    </row>
    <row r="268">
      <c r="A268" s="15" t="inlineStr">
        <is>
          <t>270</t>
        </is>
      </c>
      <c r="B268" s="18" t="inlineStr">
        <is>
          <t>Mycoplasma pneumonia</t>
        </is>
      </c>
      <c r="C268" s="18" t="inlineStr"/>
      <c r="D268" s="18" t="inlineStr">
        <is>
          <t>Doxycycline 100 mg BID</t>
        </is>
      </c>
      <c r="E268" s="18" t="inlineStr">
        <is>
          <t>Cotrimoxazole 160/800 mg BID</t>
        </is>
      </c>
      <c r="F268" s="18" t="inlineStr">
        <is>
          <t>Metronidazole 400 mg TID</t>
        </is>
      </c>
      <c r="G268" s="18" t="inlineStr">
        <is>
          <t>Nitrofurantoin 100 mg BID</t>
        </is>
      </c>
      <c r="H268" s="18" t="inlineStr">
        <is>
          <t>Tenofovir/Emtricitabine 300/200 mg OD</t>
        </is>
      </c>
      <c r="I268" s="15" t="inlineStr">
        <is>
          <t>1</t>
        </is>
      </c>
      <c r="J268" s="18"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18" t="inlineStr"/>
      <c r="L268" s="18" t="inlineStr">
        <is>
          <t>Pneumonia</t>
        </is>
      </c>
      <c r="M268" s="18" t="inlineStr">
        <is>
          <t>Clinic</t>
        </is>
      </c>
      <c r="N268" s="18" t="inlineStr">
        <is>
          <t>ข้อ 5 (PLE_CC1_Key_Rx20_UBU.md)</t>
        </is>
      </c>
      <c r="O268" s="18" t="inlineStr">
        <is>
          <t>Mock</t>
        </is>
      </c>
      <c r="P268" s="18" t="inlineStr">
        <is>
          <t>Mock Rx20 UBU</t>
        </is>
      </c>
    </row>
    <row r="269">
      <c r="A269" s="15" t="inlineStr">
        <is>
          <t>271</t>
        </is>
      </c>
      <c r="B269" s="18" t="inlineStr">
        <is>
          <t>Ceftriaxone+Metronidazole</t>
        </is>
      </c>
      <c r="C269" s="18" t="inlineStr"/>
      <c r="D269" s="18" t="inlineStr">
        <is>
          <t>Nitrofurantoin 100 mg BID</t>
        </is>
      </c>
      <c r="E269" s="18" t="inlineStr">
        <is>
          <t>Tenofovir/Emtricitabine 300/200 mg OD</t>
        </is>
      </c>
      <c r="F269" s="18" t="inlineStr">
        <is>
          <t>Dolutegravir 50 mg OD</t>
        </is>
      </c>
      <c r="G269" s="18" t="inlineStr">
        <is>
          <t>Vancomycin 1 g IV Q12H</t>
        </is>
      </c>
      <c r="H269" s="18" t="inlineStr">
        <is>
          <t>Meropenem 1 g IV Q8H</t>
        </is>
      </c>
      <c r="I269" s="15" t="inlineStr">
        <is>
          <t>1</t>
        </is>
      </c>
      <c r="J269" s="18"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18" t="inlineStr"/>
      <c r="L269" s="18" t="inlineStr">
        <is>
          <t>Pneumonia</t>
        </is>
      </c>
      <c r="M269" s="18" t="inlineStr">
        <is>
          <t>Clinic</t>
        </is>
      </c>
      <c r="N269" s="18" t="inlineStr">
        <is>
          <t>ข้อ 3 (PLE_CC1_Key_Rx20_UBU.md)</t>
        </is>
      </c>
      <c r="O269" s="18" t="inlineStr">
        <is>
          <t>Mock</t>
        </is>
      </c>
      <c r="P269" s="18" t="inlineStr">
        <is>
          <t>Mock Rx20 UBU</t>
        </is>
      </c>
    </row>
    <row r="270">
      <c r="A270" s="15" t="inlineStr">
        <is>
          <t>272</t>
        </is>
      </c>
      <c r="B270" s="18" t="inlineStr">
        <is>
          <t>Ceftriaxone+Roxithromycin</t>
        </is>
      </c>
      <c r="C270" s="18" t="inlineStr"/>
      <c r="D270" s="18" t="inlineStr">
        <is>
          <t>Vancomycin 1 g IV Q12H</t>
        </is>
      </c>
      <c r="E270" s="18" t="inlineStr">
        <is>
          <t>Meropenem 1 g IV Q8H</t>
        </is>
      </c>
      <c r="F270" s="18" t="inlineStr">
        <is>
          <t>Cefazolin 1 g IV Q8H</t>
        </is>
      </c>
      <c r="G270" s="18" t="inlineStr">
        <is>
          <t>Amoxicillin/Clavulanate 1 g BID</t>
        </is>
      </c>
      <c r="H270" s="18" t="inlineStr">
        <is>
          <t>Ceftriaxone 1 g IV OD</t>
        </is>
      </c>
      <c r="I270" s="15" t="inlineStr">
        <is>
          <t>1</t>
        </is>
      </c>
      <c r="J270" s="18"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18" t="inlineStr"/>
      <c r="L270" s="18" t="inlineStr">
        <is>
          <t>Pneumonia</t>
        </is>
      </c>
      <c r="M270" s="18" t="inlineStr">
        <is>
          <t>Clinic</t>
        </is>
      </c>
      <c r="N270" s="18" t="inlineStr">
        <is>
          <t>ข้อ 5 (PLE_CC1_Key_Rx20_UBU.md)</t>
        </is>
      </c>
      <c r="O270" s="18" t="inlineStr">
        <is>
          <t>Mock</t>
        </is>
      </c>
      <c r="P270" s="18" t="inlineStr">
        <is>
          <t>Mock Rx20 UBU</t>
        </is>
      </c>
    </row>
    <row r="271">
      <c r="A271" s="15" t="inlineStr">
        <is>
          <t>273</t>
        </is>
      </c>
      <c r="B271" s="18" t="inlineStr">
        <is>
          <t>เพาะเชื้อแล้วพบว่าผู้ป่วยติดเชื้อ P. aeroginisa ยาใดควรนำมาใช้</t>
        </is>
      </c>
      <c r="C271" s="18" t="inlineStr"/>
      <c r="D271" s="18" t="inlineStr">
        <is>
          <t>Amoxicillin/Clavulanate 1 g BID</t>
        </is>
      </c>
      <c r="E271" s="18" t="inlineStr">
        <is>
          <t>Ceftriaxone 1 g IV OD</t>
        </is>
      </c>
      <c r="F271" s="18" t="inlineStr">
        <is>
          <t>Ciprofloxacin 500 mg BID</t>
        </is>
      </c>
      <c r="G271" s="18" t="inlineStr">
        <is>
          <t>Azithromycin 500 mg OD</t>
        </is>
      </c>
      <c r="H271" s="18" t="inlineStr">
        <is>
          <t>Doxycycline 100 mg BID</t>
        </is>
      </c>
      <c r="I271" s="15" t="inlineStr">
        <is>
          <t>1</t>
        </is>
      </c>
      <c r="J271" s="1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18" t="inlineStr"/>
      <c r="L271" s="18" t="inlineStr">
        <is>
          <t>HIV infection</t>
        </is>
      </c>
      <c r="M271" s="18" t="inlineStr">
        <is>
          <t>Clinic</t>
        </is>
      </c>
      <c r="N271" s="18" t="inlineStr">
        <is>
          <t>ข้อ 83 (PLE_CC1_Key_Rx20_UBU.md)</t>
        </is>
      </c>
      <c r="O271" s="18" t="inlineStr">
        <is>
          <t>Mock</t>
        </is>
      </c>
      <c r="P271" s="18" t="inlineStr">
        <is>
          <t>Mock Rx20 UBU</t>
        </is>
      </c>
    </row>
    <row r="272">
      <c r="A272" s="15" t="inlineStr">
        <is>
          <t>274</t>
        </is>
      </c>
      <c r="B272" s="18" t="inlineStr">
        <is>
          <t>ผู้ป่วยใช้เครื่องช่วยหำยใจแล้วติดเชื้อ A. baumbanii ใช้ยาอะไร</t>
        </is>
      </c>
      <c r="C272" s="18" t="inlineStr"/>
      <c r="D272" s="18" t="inlineStr">
        <is>
          <t>Azithromycin 500 mg OD</t>
        </is>
      </c>
      <c r="E272" s="18" t="inlineStr">
        <is>
          <t>Doxycycline 100 mg BID</t>
        </is>
      </c>
      <c r="F272" s="18" t="inlineStr">
        <is>
          <t>Cotrimoxazole 160/800 mg BID</t>
        </is>
      </c>
      <c r="G272" s="18" t="inlineStr">
        <is>
          <t>Metronidazole 400 mg TID</t>
        </is>
      </c>
      <c r="H272" s="18" t="inlineStr">
        <is>
          <t>Nitrofurantoin 100 mg BID</t>
        </is>
      </c>
      <c r="I272" s="15" t="inlineStr">
        <is>
          <t>1</t>
        </is>
      </c>
      <c r="J272" s="1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18" t="inlineStr"/>
      <c r="L272" s="18" t="inlineStr">
        <is>
          <t>HIV infection</t>
        </is>
      </c>
      <c r="M272" s="18" t="inlineStr">
        <is>
          <t>Clinic</t>
        </is>
      </c>
      <c r="N272" s="18" t="inlineStr">
        <is>
          <t>ข้อ 84 (PLE_CC1_Key_Rx20_UBU.md)</t>
        </is>
      </c>
      <c r="O272" s="18" t="inlineStr">
        <is>
          <t>Mock</t>
        </is>
      </c>
      <c r="P272" s="18" t="inlineStr">
        <is>
          <t>Mock Rx20 UBU</t>
        </is>
      </c>
    </row>
    <row r="273">
      <c r="A273" s="15" t="inlineStr">
        <is>
          <t>277</t>
        </is>
      </c>
      <c r="B273" s="18" t="inlineStr">
        <is>
          <t>โรคติดเชื้อ ปัสสาวะคั่ง อาจทำให้ผู้ป่วยที่มีโรคทางเดินปัสสาวะแย่ลง</t>
        </is>
      </c>
      <c r="C273" s="18" t="inlineStr"/>
      <c r="D273" s="18" t="inlineStr">
        <is>
          <t>Cefazolin 1 g IV Q8H</t>
        </is>
      </c>
      <c r="E273" s="18" t="inlineStr">
        <is>
          <t>Amoxicillin/Clavulanate 1 g BID</t>
        </is>
      </c>
      <c r="F273" s="18" t="inlineStr">
        <is>
          <t>Ceftriaxone 1 g IV OD</t>
        </is>
      </c>
      <c r="G273" s="18" t="inlineStr">
        <is>
          <t>Ciprofloxacin 500 mg BID</t>
        </is>
      </c>
      <c r="H273" s="18" t="inlineStr">
        <is>
          <t>Azithromycin 500 mg OD</t>
        </is>
      </c>
      <c r="I273" s="15" t="inlineStr">
        <is>
          <t>1</t>
        </is>
      </c>
      <c r="J273" s="1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18" t="inlineStr"/>
      <c r="L273" s="18" t="inlineStr">
        <is>
          <t>HIV infection</t>
        </is>
      </c>
      <c r="M273" s="18" t="inlineStr">
        <is>
          <t>Clinic</t>
        </is>
      </c>
      <c r="N273" s="18" t="inlineStr">
        <is>
          <t>ข้อ 5 (PLE_CC1_Key_Rx20_UBU.md)</t>
        </is>
      </c>
      <c r="O273" s="18" t="inlineStr">
        <is>
          <t>Mock</t>
        </is>
      </c>
      <c r="P273" s="18" t="inlineStr">
        <is>
          <t>Mock Rx20 UBU</t>
        </is>
      </c>
    </row>
    <row r="274">
      <c r="A274" s="15" t="inlineStr">
        <is>
          <t>278</t>
        </is>
      </c>
      <c r="B274" s="18" t="inlineStr">
        <is>
          <t>การจะตรวจว่าผู้ป่วยเป็นวัณโรคต้องตรวจหาเชื้ออะไร</t>
        </is>
      </c>
      <c r="C274" s="18" t="inlineStr"/>
      <c r="D274" s="18" t="inlineStr">
        <is>
          <t>Ciprofloxacin 500 mg BID</t>
        </is>
      </c>
      <c r="E274" s="18" t="inlineStr">
        <is>
          <t>Azithromycin 500 mg OD</t>
        </is>
      </c>
      <c r="F274" s="18" t="inlineStr">
        <is>
          <t>Doxycycline 100 mg BID</t>
        </is>
      </c>
      <c r="G274" s="18" t="inlineStr">
        <is>
          <t>Cotrimoxazole 160/800 mg BID</t>
        </is>
      </c>
      <c r="H274" s="18" t="inlineStr">
        <is>
          <t>Metronidazole 400 mg TID</t>
        </is>
      </c>
      <c r="I274" s="15" t="inlineStr">
        <is>
          <t>1</t>
        </is>
      </c>
      <c r="J274" s="1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18" t="inlineStr"/>
      <c r="L274" s="18" t="inlineStr">
        <is>
          <t>Tuberculosis</t>
        </is>
      </c>
      <c r="M274" s="18" t="inlineStr">
        <is>
          <t>Clinic</t>
        </is>
      </c>
      <c r="N274" s="18" t="inlineStr">
        <is>
          <t>ข้อ 1 (PLE_CC1_Key_Rx20_UBU.md)</t>
        </is>
      </c>
      <c r="O274" s="18" t="inlineStr">
        <is>
          <t>Mock</t>
        </is>
      </c>
      <c r="P274" s="18" t="inlineStr">
        <is>
          <t>Mock Rx20 UBU</t>
        </is>
      </c>
    </row>
    <row r="275">
      <c r="A275" s="15" t="inlineStr">
        <is>
          <t>280</t>
        </is>
      </c>
      <c r="B275" s="18" t="inlineStr">
        <is>
          <t>โครงสร้างใดต่อไปนี้ที่จะใช้คู่กับยา Amoxicillin เพื่อป้องกันการถูกทำลายโดย Enzyme ของแบคทีเรีย</t>
        </is>
      </c>
      <c r="C275" s="18" t="inlineStr"/>
      <c r="D275" s="18" t="inlineStr">
        <is>
          <t>Tenofovir/Emtricitabine 300/200 mg OD</t>
        </is>
      </c>
      <c r="E275" s="18" t="inlineStr">
        <is>
          <t>Dolutegravir 50 mg OD</t>
        </is>
      </c>
      <c r="F275" s="18" t="inlineStr">
        <is>
          <t>Vancomycin 1 g IV Q12H</t>
        </is>
      </c>
      <c r="G275" s="18" t="inlineStr">
        <is>
          <t>Meropenem 1 g IV Q8H</t>
        </is>
      </c>
      <c r="H275" s="18" t="inlineStr">
        <is>
          <t>Cefazolin 1 g IV Q8H</t>
        </is>
      </c>
      <c r="I275" s="15" t="inlineStr">
        <is>
          <t>1</t>
        </is>
      </c>
      <c r="J275" s="18"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18" t="inlineStr"/>
      <c r="L275" s="18" t="inlineStr">
        <is>
          <t>URTI</t>
        </is>
      </c>
      <c r="M275" s="18" t="inlineStr">
        <is>
          <t>Clinic</t>
        </is>
      </c>
      <c r="N275" s="18" t="inlineStr">
        <is>
          <t>ข้อ 7 (PLE_CC1_Key_Rx20_UBU.md)</t>
        </is>
      </c>
      <c r="O275" s="18" t="inlineStr">
        <is>
          <t>Mock</t>
        </is>
      </c>
      <c r="P275" s="18" t="inlineStr">
        <is>
          <t>Mock Rx20 UBU</t>
        </is>
      </c>
    </row>
    <row r="276">
      <c r="A276" s="15" t="inlineStr">
        <is>
          <t>286</t>
        </is>
      </c>
      <c r="B276" s="18" t="inlineStr">
        <is>
          <t>แนะนำให้ผู้ป่วยไปตรวจการติดเชื้อ HIV</t>
        </is>
      </c>
      <c r="C276" s="18" t="inlineStr"/>
      <c r="D276" s="18" t="inlineStr">
        <is>
          <t>Amoxicillin/Clavulanate 1 g BID</t>
        </is>
      </c>
      <c r="E276" s="18" t="inlineStr">
        <is>
          <t>Ceftriaxone 1 g IV OD</t>
        </is>
      </c>
      <c r="F276" s="18" t="inlineStr">
        <is>
          <t>Ciprofloxacin 500 mg BID</t>
        </is>
      </c>
      <c r="G276" s="18" t="inlineStr">
        <is>
          <t>Azithromycin 500 mg OD</t>
        </is>
      </c>
      <c r="H276" s="18" t="inlineStr">
        <is>
          <t>Doxycycline 100 mg BID</t>
        </is>
      </c>
      <c r="I276" s="15" t="inlineStr">
        <is>
          <t>1</t>
        </is>
      </c>
      <c r="J276" s="1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18" t="inlineStr"/>
      <c r="L276" s="18" t="inlineStr">
        <is>
          <t>HIV infection</t>
        </is>
      </c>
      <c r="M276" s="18" t="inlineStr">
        <is>
          <t>Clinic</t>
        </is>
      </c>
      <c r="N276" s="18" t="inlineStr">
        <is>
          <t>ข้อ 1 (PLE_CC1_Key_Rx20_UBU.md)</t>
        </is>
      </c>
      <c r="O276" s="18" t="inlineStr">
        <is>
          <t>Mock</t>
        </is>
      </c>
      <c r="P276" s="18" t="inlineStr">
        <is>
          <t>Mock Rx20 UBU</t>
        </is>
      </c>
    </row>
    <row r="277">
      <c r="A277" s="15" t="inlineStr">
        <is>
          <t>289</t>
        </is>
      </c>
      <c r="B277" s="18"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18" t="inlineStr"/>
      <c r="D277" s="18" t="inlineStr">
        <is>
          <t>Dolutegravir 50 mg OD</t>
        </is>
      </c>
      <c r="E277" s="18" t="inlineStr">
        <is>
          <t>Vancomycin 1 g IV Q12H</t>
        </is>
      </c>
      <c r="F277" s="18" t="inlineStr">
        <is>
          <t>Meropenem 1 g IV Q8H</t>
        </is>
      </c>
      <c r="G277" s="18" t="inlineStr">
        <is>
          <t>Cefazolin 1 g IV Q8H</t>
        </is>
      </c>
      <c r="H277" s="18" t="inlineStr">
        <is>
          <t>Amoxicillin/Clavulanate 1 g BID</t>
        </is>
      </c>
      <c r="I277" s="15" t="inlineStr">
        <is>
          <t>1</t>
        </is>
      </c>
      <c r="J277" s="18"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18" t="inlineStr"/>
      <c r="L277" s="18" t="inlineStr">
        <is>
          <t>Cystitis</t>
        </is>
      </c>
      <c r="M277" s="18" t="inlineStr">
        <is>
          <t>Clinic</t>
        </is>
      </c>
      <c r="N277" s="18" t="inlineStr">
        <is>
          <t>ข้อ 5 (PLE_CC1_Key_Rx20_UBU.md)</t>
        </is>
      </c>
      <c r="O277" s="18" t="inlineStr">
        <is>
          <t>Mock</t>
        </is>
      </c>
      <c r="P277" s="18" t="inlineStr">
        <is>
          <t>Mock Rx20 UBU</t>
        </is>
      </c>
    </row>
    <row r="278">
      <c r="A278" s="15" t="inlineStr">
        <is>
          <t>290</t>
        </is>
      </c>
      <c r="B278" s="18"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18" t="inlineStr"/>
      <c r="D278" s="18" t="inlineStr">
        <is>
          <t>Cefazolin 1 g IV Q8H</t>
        </is>
      </c>
      <c r="E278" s="18" t="inlineStr">
        <is>
          <t>Amoxicillin/Clavulanate 1 g BID</t>
        </is>
      </c>
      <c r="F278" s="18" t="inlineStr">
        <is>
          <t>Ceftriaxone 1 g IV OD</t>
        </is>
      </c>
      <c r="G278" s="18" t="inlineStr">
        <is>
          <t>Ciprofloxacin 500 mg BID</t>
        </is>
      </c>
      <c r="H278" s="18" t="inlineStr">
        <is>
          <t>Azithromycin 500 mg OD</t>
        </is>
      </c>
      <c r="I278" s="15" t="inlineStr">
        <is>
          <t>1</t>
        </is>
      </c>
      <c r="J278" s="18"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18" t="inlineStr"/>
      <c r="L278" s="18" t="inlineStr">
        <is>
          <t>Pneumonia</t>
        </is>
      </c>
      <c r="M278" s="18" t="inlineStr">
        <is>
          <t>Clinic</t>
        </is>
      </c>
      <c r="N278" s="18" t="inlineStr">
        <is>
          <t>ข้อ 5 (PLE_CC1_Key_Rx20_UBU.md)</t>
        </is>
      </c>
      <c r="O278" s="18" t="inlineStr">
        <is>
          <t>Mock</t>
        </is>
      </c>
      <c r="P278" s="18" t="inlineStr">
        <is>
          <t>Mock Rx20 UBU</t>
        </is>
      </c>
    </row>
    <row r="279">
      <c r="A279" s="15" t="inlineStr">
        <is>
          <t>291</t>
        </is>
      </c>
      <c r="B279" s="18" t="inlineStr">
        <is>
          <t>จากรูปโครงสร้างยา ceftriaxone ห้ามผสมใน diluent ชนิดไหน - dome = 100 my/m</t>
        </is>
      </c>
      <c r="C279" s="18" t="inlineStr"/>
      <c r="D279" s="18" t="inlineStr">
        <is>
          <t>Ciprofloxacin 500 mg BID</t>
        </is>
      </c>
      <c r="E279" s="18" t="inlineStr">
        <is>
          <t>Azithromycin 500 mg OD</t>
        </is>
      </c>
      <c r="F279" s="18" t="inlineStr">
        <is>
          <t>Doxycycline 100 mg BID</t>
        </is>
      </c>
      <c r="G279" s="18" t="inlineStr">
        <is>
          <t>Cotrimoxazole 160/800 mg BID</t>
        </is>
      </c>
      <c r="H279" s="18" t="inlineStr">
        <is>
          <t>Metronidazole 400 mg TID</t>
        </is>
      </c>
      <c r="I279" s="15" t="inlineStr">
        <is>
          <t>1</t>
        </is>
      </c>
      <c r="J279" s="18"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18" t="inlineStr"/>
      <c r="L279" s="18" t="inlineStr">
        <is>
          <t>Pneumonia</t>
        </is>
      </c>
      <c r="M279" s="18" t="inlineStr">
        <is>
          <t>Clinic</t>
        </is>
      </c>
      <c r="N279" s="18" t="inlineStr">
        <is>
          <t>ข้อ 31 (PLE_CC1_Key_Rx20_UBU.md)</t>
        </is>
      </c>
      <c r="O279" s="18" t="inlineStr">
        <is>
          <t>Mock</t>
        </is>
      </c>
      <c r="P279" s="18" t="inlineStr">
        <is>
          <t>Mock Rx20 UBU</t>
        </is>
      </c>
    </row>
    <row r="280">
      <c r="A280" s="15" t="inlineStr">
        <is>
          <t>292</t>
        </is>
      </c>
      <c r="B280" s="18" t="inlineStr">
        <is>
          <t>Ringer solution Ceftriaxone เกิด incomplatibity กับ calcium ในสารน้ำ Ringer solution</t>
        </is>
      </c>
      <c r="C280" s="18" t="inlineStr"/>
      <c r="D280" s="18" t="inlineStr">
        <is>
          <t>Cotrimoxazole 160/800 mg BID</t>
        </is>
      </c>
      <c r="E280" s="18" t="inlineStr">
        <is>
          <t>Metronidazole 400 mg TID</t>
        </is>
      </c>
      <c r="F280" s="18" t="inlineStr">
        <is>
          <t>Nitrofurantoin 100 mg BID</t>
        </is>
      </c>
      <c r="G280" s="18" t="inlineStr">
        <is>
          <t>Tenofovir/Emtricitabine 300/200 mg OD</t>
        </is>
      </c>
      <c r="H280" s="18" t="inlineStr">
        <is>
          <t>Dolutegravir 50 mg OD</t>
        </is>
      </c>
      <c r="I280" s="15" t="inlineStr">
        <is>
          <t>1</t>
        </is>
      </c>
      <c r="J280" s="18"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18" t="inlineStr"/>
      <c r="L280" s="18" t="inlineStr">
        <is>
          <t>Pneumonia</t>
        </is>
      </c>
      <c r="M280" s="18" t="inlineStr">
        <is>
          <t>Clinic</t>
        </is>
      </c>
      <c r="N280" s="18" t="inlineStr">
        <is>
          <t>ข้อ 5 (PLE_CC1_Key_Rx20_UBU.md)</t>
        </is>
      </c>
      <c r="O280" s="18" t="inlineStr">
        <is>
          <t>Mock</t>
        </is>
      </c>
      <c r="P280" s="18" t="inlineStr">
        <is>
          <t>Mock Rx20 UBU</t>
        </is>
      </c>
    </row>
    <row r="281">
      <c r="A281" s="15" t="inlineStr">
        <is>
          <t>293</t>
        </is>
      </c>
      <c r="B281" s="18" t="inlineStr">
        <is>
          <t>ยา ceftriaxone ที่ใช้ในการรักษาผู้ป่วยรายนี้ ควรบริหารยาแบบใด</t>
        </is>
      </c>
      <c r="C281" s="18" t="inlineStr"/>
      <c r="D281" s="18" t="inlineStr">
        <is>
          <t>Tenofovir/Emtricitabine 300/200 mg OD</t>
        </is>
      </c>
      <c r="E281" s="18" t="inlineStr">
        <is>
          <t>Dolutegravir 50 mg OD</t>
        </is>
      </c>
      <c r="F281" s="18" t="inlineStr">
        <is>
          <t>Vancomycin 1 g IV Q12H</t>
        </is>
      </c>
      <c r="G281" s="18" t="inlineStr">
        <is>
          <t>Meropenem 1 g IV Q8H</t>
        </is>
      </c>
      <c r="H281" s="18" t="inlineStr">
        <is>
          <t>Cefazolin 1 g IV Q8H</t>
        </is>
      </c>
      <c r="I281" s="15" t="inlineStr">
        <is>
          <t>1</t>
        </is>
      </c>
      <c r="J281" s="18"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18" t="inlineStr"/>
      <c r="L281" s="18" t="inlineStr">
        <is>
          <t>Pneumonia</t>
        </is>
      </c>
      <c r="M281" s="18" t="inlineStr">
        <is>
          <t>Clinic</t>
        </is>
      </c>
      <c r="N281" s="18" t="inlineStr">
        <is>
          <t>ข้อ 32 (PLE_CC1_Key_Rx20_UBU.md)</t>
        </is>
      </c>
      <c r="O281" s="18" t="inlineStr">
        <is>
          <t>Mock</t>
        </is>
      </c>
      <c r="P281" s="18" t="inlineStr">
        <is>
          <t>Mock Rx20 UBU</t>
        </is>
      </c>
    </row>
    <row r="282">
      <c r="A282" s="15" t="inlineStr">
        <is>
          <t>294</t>
        </is>
      </c>
      <c r="B282" s="18"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18" t="inlineStr"/>
      <c r="D282" s="18" t="inlineStr">
        <is>
          <t>Meropenem 1 g IV Q8H</t>
        </is>
      </c>
      <c r="E282" s="18" t="inlineStr">
        <is>
          <t>Cefazolin 1 g IV Q8H</t>
        </is>
      </c>
      <c r="F282" s="18" t="inlineStr">
        <is>
          <t>Amoxicillin/Clavulanate 1 g BID</t>
        </is>
      </c>
      <c r="G282" s="18" t="inlineStr">
        <is>
          <t>Ceftriaxone 1 g IV OD</t>
        </is>
      </c>
      <c r="H282" s="18" t="inlineStr">
        <is>
          <t>Ciprofloxacin 500 mg BID</t>
        </is>
      </c>
      <c r="I282" s="15" t="inlineStr">
        <is>
          <t>1</t>
        </is>
      </c>
      <c r="J282" s="18"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18" t="inlineStr"/>
      <c r="L282" s="18" t="inlineStr">
        <is>
          <t>Pneumonia</t>
        </is>
      </c>
      <c r="M282" s="18" t="inlineStr">
        <is>
          <t>Clinic</t>
        </is>
      </c>
      <c r="N282" s="18" t="inlineStr">
        <is>
          <t>ข้อ 33 (PLE_CC1_Key_Rx20_UBU.md)</t>
        </is>
      </c>
      <c r="O282" s="18" t="inlineStr">
        <is>
          <t>Mock</t>
        </is>
      </c>
      <c r="P282" s="18" t="inlineStr">
        <is>
          <t>Mock Rx20 UBU</t>
        </is>
      </c>
    </row>
    <row r="283">
      <c r="A283" s="15" t="inlineStr">
        <is>
          <t>295</t>
        </is>
      </c>
      <c r="B283" s="18" t="inlineStr">
        <is>
          <t>ไม่ต้องจ่ายค่ายารักษาโรคติดเชื้อฉวยโอกาส แต่ต้องจ่ายเงินค่ารักษาโรคเอดส์</t>
        </is>
      </c>
      <c r="C283" s="18" t="inlineStr"/>
      <c r="D283" s="18" t="inlineStr">
        <is>
          <t>Ceftriaxone 1 g IV OD</t>
        </is>
      </c>
      <c r="E283" s="18" t="inlineStr">
        <is>
          <t>Ciprofloxacin 500 mg BID</t>
        </is>
      </c>
      <c r="F283" s="18" t="inlineStr">
        <is>
          <t>Azithromycin 500 mg OD</t>
        </is>
      </c>
      <c r="G283" s="18" t="inlineStr">
        <is>
          <t>Doxycycline 100 mg BID</t>
        </is>
      </c>
      <c r="H283" s="18" t="inlineStr">
        <is>
          <t>Cotrimoxazole 160/800 mg BID</t>
        </is>
      </c>
      <c r="I283" s="15" t="inlineStr">
        <is>
          <t>1</t>
        </is>
      </c>
      <c r="J283" s="1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18" t="inlineStr"/>
      <c r="L283" s="18" t="inlineStr">
        <is>
          <t>HIV infection</t>
        </is>
      </c>
      <c r="M283" s="18" t="inlineStr">
        <is>
          <t>Clinic</t>
        </is>
      </c>
      <c r="N283" s="18" t="inlineStr">
        <is>
          <t>ข้อ 4 (PLE_CC1_Key_Rx20_UBU.md)</t>
        </is>
      </c>
      <c r="O283" s="18" t="inlineStr">
        <is>
          <t>Mock</t>
        </is>
      </c>
      <c r="P283" s="18" t="inlineStr">
        <is>
          <t>Mock Rx20 UBU</t>
        </is>
      </c>
    </row>
    <row r="284">
      <c r="A284" s="15" t="inlineStr">
        <is>
          <t>296</t>
        </is>
      </c>
      <c r="B284" s="18"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18" t="inlineStr"/>
      <c r="D284" s="18" t="inlineStr">
        <is>
          <t>Doxycycline 100 mg BID</t>
        </is>
      </c>
      <c r="E284" s="18" t="inlineStr">
        <is>
          <t>Cotrimoxazole 160/800 mg BID</t>
        </is>
      </c>
      <c r="F284" s="18" t="inlineStr">
        <is>
          <t>Metronidazole 400 mg TID</t>
        </is>
      </c>
      <c r="G284" s="18" t="inlineStr">
        <is>
          <t>Nitrofurantoin 100 mg BID</t>
        </is>
      </c>
      <c r="H284" s="18" t="inlineStr">
        <is>
          <t>Tenofovir/Emtricitabine 300/200 mg OD</t>
        </is>
      </c>
      <c r="I284" s="15" t="inlineStr">
        <is>
          <t>1</t>
        </is>
      </c>
      <c r="J284" s="1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18" t="inlineStr"/>
      <c r="L284" s="18" t="inlineStr">
        <is>
          <t>HIV infection</t>
        </is>
      </c>
      <c r="M284" s="18" t="inlineStr">
        <is>
          <t>Clinic</t>
        </is>
      </c>
      <c r="N284" s="18" t="inlineStr">
        <is>
          <t>ข้อ 5 (PLE_CC1_Key_Rx20_UBU.md)</t>
        </is>
      </c>
      <c r="O284" s="18" t="inlineStr">
        <is>
          <t>Mock</t>
        </is>
      </c>
      <c r="P284" s="18" t="inlineStr">
        <is>
          <t>Mock Rx20 UBU</t>
        </is>
      </c>
    </row>
    <row r="285">
      <c r="A285" s="15" t="inlineStr">
        <is>
          <t>297</t>
        </is>
      </c>
      <c r="B285" s="18" t="inlineStr">
        <is>
          <t>ยาปฏิชีวนะในข$อใด เปญนทางเลือกแรกสำหรับการรักษาภาวะ Spontaneous bacterial peritonitis (1) Amoxicillin (2) Cefotaxime (3) Colistimethate (4) Clindamycin (5) Ofloxacin</t>
        </is>
      </c>
      <c r="C285" s="18" t="inlineStr"/>
      <c r="D285" s="18" t="inlineStr">
        <is>
          <t>Nitrofurantoin 100 mg BID</t>
        </is>
      </c>
      <c r="E285" s="18" t="inlineStr">
        <is>
          <t>Tenofovir/Emtricitabine 300/200 mg OD</t>
        </is>
      </c>
      <c r="F285" s="18" t="inlineStr">
        <is>
          <t>Dolutegravir 50 mg OD</t>
        </is>
      </c>
      <c r="G285" s="18" t="inlineStr">
        <is>
          <t>Vancomycin 1 g IV Q12H</t>
        </is>
      </c>
      <c r="H285" s="18" t="inlineStr">
        <is>
          <t>Meropenem 1 g IV Q8H</t>
        </is>
      </c>
      <c r="I285" s="15" t="inlineStr">
        <is>
          <t>3</t>
        </is>
      </c>
      <c r="J285" s="18"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18" t="inlineStr"/>
      <c r="L285" s="18" t="inlineStr">
        <is>
          <t>URTI</t>
        </is>
      </c>
      <c r="M285" s="18" t="inlineStr">
        <is>
          <t>Clinic</t>
        </is>
      </c>
      <c r="N285" s="18" t="inlineStr">
        <is>
          <t>ข้อ 60 (PLE_CC1_Key_Rx20_UBU.md)</t>
        </is>
      </c>
      <c r="O285" s="18" t="inlineStr">
        <is>
          <t>Mock</t>
        </is>
      </c>
      <c r="P285" s="18" t="inlineStr">
        <is>
          <t>Mock Rx20 UBU</t>
        </is>
      </c>
    </row>
    <row r="286">
      <c r="A286" s="15" t="inlineStr">
        <is>
          <t>298</t>
        </is>
      </c>
      <c r="B286" s="18"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18" t="inlineStr"/>
      <c r="D286" s="18" t="inlineStr">
        <is>
          <t>Vancomycin 1 g IV Q12H</t>
        </is>
      </c>
      <c r="E286" s="18" t="inlineStr">
        <is>
          <t>Meropenem 1 g IV Q8H</t>
        </is>
      </c>
      <c r="F286" s="18" t="inlineStr">
        <is>
          <t>Cefazolin 1 g IV Q8H</t>
        </is>
      </c>
      <c r="G286" s="18" t="inlineStr">
        <is>
          <t>Amoxicillin/Clavulanate 1 g BID</t>
        </is>
      </c>
      <c r="H286" s="18" t="inlineStr">
        <is>
          <t>Ceftriaxone 1 g IV OD</t>
        </is>
      </c>
      <c r="I286" s="15" t="inlineStr">
        <is>
          <t>2</t>
        </is>
      </c>
      <c r="J286" s="18"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18" t="inlineStr"/>
      <c r="L286" s="18" t="inlineStr">
        <is>
          <t>HIV infection</t>
        </is>
      </c>
      <c r="M286" s="18" t="inlineStr">
        <is>
          <t>Clinic</t>
        </is>
      </c>
      <c r="N286" s="18" t="inlineStr">
        <is>
          <t>ข้อ 5 (PLE_CC1_Key_Rx20_UBU.md)</t>
        </is>
      </c>
      <c r="O286" s="18" t="inlineStr">
        <is>
          <t>Mock</t>
        </is>
      </c>
      <c r="P286" s="18" t="inlineStr">
        <is>
          <t>Mock Rx20 UBU</t>
        </is>
      </c>
    </row>
    <row r="287">
      <c r="A287" s="15" t="inlineStr">
        <is>
          <t>299</t>
        </is>
      </c>
      <c r="B287" s="18"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18" t="inlineStr"/>
      <c r="D287" s="18" t="inlineStr">
        <is>
          <t>Amoxicillin/Clavulanate 1 g BID</t>
        </is>
      </c>
      <c r="E287" s="18" t="inlineStr">
        <is>
          <t>Ceftriaxone 1 g IV OD</t>
        </is>
      </c>
      <c r="F287" s="18" t="inlineStr">
        <is>
          <t>Ciprofloxacin 500 mg BID</t>
        </is>
      </c>
      <c r="G287" s="18" t="inlineStr">
        <is>
          <t>Azithromycin 500 mg OD</t>
        </is>
      </c>
      <c r="H287" s="18" t="inlineStr">
        <is>
          <t>Doxycycline 100 mg BID</t>
        </is>
      </c>
      <c r="I287" s="15" t="inlineStr">
        <is>
          <t>2</t>
        </is>
      </c>
      <c r="J287" s="18"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18" t="inlineStr"/>
      <c r="L287" s="18" t="inlineStr">
        <is>
          <t>Tuberculosis</t>
        </is>
      </c>
      <c r="M287" s="18" t="inlineStr">
        <is>
          <t>Clinic</t>
        </is>
      </c>
      <c r="N287" s="18" t="inlineStr">
        <is>
          <t>ข้อ 5 (PLE_CC1_Key_Rx20_UBU.md)</t>
        </is>
      </c>
      <c r="O287" s="18" t="inlineStr">
        <is>
          <t>Mock</t>
        </is>
      </c>
      <c r="P287" s="18" t="inlineStr">
        <is>
          <t>Mock Rx20 UBU</t>
        </is>
      </c>
    </row>
    <row r="288">
      <c r="A288" s="15" t="inlineStr">
        <is>
          <t>301</t>
        </is>
      </c>
      <c r="B288" s="18" t="inlineStr">
        <is>
          <t>นำยา Ceftazidime 1 vial มาผสมกับ 0.9% NaCl 5 ml จากนั้นดูดมา 2.5 ml แล$วเติม Isotonic solution 7.5 ml</t>
        </is>
      </c>
      <c r="C288" s="18" t="inlineStr"/>
      <c r="D288" s="18" t="inlineStr">
        <is>
          <t>Metronidazole 400 mg TID</t>
        </is>
      </c>
      <c r="E288" s="18" t="inlineStr">
        <is>
          <t>Nitrofurantoin 100 mg BID</t>
        </is>
      </c>
      <c r="F288" s="18" t="inlineStr">
        <is>
          <t>Tenofovir/Emtricitabine 300/200 mg OD</t>
        </is>
      </c>
      <c r="G288" s="18" t="inlineStr">
        <is>
          <t>Dolutegravir 50 mg OD</t>
        </is>
      </c>
      <c r="H288" s="18" t="inlineStr">
        <is>
          <t>Vancomycin 1 g IV Q12H</t>
        </is>
      </c>
      <c r="I288" s="15" t="inlineStr">
        <is>
          <t>1</t>
        </is>
      </c>
      <c r="J288" s="1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18" t="inlineStr"/>
      <c r="L288" s="18" t="inlineStr">
        <is>
          <t>Cystitis</t>
        </is>
      </c>
      <c r="M288" s="18" t="inlineStr">
        <is>
          <t>Clinic</t>
        </is>
      </c>
      <c r="N288" s="18" t="inlineStr">
        <is>
          <t>ข้อ 1 (PLE_CC1_Key_Rx20_UBU.md)</t>
        </is>
      </c>
      <c r="O288" s="18" t="inlineStr">
        <is>
          <t>Mock</t>
        </is>
      </c>
      <c r="P288" s="18" t="inlineStr">
        <is>
          <t>Mock Rx20 UBU</t>
        </is>
      </c>
    </row>
    <row r="289">
      <c r="A289" s="15" t="inlineStr">
        <is>
          <t>302</t>
        </is>
      </c>
      <c r="B289" s="18" t="inlineStr">
        <is>
          <t>ชั่งยา Ceftazidime 500 mg แล$วเติม Isotonic solution จนครบ 10 ml</t>
        </is>
      </c>
      <c r="C289" s="18" t="inlineStr"/>
      <c r="D289" s="18" t="inlineStr">
        <is>
          <t>Dolutegravir 50 mg OD</t>
        </is>
      </c>
      <c r="E289" s="18" t="inlineStr">
        <is>
          <t>Vancomycin 1 g IV Q12H</t>
        </is>
      </c>
      <c r="F289" s="18" t="inlineStr">
        <is>
          <t>Meropenem 1 g IV Q8H</t>
        </is>
      </c>
      <c r="G289" s="18" t="inlineStr">
        <is>
          <t>Cefazolin 1 g IV Q8H</t>
        </is>
      </c>
      <c r="H289" s="18" t="inlineStr">
        <is>
          <t>Amoxicillin/Clavulanate 1 g BID</t>
        </is>
      </c>
      <c r="I289" s="15" t="inlineStr">
        <is>
          <t>1</t>
        </is>
      </c>
      <c r="J289" s="1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18" t="inlineStr"/>
      <c r="L289" s="18" t="inlineStr">
        <is>
          <t>Cystitis</t>
        </is>
      </c>
      <c r="M289" s="18" t="inlineStr">
        <is>
          <t>Clinic</t>
        </is>
      </c>
      <c r="N289" s="18" t="inlineStr">
        <is>
          <t>ข้อ 2 (PLE_CC1_Key_Rx20_UBU.md)</t>
        </is>
      </c>
      <c r="O289" s="18" t="inlineStr">
        <is>
          <t>Mock</t>
        </is>
      </c>
      <c r="P289" s="18" t="inlineStr">
        <is>
          <t>Mock Rx20 UBU</t>
        </is>
      </c>
    </row>
    <row r="290">
      <c r="A290" s="15" t="inlineStr">
        <is>
          <t>303</t>
        </is>
      </c>
      <c r="B290" s="18" t="inlineStr">
        <is>
          <t>นำยา Ceftazidime 1 vial มาผสมกับ 0.9% NaCl 2.5 ml จากนั้นดูดมา 2.5 ml แล$วเติม Isotonic solution 7.5 ml</t>
        </is>
      </c>
      <c r="C290" s="18" t="inlineStr"/>
      <c r="D290" s="18" t="inlineStr">
        <is>
          <t>Cefazolin 1 g IV Q8H</t>
        </is>
      </c>
      <c r="E290" s="18" t="inlineStr">
        <is>
          <t>Amoxicillin/Clavulanate 1 g BID</t>
        </is>
      </c>
      <c r="F290" s="18" t="inlineStr">
        <is>
          <t>Ceftriaxone 1 g IV OD</t>
        </is>
      </c>
      <c r="G290" s="18" t="inlineStr">
        <is>
          <t>Ciprofloxacin 500 mg BID</t>
        </is>
      </c>
      <c r="H290" s="18" t="inlineStr">
        <is>
          <t>Azithromycin 500 mg OD</t>
        </is>
      </c>
      <c r="I290" s="15" t="inlineStr">
        <is>
          <t>1</t>
        </is>
      </c>
      <c r="J290" s="1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18" t="inlineStr"/>
      <c r="L290" s="18" t="inlineStr">
        <is>
          <t>Cystitis</t>
        </is>
      </c>
      <c r="M290" s="18" t="inlineStr">
        <is>
          <t>Clinic</t>
        </is>
      </c>
      <c r="N290" s="18" t="inlineStr">
        <is>
          <t>ข้อ 3 (PLE_CC1_Key_Rx20_UBU.md)</t>
        </is>
      </c>
      <c r="O290" s="18" t="inlineStr">
        <is>
          <t>Mock</t>
        </is>
      </c>
      <c r="P290" s="18" t="inlineStr">
        <is>
          <t>Mock Rx20 UBU</t>
        </is>
      </c>
    </row>
    <row r="291">
      <c r="A291" s="15" t="inlineStr">
        <is>
          <t>304</t>
        </is>
      </c>
      <c r="B291" s="18" t="inlineStr">
        <is>
          <t>ชั่งยา Ceftazidime 250 mg แล$วเติม Isotonic solution จนครบ 10 ml</t>
        </is>
      </c>
      <c r="C291" s="18" t="inlineStr"/>
      <c r="D291" s="18" t="inlineStr">
        <is>
          <t>Ciprofloxacin 500 mg BID</t>
        </is>
      </c>
      <c r="E291" s="18" t="inlineStr">
        <is>
          <t>Azithromycin 500 mg OD</t>
        </is>
      </c>
      <c r="F291" s="18" t="inlineStr">
        <is>
          <t>Doxycycline 100 mg BID</t>
        </is>
      </c>
      <c r="G291" s="18" t="inlineStr">
        <is>
          <t>Cotrimoxazole 160/800 mg BID</t>
        </is>
      </c>
      <c r="H291" s="18" t="inlineStr">
        <is>
          <t>Metronidazole 400 mg TID</t>
        </is>
      </c>
      <c r="I291" s="15" t="inlineStr">
        <is>
          <t>1</t>
        </is>
      </c>
      <c r="J291" s="18"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18" t="inlineStr"/>
      <c r="L291" s="18" t="inlineStr">
        <is>
          <t>Cystitis</t>
        </is>
      </c>
      <c r="M291" s="18" t="inlineStr">
        <is>
          <t>Clinic</t>
        </is>
      </c>
      <c r="N291" s="18" t="inlineStr">
        <is>
          <t>ข้อ 4 (PLE_CC1_Key_Rx20_UBU.md)</t>
        </is>
      </c>
      <c r="O291" s="18" t="inlineStr">
        <is>
          <t>Mock</t>
        </is>
      </c>
      <c r="P291" s="18" t="inlineStr">
        <is>
          <t>Mock Rx20 UBU</t>
        </is>
      </c>
    </row>
    <row r="292">
      <c r="A292" s="15" t="inlineStr">
        <is>
          <t>305</t>
        </is>
      </c>
      <c r="B292" s="18" t="inlineStr">
        <is>
          <t>นำยา Ceftazidime 1 vial มาผสมกับ 0.9% NaCl 5 ml จากนั้นดูดมา 5 ml แล$วเติม Isotonic solution 5 ml</t>
        </is>
      </c>
      <c r="C292" s="18" t="inlineStr"/>
      <c r="D292" s="18" t="inlineStr">
        <is>
          <t>Cotrimoxazole 160/800 mg BID</t>
        </is>
      </c>
      <c r="E292" s="18" t="inlineStr">
        <is>
          <t>Metronidazole 400 mg TID</t>
        </is>
      </c>
      <c r="F292" s="18" t="inlineStr">
        <is>
          <t>Nitrofurantoin 100 mg BID</t>
        </is>
      </c>
      <c r="G292" s="18" t="inlineStr">
        <is>
          <t>Tenofovir/Emtricitabine 300/200 mg OD</t>
        </is>
      </c>
      <c r="H292" s="18" t="inlineStr">
        <is>
          <t>Dolutegravir 50 mg OD</t>
        </is>
      </c>
      <c r="I292" s="15" t="inlineStr">
        <is>
          <t>1</t>
        </is>
      </c>
      <c r="J292" s="1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18" t="inlineStr"/>
      <c r="L292" s="18" t="inlineStr">
        <is>
          <t>Cystitis</t>
        </is>
      </c>
      <c r="M292" s="18" t="inlineStr">
        <is>
          <t>Clinic</t>
        </is>
      </c>
      <c r="N292" s="18" t="inlineStr">
        <is>
          <t>ข้อ 5 (PLE_CC1_Key_Rx20_UBU.md)</t>
        </is>
      </c>
      <c r="O292" s="18" t="inlineStr">
        <is>
          <t>Mock</t>
        </is>
      </c>
      <c r="P292" s="18" t="inlineStr">
        <is>
          <t>Mock Rx20 UBU</t>
        </is>
      </c>
    </row>
    <row r="293">
      <c r="A293" s="15" t="inlineStr">
        <is>
          <t>306</t>
        </is>
      </c>
      <c r="B293" s="18" t="inlineStr">
        <is>
          <t>เปลี่ยน Ceftazidime เปญน Ceftriaxone</t>
        </is>
      </c>
      <c r="C293" s="18" t="inlineStr"/>
      <c r="D293" s="18" t="inlineStr">
        <is>
          <t>Tenofovir/Emtricitabine 300/200 mg OD</t>
        </is>
      </c>
      <c r="E293" s="18" t="inlineStr">
        <is>
          <t>Dolutegravir 50 mg OD</t>
        </is>
      </c>
      <c r="F293" s="18" t="inlineStr">
        <is>
          <t>Vancomycin 1 g IV Q12H</t>
        </is>
      </c>
      <c r="G293" s="18" t="inlineStr">
        <is>
          <t>Meropenem 1 g IV Q8H</t>
        </is>
      </c>
      <c r="H293" s="18" t="inlineStr">
        <is>
          <t>Cefazolin 1 g IV Q8H</t>
        </is>
      </c>
      <c r="I293" s="15" t="inlineStr">
        <is>
          <t>1</t>
        </is>
      </c>
      <c r="J293" s="18"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18" t="inlineStr"/>
      <c r="L293" s="18" t="inlineStr">
        <is>
          <t>Pneumonia</t>
        </is>
      </c>
      <c r="M293" s="18" t="inlineStr">
        <is>
          <t>Clinic</t>
        </is>
      </c>
      <c r="N293" s="18" t="inlineStr">
        <is>
          <t>ข้อ 1 (PLE_CC1_Key_Rx20_UBU.md)</t>
        </is>
      </c>
      <c r="O293" s="18" t="inlineStr">
        <is>
          <t>Mock</t>
        </is>
      </c>
      <c r="P293" s="18" t="inlineStr">
        <is>
          <t>Mock Rx20 UBU</t>
        </is>
      </c>
    </row>
    <row r="294">
      <c r="A294" s="15" t="inlineStr">
        <is>
          <t>307</t>
        </is>
      </c>
      <c r="B294" s="18" t="inlineStr">
        <is>
          <t>Amoxicillin เปญนยาที่ทนกรด สามารถรับประทานได$ จากโครงสร$างของ Amoxicillin สGวนใดที่ทำให$ Amoxicillin รับประทานได$</t>
        </is>
      </c>
      <c r="C294" s="18" t="inlineStr"/>
      <c r="D294" s="18" t="inlineStr">
        <is>
          <t>Meropenem 1 g IV Q8H</t>
        </is>
      </c>
      <c r="E294" s="18" t="inlineStr">
        <is>
          <t>Cefazolin 1 g IV Q8H</t>
        </is>
      </c>
      <c r="F294" s="18" t="inlineStr">
        <is>
          <t>Amoxicillin/Clavulanate 1 g BID</t>
        </is>
      </c>
      <c r="G294" s="18" t="inlineStr">
        <is>
          <t>Ceftriaxone 1 g IV OD</t>
        </is>
      </c>
      <c r="H294" s="18" t="inlineStr">
        <is>
          <t>Ciprofloxacin 500 mg BID</t>
        </is>
      </c>
      <c r="I294" s="15" t="inlineStr">
        <is>
          <t>1</t>
        </is>
      </c>
      <c r="J294" s="18"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18" t="inlineStr"/>
      <c r="L294" s="18" t="inlineStr">
        <is>
          <t>URTI</t>
        </is>
      </c>
      <c r="M294" s="18" t="inlineStr">
        <is>
          <t>Clinic</t>
        </is>
      </c>
      <c r="N294" s="18" t="inlineStr">
        <is>
          <t>ข้อ 65 (PLE_CC1_Key_Rx20_UBU.md)</t>
        </is>
      </c>
      <c r="O294" s="18" t="inlineStr">
        <is>
          <t>Mock</t>
        </is>
      </c>
      <c r="P294" s="18" t="inlineStr">
        <is>
          <t>Mock Rx20 UBU</t>
        </is>
      </c>
    </row>
    <row r="295">
      <c r="A295" s="15" t="inlineStr">
        <is>
          <t>308</t>
        </is>
      </c>
      <c r="B295" s="18" t="inlineStr">
        <is>
          <t>ยาต้าน HIV ที่ควรให้ในผู้ป่วยรายนี้</t>
        </is>
      </c>
      <c r="C295" s="18" t="inlineStr"/>
      <c r="D295" s="18" t="inlineStr">
        <is>
          <t>Ceftriaxone 1 g IV OD</t>
        </is>
      </c>
      <c r="E295" s="18" t="inlineStr">
        <is>
          <t>Ciprofloxacin 500 mg BID</t>
        </is>
      </c>
      <c r="F295" s="18" t="inlineStr">
        <is>
          <t>Azithromycin 500 mg OD</t>
        </is>
      </c>
      <c r="G295" s="18" t="inlineStr">
        <is>
          <t>Doxycycline 100 mg BID</t>
        </is>
      </c>
      <c r="H295" s="18" t="inlineStr">
        <is>
          <t>Cotrimoxazole 160/800 mg BID</t>
        </is>
      </c>
      <c r="I295" s="15" t="inlineStr">
        <is>
          <t>1</t>
        </is>
      </c>
      <c r="J295" s="1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18" t="inlineStr"/>
      <c r="L295" s="18" t="inlineStr">
        <is>
          <t>HIV infection</t>
        </is>
      </c>
      <c r="M295" s="18" t="inlineStr">
        <is>
          <t>Clinic</t>
        </is>
      </c>
      <c r="N295" s="18" t="inlineStr">
        <is>
          <t>ข้อ 6 (PLE_CC1_Key_Rx20_UBU.md)</t>
        </is>
      </c>
      <c r="O295" s="18" t="inlineStr">
        <is>
          <t>Mock</t>
        </is>
      </c>
      <c r="P295" s="18" t="inlineStr">
        <is>
          <t>Mock Rx20 UBU</t>
        </is>
      </c>
    </row>
    <row r="296">
      <c r="A296" s="15" t="inlineStr">
        <is>
          <t>309</t>
        </is>
      </c>
      <c r="B296" s="18" t="inlineStr">
        <is>
          <t>ยาที่ควรได้รับในผู้ป่วยรายนี้เพื่อป้องกันโรคติดเชื้อฉวยโอกาส</t>
        </is>
      </c>
      <c r="C296" s="18" t="inlineStr"/>
      <c r="D296" s="18" t="inlineStr">
        <is>
          <t>Doxycycline 100 mg BID</t>
        </is>
      </c>
      <c r="E296" s="18" t="inlineStr">
        <is>
          <t>Cotrimoxazole 160/800 mg BID</t>
        </is>
      </c>
      <c r="F296" s="18" t="inlineStr">
        <is>
          <t>Metronidazole 400 mg TID</t>
        </is>
      </c>
      <c r="G296" s="18" t="inlineStr">
        <is>
          <t>Nitrofurantoin 100 mg BID</t>
        </is>
      </c>
      <c r="H296" s="18" t="inlineStr">
        <is>
          <t>Tenofovir/Emtricitabine 300/200 mg OD</t>
        </is>
      </c>
      <c r="I296" s="15" t="inlineStr">
        <is>
          <t>1</t>
        </is>
      </c>
      <c r="J296" s="1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18" t="inlineStr"/>
      <c r="L296" s="18" t="inlineStr">
        <is>
          <t>HIV infection</t>
        </is>
      </c>
      <c r="M296" s="18" t="inlineStr">
        <is>
          <t>Clinic</t>
        </is>
      </c>
      <c r="N296" s="18" t="inlineStr">
        <is>
          <t>ข้อ 8 (PLE_CC1_Key_Rx20_UBU.md)</t>
        </is>
      </c>
      <c r="O296" s="18" t="inlineStr">
        <is>
          <t>Mock</t>
        </is>
      </c>
      <c r="P296" s="18" t="inlineStr">
        <is>
          <t>Mock Rx20 UBU</t>
        </is>
      </c>
    </row>
    <row r="297">
      <c r="A297" s="15" t="inlineStr">
        <is>
          <t>310</t>
        </is>
      </c>
      <c r="B297" s="18" t="inlineStr">
        <is>
          <t>Herpe zoster ตากุ้งยิงเป็นการอักเสบหรือติดเชื้อจากการอุดตันของต่อมไขมันบริเวณเปลือกตา</t>
        </is>
      </c>
      <c r="C297" s="18" t="inlineStr"/>
      <c r="D297" s="18" t="inlineStr">
        <is>
          <t>Nitrofurantoin 100 mg BID</t>
        </is>
      </c>
      <c r="E297" s="18" t="inlineStr">
        <is>
          <t>Tenofovir/Emtricitabine 300/200 mg OD</t>
        </is>
      </c>
      <c r="F297" s="18" t="inlineStr">
        <is>
          <t>Dolutegravir 50 mg OD</t>
        </is>
      </c>
      <c r="G297" s="18" t="inlineStr">
        <is>
          <t>Vancomycin 1 g IV Q12H</t>
        </is>
      </c>
      <c r="H297" s="18" t="inlineStr">
        <is>
          <t>Meropenem 1 g IV Q8H</t>
        </is>
      </c>
      <c r="I297" s="15" t="inlineStr">
        <is>
          <t>5</t>
        </is>
      </c>
      <c r="J297" s="1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18" t="inlineStr"/>
      <c r="L297" s="18" t="inlineStr">
        <is>
          <t>HIV infection</t>
        </is>
      </c>
      <c r="M297" s="18" t="inlineStr">
        <is>
          <t>Clinic</t>
        </is>
      </c>
      <c r="N297" s="18" t="inlineStr">
        <is>
          <t>ข้อ 5 (PLE_CC1_Key_Rx20_UBU.md)</t>
        </is>
      </c>
      <c r="O297" s="18" t="inlineStr">
        <is>
          <t>Mock</t>
        </is>
      </c>
      <c r="P297" s="18" t="inlineStr">
        <is>
          <t>Mock Rx20 UBU</t>
        </is>
      </c>
    </row>
    <row r="298">
      <c r="A298" s="15" t="inlineStr">
        <is>
          <t>311</t>
        </is>
      </c>
      <c r="B298" s="18" t="inlineStr">
        <is>
          <t>dicloxacillin ต่างจาก amoxicillin อย่างไร</t>
        </is>
      </c>
      <c r="C298" s="18" t="inlineStr"/>
      <c r="D298" s="18" t="inlineStr">
        <is>
          <t>Vancomycin 1 g IV Q12H</t>
        </is>
      </c>
      <c r="E298" s="18" t="inlineStr">
        <is>
          <t>Meropenem 1 g IV Q8H</t>
        </is>
      </c>
      <c r="F298" s="18" t="inlineStr">
        <is>
          <t>Cefazolin 1 g IV Q8H</t>
        </is>
      </c>
      <c r="G298" s="18" t="inlineStr">
        <is>
          <t>Amoxicillin/Clavulanate 1 g BID</t>
        </is>
      </c>
      <c r="H298" s="18" t="inlineStr">
        <is>
          <t>Ceftriaxone 1 g IV OD</t>
        </is>
      </c>
      <c r="I298" s="15" t="inlineStr">
        <is>
          <t>1</t>
        </is>
      </c>
      <c r="J298" s="18"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18" t="inlineStr"/>
      <c r="L298" s="18" t="inlineStr">
        <is>
          <t>URTI</t>
        </is>
      </c>
      <c r="M298" s="18" t="inlineStr">
        <is>
          <t>Clinic</t>
        </is>
      </c>
      <c r="N298" s="18" t="inlineStr">
        <is>
          <t>ข้อ 5 (PLE_CC1_Key_Rx20_UBU.md)</t>
        </is>
      </c>
      <c r="O298" s="18" t="inlineStr">
        <is>
          <t>Mock</t>
        </is>
      </c>
      <c r="P298" s="18" t="inlineStr">
        <is>
          <t>Mock Rx20 UBU</t>
        </is>
      </c>
    </row>
    <row r="299">
      <c r="A299" s="15" t="inlineStr">
        <is>
          <t>312</t>
        </is>
      </c>
      <c r="B299" s="18" t="inlineStr">
        <is>
          <t>ทน bata lactamase มากกว่า amoxicillin</t>
        </is>
      </c>
      <c r="C299" s="18" t="inlineStr"/>
      <c r="D299" s="18" t="inlineStr">
        <is>
          <t>Amoxicillin/Clavulanate 1 g BID</t>
        </is>
      </c>
      <c r="E299" s="18" t="inlineStr">
        <is>
          <t>Ceftriaxone 1 g IV OD</t>
        </is>
      </c>
      <c r="F299" s="18" t="inlineStr">
        <is>
          <t>Ciprofloxacin 500 mg BID</t>
        </is>
      </c>
      <c r="G299" s="18" t="inlineStr">
        <is>
          <t>Azithromycin 500 mg OD</t>
        </is>
      </c>
      <c r="H299" s="18" t="inlineStr">
        <is>
          <t>Doxycycline 100 mg BID</t>
        </is>
      </c>
      <c r="I299" s="15" t="inlineStr">
        <is>
          <t>1</t>
        </is>
      </c>
      <c r="J299" s="18"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18" t="inlineStr"/>
      <c r="L299" s="18" t="inlineStr">
        <is>
          <t>URTI</t>
        </is>
      </c>
      <c r="M299" s="18" t="inlineStr">
        <is>
          <t>Clinic</t>
        </is>
      </c>
      <c r="N299" s="18" t="inlineStr">
        <is>
          <t>ข้อ 1 (PLE_CC1_Key_Rx20_UBU.md)</t>
        </is>
      </c>
      <c r="O299" s="18" t="inlineStr">
        <is>
          <t>Mock</t>
        </is>
      </c>
      <c r="P299" s="18" t="inlineStr">
        <is>
          <t>Mock Rx20 UBU</t>
        </is>
      </c>
    </row>
    <row r="300">
      <c r="A300" s="15" t="inlineStr">
        <is>
          <t>313</t>
        </is>
      </c>
      <c r="B300" s="18" t="inlineStr">
        <is>
          <t>ใช้ร่วมกับยา rifampin</t>
        </is>
      </c>
      <c r="C300" s="18" t="inlineStr"/>
      <c r="D300" s="18" t="inlineStr">
        <is>
          <t>Azithromycin 500 mg OD</t>
        </is>
      </c>
      <c r="E300" s="18" t="inlineStr">
        <is>
          <t>Doxycycline 100 mg BID</t>
        </is>
      </c>
      <c r="F300" s="18" t="inlineStr">
        <is>
          <t>Cotrimoxazole 160/800 mg BID</t>
        </is>
      </c>
      <c r="G300" s="18" t="inlineStr">
        <is>
          <t>Metronidazole 400 mg TID</t>
        </is>
      </c>
      <c r="H300" s="18" t="inlineStr">
        <is>
          <t>Nitrofurantoin 100 mg BID</t>
        </is>
      </c>
      <c r="I300" s="15" t="inlineStr">
        <is>
          <t>1</t>
        </is>
      </c>
      <c r="J300" s="1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18" t="inlineStr"/>
      <c r="L300" s="18" t="inlineStr">
        <is>
          <t>HIV infection</t>
        </is>
      </c>
      <c r="M300" s="18" t="inlineStr">
        <is>
          <t>Clinic</t>
        </is>
      </c>
      <c r="N300" s="18" t="inlineStr">
        <is>
          <t>ข้อ 4 (PLE_CC1_Key_Rx20_UBU.md)</t>
        </is>
      </c>
      <c r="O300" s="18" t="inlineStr">
        <is>
          <t>Mock</t>
        </is>
      </c>
      <c r="P300" s="18" t="inlineStr">
        <is>
          <t>Mock Rx20 UBU</t>
        </is>
      </c>
    </row>
    <row r="301">
      <c r="A301" s="15" t="inlineStr">
        <is>
          <t>314</t>
        </is>
      </c>
      <c r="B301" s="18"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18" t="inlineStr"/>
      <c r="D301" s="18" t="inlineStr">
        <is>
          <t>Metronidazole 400 mg TID</t>
        </is>
      </c>
      <c r="E301" s="18" t="inlineStr">
        <is>
          <t>Nitrofurantoin 100 mg BID</t>
        </is>
      </c>
      <c r="F301" s="18" t="inlineStr">
        <is>
          <t>Tenofovir/Emtricitabine 300/200 mg OD</t>
        </is>
      </c>
      <c r="G301" s="18" t="inlineStr">
        <is>
          <t>Dolutegravir 50 mg OD</t>
        </is>
      </c>
      <c r="H301" s="18" t="inlineStr">
        <is>
          <t>Vancomycin 1 g IV Q12H</t>
        </is>
      </c>
      <c r="I301" s="15" t="inlineStr">
        <is>
          <t>1</t>
        </is>
      </c>
      <c r="J301" s="1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18" t="inlineStr"/>
      <c r="L301" s="18" t="inlineStr">
        <is>
          <t>HIV infection</t>
        </is>
      </c>
      <c r="M301" s="18" t="inlineStr">
        <is>
          <t>Clinic</t>
        </is>
      </c>
      <c r="N301" s="18" t="inlineStr">
        <is>
          <t>ข้อ 5 (PLE_CC1_Key_Rx20_UBU.md)</t>
        </is>
      </c>
      <c r="O301" s="18" t="inlineStr">
        <is>
          <t>Mock</t>
        </is>
      </c>
      <c r="P301" s="18" t="inlineStr">
        <is>
          <t>Mock Rx20 UBU</t>
        </is>
      </c>
    </row>
    <row r="302">
      <c r="A302" s="15" t="inlineStr">
        <is>
          <t>315</t>
        </is>
      </c>
      <c r="B302" s="18" t="inlineStr">
        <is>
          <t>ป้องกันภาวะแทรกซ้อนจากการติดเชื้อในช่องท้อง</t>
        </is>
      </c>
      <c r="C302" s="18" t="inlineStr"/>
      <c r="D302" s="18" t="inlineStr">
        <is>
          <t>Dolutegravir 50 mg OD</t>
        </is>
      </c>
      <c r="E302" s="18" t="inlineStr">
        <is>
          <t>Vancomycin 1 g IV Q12H</t>
        </is>
      </c>
      <c r="F302" s="18" t="inlineStr">
        <is>
          <t>Meropenem 1 g IV Q8H</t>
        </is>
      </c>
      <c r="G302" s="18" t="inlineStr">
        <is>
          <t>Cefazolin 1 g IV Q8H</t>
        </is>
      </c>
      <c r="H302" s="18" t="inlineStr">
        <is>
          <t>Amoxicillin/Clavulanate 1 g BID</t>
        </is>
      </c>
      <c r="I302" s="15" t="inlineStr">
        <is>
          <t>1</t>
        </is>
      </c>
      <c r="J302" s="1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18" t="inlineStr"/>
      <c r="L302" s="18" t="inlineStr">
        <is>
          <t>HIV infection</t>
        </is>
      </c>
      <c r="M302" s="18" t="inlineStr">
        <is>
          <t>Clinic</t>
        </is>
      </c>
      <c r="N302" s="18" t="inlineStr">
        <is>
          <t>ข้อ 1 (PLE_CC1_Key_Rx20_UBU.md)</t>
        </is>
      </c>
      <c r="O302" s="18" t="inlineStr">
        <is>
          <t>Mock</t>
        </is>
      </c>
      <c r="P302" s="18" t="inlineStr">
        <is>
          <t>Mock Rx20 UBU</t>
        </is>
      </c>
    </row>
    <row r="303">
      <c r="A303" s="15" t="inlineStr">
        <is>
          <t>316</t>
        </is>
      </c>
      <c r="B303" s="18" t="inlineStr">
        <is>
          <t>น่าจะติดเชื้อใด</t>
        </is>
      </c>
      <c r="C303" s="18" t="inlineStr"/>
      <c r="D303" s="18" t="inlineStr">
        <is>
          <t>Cefazolin 1 g IV Q8H</t>
        </is>
      </c>
      <c r="E303" s="18" t="inlineStr">
        <is>
          <t>Amoxicillin/Clavulanate 1 g BID</t>
        </is>
      </c>
      <c r="F303" s="18" t="inlineStr">
        <is>
          <t>Ceftriaxone 1 g IV OD</t>
        </is>
      </c>
      <c r="G303" s="18" t="inlineStr">
        <is>
          <t>Ciprofloxacin 500 mg BID</t>
        </is>
      </c>
      <c r="H303" s="18" t="inlineStr">
        <is>
          <t>Azithromycin 500 mg OD</t>
        </is>
      </c>
      <c r="I303" s="15" t="inlineStr">
        <is>
          <t>1</t>
        </is>
      </c>
      <c r="J303" s="1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18" t="inlineStr"/>
      <c r="L303" s="18" t="inlineStr">
        <is>
          <t>HIV infection</t>
        </is>
      </c>
      <c r="M303" s="18" t="inlineStr">
        <is>
          <t>Clinic</t>
        </is>
      </c>
      <c r="N303" s="18" t="inlineStr">
        <is>
          <t>ข้อ 1 (PLE_CC1_Key_Rx20_UBU.md)</t>
        </is>
      </c>
      <c r="O303" s="18" t="inlineStr">
        <is>
          <t>Mock</t>
        </is>
      </c>
      <c r="P303" s="18" t="inlineStr">
        <is>
          <t>Mock Rx20 UBU</t>
        </is>
      </c>
    </row>
    <row r="304">
      <c r="A304" s="15" t="inlineStr">
        <is>
          <t>317</t>
        </is>
      </c>
      <c r="B304" s="18" t="inlineStr">
        <is>
          <t>ข้อใดน่าจะเป็นสาเหตุของการติดเชื้อในครั้งนี้มากที่สุด</t>
        </is>
      </c>
      <c r="C304" s="18" t="inlineStr"/>
      <c r="D304" s="18" t="inlineStr">
        <is>
          <t>Ciprofloxacin 500 mg BID</t>
        </is>
      </c>
      <c r="E304" s="18" t="inlineStr">
        <is>
          <t>Azithromycin 500 mg OD</t>
        </is>
      </c>
      <c r="F304" s="18" t="inlineStr">
        <is>
          <t>Doxycycline 100 mg BID</t>
        </is>
      </c>
      <c r="G304" s="18" t="inlineStr">
        <is>
          <t>Cotrimoxazole 160/800 mg BID</t>
        </is>
      </c>
      <c r="H304" s="18" t="inlineStr">
        <is>
          <t>Metronidazole 400 mg TID</t>
        </is>
      </c>
      <c r="I304" s="15" t="inlineStr">
        <is>
          <t>1</t>
        </is>
      </c>
      <c r="J304" s="1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18" t="inlineStr"/>
      <c r="L304" s="18" t="inlineStr">
        <is>
          <t>HIV infection</t>
        </is>
      </c>
      <c r="M304" s="18" t="inlineStr">
        <is>
          <t>Clinic</t>
        </is>
      </c>
      <c r="N304" s="18" t="inlineStr">
        <is>
          <t>ข้อ 2 (PLE_CC1_Key_Rx20_UBU.md)</t>
        </is>
      </c>
      <c r="O304" s="18" t="inlineStr">
        <is>
          <t>Mock</t>
        </is>
      </c>
      <c r="P304" s="18" t="inlineStr">
        <is>
          <t>Mock Rx20 UBU</t>
        </is>
      </c>
    </row>
    <row r="305">
      <c r="A305" s="15" t="inlineStr">
        <is>
          <t>318</t>
        </is>
      </c>
      <c r="B305" s="18" t="inlineStr">
        <is>
          <t>Fluticasone ICS</t>
        </is>
      </c>
      <c r="C305" s="18" t="inlineStr"/>
      <c r="D305" s="18" t="inlineStr">
        <is>
          <t>Cotrimoxazole 160/800 mg BID</t>
        </is>
      </c>
      <c r="E305" s="18" t="inlineStr">
        <is>
          <t>Metronidazole 400 mg TID</t>
        </is>
      </c>
      <c r="F305" s="18" t="inlineStr">
        <is>
          <t>Nitrofurantoin 100 mg BID</t>
        </is>
      </c>
      <c r="G305" s="18" t="inlineStr">
        <is>
          <t>Tenofovir/Emtricitabine 300/200 mg OD</t>
        </is>
      </c>
      <c r="H305" s="18" t="inlineStr">
        <is>
          <t>Dolutegravir 50 mg OD</t>
        </is>
      </c>
      <c r="I305" s="15" t="inlineStr">
        <is>
          <t>1</t>
        </is>
      </c>
      <c r="J305" s="18"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18" t="inlineStr"/>
      <c r="L305" s="18" t="inlineStr">
        <is>
          <t>Cystitis</t>
        </is>
      </c>
      <c r="M305" s="18" t="inlineStr">
        <is>
          <t>Clinic</t>
        </is>
      </c>
      <c r="N305" s="18" t="inlineStr">
        <is>
          <t>ข้อ 1 (PLE_CC1_Key_Rx20_UBU.md)</t>
        </is>
      </c>
      <c r="O305" s="18" t="inlineStr">
        <is>
          <t>Mock</t>
        </is>
      </c>
      <c r="P305" s="18" t="inlineStr">
        <is>
          <t>Mock Rx20 UBU</t>
        </is>
      </c>
    </row>
    <row r="306">
      <c r="A306" s="15" t="inlineStr">
        <is>
          <t>319</t>
        </is>
      </c>
      <c r="B306" s="18" t="inlineStr">
        <is>
          <t>ติดเชื้อ H.pylori</t>
        </is>
      </c>
      <c r="C306" s="18" t="inlineStr"/>
      <c r="D306" s="18" t="inlineStr">
        <is>
          <t>Tenofovir/Emtricitabine 300/200 mg OD</t>
        </is>
      </c>
      <c r="E306" s="18" t="inlineStr">
        <is>
          <t>Dolutegravir 50 mg OD</t>
        </is>
      </c>
      <c r="F306" s="18" t="inlineStr">
        <is>
          <t>Vancomycin 1 g IV Q12H</t>
        </is>
      </c>
      <c r="G306" s="18" t="inlineStr">
        <is>
          <t>Meropenem 1 g IV Q8H</t>
        </is>
      </c>
      <c r="H306" s="18" t="inlineStr">
        <is>
          <t>Cefazolin 1 g IV Q8H</t>
        </is>
      </c>
      <c r="I306" s="15" t="inlineStr">
        <is>
          <t>1</t>
        </is>
      </c>
      <c r="J306" s="1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18" t="inlineStr"/>
      <c r="L306" s="18" t="inlineStr">
        <is>
          <t>HIV infection</t>
        </is>
      </c>
      <c r="M306" s="18" t="inlineStr">
        <is>
          <t>Clinic</t>
        </is>
      </c>
      <c r="N306" s="18" t="inlineStr">
        <is>
          <t>ข้อ 3 (PLE_CC1_Key_Rx20_UBU.md)</t>
        </is>
      </c>
      <c r="O306" s="18" t="inlineStr">
        <is>
          <t>Mock</t>
        </is>
      </c>
      <c r="P306" s="18" t="inlineStr">
        <is>
          <t>Mock Rx20 UBU</t>
        </is>
      </c>
    </row>
    <row r="307">
      <c r="A307" s="15" t="inlineStr">
        <is>
          <t>320</t>
        </is>
      </c>
      <c r="B307" s="18" t="inlineStr">
        <is>
          <t>ยาตาน HIV ที่ผูปวยไดรับมีผลรบกวนยาแกปวดหัวไมเกรนยังไง</t>
        </is>
      </c>
      <c r="C307" s="18" t="inlineStr"/>
      <c r="D307" s="18" t="inlineStr">
        <is>
          <t>Meropenem 1 g IV Q8H</t>
        </is>
      </c>
      <c r="E307" s="18" t="inlineStr">
        <is>
          <t>Cefazolin 1 g IV Q8H</t>
        </is>
      </c>
      <c r="F307" s="18" t="inlineStr">
        <is>
          <t>Amoxicillin/Clavulanate 1 g BID</t>
        </is>
      </c>
      <c r="G307" s="18" t="inlineStr">
        <is>
          <t>Ceftriaxone 1 g IV OD</t>
        </is>
      </c>
      <c r="H307" s="18" t="inlineStr">
        <is>
          <t>Ciprofloxacin 500 mg BID</t>
        </is>
      </c>
      <c r="I307" s="15" t="inlineStr">
        <is>
          <t>1</t>
        </is>
      </c>
      <c r="J307" s="1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18" t="inlineStr"/>
      <c r="L307" s="18" t="inlineStr">
        <is>
          <t>HIV infection</t>
        </is>
      </c>
      <c r="M307" s="18" t="inlineStr">
        <is>
          <t>Clinic</t>
        </is>
      </c>
      <c r="N307" s="18" t="inlineStr">
        <is>
          <t>ข้อ 1 (PLE_CC1_Key_Rx20_UBU.md)</t>
        </is>
      </c>
      <c r="O307" s="18" t="inlineStr">
        <is>
          <t>Mock</t>
        </is>
      </c>
      <c r="P307" s="18" t="inlineStr">
        <is>
          <t>Mock Rx20 UBU</t>
        </is>
      </c>
    </row>
    <row r="308">
      <c r="A308" s="15" t="inlineStr">
        <is>
          <t>321</t>
        </is>
      </c>
      <c r="B308" s="18" t="inlineStr">
        <is>
          <t>ผู้ป่วยรายนี้ติดเชื้ออะไร</t>
        </is>
      </c>
      <c r="C308" s="18" t="inlineStr"/>
      <c r="D308" s="18" t="inlineStr">
        <is>
          <t>Adeno virus</t>
        </is>
      </c>
      <c r="E308" s="18" t="inlineStr">
        <is>
          <t>Influenza virus</t>
        </is>
      </c>
      <c r="F308" s="18" t="inlineStr">
        <is>
          <t>Haemophilus influenza</t>
        </is>
      </c>
      <c r="G308" s="18" t="inlineStr">
        <is>
          <t>streptococcus pyrogenes</t>
        </is>
      </c>
      <c r="H308" s="18"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15" t="inlineStr">
        <is>
          <t>1</t>
        </is>
      </c>
      <c r="J308" s="18"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ข. (Influenza virus): วัคซีนไข้หวัดใหญ่ชนิด inactivated ฉีดปีละ 1 ครั้ง ในกลุ่มเสี่ยง 7 กลุ่มโรคเรื้อรัง และเด็กอายุ 6 เดือน - 2 ปี
• ข้อ ค. (Haemophilus influenza): วัคซีนไข้หวัดใหญ่ชนิด inactivated ฉีดปีละ 1 ครั้ง ในกลุ่มเสี่ยง 7 กลุ่มโรคเรื้อรัง และเด็กอายุ 6 เดือน - 2 ปี
• ข้อ ง. (streptococcus pyrogenes): ข้อนี้ไม่ใช่คำตอบที่ถูกต้องสำหรับภาวะ HIV infection เนื่องจากกลไกการออกฤทธิ์, efficacy หรือข้อบ่งใช้ไม่ตรงกับโจทย์ที่กำหนด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เป็น Live oral vaccine หยอดทางปากเข็มแรกที่ 2 เดือน และเข็ม 2 ที่ 4 เดือน (ห้ามเริ่มเข็มแรกเมื่ออายุเกิน 15 สัปดาห์)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18" t="inlineStr"/>
      <c r="L308" s="18" t="inlineStr">
        <is>
          <t>HIV infection</t>
        </is>
      </c>
      <c r="M308" s="18" t="inlineStr">
        <is>
          <t>Clinic</t>
        </is>
      </c>
      <c r="N308" s="18" t="inlineStr">
        <is>
          <t>ข้อ 37 (PLE_CC1_Key_Rx20_UBU.md)</t>
        </is>
      </c>
      <c r="O308" s="18" t="inlineStr">
        <is>
          <t>Mock</t>
        </is>
      </c>
      <c r="P308" s="18" t="inlineStr">
        <is>
          <t>Mock Rx20 UBU</t>
        </is>
      </c>
    </row>
    <row r="309">
      <c r="A309" s="18" t="n">
        <v>322</v>
      </c>
      <c r="B309" s="18"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18" t="inlineStr"/>
      <c r="D309" s="18" t="inlineStr">
        <is>
          <t>1IRZE/5IR</t>
        </is>
      </c>
      <c r="E309" s="18" t="inlineStr">
        <is>
          <t>2IRZE/2IR</t>
        </is>
      </c>
      <c r="F309" s="18" t="inlineStr">
        <is>
          <t>2IRZE/4IR</t>
        </is>
      </c>
      <c r="G309" s="18" t="inlineStr">
        <is>
          <t>3IRZE/2IR</t>
        </is>
      </c>
      <c r="H309" s="18" t="inlineStr">
        <is>
          <t>3IRZE/3IR</t>
        </is>
      </c>
      <c r="I309" s="15" t="inlineStr">
        <is>
          <t>3</t>
        </is>
      </c>
      <c r="J309" s="18"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18" t="inlineStr"/>
      <c r="L309" s="18" t="inlineStr">
        <is>
          <t>Tuberculosis</t>
        </is>
      </c>
      <c r="M309" s="18" t="inlineStr">
        <is>
          <t>Clinic</t>
        </is>
      </c>
      <c r="N309" s="18" t="inlineStr">
        <is>
          <t>Mock PLE-CC 1 ข้อ 95</t>
        </is>
      </c>
      <c r="O309" s="18" t="inlineStr">
        <is>
          <t>Mock</t>
        </is>
      </c>
      <c r="P309" s="18" t="inlineStr">
        <is>
          <t>Mock RxCU83</t>
        </is>
      </c>
    </row>
    <row r="310">
      <c r="A310" s="18" t="n">
        <v>323</v>
      </c>
      <c r="B310" s="18"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18" t="inlineStr"/>
      <c r="D310" s="18" t="inlineStr">
        <is>
          <t>หยุดยา Ethambutol (E) เพียงตัวเดียว</t>
        </is>
      </c>
      <c r="E310" s="18" t="inlineStr">
        <is>
          <t>หยุดยา Isoniazid (I) และ Rifampicin (R) แต่คง Pyrazinamide (Z) ไว้</t>
        </is>
      </c>
      <c r="F310" s="18" t="inlineStr">
        <is>
          <t>หยุดยาที่มีพิษต่อตับ (I, R, Z) ทันที รอระดับเอนไซม์ตับกลับมาปกติก่อนพิจารณาเริ่มยาใหม่</t>
        </is>
      </c>
      <c r="G310" s="18" t="inlineStr">
        <is>
          <t>หยุดยา I, R, Z รอระดับเอนไซม์กลับมาปกติแล้วเริ่มยาทุกตัวพร้อมกันในขนาดครึ่งหนึ่ง</t>
        </is>
      </c>
      <c r="H310" s="18" t="inlineStr">
        <is>
          <t>ใช้ยาต่อเนื่องได้ ไม่ต้องหยุดยาเนื่องจากเอนไซม์ตับยังไม่เกิน 5 เท่า</t>
        </is>
      </c>
      <c r="I310" s="15" t="inlineStr">
        <is>
          <t>3</t>
        </is>
      </c>
      <c r="J310" s="18"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18" t="inlineStr"/>
      <c r="L310" s="18" t="inlineStr">
        <is>
          <t>Tuberculosis</t>
        </is>
      </c>
      <c r="M310" s="18" t="inlineStr">
        <is>
          <t>Clinic</t>
        </is>
      </c>
      <c r="N310" s="18" t="inlineStr">
        <is>
          <t>Mock PLE-CC 1 ข้อ 96</t>
        </is>
      </c>
      <c r="O310" s="18" t="inlineStr">
        <is>
          <t>Mock</t>
        </is>
      </c>
      <c r="P310" s="18" t="inlineStr">
        <is>
          <t>Mock RxCU83</t>
        </is>
      </c>
    </row>
    <row r="311">
      <c r="A311" s="18" t="n">
        <v>324</v>
      </c>
      <c r="B311" s="18" t="inlineStr">
        <is>
          <t>ข้อใดถูกต้องเกี่ยวกับยา Rifampicin ในสูตรการรักษาวัณโรค</t>
        </is>
      </c>
      <c r="C311" s="18" t="inlineStr"/>
      <c r="D311" s="18" t="inlineStr">
        <is>
          <t>ยานี้ออกฤทธิ์ยับยั้งการสังเคราะห์ DNA โดยตรง</t>
        </is>
      </c>
      <c r="E311" s="18" t="inlineStr">
        <is>
          <t>ยานี้ออกฤทธิ์ยับยั้งการสังเคราะห์เยื่อหุ้มเซลล์</t>
        </is>
      </c>
      <c r="F311" s="18" t="inlineStr">
        <is>
          <t>ยานี้ทำให้ปัสสาวะ น้ำตา และสารคัดหลั่งในร่างกายเปลี่ยนเป็นสีส้มแดง</t>
        </is>
      </c>
      <c r="G311" s="18" t="inlineStr">
        <is>
          <t>Product acetyl ของยานี้เป็นพิษต่อตับจากการทำงานของเอนไซม์ NAT2</t>
        </is>
      </c>
      <c r="H311" s="18" t="inlineStr">
        <is>
          <t>ยานี้เป็นเอนไซม์อินฮิบิเตอร์ที่ยับยั้งการทำงานของ CYP3A4 อย่างแรง</t>
        </is>
      </c>
      <c r="I311" s="15" t="inlineStr">
        <is>
          <t>3</t>
        </is>
      </c>
      <c r="J311" s="18"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18" t="inlineStr"/>
      <c r="L311" s="18" t="inlineStr">
        <is>
          <t>Tuberculosis</t>
        </is>
      </c>
      <c r="M311" s="18" t="inlineStr">
        <is>
          <t>Clinic</t>
        </is>
      </c>
      <c r="N311" s="18" t="inlineStr">
        <is>
          <t>Mock PLE-CC 1 ข้อ 103</t>
        </is>
      </c>
      <c r="O311" s="18" t="inlineStr">
        <is>
          <t>Mock</t>
        </is>
      </c>
      <c r="P311" s="18" t="inlineStr">
        <is>
          <t>Mock RxCU83</t>
        </is>
      </c>
    </row>
    <row r="312">
      <c r="A312" s="18" t="n">
        <v>325</v>
      </c>
      <c r="B312" s="18"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18" t="inlineStr"/>
      <c r="D312" s="18" t="inlineStr">
        <is>
          <t>Dolutegravir (DTG)</t>
        </is>
      </c>
      <c r="E312" s="18" t="inlineStr">
        <is>
          <t>Lopinavir/Ritonavir (LPV/r)</t>
        </is>
      </c>
      <c r="F312" s="18" t="inlineStr">
        <is>
          <t>Etravirine (ETR)</t>
        </is>
      </c>
      <c r="G312" s="18" t="inlineStr">
        <is>
          <t>Emtricitabine (FTC)</t>
        </is>
      </c>
      <c r="H312" s="18" t="inlineStr">
        <is>
          <t>Enfuvirtide (T-20)</t>
        </is>
      </c>
      <c r="I312" s="15" t="inlineStr">
        <is>
          <t>2</t>
        </is>
      </c>
      <c r="J312" s="18"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18" t="inlineStr"/>
      <c r="L312" s="18" t="inlineStr">
        <is>
          <t>Infectious diseases</t>
        </is>
      </c>
      <c r="M312" s="18" t="inlineStr">
        <is>
          <t>Clinic</t>
        </is>
      </c>
      <c r="N312" s="18" t="inlineStr">
        <is>
          <t>PLE_CC1_2567_Key ข้อ 12</t>
        </is>
      </c>
      <c r="O312" s="18" t="inlineStr">
        <is>
          <t>ข้อสอบจริง</t>
        </is>
      </c>
      <c r="P312" s="18" t="inlineStr">
        <is>
          <t>ปี 2567</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134"/>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1</t>
        </is>
      </c>
      <c r="B3" s="18"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18" t="inlineStr"/>
      <c r="D3" s="18" t="inlineStr">
        <is>
          <t>แนะนำให้ผู้ป่วยหลีกเลี่ยงปัจจัยกระตุ้นให้เกิดการชัก</t>
        </is>
      </c>
      <c r="E3" s="18" t="inlineStr">
        <is>
          <t>สามารถรักษาโรคชักบางชนิดได้ด้วยการผ่าตัด</t>
        </is>
      </c>
      <c r="F3" s="18" t="inlineStr">
        <is>
          <t>ควรใช้ยากันชักเฉพาะช่วงที่ผู้ป่วยมีอาการชักเท่านั้น</t>
        </is>
      </c>
      <c r="G3" s="18" t="inlineStr">
        <is>
          <t>หากใช้ยากันชักชนิดเดียวไม่ได้ผล อาจจะพิจารณาเพิ่มยาตัวที่สอง</t>
        </is>
      </c>
      <c r="H3" s="18" t="inlineStr">
        <is>
          <t>หากยากันชักชนิดแรกไม่สามารถควบคุมอาการชักได้ ให้ใช้ยาตัวอื่นหรือใช้ยา 2 ชนิดร่วมกัน</t>
        </is>
      </c>
      <c r="I3" s="15" t="inlineStr">
        <is>
          <t>3</t>
        </is>
      </c>
      <c r="J3" s="18"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(แนะนำให้ผู้ป่วยหลีกเลี่ยงปัจจัยกระตุ้นให้เกิดการชัก): ข้อนี้ไม่ใช่คำตอบที่ถูกต้องสำหรับภาวะ Epilepsy เนื่องจากกลไกการออกฤทธิ์, efficacy หรือข้อบ่งใช้ไม่ตรงกับโจทย์ที่กำหนด
• ข้อ ข. (สามารถรักษาโรคชักบางชนิดได้ด้วยการผ่าตัด): ข้อนี้ไม่ใช่คำตอบที่ถูกต้องสำหรับภาวะ Epilepsy เนื่องจากกลไกการออกฤทธิ์, efficacy หรือข้อบ่งใช้ไม่ตรงกับโจทย์ที่กำหนด
• ข้อ ง. (หากใช้ยากันชักชนิดเดียวไม่ได้ผล อาจจะพิจารณาเพิ่มยาตัวที่สอง): ข้อนี้ไม่ใช่คำตอบที่ถูกต้องสำหรับภาวะ Epilepsy เนื่องจากกลไกการออกฤทธิ์, efficacy หรือข้อบ่งใช้ไม่ตรงกับโจทย์ที่กำหนด
• ข้อ จ. (หากยากันชักชนิดแรกไม่สามารถควบคุมอาการชักได้ ให้ใช้ยาตัวอื่นหรือใช้ยา 2 ชนิดร่วมกัน):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18" t="inlineStr"/>
      <c r="L3" s="18" t="inlineStr">
        <is>
          <t>Epilepsy</t>
        </is>
      </c>
      <c r="M3" s="18" t="inlineStr">
        <is>
          <t>Clinic</t>
        </is>
      </c>
      <c r="N3" s="18" t="inlineStr">
        <is>
          <t>ข้อ 1 ชุด 1 (เฉลยข้อ ค)</t>
        </is>
      </c>
      <c r="O3" s="18" t="inlineStr">
        <is>
          <t>Mock</t>
        </is>
      </c>
      <c r="P3" s="18" t="inlineStr">
        <is>
          <t>ชุด 1</t>
        </is>
      </c>
    </row>
    <row r="4">
      <c r="A4" s="15" t="inlineStr">
        <is>
          <t>2</t>
        </is>
      </c>
      <c r="B4" s="18" t="inlineStr">
        <is>
          <t>ยากันชักข้อใดที่มีกลไกการออกฤทธิ์เหมือนกับ phenytoin sodium</t>
        </is>
      </c>
      <c r="C4" s="18" t="inlineStr"/>
      <c r="D4" s="18" t="inlineStr">
        <is>
          <t>Ethosuximide</t>
        </is>
      </c>
      <c r="E4" s="18" t="inlineStr">
        <is>
          <t>Diazepam</t>
        </is>
      </c>
      <c r="F4" s="18" t="inlineStr">
        <is>
          <t>Vigabatrin</t>
        </is>
      </c>
      <c r="G4" s="18" t="inlineStr">
        <is>
          <t>Carbamazepine</t>
        </is>
      </c>
      <c r="H4" s="18" t="inlineStr">
        <is>
          <t>Gabapentin</t>
        </is>
      </c>
      <c r="I4" s="15" t="inlineStr">
        <is>
          <t>4</t>
        </is>
      </c>
      <c r="J4" s="18"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ข้อนี้ไม่ใช่คำตอบที่ถูกต้องสำหรับภาวะ Epilepsy เนื่องจากกลไกการออกฤทธิ์, efficacy หรือข้อบ่งใช้ไม่ตรงกับโจทย์ที่กำหนด
• ข้อ ข. (Diazepam): เป็น long-acting Benzodiazepine มี active metabolites (nordiazepam) สะสมในผู้สูงอายุ ทำให้ง่วงซึม หกล้ม เสี่ยง fracture
• ข้อ ค. (Vigabatrin): ข้อนี้ไม่ใช่คำตอบที่ถูกต้องสำหรับภาวะ Epilepsy เนื่องจากกลไกการออกฤทธิ์, efficacy หรือข้อบ่งใช้ไม่ตรงกับโจทย์ที่กำหนด
• ข้อ จ. (Gabapentin):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18" t="inlineStr"/>
      <c r="L4" s="18" t="inlineStr">
        <is>
          <t>Epilepsy</t>
        </is>
      </c>
      <c r="M4" s="18" t="inlineStr">
        <is>
          <t>Clinic</t>
        </is>
      </c>
      <c r="N4" s="18" t="inlineStr">
        <is>
          <t>ข้อ 2 ชุด 1 (เฉลยข้อ ง)</t>
        </is>
      </c>
      <c r="O4" s="18" t="inlineStr">
        <is>
          <t>Mock</t>
        </is>
      </c>
      <c r="P4" s="18" t="inlineStr">
        <is>
          <t>ชุด 1</t>
        </is>
      </c>
    </row>
    <row r="5">
      <c r="A5" s="15" t="inlineStr">
        <is>
          <t>3</t>
        </is>
      </c>
      <c r="B5" s="18" t="inlineStr">
        <is>
          <t>อาการไม่พึงประสงค์ในข้อใดที่สัมพันธ์กับระดับ phenytoin ในกระแสเลือดของผู้ป่วย</t>
        </is>
      </c>
      <c r="C5" s="18" t="inlineStr"/>
      <c r="D5" s="18" t="inlineStr">
        <is>
          <t>Gingival hyperplasia</t>
        </is>
      </c>
      <c r="E5" s="18" t="inlineStr">
        <is>
          <t>Hepatitis</t>
        </is>
      </c>
      <c r="F5" s="18" t="inlineStr">
        <is>
          <t>Rash</t>
        </is>
      </c>
      <c r="G5" s="18" t="inlineStr">
        <is>
          <t>Ataxia</t>
        </is>
      </c>
      <c r="H5" s="18" t="inlineStr">
        <is>
          <t>Hyponatremia</t>
        </is>
      </c>
      <c r="I5" s="15" t="inlineStr">
        <is>
          <t>4</t>
        </is>
      </c>
      <c r="J5" s="18"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ข้อนี้ไม่ใช่คำตอบที่ถูกต้องสำหรับภาวะ Epilepsy เนื่องจากกลไกการออกฤทธิ์, efficacy หรือข้อบ่งใช้ไม่ตรงกับโจทย์ที่กำหนด
• ข้อ ข. (Hepatitis): ข้อนี้ไม่ใช่คำตอบที่ถูกต้องสำหรับภาวะ Epilepsy เนื่องจากกลไกการออกฤทธิ์, efficacy หรือข้อบ่งใช้ไม่ตรงกับโจทย์ที่กำหนด
• ข้อ ค. (Rash): ข้อนี้ไม่ใช่คำตอบที่ถูกต้องสำหรับภาวะ Epilepsy เนื่องจากกลไกการออกฤทธิ์, efficacy หรือข้อบ่งใช้ไม่ตรงกับโจทย์ที่กำหนด
• ข้อ จ. (Hyponatremia):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18" t="inlineStr"/>
      <c r="L5" s="18" t="inlineStr">
        <is>
          <t>Epilepsy</t>
        </is>
      </c>
      <c r="M5" s="18" t="inlineStr">
        <is>
          <t>Clinic</t>
        </is>
      </c>
      <c r="N5" s="18" t="inlineStr">
        <is>
          <t>ข้อ 3 ชุด 1 (เฉลยข้อ ง)</t>
        </is>
      </c>
      <c r="O5" s="18" t="inlineStr">
        <is>
          <t>Mock</t>
        </is>
      </c>
      <c r="P5" s="18" t="inlineStr">
        <is>
          <t>ชุด 1</t>
        </is>
      </c>
    </row>
    <row r="6">
      <c r="A6" s="15" t="inlineStr">
        <is>
          <t>4</t>
        </is>
      </c>
      <c r="B6" s="18" t="inlineStr">
        <is>
          <t>ยากันชักตัวใดมีผลเพิ่มระดับความเข้มข้นของยาซึ่งผ่านกระบวนการเมตาบอลิซึมจากเอนไซม์ตัวเดียวกัน</t>
        </is>
      </c>
      <c r="C6" s="18" t="inlineStr"/>
      <c r="D6" s="18" t="inlineStr">
        <is>
          <t>Phenytoin</t>
        </is>
      </c>
      <c r="E6" s="18" t="inlineStr">
        <is>
          <t>Valproate</t>
        </is>
      </c>
      <c r="F6" s="18" t="inlineStr">
        <is>
          <t>Phenobarbital</t>
        </is>
      </c>
      <c r="G6" s="18" t="inlineStr">
        <is>
          <t>Carbamazepine</t>
        </is>
      </c>
      <c r="H6" s="18" t="inlineStr">
        <is>
          <t>Phenobarbital</t>
        </is>
      </c>
      <c r="I6" s="15" t="inlineStr">
        <is>
          <t>2</t>
        </is>
      </c>
      <c r="J6" s="18"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sodium channel blocker สำหรับ focal/generalized seizures มี non-linear (Michaelis-Menten) PK เสี่ยง toxicity ได้ง่ายเมื่อปรับ dose และทำให้เกิด gingival hyperplasia, hirsutism, cerebellar ataxia
• ข้อ ค. (Phenobarbital): ข้อนี้ไม่ใช่คำตอบที่ถูกต้องสำหรับภาวะ Epilepsy เนื่องจากกลไกการออกฤทธิ์, efficacy หรือข้อบ่งใช้ไม่ตรงกับโจทย์ที่กำหนด
• ข้อ ง.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(Phenobarbital):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18" t="inlineStr"/>
      <c r="L6" s="18" t="inlineStr">
        <is>
          <t>Epilepsy</t>
        </is>
      </c>
      <c r="M6" s="18" t="inlineStr">
        <is>
          <t>Clinic</t>
        </is>
      </c>
      <c r="N6" s="18" t="inlineStr">
        <is>
          <t>ข้อ 4 ชุด 1 (เฉลยข้อ ข)</t>
        </is>
      </c>
      <c r="O6" s="18" t="inlineStr">
        <is>
          <t>Mock</t>
        </is>
      </c>
      <c r="P6" s="18" t="inlineStr">
        <is>
          <t>ชุด 1</t>
        </is>
      </c>
    </row>
    <row r="7">
      <c r="A7" s="15" t="inlineStr">
        <is>
          <t>5</t>
        </is>
      </c>
      <c r="B7" s="18" t="inlineStr">
        <is>
          <t>ยาในข้อใดหากรับประทานพร้อมกับ phenytoin จะทำให้ phenytoin เพิ่มขึ้น</t>
        </is>
      </c>
      <c r="C7" s="18" t="inlineStr"/>
      <c r="D7" s="18" t="inlineStr">
        <is>
          <t>Erythromycin</t>
        </is>
      </c>
      <c r="E7" s="18" t="inlineStr">
        <is>
          <t>Cimetidine</t>
        </is>
      </c>
      <c r="F7" s="18" t="inlineStr">
        <is>
          <t>Conjugated estrogen</t>
        </is>
      </c>
      <c r="G7" s="18" t="inlineStr">
        <is>
          <t>Furosemide</t>
        </is>
      </c>
      <c r="H7" s="18" t="inlineStr">
        <is>
          <t>Thiazide</t>
        </is>
      </c>
      <c r="I7" s="15" t="inlineStr">
        <is>
          <t>2</t>
        </is>
      </c>
      <c r="J7" s="18"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ข้อนี้ไม่ใช่คำตอบที่ถูกต้องสำหรับภาวะ Epilepsy เนื่องจากกลไกการออกฤทธิ์, efficacy หรือข้อบ่งใช้ไม่ตรงกับโจทย์ที่กำหนด
• ข้อ ค. (Conjugated estrogen): ข้อนี้ไม่ใช่คำตอบที่ถูกต้องสำหรับภาวะ Epilepsy เนื่องจากกลไกการออกฤทธิ์, efficacy หรือข้อบ่งใช้ไม่ตรงกับโจทย์ที่กำหนด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(Thiazide):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18" t="inlineStr"/>
      <c r="L7" s="18" t="inlineStr">
        <is>
          <t>Epilepsy</t>
        </is>
      </c>
      <c r="M7" s="18" t="inlineStr">
        <is>
          <t>Clinic</t>
        </is>
      </c>
      <c r="N7" s="18" t="inlineStr">
        <is>
          <t>ข้อ 5 ชุด 1 (เฉลยข้อ ข)</t>
        </is>
      </c>
      <c r="O7" s="18" t="inlineStr">
        <is>
          <t>Mock</t>
        </is>
      </c>
      <c r="P7" s="18" t="inlineStr">
        <is>
          <t>ชุด 1</t>
        </is>
      </c>
    </row>
    <row r="8">
      <c r="A8" s="15" t="inlineStr">
        <is>
          <t>6</t>
        </is>
      </c>
      <c r="B8" s="1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18" t="inlineStr"/>
      <c r="D8" s="18" t="inlineStr">
        <is>
          <t>Migraine headache</t>
        </is>
      </c>
      <c r="E8" s="18" t="inlineStr">
        <is>
          <t>Tension headache</t>
        </is>
      </c>
      <c r="F8" s="18" t="inlineStr">
        <is>
          <t>Cluster headache</t>
        </is>
      </c>
      <c r="G8" s="18" t="inlineStr">
        <is>
          <t>Trauma headache</t>
        </is>
      </c>
      <c r="H8" s="18" t="inlineStr">
        <is>
          <t>Hypertension</t>
        </is>
      </c>
      <c r="I8" s="15" t="inlineStr">
        <is>
          <t>1</t>
        </is>
      </c>
      <c r="J8" s="18"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 headache): ข้อนี้ไม่ใช่คำตอบที่ถูกต้องสำหรับภาวะ Headache เนื่องจากกลไกการออกฤทธิ์, efficacy หรือข้อบ่งใช้ไม่ตรงกับโจทย์ที่กำหนด
• ข้อ ค. (Cluster headache): ข้อนี้ไม่ใช่คำตอบที่ถูกต้องสำหรับภาวะ Headache เนื่องจากกลไกการออกฤทธิ์, efficacy หรือข้อบ่งใช้ไม่ตรงกับโจทย์ที่กำหนด
• ข้อ ง. (Trauma headache): ข้อนี้ไม่ใช่คำตอบที่ถูกต้องสำหรับภาวะ Headache เนื่องจากกลไกการออกฤทธิ์, efficacy หรือข้อบ่งใช้ไม่ตรงกับโจทย์ที่กำหนด
• ข้อ จ. (Hypertension):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8" t="inlineStr"/>
      <c r="L8" s="18" t="inlineStr">
        <is>
          <t>Headache</t>
        </is>
      </c>
      <c r="M8" s="18" t="inlineStr">
        <is>
          <t>Clinic</t>
        </is>
      </c>
      <c r="N8" s="18" t="inlineStr">
        <is>
          <t>ข้อ 6 ชุด 1 (เฉลยข้อ ก)</t>
        </is>
      </c>
      <c r="O8" s="18" t="inlineStr">
        <is>
          <t>Mock</t>
        </is>
      </c>
      <c r="P8" s="18" t="inlineStr">
        <is>
          <t>ชุด 1</t>
        </is>
      </c>
    </row>
    <row r="9">
      <c r="A9" s="15" t="inlineStr">
        <is>
          <t>7</t>
        </is>
      </c>
      <c r="B9" s="1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18" t="inlineStr"/>
      <c r="D9" s="18" t="inlineStr">
        <is>
          <t>Methyl ergotamine</t>
        </is>
      </c>
      <c r="E9" s="18" t="inlineStr">
        <is>
          <t>Sumatriptan</t>
        </is>
      </c>
      <c r="F9" s="18" t="inlineStr">
        <is>
          <t>Amitriptyline</t>
        </is>
      </c>
      <c r="G9" s="18" t="inlineStr">
        <is>
          <t>Naproxen</t>
        </is>
      </c>
      <c r="H9" s="18" t="inlineStr">
        <is>
          <t>Verapamil</t>
        </is>
      </c>
      <c r="I9" s="15" t="inlineStr">
        <is>
          <t>2</t>
        </is>
      </c>
      <c r="J9" s="18"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8" t="inlineStr"/>
      <c r="L9" s="18" t="inlineStr">
        <is>
          <t>Headache</t>
        </is>
      </c>
      <c r="M9" s="18" t="inlineStr">
        <is>
          <t>Clinic</t>
        </is>
      </c>
      <c r="N9" s="18" t="inlineStr">
        <is>
          <t>ข้อ 7 ชุด 1 (เฉลยข้อ ข)</t>
        </is>
      </c>
      <c r="O9" s="18" t="inlineStr">
        <is>
          <t>Mock</t>
        </is>
      </c>
      <c r="P9" s="18" t="inlineStr">
        <is>
          <t>ชุด 1</t>
        </is>
      </c>
    </row>
    <row r="10">
      <c r="A10" s="15" t="inlineStr">
        <is>
          <t>8</t>
        </is>
      </c>
      <c r="B10" s="18"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18" t="inlineStr"/>
      <c r="D10" s="18" t="inlineStr">
        <is>
          <t>ขนาดเริ่มต้นคือ 1-2 เม็ด รับประทานเมื่อมีอาการ</t>
        </is>
      </c>
      <c r="E10" s="18" t="inlineStr">
        <is>
          <t>รับประทานยาซ้ำได้เมื่ออาการไม่ดีขึ้นภายใน 30 นาที</t>
        </is>
      </c>
      <c r="F10" s="18" t="inlineStr">
        <is>
          <t>ถ้ามีอาการชาที่ปลายมือปลายเท้าให้หยุดยา</t>
        </is>
      </c>
      <c r="G10" s="18" t="inlineStr">
        <is>
          <t>ไม่ควรรับประทานยาเกิน 6 เม็ด ต่อวัน</t>
        </is>
      </c>
      <c r="H10" s="18" t="inlineStr">
        <is>
          <t>ไม่มีข้อใดผิด</t>
        </is>
      </c>
      <c r="I10" s="15" t="inlineStr">
        <is>
          <t>1</t>
        </is>
      </c>
      <c r="J10" s="18" t="inlineStr">
        <is>
          <t>✅ คำตอบที่ถูกต้อง: ข้อ ก. ขนาดเริ่มต้นคือ 1-2 เม็ด รับประทานเมื่อมีอาการ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ขนาดเริ่มต้นคือ 1-2 เม็ด รับประทานเมื่อมีอาการ ตามคำแนะนำการใช้ Ergotamine+caffeine ขนาดเริ่มต้นคือ 1-2 เม็ดเมื่อมีอาการ และหากไม่ดีขึ้นสามารถรับประทานซ้ำได้ทุก 30 นาที แต่ไม่ควรเกิน 2 เม็ดต่อครั้ง และสูงสุดไม่เกิน 6 เม็ดต่อสัปดาห์ (ไม่ใช่ต่อวัน) ดังนั้นข้อ 4 จึงอาจคลาดเคลื่อน หรือต้องพิจารณาตามเกณฑ์ safety สูงสุด (มักจำกัดที่ 6 เม็ด/ครั้ง หรือ 10 เม็ด/สัปดาห์ ขึ้นกับแนวทาง แต่ตามฉลากมักห้ามเกิน 6 เม็ด/สัปดาห์)
🔍 ข้ออื่นผิดเพราะอะไร:
• ข้อ ข. (รับประทานยาซ้ำได้เมื่ออาการไม่ดีขึ้นภายใน 30 นาที): ข้อนี้ไม่ใช่คำตอบที่ถูกต้องสำหรับภาวะ Headache เนื่องจากกลไกการออกฤทธิ์, efficacy หรือข้อบ่งใช้ไม่ตรงกับโจทย์ที่กำหนด
• ข้อ ค. (ถ้ามีอาการชาที่ปลายมือปลายเท้าให้หยุดยา): ข้อนี้ไม่ใช่คำตอบที่ถูกต้องสำหรับภาวะ Headache เนื่องจากกลไกการออกฤทธิ์, efficacy หรือข้อบ่งใช้ไม่ตรงกับโจทย์ที่กำหนด
• ข้อ ง. (ไม่ควรรับประทานยาเกิน 6 เม็ด ต่อวัน): ข้อนี้ไม่ใช่คำตอบที่ถูกต้องสำหรับภาวะ Headache เนื่องจากกลไกการออกฤทธิ์, efficacy หรือข้อบ่งใช้ไม่ตรงกับโจทย์ที่กำหนด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8" t="inlineStr"/>
      <c r="L10" s="18" t="inlineStr">
        <is>
          <t>Headache</t>
        </is>
      </c>
      <c r="M10" s="18" t="inlineStr">
        <is>
          <t>Clinic</t>
        </is>
      </c>
      <c r="N10" s="18" t="inlineStr">
        <is>
          <t>ข้อ 8 ชุด 1 (เฉลยข้อ ก)</t>
        </is>
      </c>
      <c r="O10" s="18" t="inlineStr">
        <is>
          <t>Mock</t>
        </is>
      </c>
      <c r="P10" s="18" t="inlineStr">
        <is>
          <t>ชุด 1</t>
        </is>
      </c>
    </row>
    <row r="11">
      <c r="A11" s="15" t="inlineStr">
        <is>
          <t>9</t>
        </is>
      </c>
      <c r="B11" s="18"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18" t="inlineStr"/>
      <c r="D11" s="18" t="inlineStr">
        <is>
          <t>Absorption</t>
        </is>
      </c>
      <c r="E11" s="18" t="inlineStr">
        <is>
          <t>Distribution</t>
        </is>
      </c>
      <c r="F11" s="18" t="inlineStr">
        <is>
          <t>Biotransformation</t>
        </is>
      </c>
      <c r="G11" s="18" t="inlineStr">
        <is>
          <t>Elimination</t>
        </is>
      </c>
      <c r="H11" s="18" t="inlineStr">
        <is>
          <t>Excretion</t>
        </is>
      </c>
      <c r="I11" s="15" t="inlineStr">
        <is>
          <t>3</t>
        </is>
      </c>
      <c r="J11" s="18"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ข้อนี้ไม่ใช่คำตอบที่ถูกต้องสำหรับภาวะ Headache เนื่องจากกลไกการออกฤทธิ์, efficacy หรือข้อบ่งใช้ไม่ตรงกับโจทย์ที่กำหนด
• ข้อ ข. (Distribution): ข้อนี้ไม่ใช่คำตอบที่ถูกต้องสำหรับภาวะ Headache เนื่องจากกลไกการออกฤทธิ์, efficacy หรือข้อบ่งใช้ไม่ตรงกับโจทย์ที่กำหนด
• ข้อ ง. (Elimination): ข้อนี้ไม่ใช่คำตอบที่ถูกต้องสำหรับภาวะ Headache เนื่องจากกลไกการออกฤทธิ์, efficacy หรือข้อบ่งใช้ไม่ตรงกับโจทย์ที่กำหนด
• ข้อ จ. (Excretion):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8" t="inlineStr"/>
      <c r="L11" s="18" t="inlineStr">
        <is>
          <t>Headache</t>
        </is>
      </c>
      <c r="M11" s="18" t="inlineStr">
        <is>
          <t>Clinic</t>
        </is>
      </c>
      <c r="N11" s="18" t="inlineStr">
        <is>
          <t>ข้อ 9 ชุด 1 (เฉลยข้อ ค)</t>
        </is>
      </c>
      <c r="O11" s="18" t="inlineStr">
        <is>
          <t>Mock</t>
        </is>
      </c>
      <c r="P11" s="18" t="inlineStr">
        <is>
          <t>ชุด 1</t>
        </is>
      </c>
    </row>
    <row r="12">
      <c r="A12" s="15" t="inlineStr">
        <is>
          <t>10</t>
        </is>
      </c>
      <c r="B12" s="18"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18" t="inlineStr"/>
      <c r="D12" s="18" t="inlineStr">
        <is>
          <t>ผู้ป่วยปวดศีรษะมากกว่า 2-3 ครั้ง/เดือน</t>
        </is>
      </c>
      <c r="E12" s="18" t="inlineStr">
        <is>
          <t>อาการปวดศีรษะค่อนข้างรุนแรง</t>
        </is>
      </c>
      <c r="F12" s="18" t="inlineStr">
        <is>
          <t>ผู้ป่วยมีอาการปวดนาน 12 ชม. และอายุที่เป็นครั้งแรกมากกว่า 55 ปี</t>
        </is>
      </c>
      <c r="G12" s="18" t="inlineStr">
        <is>
          <t>ผู้ป่วยทนต่ออาการไม่พึงประสงค์ของยาบรรเทาการปวดศีรษะไม่ได้</t>
        </is>
      </c>
      <c r="H12" s="18" t="inlineStr">
        <is>
          <t>ระยะเวลาที่จะมีอาการปวดศีรษะสามารถคาดการณ์ล่วงหน้าได้</t>
        </is>
      </c>
      <c r="I12" s="15" t="inlineStr">
        <is>
          <t>4</t>
        </is>
      </c>
      <c r="J12" s="18"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(ผู้ป่วยปวดศีรษะมากกว่า 2-3 ครั้ง/เดือน): ข้อนี้ไม่ใช่คำตอบที่ถูกต้องสำหรับภาวะ Headache เนื่องจากกลไกการออกฤทธิ์, efficacy หรือข้อบ่งใช้ไม่ตรงกับโจทย์ที่กำหนด
• ข้อ ข. (อาการปวดศีรษะค่อนข้างรุนแรง): ข้อนี้ไม่ใช่คำตอบที่ถูกต้องสำหรับภาวะ Headache เนื่องจากกลไกการออกฤทธิ์, efficacy หรือข้อบ่งใช้ไม่ตรงกับโจทย์ที่กำหนด
• ข้อ ค. (ผู้ป่วยมีอาการปวดนาน 12 ชม. และอายุที่เป็นครั้งแรกมากกว่า 55 ปี): ข้อนี้ไม่ใช่คำตอบที่ถูกต้องสำหรับภาวะ Headache เนื่องจากกลไกการออกฤทธิ์, efficacy หรือข้อบ่งใช้ไม่ตรงกับโจทย์ที่กำหนด
• ข้อ จ. (ระยะเวลาที่จะมีอาการปวดศีรษะสามารถคาดการณ์ล่วงหน้าได้):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8" t="inlineStr"/>
      <c r="L12" s="18" t="inlineStr">
        <is>
          <t>Headache</t>
        </is>
      </c>
      <c r="M12" s="18" t="inlineStr">
        <is>
          <t>Clinic</t>
        </is>
      </c>
      <c r="N12" s="18" t="inlineStr">
        <is>
          <t>ข้อ 10 ชุด 1 (เฉลยข้อ ง)</t>
        </is>
      </c>
      <c r="O12" s="18" t="inlineStr">
        <is>
          <t>Mock</t>
        </is>
      </c>
      <c r="P12" s="18" t="inlineStr">
        <is>
          <t>ชุด 1</t>
        </is>
      </c>
    </row>
    <row r="13">
      <c r="A13" s="15" t="inlineStr">
        <is>
          <t>11</t>
        </is>
      </c>
      <c r="B13" s="18"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18" t="inlineStr"/>
      <c r="D13" s="18" t="inlineStr">
        <is>
          <t>Indomethacin</t>
        </is>
      </c>
      <c r="E13" s="18" t="inlineStr">
        <is>
          <t>Ergotamine</t>
        </is>
      </c>
      <c r="F13" s="18" t="inlineStr">
        <is>
          <t>Sumatriptan</t>
        </is>
      </c>
      <c r="G13" s="18" t="inlineStr">
        <is>
          <t>Propranolol</t>
        </is>
      </c>
      <c r="H13" s="18" t="inlineStr">
        <is>
          <t>Verapamil</t>
        </is>
      </c>
      <c r="I13" s="15" t="inlineStr">
        <is>
          <t>4</t>
        </is>
      </c>
      <c r="J13" s="18"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8" t="inlineStr"/>
      <c r="L13" s="18" t="inlineStr">
        <is>
          <t>Headache</t>
        </is>
      </c>
      <c r="M13" s="18" t="inlineStr">
        <is>
          <t>Clinic</t>
        </is>
      </c>
      <c r="N13" s="18" t="inlineStr">
        <is>
          <t>ข้อ 11 ชุด 1 (เฉลยข้อ ง)</t>
        </is>
      </c>
      <c r="O13" s="18" t="inlineStr">
        <is>
          <t>Mock</t>
        </is>
      </c>
      <c r="P13" s="18" t="inlineStr">
        <is>
          <t>ชุด 1</t>
        </is>
      </c>
    </row>
    <row r="14">
      <c r="A14" s="15" t="inlineStr">
        <is>
          <t>12</t>
        </is>
      </c>
      <c r="B14" s="18" t="inlineStr">
        <is>
          <t>การใช้ยาป้องกันอาการปวดศีรษะของผู้ป่วยรายนี้ ควรได้รับ</t>
        </is>
      </c>
      <c r="C14" s="18" t="inlineStr"/>
      <c r="D14" s="18" t="inlineStr">
        <is>
          <t>อย่างน้อย 6 เดือน หลังจากการปวดศีรษะครั้งสุดท้าย</t>
        </is>
      </c>
      <c r="E14" s="18" t="inlineStr">
        <is>
          <t>อย่างน้อย 6 เดือน หลังจากความถี่และอาการปวดศีรษะลดลง</t>
        </is>
      </c>
      <c r="F14" s="18" t="inlineStr">
        <is>
          <t>กินยาต่อไปจนกว่าผู้ป่วยจะทนอาการไม่พึงประสงค์ไม่ได้</t>
        </is>
      </c>
      <c r="G14" s="18" t="inlineStr">
        <is>
          <t>กินยาเดือนเว้นเดือน จนกว่าจะไม่มีอาการ</t>
        </is>
      </c>
      <c r="H14" s="18" t="inlineStr">
        <is>
          <t>กินได้ตลอดไป</t>
        </is>
      </c>
      <c r="I14" s="15" t="inlineStr">
        <is>
          <t>2</t>
        </is>
      </c>
      <c r="J14" s="18"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(อย่างน้อย 6 เดือน หลังจากการปวดศีรษะครั้งสุดท้าย): ข้อนี้ไม่ใช่คำตอบที่ถูกต้องสำหรับภาวะ Headache เนื่องจากกลไกการออกฤทธิ์, efficacy หรือข้อบ่งใช้ไม่ตรงกับโจทย์ที่กำหนด
• ข้อ ค. (กินยาต่อไปจนกว่าผู้ป่วยจะทนอาการไม่พึงประสงค์ไม่ได้): ข้อนี้ไม่ใช่คำตอบที่ถูกต้องสำหรับภาวะ Headache เนื่องจากกลไกการออกฤทธิ์, efficacy หรือข้อบ่งใช้ไม่ตรงกับโจทย์ที่กำหนด
• ข้อ ง. (กินยาเดือนเว้นเดือน จนกว่าจะไม่มีอาการ): ข้อนี้ไม่ใช่คำตอบที่ถูกต้องสำหรับภาวะ Headache เนื่องจากกลไกการออกฤทธิ์, efficacy หรือข้อบ่งใช้ไม่ตรงกับโจทย์ที่กำหนด
• ข้อ จ. (กินได้ตลอดไป):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8" t="inlineStr"/>
      <c r="L14" s="18" t="inlineStr">
        <is>
          <t>Headache</t>
        </is>
      </c>
      <c r="M14" s="18" t="inlineStr">
        <is>
          <t>Clinic</t>
        </is>
      </c>
      <c r="N14" s="18" t="inlineStr">
        <is>
          <t>ข้อ 12 ชุด 1 (เฉลยข้อ ข)</t>
        </is>
      </c>
      <c r="O14" s="18" t="inlineStr">
        <is>
          <t>Mock</t>
        </is>
      </c>
      <c r="P14" s="18" t="inlineStr">
        <is>
          <t>ชุด 1</t>
        </is>
      </c>
    </row>
    <row r="15">
      <c r="A15" s="15" t="inlineStr">
        <is>
          <t>13</t>
        </is>
      </c>
      <c r="B15" s="18" t="inlineStr">
        <is>
          <t>ยาในข้อใดไม่ควรใช้ป้องกันอาการปวดศีรษะในผู้ป่วยที่มีอาการ</t>
        </is>
      </c>
      <c r="C15" s="18" t="inlineStr"/>
      <c r="D15" s="18" t="inlineStr">
        <is>
          <t>Amitriptyline</t>
        </is>
      </c>
      <c r="E15" s="18" t="inlineStr">
        <is>
          <t>Fluoxetine</t>
        </is>
      </c>
      <c r="F15" s="18" t="inlineStr">
        <is>
          <t>Propranolol</t>
        </is>
      </c>
      <c r="G15" s="18" t="inlineStr">
        <is>
          <t>Diltiazem</t>
        </is>
      </c>
      <c r="H15" s="18" t="inlineStr">
        <is>
          <t>Gabapentin</t>
        </is>
      </c>
      <c r="I15" s="15" t="inlineStr">
        <is>
          <t>2</t>
        </is>
      </c>
      <c r="J15" s="18"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 Tricyclic antidepressant (TCA) มี anticholinergic ADRs สูง, antihistaminic (ง่วงซึม น้ำหนักขึ้น), alpha-1 blockade (orthostatic hypotension) และเสี่ยงต่อ fatal cardiotoxicity เมื่อ overdose
• ข้อ ค. (Propranolol): เป็น non-selective beta-blocker ข้าม blood-brain barrier ได้ดี เหมาะสำหรับ performance anxiety, essential tremor, migraine prophylaxis และ thyroid storm แต่ contraindication ใน asthma
• ข้อ ง. (Diltiazem): เป็น non-DHP CCB ลดอัตราการเต้นของหัวใจและ myocardial contractility มี contraindication ในผู้ป่วย HFrEF (LVEF &lt; 40%) และ 2nd/3rd degree AV block
• ข้อ จ. (Gabapentin):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18" t="inlineStr"/>
      <c r="L15" s="18" t="inlineStr">
        <is>
          <t>Headache</t>
        </is>
      </c>
      <c r="M15" s="18" t="inlineStr">
        <is>
          <t>Clinic</t>
        </is>
      </c>
      <c r="N15" s="18" t="inlineStr">
        <is>
          <t>ข้อ 13 ชุด 1 (เฉลยข้อ ข ง)</t>
        </is>
      </c>
      <c r="O15" s="18" t="inlineStr">
        <is>
          <t>Mock</t>
        </is>
      </c>
      <c r="P15" s="18" t="inlineStr">
        <is>
          <t>ชุด 1</t>
        </is>
      </c>
    </row>
    <row r="16">
      <c r="A16" s="15" t="inlineStr">
        <is>
          <t>14</t>
        </is>
      </c>
      <c r="B16" s="18"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18" t="inlineStr"/>
      <c r="D16" s="18" t="inlineStr">
        <is>
          <t>Migraine with aura</t>
        </is>
      </c>
      <c r="E16" s="18" t="inlineStr">
        <is>
          <t>Migraine without aura</t>
        </is>
      </c>
      <c r="F16" s="18" t="inlineStr">
        <is>
          <t>Tension</t>
        </is>
      </c>
      <c r="G16" s="18" t="inlineStr">
        <is>
          <t>Cluster</t>
        </is>
      </c>
      <c r="H16" s="18" t="inlineStr">
        <is>
          <t>Traumatic</t>
        </is>
      </c>
      <c r="I16" s="15" t="inlineStr">
        <is>
          <t>1</t>
        </is>
      </c>
      <c r="J16" s="18"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(Migraine without aura): ข้อนี้ไม่ใช่คำตอบที่ถูกต้องสำหรับภาวะ Headache เนื่องจากกลไกการออกฤทธิ์, efficacy หรือข้อบ่งใช้ไม่ตรงกับโจทย์ที่กำหนด
• ข้อ ค. (Tension): ข้อนี้ไม่ใช่คำตอบที่ถูกต้องสำหรับภาวะ Headache เนื่องจากกลไกการออกฤทธิ์, efficacy หรือข้อบ่งใช้ไม่ตรงกับโจทย์ที่กำหนด
• ข้อ ง. (Cluster): ข้อนี้ไม่ใช่คำตอบที่ถูกต้องสำหรับภาวะ Headache เนื่องจากกลไกการออกฤทธิ์, efficacy หรือข้อบ่งใช้ไม่ตรงกับโจทย์ที่กำหนด
• ข้อ จ. (Traumatic):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8" t="inlineStr"/>
      <c r="L16" s="18" t="inlineStr">
        <is>
          <t>Headache</t>
        </is>
      </c>
      <c r="M16" s="18" t="inlineStr">
        <is>
          <t>Clinic</t>
        </is>
      </c>
      <c r="N16" s="18" t="inlineStr">
        <is>
          <t>ข้อ 14 ชุด 1 (เฉลยข้อ ก)</t>
        </is>
      </c>
      <c r="O16" s="18" t="inlineStr">
        <is>
          <t>Mock</t>
        </is>
      </c>
      <c r="P16" s="18" t="inlineStr">
        <is>
          <t>ชุด 1</t>
        </is>
      </c>
    </row>
    <row r="17">
      <c r="A17" s="15" t="inlineStr">
        <is>
          <t>15</t>
        </is>
      </c>
      <c r="B17" s="18"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18" t="inlineStr"/>
      <c r="D17" s="18" t="inlineStr">
        <is>
          <t>เนื่องจากผู้ป่วยรายนี้มีอาการคลื่นไส้อาเจียนร่วมด้วย</t>
        </is>
      </c>
      <c r="E17" s="18" t="inlineStr">
        <is>
          <t>ป้องกันการเกิดอาการปวดศีรษะซ้ำ</t>
        </is>
      </c>
      <c r="F17" s="18" t="inlineStr">
        <is>
          <t>ลดผลข้างเคียงจากยา cafergot</t>
        </is>
      </c>
      <c r="G17" s="18" t="inlineStr">
        <is>
          <t>ก และ ข ถูก</t>
        </is>
      </c>
      <c r="H17" s="18" t="inlineStr">
        <is>
          <t>ก และ ค ถูก</t>
        </is>
      </c>
      <c r="I17" s="15" t="inlineStr">
        <is>
          <t>5</t>
        </is>
      </c>
      <c r="J17" s="18"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(เนื่องจากผู้ป่วยรายนี้มีอาการคลื่นไส้อาเจียนร่วมด้วย): ข้อนี้ไม่ใช่คำตอบที่ถูกต้องสำหรับภาวะ Pain management เนื่องจากกลไกการออกฤทธิ์, efficacy หรือข้อบ่งใช้ไม่ตรงกับโจทย์ที่กำหนด
• ข้อ ข. (ป้องกันการเกิดอาการปวดศีรษะซ้ำ): ข้อนี้ไม่ใช่คำตอบที่ถูกต้องสำหรับภาวะ Pain management เนื่องจากกลไกการออกฤทธิ์, efficacy หรือข้อบ่งใช้ไม่ตรงกับโจทย์ที่กำหนด
• ข้อ ค. (ลดผลข้างเคียงจากยา cafergot): ข้อนี้ไม่ใช่คำตอบที่ถูกต้องสำหรับภาวะ Pain management เนื่องจากกลไกการออกฤทธิ์, efficacy หรือข้อบ่งใช้ไม่ตรงกับโจทย์ที่กำหนด
• ข้อ ง. (ก และ ข ถูก): ข้อนี้ไม่ใช่คำตอบที่ถูกต้องสำหรับภาวะ Pain management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8" t="inlineStr"/>
      <c r="L17" s="18" t="inlineStr">
        <is>
          <t>Pain management</t>
        </is>
      </c>
      <c r="M17" s="18" t="inlineStr">
        <is>
          <t>Clinic</t>
        </is>
      </c>
      <c r="N17" s="18" t="inlineStr">
        <is>
          <t>ข้อ 15 ชุด 1 (เฉลยข้อ จ)</t>
        </is>
      </c>
      <c r="O17" s="18" t="inlineStr">
        <is>
          <t>Mock</t>
        </is>
      </c>
      <c r="P17" s="18" t="inlineStr">
        <is>
          <t>ชุด 1</t>
        </is>
      </c>
    </row>
    <row r="18">
      <c r="A18" s="15" t="inlineStr">
        <is>
          <t>16</t>
        </is>
      </c>
      <c r="B18" s="18"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18" t="inlineStr"/>
      <c r="D18" s="18" t="inlineStr">
        <is>
          <t>Flunarizine</t>
        </is>
      </c>
      <c r="E18" s="18" t="inlineStr">
        <is>
          <t>Ibuprofen</t>
        </is>
      </c>
      <c r="F18" s="18" t="inlineStr">
        <is>
          <t>Cafergot</t>
        </is>
      </c>
      <c r="G18" s="18" t="inlineStr">
        <is>
          <t>Nitrate</t>
        </is>
      </c>
      <c r="H18" s="18" t="inlineStr">
        <is>
          <t>Sumatriptan</t>
        </is>
      </c>
      <c r="I18" s="15" t="inlineStr">
        <is>
          <t>1</t>
        </is>
      </c>
      <c r="J18" s="18"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(Cafergot): ข้อนี้ไม่ใช่คำตอบที่ถูกต้องสำหรับภาวะ Pain management เนื่องจากกลไกการออกฤทธิ์, efficacy หรือข้อบ่งใช้ไม่ตรงกับโจทย์ที่กำหนด
• ข้อ ง. (Nitrate): ข้อนี้ไม่ใช่คำตอบที่ถูกต้องสำหรับภาวะ Pain management เนื่องจากกลไกการออกฤทธิ์, efficacy หรือข้อบ่งใช้ไม่ตรงกับโจทย์ที่กำหนด
• ข้อ จ. (Sumatriptan): เป็น 5-HT1B/1D agonist หดหลอดเลือดสมอง ใช้รักษา acute moderate-to-severe migraine attack แต่ contraindication ใน ischemic heart disease, uncontrolled HTN, stroke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8" t="inlineStr"/>
      <c r="L18" s="18" t="inlineStr">
        <is>
          <t>Pain management</t>
        </is>
      </c>
      <c r="M18" s="18" t="inlineStr">
        <is>
          <t>Clinic</t>
        </is>
      </c>
      <c r="N18" s="18" t="inlineStr">
        <is>
          <t>ข้อ 16 ชุด 1 (เฉลยข้อ ก)</t>
        </is>
      </c>
      <c r="O18" s="18" t="inlineStr">
        <is>
          <t>Mock</t>
        </is>
      </c>
      <c r="P18" s="18" t="inlineStr">
        <is>
          <t>ชุด 1</t>
        </is>
      </c>
    </row>
    <row r="19">
      <c r="A19" s="15" t="inlineStr">
        <is>
          <t>17</t>
        </is>
      </c>
      <c r="B19" s="18" t="inlineStr">
        <is>
          <t>ยาใดต่อไปนี้ไม่จัดเป็นยาป้องกันการเกิดไมเกรน</t>
        </is>
      </c>
      <c r="C19" s="18" t="inlineStr"/>
      <c r="D19" s="18" t="inlineStr">
        <is>
          <t>Amitriptyline</t>
        </is>
      </c>
      <c r="E19" s="18" t="inlineStr">
        <is>
          <t>Gabapentin</t>
        </is>
      </c>
      <c r="F19" s="18" t="inlineStr">
        <is>
          <t>Propranolol</t>
        </is>
      </c>
      <c r="G19" s="18" t="inlineStr">
        <is>
          <t>Metoprolol</t>
        </is>
      </c>
      <c r="H19" s="18" t="inlineStr">
        <is>
          <t>ทุกข้อเป็นยาป้องกันไมเกรน</t>
        </is>
      </c>
      <c r="I19" s="15" t="inlineStr">
        <is>
          <t>5</t>
        </is>
      </c>
      <c r="J19" s="18"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 Tricyclic antidepressant (TCA) มี anticholinergic ADRs สูง, antihistaminic (ง่วงซึม น้ำหนักขึ้น), alpha-1 blockade (orthostatic hypotension) และเสี่ยงต่อ fatal cardiotoxicity เมื่อ overdose
• ข้อ ข. (Gabapentin): ข้อนี้ไม่ใช่คำตอบที่ถูกต้องสำหรับภาวะ Headache เนื่องจากกลไกการออกฤทธิ์, efficacy หรือข้อบ่งใช้ไม่ตรงกับโจทย์ที่กำหนด
• ข้อ ค. (Propranolol): เป็น non-selective beta-blocker ข้าม blood-brain barrier ได้ดี เหมาะสำหรับ performance anxiety, essential tremor, migraine prophylaxis และ thyroid storm แต่ contraindication ใน asthma
• ข้อ ง. (Metoprolol):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8" t="inlineStr"/>
      <c r="L19" s="18" t="inlineStr">
        <is>
          <t>Headache</t>
        </is>
      </c>
      <c r="M19" s="18" t="inlineStr">
        <is>
          <t>Clinic</t>
        </is>
      </c>
      <c r="N19" s="18" t="inlineStr">
        <is>
          <t>ข้อ 17 ชุด 1 (เฉลยข้อ จ)</t>
        </is>
      </c>
      <c r="O19" s="18" t="inlineStr">
        <is>
          <t>Mock</t>
        </is>
      </c>
      <c r="P19" s="18" t="inlineStr">
        <is>
          <t>ชุด 1</t>
        </is>
      </c>
    </row>
    <row r="20">
      <c r="A20" s="15" t="inlineStr">
        <is>
          <t>18</t>
        </is>
      </c>
      <c r="B20" s="18" t="inlineStr">
        <is>
          <t>Ergotamine มี side effect ต่าง ๆ ต่อไปนี้ ยกเว้น</t>
        </is>
      </c>
      <c r="C20" s="18" t="inlineStr"/>
      <c r="D20" s="18" t="inlineStr">
        <is>
          <t>Nausea and vomiting</t>
        </is>
      </c>
      <c r="E20" s="18" t="inlineStr">
        <is>
          <t>Weakness in legs</t>
        </is>
      </c>
      <c r="F20" s="18" t="inlineStr">
        <is>
          <t>Angina-like pain</t>
        </is>
      </c>
      <c r="G20" s="18" t="inlineStr">
        <is>
          <t>Hypertension</t>
        </is>
      </c>
      <c r="H20" s="18" t="inlineStr">
        <is>
          <t>Bradycardia</t>
        </is>
      </c>
      <c r="I20" s="15" t="inlineStr">
        <is>
          <t>5</t>
        </is>
      </c>
      <c r="J20" s="18"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ข้อนี้ไม่ใช่คำตอบที่ถูกต้องสำหรับภาวะ Headache เนื่องจากกลไกการออกฤทธิ์, efficacy หรือข้อบ่งใช้ไม่ตรงกับโจทย์ที่กำหนด
• ข้อ ข. (Weakness in legs): ข้อนี้ไม่ใช่คำตอบที่ถูกต้องสำหรับภาวะ Headache เนื่องจากกลไกการออกฤทธิ์, efficacy หรือข้อบ่งใช้ไม่ตรงกับโจทย์ที่กำหนด
• ข้อ ค. (Angina-like pain): ข้อนี้ไม่ใช่คำตอบที่ถูกต้องสำหรับภาวะ Headache เนื่องจากกลไกการออกฤทธิ์, efficacy หรือข้อบ่งใช้ไม่ตรงกับโจทย์ที่กำหนด
• ข้อ ง. (Hypertension):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8" t="inlineStr"/>
      <c r="L20" s="18" t="inlineStr">
        <is>
          <t>Headache</t>
        </is>
      </c>
      <c r="M20" s="18" t="inlineStr">
        <is>
          <t>Clinic</t>
        </is>
      </c>
      <c r="N20" s="18" t="inlineStr">
        <is>
          <t>ข้อ 18 ชุด 1 (เฉลยข้อ จ)</t>
        </is>
      </c>
      <c r="O20" s="18" t="inlineStr">
        <is>
          <t>Mock</t>
        </is>
      </c>
      <c r="P20" s="18" t="inlineStr">
        <is>
          <t>ชุด 1</t>
        </is>
      </c>
    </row>
    <row r="21">
      <c r="A21" s="15" t="inlineStr">
        <is>
          <t>19</t>
        </is>
      </c>
      <c r="B21" s="18" t="inlineStr">
        <is>
          <t>ข้อความต่อไปนี้เกี่ยวกับ ergotamine ผิด</t>
        </is>
      </c>
      <c r="C21" s="18" t="inlineStr"/>
      <c r="D21" s="18" t="inlineStr">
        <is>
          <t>เป็น drug of choice สำหรับระงับอาการ migraine attack</t>
        </is>
      </c>
      <c r="E21" s="18" t="inlineStr">
        <is>
          <t>ถ้าใช้ในขนาดที่มากเกินไปจะก่อให้เกิด gangrene ตามปลายนิ้วมือปลายเท้า</t>
        </is>
      </c>
      <c r="F21" s="18" t="inlineStr">
        <is>
          <t>ถ้าใช้ร่วมกับ selective serotonin receptor agonist เช่น sumatriptan จะให้ผลดียิ่งขึ้น</t>
        </is>
      </c>
      <c r="G21" s="18" t="inlineStr">
        <is>
          <t>ไม่ควรใช้ในสตรีมีครรภ์</t>
        </is>
      </c>
      <c r="H21" s="18" t="inlineStr">
        <is>
          <t>ใช้ไปนาน ๆ อาจติดยาได้ (physical dependence)</t>
        </is>
      </c>
      <c r="I21" s="15" t="inlineStr">
        <is>
          <t>1</t>
        </is>
      </c>
      <c r="J21" s="18"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(ถ้าใช้ในขนาดที่มากเกินไปจะก่อให้เกิด gangrene ตามปลายนิ้วมือปลายเท้า): ข้อนี้ไม่ใช่คำตอบที่ถูกต้องสำหรับภาวะ Headache เนื่องจากกลไกการออกฤทธิ์, efficacy หรือข้อบ่งใช้ไม่ตรงกับโจทย์ที่กำหนด
• ข้อ ค. (ถ้าใช้ร่วมกับ selective serotonin receptor agonist เช่น sumatriptan จะให้ผลดียิ่งขึ้น): เป็น 5-HT1B/1D agonist หดหลอดเลือดสมอง ใช้รักษา acute moderate-to-severe migraine attack แต่ contraindication ใน ischemic heart disease, uncontrolled HTN, stroke
• ข้อ ง. (ไม่ควรใช้ในสตรีมีครรภ์): ข้อนี้ไม่ใช่คำตอบที่ถูกต้องสำหรับภาวะ Headache เนื่องจากกลไกการออกฤทธิ์, efficacy หรือข้อบ่งใช้ไม่ตรงกับโจทย์ที่กำหนด
• ข้อ จ. (ใช้ไปนาน ๆ อาจติดยาได้ (physical dependence)):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8" t="inlineStr"/>
      <c r="L21" s="18" t="inlineStr">
        <is>
          <t>Headache</t>
        </is>
      </c>
      <c r="M21" s="18" t="inlineStr">
        <is>
          <t>Clinic</t>
        </is>
      </c>
      <c r="N21" s="18" t="inlineStr">
        <is>
          <t>ข้อ 19 ชุด 1 (เฉลยข้อ ก ค)</t>
        </is>
      </c>
      <c r="O21" s="18" t="inlineStr">
        <is>
          <t>Mock</t>
        </is>
      </c>
      <c r="P21" s="18" t="inlineStr">
        <is>
          <t>ชุด 1</t>
        </is>
      </c>
    </row>
    <row r="22">
      <c r="A22" s="15" t="inlineStr">
        <is>
          <t>20</t>
        </is>
      </c>
      <c r="B22" s="18" t="inlineStr">
        <is>
          <t>ข้อใดต่อไปนี้ไม่ใช่อาการของไมเกรน</t>
        </is>
      </c>
      <c r="C22" s="18" t="inlineStr"/>
      <c r="D22" s="18" t="inlineStr">
        <is>
          <t>ปวดตามท้ายทอยร้าวไปกลางศีรษะหรือลักษณะคล้ายวิ่งจี๊ดไปมา</t>
        </is>
      </c>
      <c r="E22" s="18" t="inlineStr">
        <is>
          <t>ปวดศีรษะข้างเดียว ปวดตุบๆ</t>
        </is>
      </c>
      <c r="F22" s="18" t="inlineStr">
        <is>
          <t>ปวดตุบ ๆ สลับข้างหรือทั้ง 2 ข้าง และมักมีอาการคลื่นไส้อาเจียนร่วมด้วย</t>
        </is>
      </c>
      <c r="G22" s="18" t="inlineStr">
        <is>
          <t>ก่อนปวดศีรษะมีอาการเห็นภาพผิดปกติ (visual disturbance)</t>
        </is>
      </c>
      <c r="H22" s="18" t="inlineStr">
        <is>
          <t>ก่อนปวดศีรษะอาจมีอาการหงุดหงิด ทนแสงหรือเสียงดังไม่ได้</t>
        </is>
      </c>
      <c r="I22" s="15" t="inlineStr">
        <is>
          <t>1</t>
        </is>
      </c>
      <c r="J22" s="18"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(ปวดศีรษะข้างเดียว ปวดตุบๆ): ข้อนี้ไม่ใช่คำตอบที่ถูกต้องสำหรับภาวะ Headache เนื่องจากกลไกการออกฤทธิ์, efficacy หรือข้อบ่งใช้ไม่ตรงกับโจทย์ที่กำหนด
• ข้อ ค. (ปวดตุบ ๆ สลับข้างหรือทั้ง 2 ข้าง และมักมีอาการคลื่นไส้อาเจียนร่วมด้วย): ข้อนี้ไม่ใช่คำตอบที่ถูกต้องสำหรับภาวะ Headache เนื่องจากกลไกการออกฤทธิ์, efficacy หรือข้อบ่งใช้ไม่ตรงกับโจทย์ที่กำหนด
• ข้อ ง. (ก่อนปวดศีรษะมีอาการเห็นภาพผิดปกติ (visual disturbance)): ข้อนี้ไม่ใช่คำตอบที่ถูกต้องสำหรับภาวะ Headache เนื่องจากกลไกการออกฤทธิ์, efficacy หรือข้อบ่งใช้ไม่ตรงกับโจทย์ที่กำหนด
• ข้อ จ. (ก่อนปวดศีรษะอาจมีอาการหงุดหงิด ทนแสงหรือเสียงดังไม่ได้):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8" t="inlineStr"/>
      <c r="L22" s="18" t="inlineStr">
        <is>
          <t>Headache</t>
        </is>
      </c>
      <c r="M22" s="18" t="inlineStr">
        <is>
          <t>Clinic</t>
        </is>
      </c>
      <c r="N22" s="18" t="inlineStr">
        <is>
          <t>ข้อ 20 ชุด 1 (เฉลยข้อ ก)</t>
        </is>
      </c>
      <c r="O22" s="18" t="inlineStr">
        <is>
          <t>Mock</t>
        </is>
      </c>
      <c r="P22" s="18" t="inlineStr">
        <is>
          <t>ชุด 1</t>
        </is>
      </c>
    </row>
    <row r="23">
      <c r="A23" s="15" t="inlineStr">
        <is>
          <t>21</t>
        </is>
      </c>
      <c r="B23" s="18" t="inlineStr">
        <is>
          <t>ผู้ป่วยไมเกรนควรหลีกเลี่ยงในการรับประทานสิ่งเหล่านี้ ยกเว้น</t>
        </is>
      </c>
      <c r="C23" s="18" t="inlineStr"/>
      <c r="D23" s="18" t="inlineStr">
        <is>
          <t>เนยแข็ง</t>
        </is>
      </c>
      <c r="E23" s="18" t="inlineStr">
        <is>
          <t>ช็อกโกแลต</t>
        </is>
      </c>
      <c r="F23" s="18" t="inlineStr">
        <is>
          <t>ไวน์แดง</t>
        </is>
      </c>
      <c r="G23" s="18" t="inlineStr">
        <is>
          <t>เบียร์</t>
        </is>
      </c>
      <c r="H23" s="18" t="inlineStr">
        <is>
          <t>นม</t>
        </is>
      </c>
      <c r="I23" s="15" t="inlineStr">
        <is>
          <t>5</t>
        </is>
      </c>
      <c r="J23" s="18"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(เนยแข็ง): ข้อนี้ไม่ใช่คำตอบที่ถูกต้องสำหรับภาวะ Headache เนื่องจากกลไกการออกฤทธิ์, efficacy หรือข้อบ่งใช้ไม่ตรงกับโจทย์ที่กำหนด
• ข้อ ข. (ช็อกโกแลต): ข้อนี้ไม่ใช่คำตอบที่ถูกต้องสำหรับภาวะ Headache เนื่องจากกลไกการออกฤทธิ์, efficacy หรือข้อบ่งใช้ไม่ตรงกับโจทย์ที่กำหนด
• ข้อ ค. (ไวน์แดง): ข้อนี้ไม่ใช่คำตอบที่ถูกต้องสำหรับภาวะ Headache เนื่องจากกลไกการออกฤทธิ์, efficacy หรือข้อบ่งใช้ไม่ตรงกับโจทย์ที่กำหนด
• ข้อ ง. (เบียร์):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8" t="inlineStr"/>
      <c r="L23" s="18" t="inlineStr">
        <is>
          <t>Headache</t>
        </is>
      </c>
      <c r="M23" s="18" t="inlineStr">
        <is>
          <t>Clinic</t>
        </is>
      </c>
      <c r="N23" s="18" t="inlineStr">
        <is>
          <t>ข้อ 21 ชุด 1 (เฉลยข้อ จ)</t>
        </is>
      </c>
      <c r="O23" s="18" t="inlineStr">
        <is>
          <t>Mock</t>
        </is>
      </c>
      <c r="P23" s="18" t="inlineStr">
        <is>
          <t>ชุด 1</t>
        </is>
      </c>
    </row>
    <row r="24">
      <c r="A24" s="15" t="inlineStr">
        <is>
          <t>22</t>
        </is>
      </c>
      <c r="B24" s="18" t="inlineStr">
        <is>
          <t>Ergotamine มีฤทธิ์อย่างไร</t>
        </is>
      </c>
      <c r="C24" s="18" t="inlineStr"/>
      <c r="D24" s="18" t="inlineStr">
        <is>
          <t>ลดการสร้าง prostaglandins</t>
        </is>
      </c>
      <c r="E24" s="18" t="inlineStr">
        <is>
          <t>ทำให้กล้ามเนื้อหลอดเลือดหดตัว</t>
        </is>
      </c>
      <c r="F24" s="18" t="inlineStr">
        <is>
          <t>ทำให้เลือดไปเลี้ยงสมองมากขึ้น</t>
        </is>
      </c>
      <c r="G24" s="18" t="inlineStr">
        <is>
          <t>ทำให้หลอดเลือดคลายตัว</t>
        </is>
      </c>
      <c r="H24" s="18" t="inlineStr">
        <is>
          <t>ทำให้กล้ามเนื้อคลายตัว</t>
        </is>
      </c>
      <c r="I24" s="15" t="inlineStr">
        <is>
          <t>2</t>
        </is>
      </c>
      <c r="J24" s="18"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(ลดการสร้าง prostaglandins): ข้อนี้ไม่ใช่คำตอบที่ถูกต้องสำหรับภาวะ Headache เนื่องจากกลไกการออกฤทธิ์, efficacy หรือข้อบ่งใช้ไม่ตรงกับโจทย์ที่กำหนด
• ข้อ ค. (ทำให้เลือดไปเลี้ยงสมองมากขึ้น): ข้อนี้ไม่ใช่คำตอบที่ถูกต้องสำหรับภาวะ Headache เนื่องจากกลไกการออกฤทธิ์, efficacy หรือข้อบ่งใช้ไม่ตรงกับโจทย์ที่กำหนด
• ข้อ ง. (ทำให้หลอดเลือดคลายตัว): ข้อนี้ไม่ใช่คำตอบที่ถูกต้องสำหรับภาวะ Headache เนื่องจากกลไกการออกฤทธิ์, efficacy หรือข้อบ่งใช้ไม่ตรงกับโจทย์ที่กำหนด
• ข้อ จ. (ทำให้กล้ามเนื้อคลายตัว):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8" t="inlineStr"/>
      <c r="L24" s="18" t="inlineStr">
        <is>
          <t>Headache</t>
        </is>
      </c>
      <c r="M24" s="18" t="inlineStr">
        <is>
          <t>Clinic</t>
        </is>
      </c>
      <c r="N24" s="18" t="inlineStr">
        <is>
          <t>ข้อ 22 ชุด 1 (เฉลยข้อ ข)</t>
        </is>
      </c>
      <c r="O24" s="18" t="inlineStr">
        <is>
          <t>Mock</t>
        </is>
      </c>
      <c r="P24" s="18" t="inlineStr">
        <is>
          <t>ชุด 1</t>
        </is>
      </c>
    </row>
    <row r="25">
      <c r="A25" s="15" t="inlineStr">
        <is>
          <t>23</t>
        </is>
      </c>
      <c r="B25" s="18" t="inlineStr">
        <is>
          <t>ผู้ป่วยหญิงอายุ 76 ปี เป็นโรคพาร์กินสัน แพทย์จ่ายยา 1 ตัว ได้แก่ L-dopa/Benserazide 25/100 mg
Benserazide ถูกเติมลงไปใน levodopa เพื่ออะไร</t>
        </is>
      </c>
      <c r="C25" s="18" t="inlineStr"/>
      <c r="D25" s="18" t="inlineStr">
        <is>
          <t>เพิ่มอาการข้างเคียงที่จะเกิดที่ peripheral</t>
        </is>
      </c>
      <c r="E25" s="18" t="inlineStr">
        <is>
          <t>เสริมฤทธิ์กับ levodopa</t>
        </is>
      </c>
      <c r="F25" s="18" t="inlineStr">
        <is>
          <t>ช่วยทำให้มีปริมาณ levodopa ผ่านเข้าสมองมากขึ้น</t>
        </is>
      </c>
      <c r="G25" s="18" t="inlineStr">
        <is>
          <t>ช่วยพา levodopa ผ่าน blood brain barrier</t>
        </is>
      </c>
      <c r="H25" s="18" t="inlineStr">
        <is>
          <t>ยับยั้งการทำลาย levodopa ในสมอง</t>
        </is>
      </c>
      <c r="I25" s="15" t="inlineStr">
        <is>
          <t>2</t>
        </is>
      </c>
      <c r="J25" s="18"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(เพิ่มอาการข้างเคียงที่จะเกิดที่ peripheral): ข้อนี้ไม่ใช่คำตอบที่ถูกต้องสำหรับภาวะ Parkinson disease เนื่องจากกลไกการออกฤทธิ์, efficacy หรือข้อบ่งใช้ไม่ตรงกับโจทย์ที่กำหนด
• ข้อ ค. (ช่วยทำให้มีปริมาณ levodopa ผ่านเข้าสมองมากขึ้น): ข้อนี้ไม่ใช่คำตอบที่ถูกต้องสำหรับภาวะ Parkinson disease เนื่องจากกลไกการออกฤทธิ์, efficacy หรือข้อบ่งใช้ไม่ตรงกับโจทย์ที่กำหนด
• ข้อ ง. (ช่วยพา levodopa ผ่าน blood brain barrier): ข้อนี้ไม่ใช่คำตอบที่ถูกต้องสำหรับภาวะ Parkinson disease เนื่องจากกลไกการออกฤทธิ์, efficacy หรือข้อบ่งใช้ไม่ตรงกับโจทย์ที่กำหนด
• ข้อ จ. (ยับยั้งการทำลาย levodopa ในสมอง):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8" t="inlineStr"/>
      <c r="L25" s="18" t="inlineStr">
        <is>
          <t>Parkinson disease</t>
        </is>
      </c>
      <c r="M25" s="18" t="inlineStr">
        <is>
          <t>Clinic</t>
        </is>
      </c>
      <c r="N25" s="18" t="inlineStr">
        <is>
          <t>ข้อ 23 ชุด 1 (เฉลยข้อ ข ค)</t>
        </is>
      </c>
      <c r="O25" s="18" t="inlineStr">
        <is>
          <t>Mock</t>
        </is>
      </c>
      <c r="P25" s="18" t="inlineStr">
        <is>
          <t>ชุด 1</t>
        </is>
      </c>
    </row>
    <row r="26">
      <c r="A26" s="15" t="inlineStr">
        <is>
          <t>24</t>
        </is>
      </c>
      <c r="B26" s="18"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18" t="inlineStr"/>
      <c r="D26" s="18" t="inlineStr">
        <is>
          <t>Pergolide</t>
        </is>
      </c>
      <c r="E26" s="18" t="inlineStr">
        <is>
          <t>Selegiline</t>
        </is>
      </c>
      <c r="F26" s="18" t="inlineStr">
        <is>
          <t>Ondansetron</t>
        </is>
      </c>
      <c r="G26" s="18" t="inlineStr">
        <is>
          <t>Carbidopa</t>
        </is>
      </c>
      <c r="H26" s="18" t="inlineStr">
        <is>
          <t>Trihexyphenidyl</t>
        </is>
      </c>
      <c r="I26" s="15" t="inlineStr">
        <is>
          <t>4</t>
        </is>
      </c>
      <c r="J26" s="18"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ข้อนี้ไม่ใช่คำตอบที่ถูกต้องสำหรับภาวะ Parkinson disease เนื่องจากกลไกการออกฤทธิ์, efficacy หรือข้อบ่งใช้ไม่ตรงกับโจทย์ที่กำหนด
• ข้อ ข. (Selegiline): ข้อนี้ไม่ใช่คำตอบที่ถูกต้องสำหรับภาวะ Parkinson disease เนื่องจากกลไกการออกฤทธิ์, efficacy หรือข้อบ่งใช้ไม่ตรงกับโจทย์ที่กำหนด
• ข้อ ค. (Ondansetron): เป็น 5-HT3 receptor antagonist เป็น first-line antiemetic สำหรับ chemotherapy-induced nausea and vomiting (CINV) และ post-operative nausea/vomiting แต่ทำให้ท้องผูก
• ข้อ จ. (Trihexyphenidyl):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8" t="inlineStr"/>
      <c r="L26" s="18" t="inlineStr">
        <is>
          <t>Parkinson disease</t>
        </is>
      </c>
      <c r="M26" s="18" t="inlineStr">
        <is>
          <t>Clinic</t>
        </is>
      </c>
      <c r="N26" s="18" t="inlineStr">
        <is>
          <t>ข้อ 24 ชุด 1 (เฉลยข้อ ง)</t>
        </is>
      </c>
      <c r="O26" s="18" t="inlineStr">
        <is>
          <t>Mock</t>
        </is>
      </c>
      <c r="P26" s="18" t="inlineStr">
        <is>
          <t>ชุด 1</t>
        </is>
      </c>
    </row>
    <row r="27">
      <c r="A27" s="15" t="inlineStr">
        <is>
          <t>25</t>
        </is>
      </c>
      <c r="B27" s="18" t="inlineStr">
        <is>
          <t>ผู้ป่วยหญิงอายุ 76 ปี เป็นโรคพาร์กินสัน แพทย์จ่ายยา 1 ตัว ได้แก่ L-dopa/Benserazide 25/100 mg
ข้อใดคือผลข้างเคียงจากการใช้ยา levodopa</t>
        </is>
      </c>
      <c r="C27" s="18" t="inlineStr"/>
      <c r="D27" s="18" t="inlineStr">
        <is>
          <t>ความดันต่ำขณะเปลี่ยนท่า</t>
        </is>
      </c>
      <c r="E27" s="18" t="inlineStr">
        <is>
          <t>หัวใจเต้นช้า</t>
        </is>
      </c>
      <c r="F27" s="18" t="inlineStr">
        <is>
          <t>มึนงง</t>
        </is>
      </c>
      <c r="G27" s="18" t="inlineStr">
        <is>
          <t>คลื่นไส้ อาเจียน</t>
        </is>
      </c>
      <c r="H27" s="18" t="inlineStr">
        <is>
          <t>ชาตามปลายนิ้ว ปลายเท้า</t>
        </is>
      </c>
      <c r="I27" s="15" t="inlineStr">
        <is>
          <t>1</t>
        </is>
      </c>
      <c r="J27" s="18"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(หัวใจเต้นช้า): ข้อนี้ไม่ใช่คำตอบที่ถูกต้องสำหรับภาวะ Parkinson disease เนื่องจากกลไกการออกฤทธิ์, efficacy หรือข้อบ่งใช้ไม่ตรงกับโจทย์ที่กำหนด
• ข้อ ค. (มึนงง): ข้อนี้ไม่ใช่คำตอบที่ถูกต้องสำหรับภาวะ Parkinson disease เนื่องจากกลไกการออกฤทธิ์, efficacy หรือข้อบ่งใช้ไม่ตรงกับโจทย์ที่กำหนด
• ข้อ ง. (คลื่นไส้ อาเจียน): ข้อนี้ไม่ใช่คำตอบที่ถูกต้องสำหรับภาวะ Parkinson disease เนื่องจากกลไกการออกฤทธิ์, efficacy หรือข้อบ่งใช้ไม่ตรงกับโจทย์ที่กำหนด
• ข้อ จ. (ชาตามปลายนิ้ว ปลายเท้า):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8" t="inlineStr"/>
      <c r="L27" s="18" t="inlineStr">
        <is>
          <t>Parkinson disease</t>
        </is>
      </c>
      <c r="M27" s="18" t="inlineStr">
        <is>
          <t>Clinic</t>
        </is>
      </c>
      <c r="N27" s="18" t="inlineStr">
        <is>
          <t>ข้อ 25 ชุด 1 (เฉลยข้อ ก ง)</t>
        </is>
      </c>
      <c r="O27" s="18" t="inlineStr">
        <is>
          <t>Mock</t>
        </is>
      </c>
      <c r="P27" s="18" t="inlineStr">
        <is>
          <t>ชุด 1</t>
        </is>
      </c>
    </row>
    <row r="28">
      <c r="A28" s="15" t="inlineStr">
        <is>
          <t>26</t>
        </is>
      </c>
      <c r="B28" s="18" t="inlineStr">
        <is>
          <t>หากระดับยา levodopa สูงเกินไป จะเกิดอาการใด</t>
        </is>
      </c>
      <c r="C28" s="18" t="inlineStr"/>
      <c r="D28" s="18" t="inlineStr">
        <is>
          <t>Rigidity</t>
        </is>
      </c>
      <c r="E28" s="18" t="inlineStr">
        <is>
          <t>Dyskinesia</t>
        </is>
      </c>
      <c r="F28" s="18" t="inlineStr">
        <is>
          <t>Hallucination</t>
        </is>
      </c>
      <c r="G28" s="18" t="inlineStr">
        <is>
          <t>Somnolence</t>
        </is>
      </c>
      <c r="H28" s="18" t="inlineStr">
        <is>
          <t>Gynecomastia</t>
        </is>
      </c>
      <c r="I28" s="15" t="inlineStr">
        <is>
          <t>2</t>
        </is>
      </c>
      <c r="J28" s="18"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ข้อนี้ไม่ใช่คำตอบที่ถูกต้องสำหรับภาวะ Parkinson disease เนื่องจากกลไกการออกฤทธิ์, efficacy หรือข้อบ่งใช้ไม่ตรงกับโจทย์ที่กำหนด
• ข้อ ค. (Hallucination): ข้อนี้ไม่ใช่คำตอบที่ถูกต้องสำหรับภาวะ Parkinson disease เนื่องจากกลไกการออกฤทธิ์, efficacy หรือข้อบ่งใช้ไม่ตรงกับโจทย์ที่กำหนด
• ข้อ ง. (Somnolence): ข้อนี้ไม่ใช่คำตอบที่ถูกต้องสำหรับภาวะ Parkinson disease เนื่องจากกลไกการออกฤทธิ์, efficacy หรือข้อบ่งใช้ไม่ตรงกับโจทย์ที่กำหนด
• ข้อ จ. (Gynecomastia):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8" t="inlineStr"/>
      <c r="L28" s="18" t="inlineStr">
        <is>
          <t>Parkinson disease</t>
        </is>
      </c>
      <c r="M28" s="18" t="inlineStr">
        <is>
          <t>Clinic</t>
        </is>
      </c>
      <c r="N28" s="18" t="inlineStr">
        <is>
          <t>ข้อ 26 ชุด 1 (เฉลยข้อ ข ค)</t>
        </is>
      </c>
      <c r="O28" s="18" t="inlineStr">
        <is>
          <t>Mock</t>
        </is>
      </c>
      <c r="P28" s="18" t="inlineStr">
        <is>
          <t>ชุด 1</t>
        </is>
      </c>
    </row>
    <row r="29">
      <c r="A29" s="15" t="inlineStr">
        <is>
          <t>27</t>
        </is>
      </c>
      <c r="B29" s="18" t="inlineStr">
        <is>
          <t>ยาในข้อใดไม่ทำให้อาการความจำเสื่อมของผู้ป่วยโรคพาร์กินสันแย่ลง</t>
        </is>
      </c>
      <c r="C29" s="18" t="inlineStr"/>
      <c r="D29" s="18" t="inlineStr">
        <is>
          <t>Benztropine</t>
        </is>
      </c>
      <c r="E29" s="18" t="inlineStr">
        <is>
          <t>Amitriptyline</t>
        </is>
      </c>
      <c r="F29" s="18" t="inlineStr">
        <is>
          <t>Domperidone</t>
        </is>
      </c>
      <c r="G29" s="18" t="inlineStr">
        <is>
          <t>Trihexyphenidyl</t>
        </is>
      </c>
      <c r="H29" s="18" t="inlineStr">
        <is>
          <t>Chlorpheniramine</t>
        </is>
      </c>
      <c r="I29" s="15" t="inlineStr">
        <is>
          <t>3</t>
        </is>
      </c>
      <c r="J29" s="18"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ข้อนี้ไม่ใช่คำตอบที่ถูกต้องสำหรับภาวะ Parkinson disease เนื่องจากกลไกการออกฤทธิ์, efficacy หรือข้อบ่งใช้ไม่ตรงกับโจทย์ที่กำหนด
• ข้อ ข. (Amitriptyline): เป็น Tricyclic antidepressant (TCA) มี anticholinergic ADRs สูง, antihistaminic (ง่วงซึม น้ำหนักขึ้น), alpha-1 blockade (orthostatic hypotension) และเสี่ยงต่อ fatal cardiotoxicity เมื่อ overdose
• ข้อ ง. (Trihexyphenidyl): เป็น centrally-acting anticholinergic ช่วยลด tremor ใน Parkinson disease แต่มี ADR ปากแห้ง ตาพร่า ท้องผูก ปัสสาวะคั่ง และ cognitive impairment ในผู้สูงอายุ
• ข้อ จ.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8" t="inlineStr"/>
      <c r="L29" s="18" t="inlineStr">
        <is>
          <t>Parkinson disease</t>
        </is>
      </c>
      <c r="M29" s="18" t="inlineStr">
        <is>
          <t>Clinic</t>
        </is>
      </c>
      <c r="N29" s="18" t="inlineStr">
        <is>
          <t>ข้อ 27 ชุด 1 (เฉลยข้อ ค)</t>
        </is>
      </c>
      <c r="O29" s="18" t="inlineStr">
        <is>
          <t>Mock</t>
        </is>
      </c>
      <c r="P29" s="18" t="inlineStr">
        <is>
          <t>ชุด 1</t>
        </is>
      </c>
    </row>
    <row r="30">
      <c r="A30" s="15" t="inlineStr">
        <is>
          <t>28</t>
        </is>
      </c>
      <c r="B30" s="18" t="inlineStr">
        <is>
          <t>Benserazide ยับยั้ง enzyme ในข้อใด</t>
        </is>
      </c>
      <c r="C30" s="18" t="inlineStr"/>
      <c r="D30" s="18" t="inlineStr">
        <is>
          <t>MAOB</t>
        </is>
      </c>
      <c r="E30" s="18" t="inlineStr">
        <is>
          <t>COMT</t>
        </is>
      </c>
      <c r="F30" s="18" t="inlineStr">
        <is>
          <t>Acetylcholine esterase</t>
        </is>
      </c>
      <c r="G30" s="18" t="inlineStr">
        <is>
          <t>Dopa decarboxylase</t>
        </is>
      </c>
      <c r="H30" s="18" t="inlineStr">
        <is>
          <t>Dopa deaminase</t>
        </is>
      </c>
      <c r="I30" s="15" t="inlineStr">
        <is>
          <t>4</t>
        </is>
      </c>
      <c r="J30" s="18"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ข้อนี้ไม่ใช่คำตอบที่ถูกต้องสำหรับภาวะ Parkinson disease เนื่องจากกลไกการออกฤทธิ์, efficacy หรือข้อบ่งใช้ไม่ตรงกับโจทย์ที่กำหนด
• ข้อ ข. (COMT): ข้อนี้ไม่ใช่คำตอบที่ถูกต้องสำหรับภาวะ Parkinson disease เนื่องจากกลไกการออกฤทธิ์, efficacy หรือข้อบ่งใช้ไม่ตรงกับโจทย์ที่กำหนด
• ข้อ ค. (Acetylcholine esterase): ข้อนี้ไม่ใช่คำตอบที่ถูกต้องสำหรับภาวะ Parkinson disease เนื่องจากกลไกการออกฤทธิ์, efficacy หรือข้อบ่งใช้ไม่ตรงกับโจทย์ที่กำหนด
• ข้อ จ. (Dopa deaminase):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8" t="inlineStr"/>
      <c r="L30" s="18" t="inlineStr">
        <is>
          <t>Parkinson disease</t>
        </is>
      </c>
      <c r="M30" s="18" t="inlineStr">
        <is>
          <t>Clinic</t>
        </is>
      </c>
      <c r="N30" s="18" t="inlineStr">
        <is>
          <t>ข้อ 28 ชุด 1 (เฉลยข้อ ง)</t>
        </is>
      </c>
      <c r="O30" s="18" t="inlineStr">
        <is>
          <t>Mock</t>
        </is>
      </c>
      <c r="P30" s="18" t="inlineStr">
        <is>
          <t>ชุด 1</t>
        </is>
      </c>
    </row>
    <row r="31">
      <c r="A31" s="15" t="inlineStr">
        <is>
          <t>29</t>
        </is>
      </c>
      <c r="B31" s="18"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8" t="inlineStr"/>
      <c r="D31" s="18" t="inlineStr">
        <is>
          <t>หลังจากเริ่มการรักษาผู้ป่วยได้ 3-5 ปี ผลการรักษาจะลดลง</t>
        </is>
      </c>
      <c r="E31" s="18" t="inlineStr">
        <is>
          <t>ผลการรักษาในแต่ละวันอาจไม่คงที่ (on-off phenomenon)</t>
        </is>
      </c>
      <c r="F31" s="18" t="inlineStr">
        <is>
          <t>ตัวรับ dopamine receptor ในสมองเกิด down regulation ลดจำนวนลง</t>
        </is>
      </c>
      <c r="G31" s="18" t="inlineStr">
        <is>
          <t>Levodopa ซึมผ่าน blood brain barrier เข้าสู่สมองได้ยากขึ้น</t>
        </is>
      </c>
      <c r="H31" s="18" t="inlineStr">
        <is>
          <t>อนุมูลอิสระที่เกิดจากการเมตาบอลิซึมของ levodopa จะทำให้เซลล์ประสาท dopaminergic ที่ nigrostriatal pathway</t>
        </is>
      </c>
      <c r="I31" s="15" t="inlineStr">
        <is>
          <t>4</t>
        </is>
      </c>
      <c r="J31" s="18"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(หลังจากเริ่มการรักษาผู้ป่วยได้ 3-5 ปี ผลการรักษาจะลดลง): ข้อนี้ไม่ใช่คำตอบที่ถูกต้องสำหรับภาวะ Parkinson disease เนื่องจากกลไกการออกฤทธิ์, efficacy หรือข้อบ่งใช้ไม่ตรงกับโจทย์ที่กำหนด
• ข้อ ข. (ผลการรักษาในแต่ละวันอาจไม่คงที่ (on-off phenomenon)): ข้อนี้ไม่ใช่คำตอบที่ถูกต้องสำหรับภาวะ Parkinson disease เนื่องจากกลไกการออกฤทธิ์, efficacy หรือข้อบ่งใช้ไม่ตรงกับโจทย์ที่กำหนด
• ข้อ ค. (ตัวรับ dopamine receptor ในสมองเกิด down regulation ลดจำนวนลง): ข้อนี้ไม่ใช่คำตอบที่ถูกต้องสำหรับภาวะ Parkinson disease เนื่องจากกลไกการออกฤทธิ์, efficacy หรือข้อบ่งใช้ไม่ตรงกับโจทย์ที่กำหนด
• ข้อ จ. (อนุมูลอิสระที่เกิดจากการเมตาบอลิซึมของ levodopa จะทำให้เซลล์ประสาท dopaminergic ที่ nigrostriatal pathway):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8" t="inlineStr"/>
      <c r="L31" s="18" t="inlineStr">
        <is>
          <t>Parkinson disease</t>
        </is>
      </c>
      <c r="M31" s="18" t="inlineStr">
        <is>
          <t>Clinic</t>
        </is>
      </c>
      <c r="N31" s="18" t="inlineStr">
        <is>
          <t>ข้อ 29 ชุด 1 (เฉลยข้อ ง)</t>
        </is>
      </c>
      <c r="O31" s="18" t="inlineStr">
        <is>
          <t>Mock</t>
        </is>
      </c>
      <c r="P31" s="18" t="inlineStr">
        <is>
          <t>ชุด 1</t>
        </is>
      </c>
    </row>
    <row r="32">
      <c r="A32" s="15" t="inlineStr">
        <is>
          <t>30</t>
        </is>
      </c>
      <c r="B32" s="18" t="inlineStr">
        <is>
          <t>การใช้ carbidopa หรือ benserazide ร่วมกับ levodopa ในการรักษา Parkinson's disease มีจุดประสงค์เพื่อ</t>
        </is>
      </c>
      <c r="C32" s="18" t="inlineStr"/>
      <c r="D32" s="18" t="inlineStr">
        <is>
          <t>กระตุ้นเอนไซม์ dopa decarboxylase ที่สมอง</t>
        </is>
      </c>
      <c r="E32" s="18" t="inlineStr">
        <is>
          <t>ยับยั้งการเปลี่ยนแปลง Levodopa เป็น dopamine ที่เนื้อเยื่อนอกสมอง</t>
        </is>
      </c>
      <c r="F32" s="18" t="inlineStr">
        <is>
          <t>เพิ่มการดูดซึมของ Levodopa จากทางเดินอาหาร</t>
        </is>
      </c>
      <c r="G32" s="18" t="inlineStr">
        <is>
          <t>ยับยั้งการขับถ่าย Levodopa ออกทางปัสสาวะ</t>
        </is>
      </c>
      <c r="H32" s="18" t="inlineStr">
        <is>
          <t>เพิ่มการซึมผ่านของ dopamine จากเลือดสู่สมอง</t>
        </is>
      </c>
      <c r="I32" s="15" t="inlineStr">
        <is>
          <t>2</t>
        </is>
      </c>
      <c r="J32" s="18"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(กระตุ้นเอนไซม์ dopa decarboxylase ที่สมอง): ข้อนี้ไม่ใช่คำตอบที่ถูกต้องสำหรับภาวะ Parkinson disease เนื่องจากกลไกการออกฤทธิ์, efficacy หรือข้อบ่งใช้ไม่ตรงกับโจทย์ที่กำหนด
• ข้อ ค. (เพิ่มการดูดซึมของ Levodopa จากทางเดินอาหาร): ข้อนี้ไม่ใช่คำตอบที่ถูกต้องสำหรับภาวะ Parkinson disease เนื่องจากกลไกการออกฤทธิ์, efficacy หรือข้อบ่งใช้ไม่ตรงกับโจทย์ที่กำหนด
• ข้อ ง. (ยับยั้งการขับถ่าย Levodopa ออกทางปัสสาวะ): ข้อนี้ไม่ใช่คำตอบที่ถูกต้องสำหรับภาวะ Parkinson disease เนื่องจากกลไกการออกฤทธิ์, efficacy หรือข้อบ่งใช้ไม่ตรงกับโจทย์ที่กำหนด
• ข้อ จ. (เพิ่มการซึมผ่านของ dopamine จากเลือดสู่สมอง):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8" t="inlineStr"/>
      <c r="L32" s="18" t="inlineStr">
        <is>
          <t>Parkinson disease</t>
        </is>
      </c>
      <c r="M32" s="18" t="inlineStr">
        <is>
          <t>Clinic</t>
        </is>
      </c>
      <c r="N32" s="18" t="inlineStr">
        <is>
          <t>ข้อ 30 ชุด 1 (เฉลยข้อ ข)</t>
        </is>
      </c>
      <c r="O32" s="18" t="inlineStr">
        <is>
          <t>Mock</t>
        </is>
      </c>
      <c r="P32" s="18" t="inlineStr">
        <is>
          <t>ชุด 1</t>
        </is>
      </c>
    </row>
    <row r="33">
      <c r="A33" s="15" t="inlineStr">
        <is>
          <t>31</t>
        </is>
      </c>
      <c r="B33" s="18"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8" t="inlineStr"/>
      <c r="D33" s="18" t="inlineStr">
        <is>
          <t>ป้องกันการเกิดอนุมูลอิสระ ซึ่งมีพิษและเป็นผลพลอยได้จากการออกซิไดซ์ dopamine โดย MAO-B</t>
        </is>
      </c>
      <c r="E33" s="18" t="inlineStr">
        <is>
          <t>กระตุ้นการเจริญของ dopaminergic neurons ใน nigrostriatal pathway</t>
        </is>
      </c>
      <c r="F33" s="18" t="inlineStr">
        <is>
          <t>กระตุ้นการเจริญของ glial cells ในสมอง</t>
        </is>
      </c>
      <c r="G33" s="18" t="inlineStr">
        <is>
          <t>กระตุ้นการสังเคราะห์ nerve growth factor</t>
        </is>
      </c>
      <c r="H33" s="18" t="inlineStr">
        <is>
          <t>กระตุ้นการสังเคราะห์สารสื่อประสาท</t>
        </is>
      </c>
      <c r="I33" s="15" t="inlineStr">
        <is>
          <t>1</t>
        </is>
      </c>
      <c r="J33" s="18"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(กระตุ้นการเจริญของ dopaminergic neurons ใน nigrostriatal pathway): ข้อนี้ไม่ใช่คำตอบที่ถูกต้องสำหรับภาวะ Parkinson disease เนื่องจากกลไกการออกฤทธิ์, efficacy หรือข้อบ่งใช้ไม่ตรงกับโจทย์ที่กำหนด
• ข้อ ค. (กระตุ้นการเจริญของ glial cells ในสมอง): ข้อนี้ไม่ใช่คำตอบที่ถูกต้องสำหรับภาวะ Parkinson disease เนื่องจากกลไกการออกฤทธิ์, efficacy หรือข้อบ่งใช้ไม่ตรงกับโจทย์ที่กำหนด
• ข้อ ง. (กระตุ้นการสังเคราะห์ nerve growth factor): ข้อนี้ไม่ใช่คำตอบที่ถูกต้องสำหรับภาวะ Parkinson disease เนื่องจากกลไกการออกฤทธิ์, efficacy หรือข้อบ่งใช้ไม่ตรงกับโจทย์ที่กำหนด
• ข้อ จ. (กระตุ้นการสังเคราะห์สารสื่อประสาท):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8" t="inlineStr"/>
      <c r="L33" s="18" t="inlineStr">
        <is>
          <t>Parkinson disease</t>
        </is>
      </c>
      <c r="M33" s="18" t="inlineStr">
        <is>
          <t>Clinic</t>
        </is>
      </c>
      <c r="N33" s="18" t="inlineStr">
        <is>
          <t>ข้อ 31 ชุด 1 (เฉลยข้อ ก)</t>
        </is>
      </c>
      <c r="O33" s="18" t="inlineStr">
        <is>
          <t>Mock</t>
        </is>
      </c>
      <c r="P33" s="18" t="inlineStr">
        <is>
          <t>ชุด 1</t>
        </is>
      </c>
    </row>
    <row r="34">
      <c r="A34" s="15" t="inlineStr">
        <is>
          <t>32</t>
        </is>
      </c>
      <c r="B34" s="18" t="inlineStr">
        <is>
          <t>สถานการณ์ที่ 5 ผู้ป่วยชาย อายุ 25 ปี
Dx. Tonic-clonic seizer (first diagnosis)
Rx. Carbamazepine BID 30 F/U 2 wk.
ผู้ป่วยไม่ควรได้รับคำแนะนำใด</t>
        </is>
      </c>
      <c r="C34" s="18" t="inlineStr"/>
      <c r="D34" s="18" t="inlineStr">
        <is>
          <t>แนะนำคุมกำเนิด</t>
        </is>
      </c>
      <c r="E34" s="18" t="inlineStr">
        <is>
          <t>ถ้าใช้ยาแล้วเป็นไข้ เจ็บคอ ให้รีบแจ้งแพทย์</t>
        </is>
      </c>
      <c r="F34" s="18" t="inlineStr">
        <is>
          <t>ใช้ยาแล้วหลีกเลี่ยงการสัมผัสแสงแดด</t>
        </is>
      </c>
      <c r="G34" s="18" t="inlineStr">
        <is>
          <t>ใช้ยานี้แล้วสีเล็บและสีผิวจะเปลี่ยน</t>
        </is>
      </c>
      <c r="H34" s="18" t="inlineStr">
        <is>
          <t>ควรหลีกเลี่ยงการซื้อยามารับประทานเอง</t>
        </is>
      </c>
      <c r="I34" s="15" t="inlineStr">
        <is>
          <t>1</t>
        </is>
      </c>
      <c r="J34" s="18"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(ถ้าใช้ยาแล้วเป็นไข้ เจ็บคอ ให้รีบแจ้งแพทย์): ข้อนี้ไม่ใช่คำตอบที่ถูกต้องสำหรับภาวะ Epilepsy เนื่องจากกลไกการออกฤทธิ์, efficacy หรือข้อบ่งใช้ไม่ตรงกับโจทย์ที่กำหนด
• ข้อ ค. (ใช้ยาแล้วหลีกเลี่ยงการสัมผัสแสงแดด): ข้อนี้ไม่ใช่คำตอบที่ถูกต้องสำหรับภาวะ Epilepsy เนื่องจากกลไกการออกฤทธิ์, efficacy หรือข้อบ่งใช้ไม่ตรงกับโจทย์ที่กำหนด
• ข้อ ง. (ใช้ยานี้แล้วสีเล็บและสีผิวจะเปลี่ยน): ข้อนี้ไม่ใช่คำตอบที่ถูกต้องสำหรับภาวะ Epilepsy เนื่องจากกลไกการออกฤทธิ์, efficacy หรือข้อบ่งใช้ไม่ตรงกับโจทย์ที่กำหนด
• ข้อ จ. (ควรหลีกเลี่ยงการซื้อยามารับประทานเอง):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18" t="inlineStr"/>
      <c r="L34" s="18" t="inlineStr">
        <is>
          <t>Epilepsy</t>
        </is>
      </c>
      <c r="M34" s="18" t="inlineStr">
        <is>
          <t>Clinic</t>
        </is>
      </c>
      <c r="N34" s="18" t="inlineStr">
        <is>
          <t>ข้อ 32 ชุด 1 (เฉลยข้อ )</t>
        </is>
      </c>
      <c r="O34" s="18" t="inlineStr">
        <is>
          <t>Mock</t>
        </is>
      </c>
      <c r="P34" s="18" t="inlineStr">
        <is>
          <t>ชุด 1</t>
        </is>
      </c>
    </row>
    <row r="35">
      <c r="A35" s="15" t="inlineStr">
        <is>
          <t>33</t>
        </is>
      </c>
      <c r="B35" s="18" t="inlineStr">
        <is>
          <t>สถานการณ์ที่ 5 ผู้ป่วยชาย อายุ 25 ปี
Dx. Tonic-clonic seizer (first diagnosis)
Rx. Carbamazepine BID 30 F/U 2 wk.
ระดับยา carbamazepine สามารถเพิ่มได้เมื่อใช้ร่วมกับยาใด</t>
        </is>
      </c>
      <c r="C35" s="18" t="inlineStr"/>
      <c r="D35" s="18" t="inlineStr">
        <is>
          <t>Folic acid</t>
        </is>
      </c>
      <c r="E35" s="18" t="inlineStr">
        <is>
          <t>Nevirapine</t>
        </is>
      </c>
      <c r="F35" s="18" t="inlineStr">
        <is>
          <t>Phenytoin</t>
        </is>
      </c>
      <c r="G35" s="18" t="inlineStr">
        <is>
          <t>Clarithromycin</t>
        </is>
      </c>
      <c r="H35" s="18" t="inlineStr">
        <is>
          <t>Mebendazole</t>
        </is>
      </c>
      <c r="I35" s="15" t="inlineStr">
        <is>
          <t>4</t>
        </is>
      </c>
      <c r="J35" s="1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ข้อนี้ไม่ใช่คำตอบที่ถูกต้องสำหรับภาวะ Epilepsy เนื่องจากกลไกการออกฤทธิ์, efficacy หรือข้อบ่งใช้ไม่ตรงกับโจทย์ที่กำหนด
• ข้อ ข. (Nevirapine): ข้อนี้ไม่ใช่คำตอบที่ถูกต้องสำหรับภาวะ Epilepsy เนื่องจากกลไกการออกฤทธิ์, efficacy หรือข้อบ่งใช้ไม่ตรงกับโจทย์ที่กำหนด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จ. (Mebendazole):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18" t="inlineStr"/>
      <c r="L35" s="18" t="inlineStr">
        <is>
          <t>Epilepsy</t>
        </is>
      </c>
      <c r="M35" s="18" t="inlineStr">
        <is>
          <t>Clinic</t>
        </is>
      </c>
      <c r="N35" s="18" t="inlineStr">
        <is>
          <t>ข้อ 33 ชุด 1 (เฉลยข้อ ง)</t>
        </is>
      </c>
      <c r="O35" s="18" t="inlineStr">
        <is>
          <t>Mock</t>
        </is>
      </c>
      <c r="P35" s="18" t="inlineStr">
        <is>
          <t>ชุด 1</t>
        </is>
      </c>
    </row>
    <row r="36">
      <c r="A36" s="15" t="inlineStr">
        <is>
          <t>34</t>
        </is>
      </c>
      <c r="B36" s="18" t="inlineStr">
        <is>
          <t>ข้อใดคือกลไกการออกฤทธิ์ของ carbamazepine</t>
        </is>
      </c>
      <c r="C36" s="18" t="inlineStr"/>
      <c r="D36" s="18" t="inlineStr">
        <is>
          <t>จับกับ sodium channel ที่อยู่ใน inactivated state</t>
        </is>
      </c>
      <c r="E36" s="18" t="inlineStr">
        <is>
          <t>จับกับ T-type calcium channel</t>
        </is>
      </c>
      <c r="F36" s="18" t="inlineStr">
        <is>
          <t>ออกฤทธิ์ต่อ GABA receptor/ chloride-ion pore complex</t>
        </is>
      </c>
      <c r="G36" s="18" t="inlineStr">
        <is>
          <t>ออกฤทธิ์ที่ NMDA receptor</t>
        </is>
      </c>
      <c r="H36" s="18" t="inlineStr">
        <is>
          <t>ออกฤทธิ์ยับยั้ง second messengers</t>
        </is>
      </c>
      <c r="I36" s="15" t="inlineStr">
        <is>
          <t>1</t>
        </is>
      </c>
      <c r="J36" s="18"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(จับกับ T-type calcium channel): ข้อนี้ไม่ใช่คำตอบที่ถูกต้องสำหรับภาวะ Epilepsy เนื่องจากกลไกการออกฤทธิ์, efficacy หรือข้อบ่งใช้ไม่ตรงกับโจทย์ที่กำหนด
• ข้อ ค. (ออกฤทธิ์ต่อ GABA receptor/ chloride-ion pore complex): ข้อนี้ไม่ใช่คำตอบที่ถูกต้องสำหรับภาวะ Epilepsy เนื่องจากกลไกการออกฤทธิ์, efficacy หรือข้อบ่งใช้ไม่ตรงกับโจทย์ที่กำหนด
• ข้อ ง. (ออกฤทธิ์ที่ NMDA receptor): ข้อนี้ไม่ใช่คำตอบที่ถูกต้องสำหรับภาวะ Epilepsy เนื่องจากกลไกการออกฤทธิ์, efficacy หรือข้อบ่งใช้ไม่ตรงกับโจทย์ที่กำหนด
• ข้อ จ. (ออกฤทธิ์ยับยั้ง second messengers):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18" t="inlineStr"/>
      <c r="L36" s="18" t="inlineStr">
        <is>
          <t>Epilepsy</t>
        </is>
      </c>
      <c r="M36" s="18" t="inlineStr">
        <is>
          <t>Clinic</t>
        </is>
      </c>
      <c r="N36" s="18" t="inlineStr">
        <is>
          <t>ข้อ 34 ชุด 1 (เฉลยข้อ ก)</t>
        </is>
      </c>
      <c r="O36" s="18" t="inlineStr">
        <is>
          <t>Mock</t>
        </is>
      </c>
      <c r="P36" s="18" t="inlineStr">
        <is>
          <t>ชุด 1</t>
        </is>
      </c>
    </row>
    <row r="37">
      <c r="A37" s="15" t="inlineStr">
        <is>
          <t>35</t>
        </is>
      </c>
      <c r="B37" s="18" t="inlineStr">
        <is>
          <t>โรคลมชักมีสาเหตุจากทุกข้อ ยกเว้นข้อใด</t>
        </is>
      </c>
      <c r="C37" s="18" t="inlineStr"/>
      <c r="D37" s="18" t="inlineStr">
        <is>
          <t>อุบัติเหตุทางสมอง</t>
        </is>
      </c>
      <c r="E37" s="18" t="inlineStr">
        <is>
          <t>การติดเชื้อในหูชั้นกลาง</t>
        </is>
      </c>
      <c r="F37" s="18" t="inlineStr">
        <is>
          <t>Hypoglycemia</t>
        </is>
      </c>
      <c r="G37" s="18" t="inlineStr">
        <is>
          <t>เนื้องอกในสมอง</t>
        </is>
      </c>
      <c r="H37" s="18" t="inlineStr">
        <is>
          <t>ไข้สูงในเด็ก</t>
        </is>
      </c>
      <c r="I37" s="15" t="inlineStr">
        <is>
          <t>2</t>
        </is>
      </c>
      <c r="J37" s="18"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ข้อนี้ไม่ใช่คำตอบที่ถูกต้องสำหรับภาวะ Epilepsy เนื่องจากกลไกการออกฤทธิ์, efficacy หรือข้อบ่งใช้ไม่ตรงกับโจทย์ที่กำหนด
• ข้อ ค. (Hypoglycemia): ข้อนี้ไม่ใช่คำตอบที่ถูกต้องสำหรับภาวะ Epilepsy เนื่องจากกลไกการออกฤทธิ์, efficacy หรือข้อบ่งใช้ไม่ตรงกับโจทย์ที่กำหนด
• ข้อ ง. (เนื้องอกในสมอง): ข้อนี้ไม่ใช่คำตอบที่ถูกต้องสำหรับภาวะ Epilepsy เนื่องจากกลไกการออกฤทธิ์, efficacy หรือข้อบ่งใช้ไม่ตรงกับโจทย์ที่กำหนด
• ข้อ จ. (ไข้สูงในเด็ก):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8" t="inlineStr"/>
      <c r="L37" s="18" t="inlineStr">
        <is>
          <t>Epilepsy</t>
        </is>
      </c>
      <c r="M37" s="18" t="inlineStr">
        <is>
          <t>Clinic</t>
        </is>
      </c>
      <c r="N37" s="18" t="inlineStr">
        <is>
          <t>ข้อ 35 ชุด 1 (เฉลยข้อ ข)</t>
        </is>
      </c>
      <c r="O37" s="18" t="inlineStr">
        <is>
          <t>Mock</t>
        </is>
      </c>
      <c r="P37" s="18" t="inlineStr">
        <is>
          <t>ชุด 1</t>
        </is>
      </c>
    </row>
    <row r="38">
      <c r="A38" s="15" t="inlineStr">
        <is>
          <t>36</t>
        </is>
      </c>
      <c r="B38" s="18" t="inlineStr">
        <is>
          <t>ข้อใดคือข้อบ่งใช้ของ carbamazepine นอกเหนือจากรักษาโรคลมชัก</t>
        </is>
      </c>
      <c r="C38" s="18" t="inlineStr"/>
      <c r="D38" s="18" t="inlineStr">
        <is>
          <t>Anxiety</t>
        </is>
      </c>
      <c r="E38" s="18" t="inlineStr">
        <is>
          <t>Muscle relaxant</t>
        </is>
      </c>
      <c r="F38" s="18" t="inlineStr">
        <is>
          <t>Trigeminal neuralgia</t>
        </is>
      </c>
      <c r="G38" s="18" t="inlineStr">
        <is>
          <t>Anti-arrhythmia</t>
        </is>
      </c>
      <c r="H38" s="18" t="inlineStr">
        <is>
          <t>Febrile Seizure</t>
        </is>
      </c>
      <c r="I38" s="15" t="inlineStr">
        <is>
          <t>3</t>
        </is>
      </c>
      <c r="J38" s="1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ข้อนี้ไม่ใช่คำตอบที่ถูกต้องสำหรับภาวะ Epilepsy เนื่องจากกลไกการออกฤทธิ์, efficacy หรือข้อบ่งใช้ไม่ตรงกับโจทย์ที่กำหนด
• ข้อ ข. (Muscle relaxant): ข้อนี้ไม่ใช่คำตอบที่ถูกต้องสำหรับภาวะ Epilepsy เนื่องจากกลไกการออกฤทธิ์, efficacy หรือข้อบ่งใช้ไม่ตรงกับโจทย์ที่กำหนด
• ข้อ ง. (Anti-arrhythmia): ข้อนี้ไม่ใช่คำตอบที่ถูกต้องสำหรับภาวะ Epilepsy เนื่องจากกลไกการออกฤทธิ์, efficacy หรือข้อบ่งใช้ไม่ตรงกับโจทย์ที่กำหนด
• ข้อ จ. (Febrile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18" t="inlineStr"/>
      <c r="L38" s="18" t="inlineStr">
        <is>
          <t>Epilepsy</t>
        </is>
      </c>
      <c r="M38" s="18" t="inlineStr">
        <is>
          <t>Clinic</t>
        </is>
      </c>
      <c r="N38" s="18" t="inlineStr">
        <is>
          <t>ข้อ 36 ชุด 1 (เฉลยข้อ ค)</t>
        </is>
      </c>
      <c r="O38" s="18" t="inlineStr">
        <is>
          <t>Mock</t>
        </is>
      </c>
      <c r="P38" s="18" t="inlineStr">
        <is>
          <t>ชุด 1</t>
        </is>
      </c>
    </row>
    <row r="39">
      <c r="A39" s="15" t="inlineStr">
        <is>
          <t>37</t>
        </is>
      </c>
      <c r="B39" s="18"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18" t="inlineStr"/>
      <c r="D39" s="18" t="inlineStr">
        <is>
          <t>ซักประวัติเพิ่มเติมพบว่า ผู้ป่วยมีแนวโน้มเครียดง่ายจากการทำงาน จึงให้ยาคลายกังวลและนัดพบในอีก 1 เดือน</t>
        </is>
      </c>
      <c r="E39" s="18" t="inlineStr">
        <is>
          <t>ซักประวัติเพิ่มเติมพบว่ามีสุขภาพอ่อนแอ จึงให้่าวิตามินและนัดมาพบในอีก 1 สัปดาห์</t>
        </is>
      </c>
      <c r="F39" s="18" t="inlineStr">
        <is>
          <t>ให้ยาคลายกล้ามเนื้อเพื่อป้องกันอาการชักเกร็งระหว่างหมดสติ</t>
        </is>
      </c>
      <c r="G39" s="18" t="inlineStr">
        <is>
          <t>ซักประวัติเพิ่มเติมพบว่ามีสุขภาพอ่อนแอ จึงแนะนำให้พักผ่อนให้เพียงพอ</t>
        </is>
      </c>
      <c r="H39" s="18" t="inlineStr">
        <is>
          <t>ซักประวัติเพิ่มเติมและแนะนำให้ไปพบแพทย์</t>
        </is>
      </c>
      <c r="I39" s="15" t="inlineStr">
        <is>
          <t>5</t>
        </is>
      </c>
      <c r="J39" s="18"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(ซักประวัติเพิ่มเติมพบว่า ผู้ป่วยมีแนวโน้มเครียดง่ายจากการทำงาน จึงให้ยาคลายกังวลและนัดพบในอีก 1 เดือน): ข้อนี้ไม่ใช่คำตอบที่ถูกต้องสำหรับภาวะ Epilepsy เนื่องจากกลไกการออกฤทธิ์, efficacy หรือข้อบ่งใช้ไม่ตรงกับโจทย์ที่กำหนด
• ข้อ ข. (ซักประวัติเพิ่มเติมพบว่ามีสุขภาพอ่อนแอ จึงให้่าวิตามินและนัดมาพบในอีก 1 สัปดาห์): ข้อนี้ไม่ใช่คำตอบที่ถูกต้องสำหรับภาวะ Epilepsy เนื่องจากกลไกการออกฤทธิ์, efficacy หรือข้อบ่งใช้ไม่ตรงกับโจทย์ที่กำหนด
• ข้อ ค. (ให้ยาคลายกล้ามเนื้อเพื่อป้องกันอาการชักเกร็งระหว่างหมดสติ): ข้อนี้ไม่ใช่คำตอบที่ถูกต้องสำหรับภาวะ Epilepsy เนื่องจากกลไกการออกฤทธิ์, efficacy หรือข้อบ่งใช้ไม่ตรงกับโจทย์ที่กำหนด
• ข้อ ง. (ซักประวัติเพิ่มเติมพบว่ามีสุขภาพอ่อนแอ จึงแนะนำให้พักผ่อนให้เพียงพอ):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8" t="inlineStr"/>
      <c r="L39" s="18" t="inlineStr">
        <is>
          <t>Epilepsy</t>
        </is>
      </c>
      <c r="M39" s="18" t="inlineStr">
        <is>
          <t>Clinic</t>
        </is>
      </c>
      <c r="N39" s="18" t="inlineStr">
        <is>
          <t>ข้อ 37 ชุด 1 (เฉลยข้อ จ)</t>
        </is>
      </c>
      <c r="O39" s="18" t="inlineStr">
        <is>
          <t>Mock</t>
        </is>
      </c>
      <c r="P39" s="18" t="inlineStr">
        <is>
          <t>ชุด 1</t>
        </is>
      </c>
    </row>
    <row r="40">
      <c r="A40" s="15" t="inlineStr">
        <is>
          <t>38</t>
        </is>
      </c>
      <c r="B40" s="18"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18" t="inlineStr"/>
      <c r="D40" s="18" t="inlineStr">
        <is>
          <t>Block PTP (post tetanic potentiation)</t>
        </is>
      </c>
      <c r="E40" s="18" t="inlineStr">
        <is>
          <t>Decrease post-synaptic excitation</t>
        </is>
      </c>
      <c r="F40" s="18" t="inlineStr">
        <is>
          <t>Increase GABA activity</t>
        </is>
      </c>
      <c r="G40" s="18" t="inlineStr">
        <is>
          <t>Decrease excitatory neurotransmitter</t>
        </is>
      </c>
      <c r="H40" s="18" t="inlineStr">
        <is>
          <t>Inhibit protein kinase-C</t>
        </is>
      </c>
      <c r="I40" s="15" t="inlineStr">
        <is>
          <t>2</t>
        </is>
      </c>
      <c r="J40" s="18"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(Block PTP (post tetanic potentiation)): ข้อนี้ไม่ใช่คำตอบที่ถูกต้องสำหรับภาวะ Epilepsy เนื่องจากกลไกการออกฤทธิ์, efficacy หรือข้อบ่งใช้ไม่ตรงกับโจทย์ที่กำหนด
• ข้อ ค. (Increase GABA activity): ข้อนี้ไม่ใช่คำตอบที่ถูกต้องสำหรับภาวะ Epilepsy เนื่องจากกลไกการออกฤทธิ์, efficacy หรือข้อบ่งใช้ไม่ตรงกับโจทย์ที่กำหนด
• ข้อ ง. (Decrease excitatory neurotransmitter): ข้อนี้ไม่ใช่คำตอบที่ถูกต้องสำหรับภาวะ Epilepsy เนื่องจากกลไกการออกฤทธิ์, efficacy หรือข้อบ่งใช้ไม่ตรงกับโจทย์ที่กำหนด
• ข้อ จ. (Inhibit protein kinase-C):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18" t="inlineStr"/>
      <c r="L40" s="18" t="inlineStr">
        <is>
          <t>Epilepsy</t>
        </is>
      </c>
      <c r="M40" s="18" t="inlineStr">
        <is>
          <t>Clinic</t>
        </is>
      </c>
      <c r="N40" s="18" t="inlineStr">
        <is>
          <t>ข้อ 38 ชุด 1 (เฉลยข้อ ข ง)</t>
        </is>
      </c>
      <c r="O40" s="18" t="inlineStr">
        <is>
          <t>Mock</t>
        </is>
      </c>
      <c r="P40" s="18" t="inlineStr">
        <is>
          <t>ชุด 1</t>
        </is>
      </c>
    </row>
    <row r="41">
      <c r="A41" s="15" t="inlineStr">
        <is>
          <t>39</t>
        </is>
      </c>
      <c r="B41" s="18"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18" t="inlineStr"/>
      <c r="D41" s="18" t="inlineStr">
        <is>
          <t>รับประทานยานี้หลังอาหารทันที</t>
        </is>
      </c>
      <c r="E41" s="18" t="inlineStr">
        <is>
          <t>ดื่มน้ำมาก ๆ หลังรับประทานยา</t>
        </is>
      </c>
      <c r="F41" s="18" t="inlineStr">
        <is>
          <t>เมื่ออาการดีขึ้นสามารถปรับลดขนาดยาได้</t>
        </is>
      </c>
      <c r="G41" s="18" t="inlineStr">
        <is>
          <t>ห้ามรับประทานพร้อมนม</t>
        </is>
      </c>
      <c r="H41" s="18" t="inlineStr">
        <is>
          <t>กินยาติดต่อกันเป็นประจำทุกวัน</t>
        </is>
      </c>
      <c r="I41" s="15" t="inlineStr">
        <is>
          <t>5</t>
        </is>
      </c>
      <c r="J41" s="18"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(รับประทานยานี้หลังอาหารทันที): ข้อนี้ไม่ใช่คำตอบที่ถูกต้องสำหรับภาวะ Epilepsy เนื่องจากกลไกการออกฤทธิ์, efficacy หรือข้อบ่งใช้ไม่ตรงกับโจทย์ที่กำหนด
• ข้อ ข. (ดื่มน้ำมาก ๆ หลังรับประทานยา): ข้อนี้ไม่ใช่คำตอบที่ถูกต้องสำหรับภาวะ Epilepsy เนื่องจากกลไกการออกฤทธิ์, efficacy หรือข้อบ่งใช้ไม่ตรงกับโจทย์ที่กำหนด
• ข้อ ค. (เมื่ออาการดีขึ้นสามารถปรับลดขนาดยาได้): ข้อนี้ไม่ใช่คำตอบที่ถูกต้องสำหรับภาวะ Epilepsy เนื่องจากกลไกการออกฤทธิ์, efficacy หรือข้อบ่งใช้ไม่ตรงกับโจทย์ที่กำหนด
• ข้อ ง. (ห้ามรับประทานพร้อมนม):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18" t="inlineStr"/>
      <c r="L41" s="18" t="inlineStr">
        <is>
          <t>Epilepsy</t>
        </is>
      </c>
      <c r="M41" s="18" t="inlineStr">
        <is>
          <t>Clinic</t>
        </is>
      </c>
      <c r="N41" s="18" t="inlineStr">
        <is>
          <t>ข้อ 39 ชุด 1 (เฉลยข้อ จ)</t>
        </is>
      </c>
      <c r="O41" s="18" t="inlineStr">
        <is>
          <t>Mock</t>
        </is>
      </c>
      <c r="P41" s="18" t="inlineStr">
        <is>
          <t>ชุด 1</t>
        </is>
      </c>
    </row>
    <row r="42">
      <c r="A42" s="15" t="inlineStr">
        <is>
          <t>40</t>
        </is>
      </c>
      <c r="B42" s="18"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18" t="inlineStr"/>
      <c r="D42" s="18" t="inlineStr">
        <is>
          <t>ค่าครึ่งชีวิตของ phenytoin ยาว</t>
        </is>
      </c>
      <c r="E42" s="18" t="inlineStr">
        <is>
          <t>Phenytoin ถูกกำจัดทางไตน้อยกว่า 5%</t>
        </is>
      </c>
      <c r="F42" s="18" t="inlineStr">
        <is>
          <t>เภสัชจลนศาสตร์ของยาเป็นแบบไม่เป็นเส้นตรง</t>
        </is>
      </c>
      <c r="G42" s="18" t="inlineStr">
        <is>
          <t>ยามีผลต่อเอนไซม์ Cytochrome P450 system</t>
        </is>
      </c>
      <c r="H42" s="18" t="inlineStr">
        <is>
          <t>Phenytoin ไม่เกิด first pass metabolism</t>
        </is>
      </c>
      <c r="I42" s="15" t="inlineStr">
        <is>
          <t>1</t>
        </is>
      </c>
      <c r="J42" s="18"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(Phenytoin ถูกกำจัดทางไตน้อยกว่า 5%): เป็น sodium channel blocker สำหรับ focal/generalized seizures มี non-linear (Michaelis-Menten) PK เสี่ยง toxicity ได้ง่ายเมื่อปรับ dose และทำให้เกิด gingival hyperplasia, hirsutism, cerebellar ataxia
• ข้อ ค. (เภสัชจลนศาสตร์ของยาเป็นแบบไม่เป็นเส้นตรง): ข้อนี้ไม่ใช่คำตอบที่ถูกต้องสำหรับภาวะ Epilepsy เนื่องจากกลไกการออกฤทธิ์, efficacy หรือข้อบ่งใช้ไม่ตรงกับโจทย์ที่กำหนด
• ข้อ ง. (ยามีผลต่อเอนไซม์ Cytochrome P450 system): ข้อนี้ไม่ใช่คำตอบที่ถูกต้องสำหรับภาวะ Epilepsy เนื่องจากกลไกการออกฤทธิ์, efficacy หรือข้อบ่งใช้ไม่ตรงกับโจทย์ที่กำหนด
• ข้อ จ. (Phenytoin ไม่เกิด first pass metabolism):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18" t="inlineStr"/>
      <c r="L42" s="18" t="inlineStr">
        <is>
          <t>Epilepsy</t>
        </is>
      </c>
      <c r="M42" s="18" t="inlineStr">
        <is>
          <t>Clinic</t>
        </is>
      </c>
      <c r="N42" s="18" t="inlineStr">
        <is>
          <t>ข้อ 40 ชุด 1 (เฉลยข้อ ก)</t>
        </is>
      </c>
      <c r="O42" s="18" t="inlineStr">
        <is>
          <t>Mock</t>
        </is>
      </c>
      <c r="P42" s="18" t="inlineStr">
        <is>
          <t>ชุด 1</t>
        </is>
      </c>
    </row>
    <row r="43">
      <c r="A43" s="15" t="inlineStr">
        <is>
          <t>41</t>
        </is>
      </c>
      <c r="B43" s="18" t="inlineStr">
        <is>
          <t>เภสัชจลนศาสตร์ของ phenytoin ที่เป็นแบบไม่เป็นเส้นตรง (non-linear pharmacokinetic) หมายความว่าอย่างไร</t>
        </is>
      </c>
      <c r="C43" s="18" t="inlineStr"/>
      <c r="D43" s="18" t="inlineStr">
        <is>
          <t>หาก plot graph ระหว่างขนาดยาและความเข้มข้นไม่มีส่วนที่เป็นเส้นตรง</t>
        </is>
      </c>
      <c r="E43" s="18" t="inlineStr">
        <is>
          <t>ยาถูกกำจัดจากร่างกายได้หลายกลไก</t>
        </is>
      </c>
      <c r="F43" s="18" t="inlineStr">
        <is>
          <t>ขนาดยาที่สูงขึ้น จะได้ฤทธิ์ยาเพิ่มขึ้นน้อยกว่าที่ควรจะเป็น</t>
        </is>
      </c>
      <c r="G43" s="18" t="inlineStr">
        <is>
          <t>ความเข้มข้นของยาในกระแสเลือดที่เพิ่มขึ้นไม่เป็นสัดส่วนโดยตรงกับขนาดยา</t>
        </is>
      </c>
      <c r="H43" s="18" t="inlineStr">
        <is>
          <t>เมื่อขนาดยาที่สูงขึ้น ณ จุดหนึ่ง ความสัมพันธ์ของขนาดยาและความเข้มข้นในกระแสเลือดจะเป็นสัดส่วนผกผัน</t>
        </is>
      </c>
      <c r="I43" s="15" t="inlineStr">
        <is>
          <t>4</t>
        </is>
      </c>
      <c r="J43" s="18"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(หาก plot graph ระหว่างขนาดยาและความเข้มข้นไม่มีส่วนที่เป็นเส้นตรง): ข้อนี้ไม่ใช่คำตอบที่ถูกต้องสำหรับภาวะ Epilepsy เนื่องจากกลไกการออกฤทธิ์, efficacy หรือข้อบ่งใช้ไม่ตรงกับโจทย์ที่กำหนด
• ข้อ ข. (ยาถูกกำจัดจากร่างกายได้หลายกลไก): ข้อนี้ไม่ใช่คำตอบที่ถูกต้องสำหรับภาวะ Epilepsy เนื่องจากกลไกการออกฤทธิ์, efficacy หรือข้อบ่งใช้ไม่ตรงกับโจทย์ที่กำหนด
• ข้อ ค. (ขนาดยาที่สูงขึ้น จะได้ฤทธิ์ยาเพิ่มขึ้นน้อยกว่าที่ควรจะเป็น): ข้อนี้ไม่ใช่คำตอบที่ถูกต้องสำหรับภาวะ Epilepsy เนื่องจากกลไกการออกฤทธิ์, efficacy หรือข้อบ่งใช้ไม่ตรงกับโจทย์ที่กำหนด
• ข้อ จ. (เมื่อขนาดยาที่สูงขึ้น ณ จุดหนึ่ง ความสัมพันธ์ของขนาดยาและความเข้มข้นในกระแสเลือดจะเป็นสัดส่วนผกผัน):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18" t="inlineStr"/>
      <c r="L43" s="18" t="inlineStr">
        <is>
          <t>Epilepsy</t>
        </is>
      </c>
      <c r="M43" s="18" t="inlineStr">
        <is>
          <t>Clinic</t>
        </is>
      </c>
      <c r="N43" s="18" t="inlineStr">
        <is>
          <t>ข้อ 41 ชุด 1 (เฉลยข้อ ง)</t>
        </is>
      </c>
      <c r="O43" s="18" t="inlineStr">
        <is>
          <t>Mock</t>
        </is>
      </c>
      <c r="P43" s="18" t="inlineStr">
        <is>
          <t>ชุด 1</t>
        </is>
      </c>
    </row>
    <row r="44">
      <c r="A44" s="15" t="inlineStr">
        <is>
          <t>42</t>
        </is>
      </c>
      <c r="B44" s="18" t="inlineStr">
        <is>
          <t>ข้อใดเป็นผลข้างเคียงจากการใช้ phenytoin ติดต่อกันเป็นระยะเวลานาน</t>
        </is>
      </c>
      <c r="C44" s="18" t="inlineStr"/>
      <c r="D44" s="18" t="inlineStr">
        <is>
          <t>Gingival hyperplasia</t>
        </is>
      </c>
      <c r="E44" s="18" t="inlineStr">
        <is>
          <t>Ataxia</t>
        </is>
      </c>
      <c r="F44" s="18" t="inlineStr">
        <is>
          <t>Mental retardation</t>
        </is>
      </c>
      <c r="G44" s="18" t="inlineStr">
        <is>
          <t>Blurred vision</t>
        </is>
      </c>
      <c r="H44" s="18" t="inlineStr">
        <is>
          <t>Hyperactivity</t>
        </is>
      </c>
      <c r="I44" s="15" t="inlineStr">
        <is>
          <t>1</t>
        </is>
      </c>
      <c r="J44" s="18"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ข้อนี้ไม่ใช่คำตอบที่ถูกต้องสำหรับภาวะ Epilepsy เนื่องจากกลไกการออกฤทธิ์, efficacy หรือข้อบ่งใช้ไม่ตรงกับโจทย์ที่กำหนด
• ข้อ ค. (Mental retardation): ข้อนี้ไม่ใช่คำตอบที่ถูกต้องสำหรับภาวะ Epilepsy เนื่องจากกลไกการออกฤทธิ์, efficacy หรือข้อบ่งใช้ไม่ตรงกับโจทย์ที่กำหนด
• ข้อ ง. (Blurred vision): ข้อนี้ไม่ใช่คำตอบที่ถูกต้องสำหรับภาวะ Epilepsy เนื่องจากกลไกการออกฤทธิ์, efficacy หรือข้อบ่งใช้ไม่ตรงกับโจทย์ที่กำหนด
• ข้อ จ. (Hyperactivity):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18" t="inlineStr"/>
      <c r="L44" s="18" t="inlineStr">
        <is>
          <t>Epilepsy</t>
        </is>
      </c>
      <c r="M44" s="18" t="inlineStr">
        <is>
          <t>Clinic</t>
        </is>
      </c>
      <c r="N44" s="18" t="inlineStr">
        <is>
          <t>ข้อ 42 ชุด 1 (เฉลยข้อ ก)</t>
        </is>
      </c>
      <c r="O44" s="18" t="inlineStr">
        <is>
          <t>Mock</t>
        </is>
      </c>
      <c r="P44" s="18" t="inlineStr">
        <is>
          <t>ชุด 1</t>
        </is>
      </c>
    </row>
    <row r="45">
      <c r="A45" s="15" t="inlineStr">
        <is>
          <t>43</t>
        </is>
      </c>
      <c r="B45" s="18"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18" t="inlineStr"/>
      <c r="D45" s="18" t="inlineStr">
        <is>
          <t>ควรตรวจสอบอาการเดินเซ (ataxia) ร่วมด้วย</t>
        </is>
      </c>
      <c r="E45" s="18" t="inlineStr">
        <is>
          <t>สอบถามประวัติการใช้ยาของผู้ป่วย</t>
        </is>
      </c>
      <c r="F45" s="18" t="inlineStr">
        <is>
          <t>ตรวจวัดระดับยาในเลือด</t>
        </is>
      </c>
      <c r="G45" s="18" t="inlineStr">
        <is>
          <t>ใช้ diazepam เพื่อควบคุมอาการ nystagmus ก่อนให้การรักษาต่อไป</t>
        </is>
      </c>
      <c r="H45" s="18" t="inlineStr">
        <is>
          <t>ผู้ป่วยควรหยุดยา phenytoin และรอดูอาการ</t>
        </is>
      </c>
      <c r="I45" s="15" t="inlineStr">
        <is>
          <t>4</t>
        </is>
      </c>
      <c r="J45" s="18"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(ควรตรวจสอบอาการเดินเซ (ataxia) ร่วมด้วย): ข้อนี้ไม่ใช่คำตอบที่ถูกต้องสำหรับภาวะ Epilepsy เนื่องจากกลไกการออกฤทธิ์, efficacy หรือข้อบ่งใช้ไม่ตรงกับโจทย์ที่กำหนด
• ข้อ ข. (สอบถามประวัติการใช้ยาของผู้ป่วย): ข้อนี้ไม่ใช่คำตอบที่ถูกต้องสำหรับภาวะ Epilepsy เนื่องจากกลไกการออกฤทธิ์, efficacy หรือข้อบ่งใช้ไม่ตรงกับโจทย์ที่กำหนด
• ข้อ ค. (ตรวจวัดระดับยาในเลือด): ข้อนี้ไม่ใช่คำตอบที่ถูกต้องสำหรับภาวะ Epilepsy เนื่องจากกลไกการออกฤทธิ์, efficacy หรือข้อบ่งใช้ไม่ตรงกับโจทย์ที่กำหนด
• ข้อ จ. (ผู้ป่วยควรหยุดยา phenytoin และรอดูอาการ):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18" t="inlineStr"/>
      <c r="L45" s="18" t="inlineStr">
        <is>
          <t>Epilepsy</t>
        </is>
      </c>
      <c r="M45" s="18" t="inlineStr">
        <is>
          <t>Clinic</t>
        </is>
      </c>
      <c r="N45" s="18" t="inlineStr">
        <is>
          <t>ข้อ 43 ชุด 1 (เฉลยข้อ ง จ)</t>
        </is>
      </c>
      <c r="O45" s="18" t="inlineStr">
        <is>
          <t>Mock</t>
        </is>
      </c>
      <c r="P45" s="18" t="inlineStr">
        <is>
          <t>ชุด 1</t>
        </is>
      </c>
    </row>
    <row r="46">
      <c r="A46" s="15" t="inlineStr">
        <is>
          <t>44</t>
        </is>
      </c>
      <c r="B46" s="18" t="inlineStr">
        <is>
          <t>ข้อใดไม่ถูกต้องเกี่ยวกับหลักการใช้ยากันชัก</t>
        </is>
      </c>
      <c r="C46" s="18" t="inlineStr"/>
      <c r="D46" s="18" t="inlineStr">
        <is>
          <t>ควรเริ่มต้นการรักษาด้วยยาทีละตัว (monotherapy)</t>
        </is>
      </c>
      <c r="E46" s="18" t="inlineStr">
        <is>
          <t>ควรเริ่มต้นด้วยขนาดยาต่ำ ๆ แล้วจึงเพิ่มขนาดยาขึ้น</t>
        </is>
      </c>
      <c r="F46" s="18" t="inlineStr">
        <is>
          <t>การตรวจวัดระดับยาในเลือดอาจไม่จำเป็นในทางปฏิบัติ</t>
        </is>
      </c>
      <c r="G46" s="18" t="inlineStr">
        <is>
          <t>ขนาดของยาไม่จำเป็นต้องเท่ากัน (fixed dose) ในผู้ป่วยทุกราย</t>
        </is>
      </c>
      <c r="H46" s="18" t="inlineStr">
        <is>
          <t>ควรเลือกยากันชักชนิดใหม่เช่น gabapentin เป็นอันดับแรกในการรักษาเนื่องจากมีประสิทธิภาพสูง</t>
        </is>
      </c>
      <c r="I46" s="15" t="inlineStr">
        <is>
          <t>5</t>
        </is>
      </c>
      <c r="J46" s="18"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(ควรเริ่มต้นการรักษาด้วยยาทีละตัว (monotherapy)): ข้อนี้ไม่ใช่คำตอบที่ถูกต้องสำหรับภาวะ Epilepsy เนื่องจากกลไกการออกฤทธิ์, efficacy หรือข้อบ่งใช้ไม่ตรงกับโจทย์ที่กำหนด
• ข้อ ข. (ควรเริ่มต้นด้วยขนาดยาต่ำ ๆ แล้วจึงเพิ่มขนาดยาขึ้น): ข้อนี้ไม่ใช่คำตอบที่ถูกต้องสำหรับภาวะ Epilepsy เนื่องจากกลไกการออกฤทธิ์, efficacy หรือข้อบ่งใช้ไม่ตรงกับโจทย์ที่กำหนด
• ข้อ ค. (การตรวจวัดระดับยาในเลือดอาจไม่จำเป็นในทางปฏิบัติ): ข้อนี้ไม่ใช่คำตอบที่ถูกต้องสำหรับภาวะ Epilepsy เนื่องจากกลไกการออกฤทธิ์, efficacy หรือข้อบ่งใช้ไม่ตรงกับโจทย์ที่กำหนด
• ข้อ ง. (ขนาดของยาไม่จำเป็นต้องเท่ากัน (fixed dose) ในผู้ป่วยทุกราย):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18" t="inlineStr"/>
      <c r="L46" s="18" t="inlineStr">
        <is>
          <t>Epilepsy</t>
        </is>
      </c>
      <c r="M46" s="18" t="inlineStr">
        <is>
          <t>Clinic</t>
        </is>
      </c>
      <c r="N46" s="18" t="inlineStr">
        <is>
          <t>ข้อ 44 ชุด 1 (เฉลยข้อ จ)</t>
        </is>
      </c>
      <c r="O46" s="18" t="inlineStr">
        <is>
          <t>Mock</t>
        </is>
      </c>
      <c r="P46" s="18" t="inlineStr">
        <is>
          <t>ชุด 1</t>
        </is>
      </c>
    </row>
    <row r="47">
      <c r="A47" s="15" t="inlineStr">
        <is>
          <t>45</t>
        </is>
      </c>
      <c r="B47" s="18" t="inlineStr">
        <is>
          <t>ข้อใดต่อไปนี้คืออาการข้างเคียงที่จะเกิดจากการได้รับยา phenytoin</t>
        </is>
      </c>
      <c r="C47" s="18" t="inlineStr"/>
      <c r="D47" s="18" t="inlineStr">
        <is>
          <t>Gum hyperplasia</t>
        </is>
      </c>
      <c r="E47" s="18" t="inlineStr">
        <is>
          <t>Tachycardia</t>
        </is>
      </c>
      <c r="F47" s="18" t="inlineStr">
        <is>
          <t>Dry mouth</t>
        </is>
      </c>
      <c r="G47" s="18" t="inlineStr">
        <is>
          <t>Gastric irritation</t>
        </is>
      </c>
      <c r="H47" s="18" t="inlineStr">
        <is>
          <t>Hair loss</t>
        </is>
      </c>
      <c r="I47" s="15" t="inlineStr">
        <is>
          <t>1</t>
        </is>
      </c>
      <c r="J47" s="18"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(Tachycardia): ข้อนี้ไม่ใช่คำตอบที่ถูกต้องสำหรับภาวะ Epilepsy เนื่องจากกลไกการออกฤทธิ์, efficacy หรือข้อบ่งใช้ไม่ตรงกับโจทย์ที่กำหนด
• ข้อ ค. (Dry mouth): ข้อนี้ไม่ใช่คำตอบที่ถูกต้องสำหรับภาวะ Epilepsy เนื่องจากกลไกการออกฤทธิ์, efficacy หรือข้อบ่งใช้ไม่ตรงกับโจทย์ที่กำหนด
• ข้อ ง. (Gastric irritation): ข้อนี้ไม่ใช่คำตอบที่ถูกต้องสำหรับภาวะ Epilepsy เนื่องจากกลไกการออกฤทธิ์, efficacy หรือข้อบ่งใช้ไม่ตรงกับโจทย์ที่กำหนด
• ข้อ จ. (Hair loss):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18" t="inlineStr"/>
      <c r="L47" s="18" t="inlineStr">
        <is>
          <t>Epilepsy</t>
        </is>
      </c>
      <c r="M47" s="18" t="inlineStr">
        <is>
          <t>Clinic</t>
        </is>
      </c>
      <c r="N47" s="18" t="inlineStr">
        <is>
          <t>ข้อ 45 ชุด 1 (เฉลยข้อ ก)</t>
        </is>
      </c>
      <c r="O47" s="18" t="inlineStr">
        <is>
          <t>Mock</t>
        </is>
      </c>
      <c r="P47" s="18" t="inlineStr">
        <is>
          <t>ชุด 1</t>
        </is>
      </c>
    </row>
    <row r="48">
      <c r="A48" s="15" t="inlineStr">
        <is>
          <t>46</t>
        </is>
      </c>
      <c r="B48" s="18" t="inlineStr">
        <is>
          <t>กลไกการออกฤทธิ์ของ phenobarbital คือข้อใด</t>
        </is>
      </c>
      <c r="C48" s="18" t="inlineStr"/>
      <c r="D48" s="18" t="inlineStr">
        <is>
          <t>กระตุ้น Glutamate neurotransmission</t>
        </is>
      </c>
      <c r="E48" s="18" t="inlineStr">
        <is>
          <t>กระตุ้น GABA neurotransmission</t>
        </is>
      </c>
      <c r="F48" s="18" t="inlineStr">
        <is>
          <t>กระตุ้น Serotonin neurotransmission</t>
        </is>
      </c>
      <c r="G48" s="18" t="inlineStr">
        <is>
          <t>ยับยั้ง Dopamine neurotransmission</t>
        </is>
      </c>
      <c r="H48" s="18" t="inlineStr">
        <is>
          <t>ยับยั้ง Norepinephrine neurotransmission</t>
        </is>
      </c>
      <c r="I48" s="15" t="inlineStr">
        <is>
          <t>2</t>
        </is>
      </c>
      <c r="J48" s="18"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(กระตุ้น Glutamate neurotransmission): ข้อนี้ไม่ใช่คำตอบที่ถูกต้องสำหรับภาวะ Headache เนื่องจากกลไกการออกฤทธิ์, efficacy หรือข้อบ่งใช้ไม่ตรงกับโจทย์ที่กำหนด
• ข้อ ค. (กระตุ้น Serotonin neurotransmission): ข้อนี้ไม่ใช่คำตอบที่ถูกต้องสำหรับภาวะ Headache เนื่องจากกลไกการออกฤทธิ์, efficacy หรือข้อบ่งใช้ไม่ตรงกับโจทย์ที่กำหนด
• ข้อ ง. (ยับยั้ง Dopamine neurotransmission): ข้อนี้ไม่ใช่คำตอบที่ถูกต้องสำหรับภาวะ Headache เนื่องจากกลไกการออกฤทธิ์, efficacy หรือข้อบ่งใช้ไม่ตรงกับโจทย์ที่กำหนด
• ข้อ จ. (ยับยั้ง Norepinephrine neurotransmission):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8" t="inlineStr"/>
      <c r="L48" s="18" t="inlineStr">
        <is>
          <t>Headache</t>
        </is>
      </c>
      <c r="M48" s="18" t="inlineStr">
        <is>
          <t>Clinic</t>
        </is>
      </c>
      <c r="N48" s="18" t="inlineStr">
        <is>
          <t>ข้อ 46 ชุด 1 (เฉลยข้อ ข)</t>
        </is>
      </c>
      <c r="O48" s="18" t="inlineStr">
        <is>
          <t>Mock</t>
        </is>
      </c>
      <c r="P48" s="18" t="inlineStr">
        <is>
          <t>ชุด 1</t>
        </is>
      </c>
    </row>
    <row r="49">
      <c r="A49" s="15" t="inlineStr">
        <is>
          <t>47</t>
        </is>
      </c>
      <c r="B49" s="18" t="inlineStr">
        <is>
          <t>Phenobarbital ให้ผลการรักษา epilepsy ชนิดใดได้ดีที่สุด</t>
        </is>
      </c>
      <c r="C49" s="18" t="inlineStr"/>
      <c r="D49" s="18" t="inlineStr">
        <is>
          <t>Generalized tonic-clonic (Grand mal) seizure</t>
        </is>
      </c>
      <c r="E49" s="18" t="inlineStr">
        <is>
          <t>Absence (Petit mal) seizure</t>
        </is>
      </c>
      <c r="F49" s="18" t="inlineStr">
        <is>
          <t>Atonic seizure</t>
        </is>
      </c>
      <c r="G49" s="18" t="inlineStr">
        <is>
          <t>Clonic and myoclonic seizure</t>
        </is>
      </c>
      <c r="H49" s="18" t="inlineStr">
        <is>
          <t>Tonic seizure</t>
        </is>
      </c>
      <c r="I49" s="15" t="inlineStr">
        <is>
          <t>1</t>
        </is>
      </c>
      <c r="J49" s="18"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(Absence (Petit mal) seizure): ข้อนี้ไม่ใช่คำตอบที่ถูกต้องสำหรับภาวะ Epilepsy เนื่องจากกลไกการออกฤทธิ์, efficacy หรือข้อบ่งใช้ไม่ตรงกับโจทย์ที่กำหนด
• ข้อ ค. (Atonic seizure): ข้อนี้ไม่ใช่คำตอบที่ถูกต้องสำหรับภาวะ Epilepsy เนื่องจากกลไกการออกฤทธิ์, efficacy หรือข้อบ่งใช้ไม่ตรงกับโจทย์ที่กำหนด
• ข้อ ง. (Clonic and myoclonic seizure): ข้อนี้ไม่ใช่คำตอบที่ถูกต้องสำหรับภาวะ Epilepsy เนื่องจากกลไกการออกฤทธิ์, efficacy หรือข้อบ่งใช้ไม่ตรงกับโจทย์ที่กำหนด
• ข้อ จ. (Tonic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18" t="inlineStr"/>
      <c r="L49" s="18" t="inlineStr">
        <is>
          <t>Epilepsy</t>
        </is>
      </c>
      <c r="M49" s="18" t="inlineStr">
        <is>
          <t>Clinic</t>
        </is>
      </c>
      <c r="N49" s="18" t="inlineStr">
        <is>
          <t>ข้อ 47 ชุด 1 (เฉลยข้อ ก)</t>
        </is>
      </c>
      <c r="O49" s="18" t="inlineStr">
        <is>
          <t>Mock</t>
        </is>
      </c>
      <c r="P49" s="18" t="inlineStr">
        <is>
          <t>ชุด 1</t>
        </is>
      </c>
    </row>
    <row r="50">
      <c r="A50" s="15" t="inlineStr">
        <is>
          <t>48</t>
        </is>
      </c>
      <c r="B50" s="18" t="inlineStr">
        <is>
          <t>Lorazepam มีฤทธิ์ต่าง ๆ ต่อไปนี้ ยกเว้น</t>
        </is>
      </c>
      <c r="C50" s="18" t="inlineStr"/>
      <c r="D50" s="18" t="inlineStr">
        <is>
          <t>Hypnotic effect</t>
        </is>
      </c>
      <c r="E50" s="18" t="inlineStr">
        <is>
          <t>Muscle-relaxing effect</t>
        </is>
      </c>
      <c r="F50" s="18" t="inlineStr">
        <is>
          <t>Anticonvulsant effect</t>
        </is>
      </c>
      <c r="G50" s="18" t="inlineStr">
        <is>
          <t>Antianxiety effect</t>
        </is>
      </c>
      <c r="H50" s="18" t="inlineStr">
        <is>
          <t>Antidepressant effect</t>
        </is>
      </c>
      <c r="I50" s="15" t="inlineStr">
        <is>
          <t>5</t>
        </is>
      </c>
      <c r="J50" s="18"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(Hypnotic effect): ข้อนี้ไม่ใช่คำตอบที่ถูกต้องสำหรับภาวะ Headache เนื่องจากกลไกการออกฤทธิ์, efficacy หรือข้อบ่งใช้ไม่ตรงกับโจทย์ที่กำหนด
• ข้อ ข. (Muscle-relaxing effect): ข้อนี้ไม่ใช่คำตอบที่ถูกต้องสำหรับภาวะ Headache เนื่องจากกลไกการออกฤทธิ์, efficacy หรือข้อบ่งใช้ไม่ตรงกับโจทย์ที่กำหนด
• ข้อ ค. (Anticonvulsant effect): ข้อนี้ไม่ใช่คำตอบที่ถูกต้องสำหรับภาวะ Headache เนื่องจากกลไกการออกฤทธิ์, efficacy หรือข้อบ่งใช้ไม่ตรงกับโจทย์ที่กำหนด
• ข้อ ง. (Antianxiety effect):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8" t="inlineStr"/>
      <c r="L50" s="18" t="inlineStr">
        <is>
          <t>Headache</t>
        </is>
      </c>
      <c r="M50" s="18" t="inlineStr">
        <is>
          <t>Clinic</t>
        </is>
      </c>
      <c r="N50" s="18" t="inlineStr">
        <is>
          <t>ข้อ 48 ชุด 1 (เฉลยข้อ จ)</t>
        </is>
      </c>
      <c r="O50" s="18" t="inlineStr">
        <is>
          <t>Mock</t>
        </is>
      </c>
      <c r="P50" s="18" t="inlineStr">
        <is>
          <t>ชุด 1</t>
        </is>
      </c>
    </row>
    <row r="51">
      <c r="A51" s="15" t="inlineStr">
        <is>
          <t>49</t>
        </is>
      </c>
      <c r="B51" s="18" t="inlineStr">
        <is>
          <t>ข้อความต่อไปนี้ เกี่ยวกับ lorazepam ผิด</t>
        </is>
      </c>
      <c r="C51" s="18" t="inlineStr"/>
      <c r="D51" s="18" t="inlineStr">
        <is>
          <t>ออกฤทธิ์โดยการกระตุ้น GABA neurotransmission</t>
        </is>
      </c>
      <c r="E51" s="18" t="inlineStr">
        <is>
          <t>Overdose ของ lorazepam สามารถใช้ flumazenil ซึ่งเป็น antidote รักษาได้</t>
        </is>
      </c>
      <c r="F51" s="18" t="inlineStr">
        <is>
          <t>ถ้าใช้เป็นระยะเวลานานแล้วหยุดยา จะก่อให้เกิด withdrawal symptoms ได้</t>
        </is>
      </c>
      <c r="G51" s="18" t="inlineStr">
        <is>
          <t>เป็น hepatic drug-metabolizing enzyme inducer</t>
        </is>
      </c>
      <c r="H51" s="18" t="inlineStr">
        <is>
          <t>ไม่ก่อให้เกิด hang over effect เหมือน diazepam</t>
        </is>
      </c>
      <c r="I51" s="15" t="inlineStr">
        <is>
          <t>4</t>
        </is>
      </c>
      <c r="J51" s="18"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(ออกฤทธิ์โดยการกระตุ้น GABA neurotransmission): ข้อนี้ไม่ใช่คำตอบที่ถูกต้องสำหรับภาวะ Headache เนื่องจากกลไกการออกฤทธิ์, efficacy หรือข้อบ่งใช้ไม่ตรงกับโจทย์ที่กำหนด
• ข้อ ข. (Overdose ของ lorazepam สามารถใช้ flumazenil ซึ่งเป็น antidote รักษาได้): เป็น Benzodiazepine กลุ่ม LOT (Lorazepam, Oxazepam, Temazepam) ที่ผ่าน hepatic Phase II glucuronidation โดยตรง ไม่ผ่าน CYP oxidation จึงปลอดภัยกว่าในผู้สูงอายุและโรคตับ
• ข้อ ค. (ถ้าใช้เป็นระยะเวลานานแล้วหยุดยา จะก่อให้เกิด withdrawal symptoms ได้): ข้อนี้ไม่ใช่คำตอบที่ถูกต้องสำหรับภาวะ Headache เนื่องจากกลไกการออกฤทธิ์, efficacy หรือข้อบ่งใช้ไม่ตรงกับโจทย์ที่กำหนด
• ข้อ จ. (ไม่ก่อให้เกิด hang over effect เหมือน diazepam): เป็น long-acting Benzodiazepine มี active metabolites (nordiazepam) สะสมในผู้สูงอายุ ทำให้ง่วงซึม หกล้ม เสี่ยง fracture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8" t="inlineStr"/>
      <c r="L51" s="18" t="inlineStr">
        <is>
          <t>Headache</t>
        </is>
      </c>
      <c r="M51" s="18" t="inlineStr">
        <is>
          <t>Clinic</t>
        </is>
      </c>
      <c r="N51" s="18" t="inlineStr">
        <is>
          <t>ข้อ 49 ชุด 1 (เฉลยข้อ ง)</t>
        </is>
      </c>
      <c r="O51" s="18" t="inlineStr">
        <is>
          <t>Mock</t>
        </is>
      </c>
      <c r="P51" s="18" t="inlineStr">
        <is>
          <t>ชุด 1</t>
        </is>
      </c>
    </row>
    <row r="52">
      <c r="A52" s="15" t="inlineStr">
        <is>
          <t>50</t>
        </is>
      </c>
      <c r="B52" s="18"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8" t="inlineStr"/>
      <c r="D52" s="18" t="inlineStr">
        <is>
          <t>Noradrenergic neurons จาก locus ceruleus ไปยัง cerebral cortex</t>
        </is>
      </c>
      <c r="E52" s="18" t="inlineStr">
        <is>
          <t>Serotoninergic neurons จาก raphe nucleus ไปยัง cerebral cortex</t>
        </is>
      </c>
      <c r="F52" s="18" t="inlineStr">
        <is>
          <t>Cholinergic neurons จาก septum ไปยัง hippocampus</t>
        </is>
      </c>
      <c r="G52" s="18" t="inlineStr">
        <is>
          <t>Dopaminergic neurons จาก midbrain ไปยัง limbic system</t>
        </is>
      </c>
      <c r="H52" s="18" t="inlineStr">
        <is>
          <t>GABAergic neurons จาก striatum ไปยัง substantial nigra</t>
        </is>
      </c>
      <c r="I52" s="15" t="inlineStr">
        <is>
          <t>3</t>
        </is>
      </c>
      <c r="J52" s="18"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ข้อนี้ไม่ใช่คำตอบที่ถูกต้องสำหรับภาวะ Dementia, Alzheimer's เนื่องจากกลไกการออกฤทธิ์, efficacy หรือข้อบ่งใช้ไม่ตรงกับโจทย์ที่กำหนด
• ข้อ ข. (Serotoninergic neurons จาก raphe nucleus ไปยัง cerebral cortex): ข้อนี้ไม่ใช่คำตอบที่ถูกต้องสำหรับภาวะ Dementia, Alzheimer's เนื่องจากกลไกการออกฤทธิ์, efficacy หรือข้อบ่งใช้ไม่ตรงกับโจทย์ที่กำหนด
• ข้อ ง. (Dopaminergic neurons จาก midbrain ไปยัง limbic system): ข้อนี้ไม่ใช่คำตอบที่ถูกต้องสำหรับภาวะ Dementia, Alzheimer's เนื่องจากกลไกการออกฤทธิ์, efficacy หรือข้อบ่งใช้ไม่ตรงกับโจทย์ที่กำหนด
• ข้อ จ. (GABAergic neurons จาก striatum ไปยัง substantial nigra):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18" t="inlineStr"/>
      <c r="L52" s="18" t="inlineStr">
        <is>
          <t>Dementia, Alzheimer's</t>
        </is>
      </c>
      <c r="M52" s="18" t="inlineStr">
        <is>
          <t>Clinic</t>
        </is>
      </c>
      <c r="N52" s="18" t="inlineStr">
        <is>
          <t>ข้อ 50 ชุด 1 (เฉลยข้อ ค)</t>
        </is>
      </c>
      <c r="O52" s="18" t="inlineStr">
        <is>
          <t>Mock</t>
        </is>
      </c>
      <c r="P52" s="18" t="inlineStr">
        <is>
          <t>ชุด 1</t>
        </is>
      </c>
    </row>
    <row r="53">
      <c r="A53" s="15" t="inlineStr">
        <is>
          <t>51</t>
        </is>
      </c>
      <c r="B53" s="18" t="inlineStr">
        <is>
          <t>พยาธิสภาพที่พบในสมองของผู้ป่วย Alzheimer's disease นั้น ได้แก่ลักษณะดังต่อไปนี้</t>
        </is>
      </c>
      <c r="C53" s="18" t="inlineStr"/>
      <c r="D53" s="18" t="inlineStr">
        <is>
          <t>ปริมาณ choline ในสมองมากกว่าปกติ</t>
        </is>
      </c>
      <c r="E53" s="18" t="inlineStr">
        <is>
          <t>เนื้อสมองมี neurofibrillary tangles และ senile plaque มากกว่าปกติ</t>
        </is>
      </c>
      <c r="F53" s="18" t="inlineStr">
        <is>
          <t>มี enzyme choline acetyltransferase มากกว่าปกติ</t>
        </is>
      </c>
      <c r="G53" s="18" t="inlineStr">
        <is>
          <t>สมองมีขนาดใหญ่กว่าปกติ</t>
        </is>
      </c>
      <c r="H53" s="18" t="inlineStr">
        <is>
          <t>มีปริมาณ enzyme Monoamine oxidase ในสมองมากกว่าปกติ</t>
        </is>
      </c>
      <c r="I53" s="15" t="inlineStr">
        <is>
          <t>2</t>
        </is>
      </c>
      <c r="J53" s="18"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(ปริมาณ choline ในสมองมากกว่าปกติ):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ค. (มี enzyme choline acetyltransferase 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ง. (สมองมีขนาดใหญ่กว่าปกติ):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จ. (มีปริมาณ enzyme Monoamine oxidase ในสมองมากกว่าปกติ):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18" t="inlineStr"/>
      <c r="L53" s="18" t="inlineStr">
        <is>
          <t>Dementia, Alzheimer's</t>
        </is>
      </c>
      <c r="M53" s="18" t="inlineStr">
        <is>
          <t>Clinic</t>
        </is>
      </c>
      <c r="N53" s="18" t="inlineStr">
        <is>
          <t>ข้อ 51 ชุด 1 (เฉลยข้อ ข)</t>
        </is>
      </c>
      <c r="O53" s="18" t="inlineStr">
        <is>
          <t>Mock</t>
        </is>
      </c>
      <c r="P53" s="18" t="inlineStr">
        <is>
          <t>ชุด 1</t>
        </is>
      </c>
    </row>
    <row r="54">
      <c r="A54" s="15" t="inlineStr">
        <is>
          <t>52</t>
        </is>
      </c>
      <c r="B54" s="18"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18" t="inlineStr"/>
      <c r="D54" s="18" t="inlineStr">
        <is>
          <t>Cholinergic antagonists</t>
        </is>
      </c>
      <c r="E54" s="18" t="inlineStr">
        <is>
          <t>Acetylcholine esterase inhibitors</t>
        </is>
      </c>
      <c r="F54" s="18" t="inlineStr">
        <is>
          <t>Estrogen hormone</t>
        </is>
      </c>
      <c r="G54" s="18" t="inlineStr">
        <is>
          <t>Acetylcholine precursors</t>
        </is>
      </c>
      <c r="H54" s="18" t="inlineStr">
        <is>
          <t>NSAID (Non-Steroidal Anti-inflammatory Drugs)</t>
        </is>
      </c>
      <c r="I54" s="15" t="inlineStr">
        <is>
          <t>1</t>
        </is>
      </c>
      <c r="J54" s="18"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 esterase inhibitors): ข้อนี้ไม่ใช่คำตอบที่ถูกต้องสำหรับภาวะ Dementia, Alzheimer's เนื่องจากกลไกการออกฤทธิ์, efficacy หรือข้อบ่งใช้ไม่ตรงกับโจทย์ที่กำหนด
• ข้อ ค. (Estrogen hormone): ข้อนี้ไม่ใช่คำตอบที่ถูกต้องสำหรับภาวะ Dementia, Alzheimer's เนื่องจากกลไกการออกฤทธิ์, efficacy หรือข้อบ่งใช้ไม่ตรงกับโจทย์ที่กำหนด
• ข้อ ง. (Acetylcholine precursors): ข้อนี้ไม่ใช่คำตอบที่ถูกต้องสำหรับภาวะ Dementia, Alzheimer's เนื่องจากกลไกการออกฤทธิ์, efficacy หรือข้อบ่งใช้ไม่ตรงกับโจทย์ที่กำหนด
• ข้อ จ. (NSAID (Non-Steroidal Anti-inflammatory Drugs)):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18" t="inlineStr"/>
      <c r="L54" s="18" t="inlineStr">
        <is>
          <t>Dementia, Alzheimer's</t>
        </is>
      </c>
      <c r="M54" s="18" t="inlineStr">
        <is>
          <t>Clinic</t>
        </is>
      </c>
      <c r="N54" s="18" t="inlineStr">
        <is>
          <t>ข้อ 52 ชุด 1 (เฉลยข้อ ก)</t>
        </is>
      </c>
      <c r="O54" s="18" t="inlineStr">
        <is>
          <t>Mock</t>
        </is>
      </c>
      <c r="P54" s="18" t="inlineStr">
        <is>
          <t>ชุด 1</t>
        </is>
      </c>
    </row>
    <row r="55">
      <c r="A55" s="15" t="inlineStr">
        <is>
          <t>53</t>
        </is>
      </c>
      <c r="B55" s="18"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18" t="inlineStr"/>
      <c r="D55" s="18" t="inlineStr">
        <is>
          <t>Galantamine</t>
        </is>
      </c>
      <c r="E55" s="18" t="inlineStr">
        <is>
          <t>Tacrine</t>
        </is>
      </c>
      <c r="F55" s="18" t="inlineStr">
        <is>
          <t>Donepezil</t>
        </is>
      </c>
      <c r="G55" s="18" t="inlineStr">
        <is>
          <t>Rivastigmine</t>
        </is>
      </c>
      <c r="H55" s="18" t="inlineStr">
        <is>
          <t>ทุกตัวในข้อ ก ถึง ง</t>
        </is>
      </c>
      <c r="I55" s="15" t="inlineStr">
        <is>
          <t>2</t>
        </is>
      </c>
      <c r="J55" s="18"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ข้อนี้ไม่ใช่คำตอบที่ถูกต้องสำหรับภาวะ Dementia, Alzheimer's เนื่องจากกลไกการออกฤทธิ์, efficacy หรือข้อบ่งใช้ไม่ตรงกับโจทย์ที่กำหนด
• ข้อ ค. (Donepezil): ข้อนี้ไม่ใช่คำตอบที่ถูกต้องสำหรับภาวะ Dementia, Alzheimer's เนื่องจากกลไกการออกฤทธิ์, efficacy หรือข้อบ่งใช้ไม่ตรงกับโจทย์ที่กำหนด
• ข้อ ง. (Rivastigmine): ข้อนี้ไม่ใช่คำตอบที่ถูกต้องสำหรับภาวะ Dementia, Alzheimer's เนื่องจากกลไกการออกฤทธิ์, efficacy หรือข้อบ่งใช้ไม่ตรงกับโจทย์ที่กำหนด
• ข้อ จ. (ทุกตัวในข้อ ก ถึง ง):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8" t="inlineStr"/>
      <c r="L55" s="18" t="inlineStr">
        <is>
          <t>Dementia, Alzheimer's</t>
        </is>
      </c>
      <c r="M55" s="18" t="inlineStr">
        <is>
          <t>Clinic</t>
        </is>
      </c>
      <c r="N55" s="18" t="inlineStr">
        <is>
          <t>ข้อ 53 ชุด 1 (เฉลยข้อ ข)</t>
        </is>
      </c>
      <c r="O55" s="18" t="inlineStr">
        <is>
          <t>Mock</t>
        </is>
      </c>
      <c r="P55" s="18" t="inlineStr">
        <is>
          <t>ชุด 1</t>
        </is>
      </c>
    </row>
    <row r="56">
      <c r="A56" s="15" t="inlineStr">
        <is>
          <t>54</t>
        </is>
      </c>
      <c r="B56" s="18" t="inlineStr">
        <is>
          <t>ยาใดต่อไปนี้เป็นยารักษาโรคอัลไซเมอร์ ระดับ severe ได้</t>
        </is>
      </c>
      <c r="C56" s="18" t="inlineStr"/>
      <c r="D56" s="18" t="inlineStr">
        <is>
          <t>Donepezil</t>
        </is>
      </c>
      <c r="E56" s="18" t="inlineStr">
        <is>
          <t>Rivastigmine</t>
        </is>
      </c>
      <c r="F56" s="18" t="inlineStr">
        <is>
          <t>Galantamine</t>
        </is>
      </c>
      <c r="G56" s="18" t="inlineStr">
        <is>
          <t>Tacrine</t>
        </is>
      </c>
      <c r="H56" s="18" t="inlineStr">
        <is>
          <t>Memantine</t>
        </is>
      </c>
      <c r="I56" s="15" t="inlineStr">
        <is>
          <t>1</t>
        </is>
      </c>
      <c r="J56" s="18"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ข้อนี้ไม่ใช่คำตอบที่ถูกต้องสำหรับภาวะ Dementia, Alzheimer's เนื่องจากกลไกการออกฤทธิ์, efficacy หรือข้อบ่งใช้ไม่ตรงกับโจทย์ที่กำหนด
• ข้อ ค. (Galantamine): ข้อนี้ไม่ใช่คำตอบที่ถูกต้องสำหรับภาวะ Dementia, Alzheimer's เนื่องจากกลไกการออกฤทธิ์, efficacy หรือข้อบ่งใช้ไม่ตรงกับโจทย์ที่กำหนด
• ข้อ ง. (Tacrine): ข้อนี้ไม่ใช่คำตอบที่ถูกต้องสำหรับภาวะ Dementia, Alzheimer's เนื่องจากกลไกการออกฤทธิ์, efficacy หรือข้อบ่งใช้ไม่ตรงกับโจทย์ที่กำหนด
• ข้อ จ. (Memantine):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8" t="inlineStr"/>
      <c r="L56" s="18" t="inlineStr">
        <is>
          <t>Dementia, Alzheimer's</t>
        </is>
      </c>
      <c r="M56" s="18" t="inlineStr">
        <is>
          <t>Clinic</t>
        </is>
      </c>
      <c r="N56" s="18" t="inlineStr">
        <is>
          <t>ข้อ 54 ชุด 1 (เฉลยข้อ ก จ)</t>
        </is>
      </c>
      <c r="O56" s="18" t="inlineStr">
        <is>
          <t>Mock</t>
        </is>
      </c>
      <c r="P56" s="18" t="inlineStr">
        <is>
          <t>ชุด 1</t>
        </is>
      </c>
    </row>
    <row r="57">
      <c r="A57" s="15" t="inlineStr">
        <is>
          <t>55</t>
        </is>
      </c>
      <c r="B57" s="18" t="inlineStr">
        <is>
          <t>“Plaques protein” ต้นเหตุของโรคอัลไซเมอร์เกิดจากทำลายโปรตีนใดผิดปกติไป</t>
        </is>
      </c>
      <c r="C57" s="18" t="inlineStr"/>
      <c r="D57" s="18" t="inlineStr">
        <is>
          <t>β - Amyloid protein</t>
        </is>
      </c>
      <c r="E57" s="18" t="inlineStr">
        <is>
          <t>Intracellular Neurofibrillary Tangles (NFTs)</t>
        </is>
      </c>
      <c r="F57" s="18" t="inlineStr">
        <is>
          <t>Tau protein</t>
        </is>
      </c>
      <c r="G57" s="18" t="inlineStr">
        <is>
          <t>Myelin</t>
        </is>
      </c>
      <c r="H57" s="18" t="inlineStr">
        <is>
          <t>N-acetylgalactosamine-4-sulfatase</t>
        </is>
      </c>
      <c r="I57" s="15" t="inlineStr">
        <is>
          <t>1</t>
        </is>
      </c>
      <c r="J57" s="18"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(Intracellular Neurofibrillary Tangles (NFTs)): ข้อนี้ไม่ใช่คำตอบที่ถูกต้องสำหรับภาวะ Headache เนื่องจากกลไกการออกฤทธิ์, efficacy หรือข้อบ่งใช้ไม่ตรงกับโจทย์ที่กำหนด
• ข้อ ค. (Tau protein): ข้อนี้ไม่ใช่คำตอบที่ถูกต้องสำหรับภาวะ Headache เนื่องจากกลไกการออกฤทธิ์, efficacy หรือข้อบ่งใช้ไม่ตรงกับโจทย์ที่กำหนด
• ข้อ ง. (Myelin): ข้อนี้ไม่ใช่คำตอบที่ถูกต้องสำหรับภาวะ Headache เนื่องจากกลไกการออกฤทธิ์, efficacy หรือข้อบ่งใช้ไม่ตรงกับโจทย์ที่กำหนด
• ข้อ จ. (N-acetylgalactosamine-4-sulfatase):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8" t="inlineStr"/>
      <c r="L57" s="18" t="inlineStr">
        <is>
          <t>Headache</t>
        </is>
      </c>
      <c r="M57" s="18" t="inlineStr">
        <is>
          <t>Clinic</t>
        </is>
      </c>
      <c r="N57" s="18" t="inlineStr">
        <is>
          <t>ข้อ 55 ชุด 1 (เฉลยข้อ ก)</t>
        </is>
      </c>
      <c r="O57" s="18" t="inlineStr">
        <is>
          <t>Mock</t>
        </is>
      </c>
      <c r="P57" s="18" t="inlineStr">
        <is>
          <t>ชุด 1</t>
        </is>
      </c>
    </row>
    <row r="58">
      <c r="A58" s="15" t="inlineStr">
        <is>
          <t>56</t>
        </is>
      </c>
      <c r="B58" s="18" t="inlineStr">
        <is>
          <t>ข้อใดไม่ใช่กลไกการเกิดโรคอัลไซเมอร์</t>
        </is>
      </c>
      <c r="C58" s="18" t="inlineStr"/>
      <c r="D58" s="18" t="inlineStr">
        <is>
          <t>ขาด serotonin และ dopamine ทำให้ behavioral disturbances</t>
        </is>
      </c>
      <c r="E58" s="18" t="inlineStr">
        <is>
          <t>ขาด Acetylcholine ทำให้ memory loss</t>
        </is>
      </c>
      <c r="F58" s="18" t="inlineStr">
        <is>
          <t>Glutamate มีน้อยเกินไปโดยหลั่งจากการกระตุ้น receptor ด้วย แคลเซียม</t>
        </is>
      </c>
      <c r="G58" s="18" t="inlineStr">
        <is>
          <t>การทำงานของ monoamine oxidase type B เพิ่มขึ้น</t>
        </is>
      </c>
      <c r="H58" s="18" t="inlineStr">
        <is>
          <t>เกิดการสะสมของ plaques และ tangles protein</t>
        </is>
      </c>
      <c r="I58" s="15" t="inlineStr">
        <is>
          <t>1</t>
        </is>
      </c>
      <c r="J58" s="18"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(ขาด Acetylcholine ทำให้ memory loss): ข้อนี้ไม่ใช่คำตอบที่ถูกต้องสำหรับภาวะ Dementia, Alzheimer's เนื่องจากกลไกการออกฤทธิ์, efficacy หรือข้อบ่งใช้ไม่ตรงกับโจทย์ที่กำหนด
• ข้อ ค. (Glutamate มีน้อยเกินไปโดยหลั่งจากการกระตุ้น receptor ด้วย แคลเซียม): ข้อนี้ไม่ใช่คำตอบที่ถูกต้องสำหรับภาวะ Dementia, Alzheimer's เนื่องจากกลไกการออกฤทธิ์, efficacy หรือข้อบ่งใช้ไม่ตรงกับโจทย์ที่กำหนด
• ข้อ ง. (การทำงานของ monoamine oxidase type B เพิ่มขึ้น): ข้อนี้ไม่ใช่คำตอบที่ถูกต้องสำหรับภาวะ Dementia, Alzheimer's เนื่องจากกลไกการออกฤทธิ์, efficacy หรือข้อบ่งใช้ไม่ตรงกับโจทย์ที่กำหนด
• ข้อ จ. (เกิดการสะสมของ plaques และ tangles protein):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18" t="inlineStr"/>
      <c r="L58" s="18" t="inlineStr">
        <is>
          <t>Dementia, Alzheimer's</t>
        </is>
      </c>
      <c r="M58" s="18" t="inlineStr">
        <is>
          <t>Clinic</t>
        </is>
      </c>
      <c r="N58" s="18" t="inlineStr">
        <is>
          <t>ข้อ 56 ชุด 1 (เฉลยข้อ ก ค)</t>
        </is>
      </c>
      <c r="O58" s="18" t="inlineStr">
        <is>
          <t>Mock</t>
        </is>
      </c>
      <c r="P58" s="18" t="inlineStr">
        <is>
          <t>ชุด 1</t>
        </is>
      </c>
    </row>
    <row r="59">
      <c r="A59" s="15" t="inlineStr">
        <is>
          <t>57</t>
        </is>
      </c>
      <c r="B59" s="18"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18" t="inlineStr"/>
      <c r="D59" s="18" t="inlineStr">
        <is>
          <t>Reserpine</t>
        </is>
      </c>
      <c r="E59" s="18" t="inlineStr">
        <is>
          <t>Hydralazine</t>
        </is>
      </c>
      <c r="F59" s="18" t="inlineStr">
        <is>
          <t>Hydrochlorothiazide</t>
        </is>
      </c>
      <c r="G59" s="18" t="inlineStr">
        <is>
          <t>Naproxen</t>
        </is>
      </c>
      <c r="H59" s="18" t="inlineStr">
        <is>
          <t>Selegiline</t>
        </is>
      </c>
      <c r="I59" s="15" t="inlineStr">
        <is>
          <t>1</t>
        </is>
      </c>
      <c r="J59" s="18"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ใช้ร่วมกับ isosorbide dinitrate ใน HFrEF (โดยเฉพาะคนผิวดำ) หรือรักษา severe HTN ในหญิงตั้งครรภ์ แต่เสี่ยงต่อ drug-induced lupus
• ข้อ ค. (Hydrochlorothiazide): เป็น Thiazide diuretic ลด plasma volume แต่อาจทำให้เกิด hypokalemia, hyponatremia, hyperuricemia และ hyperglycemia และ efficacy ลดลงมากเมื่อ eGFR &lt; 30 mL/min
• ข้อ ง. (Naproxen): เป็น non-selective NSAID ที่มี cardiovascular safety profile ดีที่สุด และมี efficacy สูงในการระงับ acute inflammation
• ข้อ จ. (Selegiline):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18" t="inlineStr"/>
      <c r="L59" s="18" t="inlineStr">
        <is>
          <t>Parkinson disease</t>
        </is>
      </c>
      <c r="M59" s="18" t="inlineStr">
        <is>
          <t>Clinic</t>
        </is>
      </c>
      <c r="N59" s="18" t="inlineStr">
        <is>
          <t>ข้อ 57 ชุด 1 (เฉลยข้อ ก)</t>
        </is>
      </c>
      <c r="O59" s="18" t="inlineStr">
        <is>
          <t>Mock</t>
        </is>
      </c>
      <c r="P59" s="18" t="inlineStr">
        <is>
          <t>ชุด 1</t>
        </is>
      </c>
    </row>
    <row r="60">
      <c r="A60" s="15" t="inlineStr">
        <is>
          <t>58</t>
        </is>
      </c>
      <c r="B60" s="18" t="inlineStr">
        <is>
          <t>ยา benserazide ที่ผู้ป่วยได้รับ ออกฤทธิ์ยับยั้งที่ enzyme ใด</t>
        </is>
      </c>
      <c r="C60" s="18" t="inlineStr"/>
      <c r="D60" s="18" t="inlineStr">
        <is>
          <t>Monoamine oxidase-A</t>
        </is>
      </c>
      <c r="E60" s="18" t="inlineStr">
        <is>
          <t>Monoamine oxidase-B</t>
        </is>
      </c>
      <c r="F60" s="18" t="inlineStr">
        <is>
          <t>Dopa decarboxylase</t>
        </is>
      </c>
      <c r="G60" s="18" t="inlineStr">
        <is>
          <t>Catechol-O-methyltransferase</t>
        </is>
      </c>
      <c r="H60" s="18" t="inlineStr">
        <is>
          <t>Acetyltransferase</t>
        </is>
      </c>
      <c r="I60" s="15" t="inlineStr">
        <is>
          <t>3</t>
        </is>
      </c>
      <c r="J60" s="18"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ข้อนี้ไม่ใช่คำตอบที่ถูกต้องสำหรับภาวะ Parkinson disease เนื่องจากกลไกการออกฤทธิ์, efficacy หรือข้อบ่งใช้ไม่ตรงกับโจทย์ที่กำหนด
• ข้อ ข. (Monoamine oxidase-B): ข้อนี้ไม่ใช่คำตอบที่ถูกต้องสำหรับภาวะ Parkinson disease เนื่องจากกลไกการออกฤทธิ์, efficacy หรือข้อบ่งใช้ไม่ตรงกับโจทย์ที่กำหนด
• ข้อ ง. (Catechol-O-methyltransferase): ข้อนี้ไม่ใช่คำตอบที่ถูกต้องสำหรับภาวะ Parkinson disease เนื่องจากกลไกการออกฤทธิ์, efficacy หรือข้อบ่งใช้ไม่ตรงกับโจทย์ที่กำหนด
• ข้อ จ. (Acetyltransferase):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8" t="inlineStr"/>
      <c r="L60" s="18" t="inlineStr">
        <is>
          <t>Parkinson disease</t>
        </is>
      </c>
      <c r="M60" s="18" t="inlineStr">
        <is>
          <t>Clinic</t>
        </is>
      </c>
      <c r="N60" s="18" t="inlineStr">
        <is>
          <t>ข้อ 58 ชุด 1 (เฉลยข้อ ค)</t>
        </is>
      </c>
      <c r="O60" s="18" t="inlineStr">
        <is>
          <t>Mock</t>
        </is>
      </c>
      <c r="P60" s="18" t="inlineStr">
        <is>
          <t>ชุด 1</t>
        </is>
      </c>
    </row>
    <row r="61">
      <c r="A61" s="15" t="inlineStr">
        <is>
          <t>59</t>
        </is>
      </c>
      <c r="B61" s="18" t="inlineStr">
        <is>
          <t>ยา selegiline ที่ผู้ป่วยได้รับ มีกลไกการออกฤทธิ์อย่างไร</t>
        </is>
      </c>
      <c r="C61" s="18" t="inlineStr"/>
      <c r="D61" s="18" t="inlineStr">
        <is>
          <t>Dopamine reuptake inhibitor</t>
        </is>
      </c>
      <c r="E61" s="18" t="inlineStr">
        <is>
          <t>NMDA receptor antagonist</t>
        </is>
      </c>
      <c r="F61" s="18" t="inlineStr">
        <is>
          <t>Catechol-O-methyltransferase inhibitor</t>
        </is>
      </c>
      <c r="G61" s="18" t="inlineStr">
        <is>
          <t>Dopa decarboxylase inhibitor</t>
        </is>
      </c>
      <c r="H61" s="18" t="inlineStr">
        <is>
          <t>Monoamine oxidase-B inhibitor</t>
        </is>
      </c>
      <c r="I61" s="15" t="inlineStr">
        <is>
          <t>5</t>
        </is>
      </c>
      <c r="J61" s="18"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ข้อนี้ไม่ใช่คำตอบที่ถูกต้องสำหรับภาวะ Parkinson disease เนื่องจากกลไกการออกฤทธิ์, efficacy หรือข้อบ่งใช้ไม่ตรงกับโจทย์ที่กำหนด
• ข้อ ข. (NMDA receptor antagonist): ข้อนี้ไม่ใช่คำตอบที่ถูกต้องสำหรับภาวะ Parkinson disease เนื่องจากกลไกการออกฤทธิ์, efficacy หรือข้อบ่งใช้ไม่ตรงกับโจทย์ที่กำหนด
• ข้อ ค. (Catechol-O-methyltransferase inhibitor): ข้อนี้ไม่ใช่คำตอบที่ถูกต้องสำหรับภาวะ Parkinson disease เนื่องจากกลไกการออกฤทธิ์, efficacy หรือข้อบ่งใช้ไม่ตรงกับโจทย์ที่กำหนด
• ข้อ ง. (Dopa decarboxylase inhibitor):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8" t="inlineStr"/>
      <c r="L61" s="18" t="inlineStr">
        <is>
          <t>Parkinson disease</t>
        </is>
      </c>
      <c r="M61" s="18" t="inlineStr">
        <is>
          <t>Clinic</t>
        </is>
      </c>
      <c r="N61" s="18" t="inlineStr">
        <is>
          <t>ข้อ 59 ชุด 1 (เฉลยข้อ จ)</t>
        </is>
      </c>
      <c r="O61" s="18" t="inlineStr">
        <is>
          <t>Mock</t>
        </is>
      </c>
      <c r="P61" s="18" t="inlineStr">
        <is>
          <t>ชุด 1</t>
        </is>
      </c>
    </row>
    <row r="62">
      <c r="A62" s="15" t="inlineStr">
        <is>
          <t>60</t>
        </is>
      </c>
      <c r="B62" s="18" t="inlineStr">
        <is>
          <t>ยาชนิดใดห้ามใช้ร่วมกับ selegiline</t>
        </is>
      </c>
      <c r="C62" s="18" t="inlineStr"/>
      <c r="D62" s="18" t="inlineStr">
        <is>
          <t>Pindolol</t>
        </is>
      </c>
      <c r="E62" s="18" t="inlineStr">
        <is>
          <t>Pethidine</t>
        </is>
      </c>
      <c r="F62" s="18" t="inlineStr">
        <is>
          <t>Propranolol</t>
        </is>
      </c>
      <c r="G62" s="18" t="inlineStr">
        <is>
          <t>Pentamidine</t>
        </is>
      </c>
      <c r="H62" s="18" t="inlineStr">
        <is>
          <t>Pentoxifylline</t>
        </is>
      </c>
      <c r="I62" s="15" t="inlineStr">
        <is>
          <t>2</t>
        </is>
      </c>
      <c r="J62" s="18"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ข้อนี้ไม่ใช่คำตอบที่ถูกต้องสำหรับภาวะ Headache เนื่องจากกลไกการออกฤทธิ์, efficacy หรือข้อบ่งใช้ไม่ตรงกับโจทย์ที่กำหนด
• ข้อ ค. (Propranolol): เป็น non-selective beta-blocker ข้าม blood-brain barrier ได้ดี เหมาะสำหรับ performance anxiety, essential tremor, migraine prophylaxis และ thyroid storm แต่ contraindication ใน asthma
• ข้อ ง. (Pentamidine): ข้อนี้ไม่ใช่คำตอบที่ถูกต้องสำหรับภาวะ Headache เนื่องจากกลไกการออกฤทธิ์, efficacy หรือข้อบ่งใช้ไม่ตรงกับโจทย์ที่กำหนด
• ข้อ จ. (Pentoxifylline):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8" t="inlineStr"/>
      <c r="L62" s="18" t="inlineStr">
        <is>
          <t>Headache</t>
        </is>
      </c>
      <c r="M62" s="18" t="inlineStr">
        <is>
          <t>Clinic</t>
        </is>
      </c>
      <c r="N62" s="18" t="inlineStr">
        <is>
          <t>ข้อ 60 ชุด 1 (เฉลยข้อ ข)</t>
        </is>
      </c>
      <c r="O62" s="18" t="inlineStr">
        <is>
          <t>Mock</t>
        </is>
      </c>
      <c r="P62" s="18" t="inlineStr">
        <is>
          <t>ชุด 1</t>
        </is>
      </c>
    </row>
    <row r="63">
      <c r="A63" s="15" t="inlineStr">
        <is>
          <t>61</t>
        </is>
      </c>
      <c r="B63" s="18" t="inlineStr">
        <is>
          <t>ถ้าช่วงนี้ผู้ป่วยเริ่มมีปัญหาการเกิดอาการของ dyskinesia ควรจะแก้ไขอย่างไร</t>
        </is>
      </c>
      <c r="C63" s="18" t="inlineStr"/>
      <c r="D63" s="18" t="inlineStr">
        <is>
          <t>หยุดยา selegiline</t>
        </is>
      </c>
      <c r="E63" s="18" t="inlineStr">
        <is>
          <t>ให้ bromocriptine</t>
        </is>
      </c>
      <c r="F63" s="18" t="inlineStr">
        <is>
          <t>ลดขนาดยา benserazide</t>
        </is>
      </c>
      <c r="G63" s="18" t="inlineStr">
        <is>
          <t>หยุดยา selegiline และให้ bromocriptine</t>
        </is>
      </c>
      <c r="H63" s="18" t="inlineStr">
        <is>
          <t>หยุดยา selegiline ร่วมกับการลดขนาดยา benserazide และให้ bromocriptine</t>
        </is>
      </c>
      <c r="I63" s="15" t="inlineStr">
        <is>
          <t>1</t>
        </is>
      </c>
      <c r="J63" s="18"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(ให้ bromocriptine): ข้อนี้ไม่ใช่คำตอบที่ถูกต้องสำหรับภาวะ Parkinson disease เนื่องจากกลไกการออกฤทธิ์, efficacy หรือข้อบ่งใช้ไม่ตรงกับโจทย์ที่กำหนด
• ข้อ ค. (ลดขนาดยา benserazide): ข้อนี้ไม่ใช่คำตอบที่ถูกต้องสำหรับภาวะ Parkinson disease เนื่องจากกลไกการออกฤทธิ์, efficacy หรือข้อบ่งใช้ไม่ตรงกับโจทย์ที่กำหนด
• ข้อ ง. (หยุดยา selegiline และให้ bromocriptine): ข้อนี้ไม่ใช่คำตอบที่ถูกต้องสำหรับภาวะ Parkinson disease เนื่องจากกลไกการออกฤทธิ์, efficacy หรือข้อบ่งใช้ไม่ตรงกับโจทย์ที่กำหนด
• ข้อ จ. (หยุดยา selegiline ร่วมกับการลดขนาดยา benserazide และให้ bromocriptine):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8" t="inlineStr"/>
      <c r="L63" s="18" t="inlineStr">
        <is>
          <t>Parkinson disease</t>
        </is>
      </c>
      <c r="M63" s="18" t="inlineStr">
        <is>
          <t>Clinic</t>
        </is>
      </c>
      <c r="N63" s="18" t="inlineStr">
        <is>
          <t>ข้อ 61 ชุด 1 (เฉลยข้อ )</t>
        </is>
      </c>
      <c r="O63" s="18" t="inlineStr">
        <is>
          <t>Mock</t>
        </is>
      </c>
      <c r="P63" s="18" t="inlineStr">
        <is>
          <t>ชุด 1</t>
        </is>
      </c>
    </row>
    <row r="64">
      <c r="A64" s="15" t="inlineStr">
        <is>
          <t>63</t>
        </is>
      </c>
      <c r="B64" s="18"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18" t="inlineStr"/>
      <c r="D64" s="18" t="inlineStr">
        <is>
          <t>เขียนฉลากตัวบรรจงให้ผู้ป่วยอ่าน</t>
        </is>
      </c>
      <c r="E64" s="18" t="inlineStr">
        <is>
          <t>จัด pillbox ตามวันให้ผู้ป่วย และสอนให้ผู้ป่วยทำให้ตัวเองในวันถัดไป</t>
        </is>
      </c>
      <c r="F64" s="18" t="inlineStr">
        <is>
          <t>อ่านฉลากให้ผู้ป่วยฟังอย่างละเอียด ให้ผู้ป่วยซักถามเพิ่มเติม</t>
        </is>
      </c>
      <c r="G64" s="18" t="inlineStr">
        <is>
          <t>บอกให้ผู้ป่วยหาคนมาดูแลเรื่องยา</t>
        </is>
      </c>
      <c r="H64" s="18"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15" t="inlineStr">
        <is>
          <t>1</t>
        </is>
      </c>
      <c r="J64" s="18"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(Headache &amp; Migraine): ข้อนี้ไม่ใช่คำตอบที่ถูกต้องสำหรับภาวะ Headache เนื่องจากกลไกการออกฤทธิ์, efficacy หรือข้อบ่งใช้ไม่ตรงกับโจทย์ที่กำหนด
• ข้อ ค. (จัด pillbox ตามวันให้ผู้ป่วย และสอนให้ผู้ป่วยทำให้ตัวเองในวันถัดไป): ข้อนี้ไม่ใช่คำตอบที่ถูกต้องสำหรับภาวะ Headache เนื่องจากกลไกการออกฤทธิ์, efficacy หรือข้อบ่งใช้ไม่ตรงกับโจทย์ที่กำหนด
• ข้อ ง. (อ่านฉลากให้ผู้ป่วยฟังอย่างละเอียด ให้ผู้ป่วยซักถามเพิ่มเติม): ข้อนี้ไม่ใช่คำตอบที่ถูกต้องสำหรับภาวะ Headache เนื่องจากกลไกการออกฤทธิ์, efficacy หรือข้อบ่งใช้ไม่ตรงกับโจทย์ที่กำหนด
• ข้อ จ. (บอกให้ผู้ป่วยหาคนมาดูแลเรื่องยา):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8" t="inlineStr"/>
      <c r="L64" s="18" t="inlineStr">
        <is>
          <t>Headache</t>
        </is>
      </c>
      <c r="M64" s="18" t="inlineStr">
        <is>
          <t>Headache &amp; Migraine</t>
        </is>
      </c>
      <c r="N64" s="18" t="inlineStr">
        <is>
          <t>Mock PLE-CC 1 ข้อ 107</t>
        </is>
      </c>
      <c r="O64" s="18" t="inlineStr">
        <is>
          <t>Mock</t>
        </is>
      </c>
      <c r="P64" s="18" t="inlineStr">
        <is>
          <t>Mock RxCU83</t>
        </is>
      </c>
      <c r="Q64" s="18" t="inlineStr"/>
    </row>
    <row r="65">
      <c r="A65" s="15" t="inlineStr">
        <is>
          <t>64</t>
        </is>
      </c>
      <c r="B65" s="18" t="inlineStr">
        <is>
          <t>อาการของผู้ป่วยรายนี้ถือว่าเป็นการปวดหัวแบบใด</t>
        </is>
      </c>
      <c r="C65" s="18" t="inlineStr"/>
      <c r="D65" s="18" t="inlineStr">
        <is>
          <t>Tension-type headache</t>
        </is>
      </c>
      <c r="E65" s="18" t="inlineStr">
        <is>
          <t>Migraine headache</t>
        </is>
      </c>
      <c r="F65" s="18" t="inlineStr">
        <is>
          <t>Cluster headache</t>
        </is>
      </c>
      <c r="G65" s="18" t="inlineStr">
        <is>
          <t>Sinusitis headache</t>
        </is>
      </c>
      <c r="H65" s="18" t="inlineStr">
        <is>
          <t>Thunderclap headache</t>
        </is>
      </c>
      <c r="I65" s="15" t="inlineStr">
        <is>
          <t>1</t>
        </is>
      </c>
      <c r="J65" s="18"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(Tension-type headache): ข้อนี้ไม่ใช่คำตอบที่ถูกต้องสำหรับภาวะ Pain management เนื่องจากกลไกการออกฤทธิ์, efficacy หรือข้อบ่งใช้ไม่ตรงกับโจทย์ที่กำหนด
• ข้อ ค. (Migraine headache): ข้อนี้ไม่ใช่คำตอบที่ถูกต้องสำหรับภาวะ Pain management เนื่องจากกลไกการออกฤทธิ์, efficacy หรือข้อบ่งใช้ไม่ตรงกับโจทย์ที่กำหนด
• ข้อ ง. (Cluster headache): ข้อนี้ไม่ใช่คำตอบที่ถูกต้องสำหรับภาวะ Pain management เนื่องจากกลไกการออกฤทธิ์, efficacy หรือข้อบ่งใช้ไม่ตรงกับโจทย์ที่กำหนด
• ข้อ จ. (Sinusitis headache): ข้อนี้ไม่ใช่คำตอบที่ถูกต้องสำหรับภาวะ Pain management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8" t="inlineStr"/>
      <c r="L65" s="18" t="inlineStr">
        <is>
          <t>Pain management</t>
        </is>
      </c>
      <c r="M65" s="18" t="inlineStr">
        <is>
          <t>Headache &amp; Migraine</t>
        </is>
      </c>
      <c r="N65" s="18" t="inlineStr">
        <is>
          <t>Mock PLE-CC 1 ข้อ 108</t>
        </is>
      </c>
      <c r="O65" s="18" t="inlineStr">
        <is>
          <t>Mock</t>
        </is>
      </c>
      <c r="P65" s="18" t="inlineStr">
        <is>
          <t>Mock RxCU83</t>
        </is>
      </c>
      <c r="Q65" s="18" t="inlineStr"/>
    </row>
    <row r="66">
      <c r="A66" s="15" t="inlineStr">
        <is>
          <t>65</t>
        </is>
      </c>
      <c r="B66" s="18" t="inlineStr">
        <is>
          <t>ให้บอกแผนการรักษาที่เหมาะสมกับผู้ป่วยรายนี้</t>
        </is>
      </c>
      <c r="C66" s="18" t="inlineStr"/>
      <c r="D66" s="18" t="inlineStr">
        <is>
          <t>Diclofenac</t>
        </is>
      </c>
      <c r="E66" s="18" t="inlineStr">
        <is>
          <t>Paracetamol</t>
        </is>
      </c>
      <c r="F66" s="18" t="inlineStr">
        <is>
          <t>Dexamethasone</t>
        </is>
      </c>
      <c r="G66" s="18" t="inlineStr">
        <is>
          <t>Eleptriptan</t>
        </is>
      </c>
      <c r="H66" s="18" t="inlineStr">
        <is>
          <t>Nortriptyline</t>
        </is>
      </c>
      <c r="I66" s="15" t="inlineStr">
        <is>
          <t>1</t>
        </is>
      </c>
      <c r="J66" s="18"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(Diclofenac): ข้อนี้ไม่ใช่คำตอบที่ถูกต้องสำหรับภาวะ Headache เนื่องจากกลไกการออกฤทธิ์, efficacy หรือข้อบ่งใช้ไม่ตรงกับโจทย์ที่กำหนด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(Dexamethasone): เป็น long-acting potent glucocorticoid ไม่มี mineralocorticoid effect จึงไม่ทำให้น้ำคั่ง เหมาะสำหรับ brain edema, antiemetic, และ COVID-19 with hypoxemia
• ข้อ จ. (Eleptriptan):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8" t="inlineStr"/>
      <c r="L66" s="18" t="inlineStr">
        <is>
          <t>Headache</t>
        </is>
      </c>
      <c r="M66" s="18" t="inlineStr">
        <is>
          <t>Headache &amp; Migraine</t>
        </is>
      </c>
      <c r="N66" s="18" t="inlineStr">
        <is>
          <t>Mock PLE-CC 1 ข้อ 109</t>
        </is>
      </c>
      <c r="O66" s="18" t="inlineStr">
        <is>
          <t>Mock</t>
        </is>
      </c>
      <c r="P66" s="18" t="inlineStr">
        <is>
          <t>Mock RxCU83</t>
        </is>
      </c>
      <c r="Q66" s="18" t="inlineStr"/>
    </row>
    <row r="67">
      <c r="A67" s="15" t="inlineStr">
        <is>
          <t>66</t>
        </is>
      </c>
      <c r="B67" s="18" t="inlineStr">
        <is>
          <t>ผู้ป่วยรายนี้ไม่ควรได้รับยาป้องกันไมเกรนในข้อใด เพราะจะทำให้อาการของโรคซึมเศร้าแย่ลง</t>
        </is>
      </c>
      <c r="C67" s="18" t="inlineStr"/>
      <c r="D67" s="18" t="inlineStr">
        <is>
          <t>Topiramate</t>
        </is>
      </c>
      <c r="E67" s="18" t="inlineStr">
        <is>
          <t>Atenolol</t>
        </is>
      </c>
      <c r="F67" s="18" t="inlineStr">
        <is>
          <t>Vitamin B6</t>
        </is>
      </c>
      <c r="G67" s="18" t="inlineStr">
        <is>
          <t>amitriptyline</t>
        </is>
      </c>
      <c r="H67" s="18" t="inlineStr">
        <is>
          <t>flunarizine</t>
        </is>
      </c>
      <c r="I67" s="15" t="inlineStr">
        <is>
          <t>1</t>
        </is>
      </c>
      <c r="J67" s="18"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เป็น carbonic anhydrase inhibitor และ glutamate blocker ทำให้เกิดน้ำหนักลด สมาธิลดลง นิ่วในไต และ secondary angle-closure glaucoma
• ข้อ ค. (Atenolol): เป็น hydrophilic cardioselective beta-1 blocker ขับออกทางไตเป็นหลัก แต่ evidence ในการลด stroke และ cardiovascular events ด้อยกว่า antihypertensive อื่นๆ
• ข้อ ง. (Vitamin B6): ข้อนี้ไม่ใช่คำตอบที่ถูกต้องสำหรับภาวะ Headache เนื่องจากกลไกการออกฤทธิ์, efficacy หรือข้อบ่งใช้ไม่ตรงกับโจทย์ที่กำหนด
• ข้อ จ. (amitriptyline):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18" t="inlineStr"/>
      <c r="L67" s="18" t="inlineStr">
        <is>
          <t>Headache</t>
        </is>
      </c>
      <c r="M67" s="18" t="inlineStr">
        <is>
          <t>Headache &amp; Migraine</t>
        </is>
      </c>
      <c r="N67" s="18" t="inlineStr">
        <is>
          <t>Mock PLE-CC 1 ข้อ 110</t>
        </is>
      </c>
      <c r="O67" s="18" t="inlineStr">
        <is>
          <t>Mock</t>
        </is>
      </c>
      <c r="P67" s="18" t="inlineStr">
        <is>
          <t>Mock RxCU83</t>
        </is>
      </c>
      <c r="Q67" s="18" t="inlineStr"/>
    </row>
    <row r="68">
      <c r="A68" s="15" t="inlineStr">
        <is>
          <t>67</t>
        </is>
      </c>
      <c r="B68" s="18" t="inlineStr">
        <is>
          <t>ผู้ป่วยที่ใช้ NSAIDS (เช่น naproxen) ในการรักษาไมเกรนบ่อยเกินไป อาจทำให้เกิดภาวะใด</t>
        </is>
      </c>
      <c r="C68" s="18" t="inlineStr"/>
      <c r="D68" s="18" t="inlineStr">
        <is>
          <t>rebound hypertension</t>
        </is>
      </c>
      <c r="E68" s="18" t="inlineStr">
        <is>
          <t>Medication overuse headache</t>
        </is>
      </c>
      <c r="F68" s="18" t="inlineStr">
        <is>
          <t>Serotonin syndrome</t>
        </is>
      </c>
      <c r="G68" s="18" t="inlineStr">
        <is>
          <t>orthostatic hypotension</t>
        </is>
      </c>
      <c r="H68" s="18" t="inlineStr">
        <is>
          <t>parkinsonism</t>
        </is>
      </c>
      <c r="I68" s="15" t="inlineStr">
        <is>
          <t>1</t>
        </is>
      </c>
      <c r="J68" s="18"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(rebound hypertension): ข้อนี้ไม่ใช่คำตอบที่ถูกต้องสำหรับภาวะ Headache เนื่องจากกลไกการออกฤทธิ์, efficacy หรือข้อบ่งใช้ไม่ตรงกับโจทย์ที่กำหนด
• ข้อ ค. (Medication overuse headache): ข้อนี้ไม่ใช่คำตอบที่ถูกต้องสำหรับภาวะ Headache เนื่องจากกลไกการออกฤทธิ์, efficacy หรือข้อบ่งใช้ไม่ตรงกับโจทย์ที่กำหนด
• ข้อ ง. (Serotonin syndrome): ข้อนี้ไม่ใช่คำตอบที่ถูกต้องสำหรับภาวะ Headache เนื่องจากกลไกการออกฤทธิ์, efficacy หรือข้อบ่งใช้ไม่ตรงกับโจทย์ที่กำหนด
• ข้อ จ. (orthostatic hypotension):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18" t="inlineStr"/>
      <c r="L68" s="18" t="inlineStr">
        <is>
          <t>Headache</t>
        </is>
      </c>
      <c r="M68" s="18" t="inlineStr">
        <is>
          <t>Headache &amp; Migraine</t>
        </is>
      </c>
      <c r="N68" s="18" t="inlineStr">
        <is>
          <t>Mock PLE-CC 1 ข้อ 112</t>
        </is>
      </c>
      <c r="O68" s="18" t="inlineStr">
        <is>
          <t>Mock</t>
        </is>
      </c>
      <c r="P68" s="18" t="inlineStr">
        <is>
          <t>Mock RxCU83</t>
        </is>
      </c>
      <c r="Q68" s="18" t="inlineStr"/>
    </row>
    <row r="69">
      <c r="A69" s="15" t="inlineStr">
        <is>
          <t>68</t>
        </is>
      </c>
      <c r="B69" s="18" t="inlineStr">
        <is>
          <t>ยากันชักที่ใช้ในคนตั้งครรภ์. ตัวเลือก</t>
        </is>
      </c>
      <c r="C69" s="18" t="inlineStr"/>
      <c r="D69" s="18" t="inlineStr">
        <is>
          <t>Neurologic Disorder</t>
        </is>
      </c>
      <c r="E69" s="18" t="inlineStr">
        <is>
          <t>Levodopa/Benserazide 100/25 mg TID</t>
        </is>
      </c>
      <c r="F69" s="18" t="inlineStr">
        <is>
          <t>Sumatriptan 50 mg stat</t>
        </is>
      </c>
      <c r="G69" s="18" t="inlineStr">
        <is>
          <t>Propranolol 40 mg BID</t>
        </is>
      </c>
      <c r="H69" s="18" t="inlineStr">
        <is>
          <t>Topiramate 25 mg BID</t>
        </is>
      </c>
      <c r="I69" s="15" t="inlineStr">
        <is>
          <t>1</t>
        </is>
      </c>
      <c r="J69" s="1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18" t="inlineStr"/>
      <c r="L69" s="18" t="inlineStr">
        <is>
          <t>Epilepsy</t>
        </is>
      </c>
      <c r="M69" s="18" t="inlineStr">
        <is>
          <t>Neurologic Disorder</t>
        </is>
      </c>
      <c r="N69" s="18" t="inlineStr">
        <is>
          <t>PLE-CC1 ปี 2566 Day 1 ข้อ 6</t>
        </is>
      </c>
      <c r="O69" s="18" t="inlineStr">
        <is>
          <t>ข้อสอบจริง</t>
        </is>
      </c>
      <c r="P69" s="18" t="inlineStr">
        <is>
          <t>ปี 2566</t>
        </is>
      </c>
    </row>
    <row r="70">
      <c r="A70" s="15" t="inlineStr">
        <is>
          <t>69</t>
        </is>
      </c>
      <c r="B70" s="18" t="inlineStr">
        <is>
          <t>sodium valproate</t>
        </is>
      </c>
      <c r="C70" s="18" t="inlineStr"/>
      <c r="D70" s="18" t="inlineStr">
        <is>
          <t>Neurologic Disorder</t>
        </is>
      </c>
      <c r="E70" s="18" t="inlineStr">
        <is>
          <t>Topiramate 25 mg BID</t>
        </is>
      </c>
      <c r="F70" s="18" t="inlineStr">
        <is>
          <t>Donepezil 5 mg HS</t>
        </is>
      </c>
      <c r="G70" s="18" t="inlineStr">
        <is>
          <t>Alteplase (rtPA) 0.9 mg/kg IV</t>
        </is>
      </c>
      <c r="H70" s="18" t="inlineStr">
        <is>
          <t>Phenytoin 100 mg TID</t>
        </is>
      </c>
      <c r="I70" s="15" t="inlineStr">
        <is>
          <t>1</t>
        </is>
      </c>
      <c r="J70" s="1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Headache เนื่องจากกลไกการออกฤทธิ์, efficacy หรือข้อบ่งใช้ไม่ตรงกับโจทย์ที่กำหนด
• ข้อ ง. (Alteplase (rtPA) 0.9 mg/kg IV): ข้อนี้ไม่ใช่คำตอบที่ถูกต้องสำหรับภาวะ Headache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18" t="inlineStr"/>
      <c r="L70" s="18" t="inlineStr">
        <is>
          <t>Headache</t>
        </is>
      </c>
      <c r="M70" s="18" t="inlineStr">
        <is>
          <t>Neurologic Disorder</t>
        </is>
      </c>
      <c r="N70" s="18" t="inlineStr">
        <is>
          <t>PLE-CC1 ปี 2566 Day 1 ข้อ 3</t>
        </is>
      </c>
      <c r="O70" s="18" t="inlineStr">
        <is>
          <t>ข้อสอบจริง</t>
        </is>
      </c>
      <c r="P70" s="18" t="inlineStr">
        <is>
          <t>ปี 2566</t>
        </is>
      </c>
    </row>
    <row r="71">
      <c r="A71" s="15" t="inlineStr">
        <is>
          <t>70</t>
        </is>
      </c>
      <c r="B71" s="18" t="inlineStr">
        <is>
          <t>Mechanism ของphenytoin . ตัวเลือก</t>
        </is>
      </c>
      <c r="C71" s="18" t="inlineStr"/>
      <c r="D71" s="18" t="inlineStr">
        <is>
          <t>Neurologic Disorder</t>
        </is>
      </c>
      <c r="E71" s="18" t="inlineStr">
        <is>
          <t>Phenytoin 100 mg TID</t>
        </is>
      </c>
      <c r="F71" s="18" t="inlineStr">
        <is>
          <t>Sodium valproate 200 mg TID</t>
        </is>
      </c>
      <c r="G71" s="18" t="inlineStr">
        <is>
          <t>Carbamazepine 200 mg BID</t>
        </is>
      </c>
      <c r="H71" s="18" t="inlineStr">
        <is>
          <t>Lamotrigine 50 mg OD</t>
        </is>
      </c>
      <c r="I71" s="15" t="inlineStr">
        <is>
          <t>1</t>
        </is>
      </c>
      <c r="J71" s="1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18" t="inlineStr"/>
      <c r="L71" s="18" t="inlineStr">
        <is>
          <t>Epilepsy</t>
        </is>
      </c>
      <c r="M71" s="18" t="inlineStr">
        <is>
          <t>Neurologic Disorder</t>
        </is>
      </c>
      <c r="N71" s="18" t="inlineStr">
        <is>
          <t>PLE-CC1 ปี 2566 Day 1 ข้อ 7</t>
        </is>
      </c>
      <c r="O71" s="18" t="inlineStr">
        <is>
          <t>ข้อสอบจริง</t>
        </is>
      </c>
      <c r="P71" s="18" t="inlineStr">
        <is>
          <t>ปี 2566</t>
        </is>
      </c>
    </row>
    <row r="72">
      <c r="A72" s="15" t="inlineStr">
        <is>
          <t>71</t>
        </is>
      </c>
      <c r="B72" s="18" t="inlineStr">
        <is>
          <t>Non linear pharmacokinetics ของphenytoin . ตัวเลือก</t>
        </is>
      </c>
      <c r="C72" s="18" t="inlineStr"/>
      <c r="D72" s="18" t="inlineStr">
        <is>
          <t>Neurologic Disorder</t>
        </is>
      </c>
      <c r="E72" s="18" t="inlineStr">
        <is>
          <t>Lamotrigine 50 mg OD</t>
        </is>
      </c>
      <c r="F72" s="18" t="inlineStr">
        <is>
          <t>Levetiracetam 500 mg BID</t>
        </is>
      </c>
      <c r="G72" s="18" t="inlineStr">
        <is>
          <t>Gabapentin 300 mg TID</t>
        </is>
      </c>
      <c r="H72" s="18" t="inlineStr">
        <is>
          <t>Pregabalin 75 mg BID</t>
        </is>
      </c>
      <c r="I72" s="15" t="inlineStr">
        <is>
          <t>1</t>
        </is>
      </c>
      <c r="J72" s="1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Epilepsy เนื่องจากกลไกการออกฤทธิ์, efficacy หรือข้อบ่งใช้ไม่ตรงกับโจทย์ที่กำหนด
• ข้อ จ. (Pregabalin 75 mg BID):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18" t="inlineStr"/>
      <c r="L72" s="18" t="inlineStr">
        <is>
          <t>Epilepsy</t>
        </is>
      </c>
      <c r="M72" s="18" t="inlineStr">
        <is>
          <t>Neurologic Disorder</t>
        </is>
      </c>
      <c r="N72" s="18" t="inlineStr">
        <is>
          <t>PLE-CC1 ปี 2566 Day 1 ข้อ 8</t>
        </is>
      </c>
      <c r="O72" s="18" t="inlineStr">
        <is>
          <t>ข้อสอบจริง</t>
        </is>
      </c>
      <c r="P72" s="18" t="inlineStr">
        <is>
          <t>ปี 2566</t>
        </is>
      </c>
    </row>
    <row r="73">
      <c r="A73" s="15" t="inlineStr">
        <is>
          <t>72</t>
        </is>
      </c>
      <c r="B73" s="18" t="inlineStr">
        <is>
          <t>พิษของphenytoin ตัวเลือก</t>
        </is>
      </c>
      <c r="C73" s="18" t="inlineStr"/>
      <c r="D73" s="18" t="inlineStr">
        <is>
          <t>Neurologic Disorder</t>
        </is>
      </c>
      <c r="E73" s="18" t="inlineStr">
        <is>
          <t>Pregabalin 75 mg BID</t>
        </is>
      </c>
      <c r="F73" s="18" t="inlineStr">
        <is>
          <t>Levodopa/Benserazide 100/25 mg TID</t>
        </is>
      </c>
      <c r="G73" s="18" t="inlineStr">
        <is>
          <t>Sumatriptan 50 mg stat</t>
        </is>
      </c>
      <c r="H73" s="18" t="inlineStr">
        <is>
          <t>Propranolol 40 mg BID</t>
        </is>
      </c>
      <c r="I73" s="15" t="inlineStr">
        <is>
          <t>1</t>
        </is>
      </c>
      <c r="J73" s="1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18" t="inlineStr"/>
      <c r="L73" s="18" t="inlineStr">
        <is>
          <t>Epilepsy</t>
        </is>
      </c>
      <c r="M73" s="18" t="inlineStr">
        <is>
          <t>Neurologic Disorder</t>
        </is>
      </c>
      <c r="N73" s="18" t="inlineStr">
        <is>
          <t>PLE-CC1 ปี 2566 Day 1 ข้อ 31</t>
        </is>
      </c>
      <c r="O73" s="18" t="inlineStr">
        <is>
          <t>ข้อสอบจริง</t>
        </is>
      </c>
      <c r="P73" s="18" t="inlineStr">
        <is>
          <t>ปี 2566</t>
        </is>
      </c>
    </row>
    <row r="74">
      <c r="A74" s="15" t="inlineStr">
        <is>
          <t>73</t>
        </is>
      </c>
      <c r="B74" s="18" t="inlineStr">
        <is>
          <t>Prophylaxis migraine มีประวัติเศร้าหม่นควรใช้ยาอะไร. ตัวเลือก</t>
        </is>
      </c>
      <c r="C74" s="18" t="inlineStr"/>
      <c r="D74" s="18" t="inlineStr">
        <is>
          <t>Neurologic Disorder</t>
        </is>
      </c>
      <c r="E74" s="18" t="inlineStr">
        <is>
          <t>Propranolol 40 mg BID</t>
        </is>
      </c>
      <c r="F74" s="18" t="inlineStr">
        <is>
          <t>Topiramate 25 mg BID</t>
        </is>
      </c>
      <c r="G74" s="18" t="inlineStr">
        <is>
          <t>Donepezil 5 mg HS</t>
        </is>
      </c>
      <c r="H74" s="18" t="inlineStr">
        <is>
          <t>Alteplase (rtPA) 0.9 mg/kg IV</t>
        </is>
      </c>
      <c r="I74" s="15" t="inlineStr">
        <is>
          <t>1</t>
        </is>
      </c>
      <c r="J74" s="18"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Headache เนื่องจากกลไกการออกฤทธิ์, efficacy หรือข้อบ่งใช้ไม่ตรงกับโจทย์ที่กำหนด
• ข้อ จ. (Alteplase (rtPA) 0.9 mg/kg IV):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18" t="inlineStr"/>
      <c r="L74" s="18" t="inlineStr">
        <is>
          <t>Headache</t>
        </is>
      </c>
      <c r="M74" s="18" t="inlineStr">
        <is>
          <t>Neurologic Disorder</t>
        </is>
      </c>
      <c r="N74" s="18" t="inlineStr">
        <is>
          <t>PLE-CC1 ปี 2566 Day 2 ข้อ 19</t>
        </is>
      </c>
      <c r="O74" s="18" t="inlineStr">
        <is>
          <t>ข้อสอบจริง</t>
        </is>
      </c>
      <c r="P74" s="18" t="inlineStr">
        <is>
          <t>ปี 2566</t>
        </is>
      </c>
    </row>
    <row r="75">
      <c r="A75" s="15" t="inlineStr">
        <is>
          <t>74</t>
        </is>
      </c>
      <c r="B75" s="18" t="inlineStr">
        <is>
          <t>Migraine headaches</t>
        </is>
      </c>
      <c r="C75" s="18" t="inlineStr"/>
      <c r="D75" s="18" t="inlineStr">
        <is>
          <t>Neurologic Disorder</t>
        </is>
      </c>
      <c r="E75" s="18" t="inlineStr">
        <is>
          <t>Alteplase (rtPA) 0.9 mg/kg IV</t>
        </is>
      </c>
      <c r="F75" s="18" t="inlineStr">
        <is>
          <t>Phenytoin 100 mg TID</t>
        </is>
      </c>
      <c r="G75" s="18" t="inlineStr">
        <is>
          <t>Sodium valproate 200 mg TID</t>
        </is>
      </c>
      <c r="H75" s="18" t="inlineStr">
        <is>
          <t>Carbamazepine 200 mg BID</t>
        </is>
      </c>
      <c r="I75" s="15" t="inlineStr">
        <is>
          <t>1</t>
        </is>
      </c>
      <c r="J75" s="18"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Headache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8" t="inlineStr"/>
      <c r="L75" s="18" t="inlineStr">
        <is>
          <t>Headache</t>
        </is>
      </c>
      <c r="M75" s="18" t="inlineStr">
        <is>
          <t>Neurologic Disorder</t>
        </is>
      </c>
      <c r="N75" s="18" t="inlineStr">
        <is>
          <t>PLE-CC1 ปี 2566 Day 2 ข้อ 1</t>
        </is>
      </c>
      <c r="O75" s="18" t="inlineStr">
        <is>
          <t>ข้อสอบจริง</t>
        </is>
      </c>
      <c r="P75" s="18" t="inlineStr">
        <is>
          <t>ปี 2566</t>
        </is>
      </c>
    </row>
    <row r="76">
      <c r="A76" s="15" t="inlineStr">
        <is>
          <t>75</t>
        </is>
      </c>
      <c r="B76" s="18" t="inlineStr">
        <is>
          <t>Tension headaches</t>
        </is>
      </c>
      <c r="C76" s="18" t="inlineStr"/>
      <c r="D76" s="18" t="inlineStr">
        <is>
          <t>Neurologic Disorder</t>
        </is>
      </c>
      <c r="E76" s="18" t="inlineStr">
        <is>
          <t>Carbamazepine 200 mg BID</t>
        </is>
      </c>
      <c r="F76" s="18" t="inlineStr">
        <is>
          <t>Lamotrigine 50 mg OD</t>
        </is>
      </c>
      <c r="G76" s="18" t="inlineStr">
        <is>
          <t>Levetiracetam 500 mg BID</t>
        </is>
      </c>
      <c r="H76" s="18" t="inlineStr">
        <is>
          <t>Gabapentin 300 mg TID</t>
        </is>
      </c>
      <c r="I76" s="15" t="inlineStr">
        <is>
          <t>1</t>
        </is>
      </c>
      <c r="J76" s="18"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8" t="inlineStr"/>
      <c r="L76" s="18" t="inlineStr">
        <is>
          <t>Headache</t>
        </is>
      </c>
      <c r="M76" s="18" t="inlineStr">
        <is>
          <t>Neurologic Disorder</t>
        </is>
      </c>
      <c r="N76" s="18" t="inlineStr">
        <is>
          <t>PLE-CC1 ปี 2566 Day 2 ข้อ 2</t>
        </is>
      </c>
      <c r="O76" s="18" t="inlineStr">
        <is>
          <t>ข้อสอบจริง</t>
        </is>
      </c>
      <c r="P76" s="18" t="inlineStr">
        <is>
          <t>ปี 2566</t>
        </is>
      </c>
    </row>
    <row r="77">
      <c r="A77" s="15" t="inlineStr">
        <is>
          <t>76</t>
        </is>
      </c>
      <c r="B77" s="18" t="inlineStr">
        <is>
          <t>Cluster headaches</t>
        </is>
      </c>
      <c r="C77" s="18" t="inlineStr"/>
      <c r="D77" s="18" t="inlineStr">
        <is>
          <t>Neurologic Disorder</t>
        </is>
      </c>
      <c r="E77" s="18" t="inlineStr">
        <is>
          <t>Gabapentin 300 mg TID</t>
        </is>
      </c>
      <c r="F77" s="18" t="inlineStr">
        <is>
          <t>Pregabalin 75 mg BID</t>
        </is>
      </c>
      <c r="G77" s="18" t="inlineStr">
        <is>
          <t>Levodopa/Benserazide 100/25 mg TID</t>
        </is>
      </c>
      <c r="H77" s="18" t="inlineStr">
        <is>
          <t>Sumatriptan 50 mg stat</t>
        </is>
      </c>
      <c r="I77" s="15" t="inlineStr">
        <is>
          <t>1</t>
        </is>
      </c>
      <c r="J77" s="18"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ข้อนี้ไม่ใช่คำตอบที่ถูกต้องสำหรับภาวะ Headache เนื่องจากกลไกการออกฤทธิ์, efficacy หรือข้อบ่งใช้ไม่ตรงกับโจทย์ที่กำหนด
• ข้อ ค. (Pregabalin 75 mg BID): ข้อนี้ไม่ใช่คำตอบที่ถูกต้องสำหรับภาวะ Headache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8" t="inlineStr"/>
      <c r="L77" s="18" t="inlineStr">
        <is>
          <t>Headache</t>
        </is>
      </c>
      <c r="M77" s="18" t="inlineStr">
        <is>
          <t>Neurologic Disorder</t>
        </is>
      </c>
      <c r="N77" s="18" t="inlineStr">
        <is>
          <t>PLE-CC1 ปี 2566 Day 2 ข้อ 3</t>
        </is>
      </c>
      <c r="O77" s="18" t="inlineStr">
        <is>
          <t>ข้อสอบจริง</t>
        </is>
      </c>
      <c r="P77" s="18" t="inlineStr">
        <is>
          <t>ปี 2566</t>
        </is>
      </c>
    </row>
    <row r="78">
      <c r="A78" s="15" t="inlineStr">
        <is>
          <t>77</t>
        </is>
      </c>
      <c r="B78" s="18" t="inlineStr">
        <is>
          <t>Secondary headaches</t>
        </is>
      </c>
      <c r="C78" s="18" t="inlineStr"/>
      <c r="D78" s="18" t="inlineStr">
        <is>
          <t>Neurologic Disorder</t>
        </is>
      </c>
      <c r="E78" s="18" t="inlineStr">
        <is>
          <t>Sumatriptan 50 mg stat</t>
        </is>
      </c>
      <c r="F78" s="18" t="inlineStr">
        <is>
          <t>Propranolol 40 mg BID</t>
        </is>
      </c>
      <c r="G78" s="18" t="inlineStr">
        <is>
          <t>Topiramate 25 mg BID</t>
        </is>
      </c>
      <c r="H78" s="18" t="inlineStr">
        <is>
          <t>Donepezil 5 mg HS</t>
        </is>
      </c>
      <c r="I78" s="15" t="inlineStr">
        <is>
          <t>1</t>
        </is>
      </c>
      <c r="J78" s="18"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8" t="inlineStr"/>
      <c r="L78" s="18" t="inlineStr">
        <is>
          <t>Headache</t>
        </is>
      </c>
      <c r="M78" s="18" t="inlineStr">
        <is>
          <t>Neurologic Disorder</t>
        </is>
      </c>
      <c r="N78" s="18" t="inlineStr">
        <is>
          <t>PLE-CC1 ปี 2566 Day 2 ข้อ 4</t>
        </is>
      </c>
      <c r="O78" s="18" t="inlineStr">
        <is>
          <t>ข้อสอบจริง</t>
        </is>
      </c>
      <c r="P78" s="18" t="inlineStr">
        <is>
          <t>ปี 2566</t>
        </is>
      </c>
    </row>
    <row r="79">
      <c r="A79" s="15" t="inlineStr">
        <is>
          <t>78</t>
        </is>
      </c>
      <c r="B79" s="18" t="inlineStr">
        <is>
          <t>สาเหตุที่ควรprophylaxis migraine. ตัวเลือก</t>
        </is>
      </c>
      <c r="C79" s="18" t="inlineStr"/>
      <c r="D79" s="18" t="inlineStr">
        <is>
          <t>Neurologic Disorder</t>
        </is>
      </c>
      <c r="E79" s="18" t="inlineStr">
        <is>
          <t>Donepezil 5 mg HS</t>
        </is>
      </c>
      <c r="F79" s="18" t="inlineStr">
        <is>
          <t>Alteplase (rtPA) 0.9 mg/kg IV</t>
        </is>
      </c>
      <c r="G79" s="18" t="inlineStr">
        <is>
          <t>Phenytoin 100 mg TID</t>
        </is>
      </c>
      <c r="H79" s="18" t="inlineStr">
        <is>
          <t>Sodium valproate 200 mg TID</t>
        </is>
      </c>
      <c r="I79" s="15" t="inlineStr">
        <is>
          <t>1</t>
        </is>
      </c>
      <c r="J79" s="18"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ข้อนี้ไม่ใช่คำตอบที่ถูกต้องสำหรับภาวะ Headache เนื่องจากกลไกการออกฤทธิ์, efficacy หรือข้อบ่งใช้ไม่ตรงกับโจทย์ที่กำหนด
• ข้อ ค. (Alteplase (rtPA) 0.9 mg/kg IV): ข้อนี้ไม่ใช่คำตอบที่ถูกต้องสำหรับภาวะ Headache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18" t="inlineStr"/>
      <c r="L79" s="18" t="inlineStr">
        <is>
          <t>Headache</t>
        </is>
      </c>
      <c r="M79" s="18" t="inlineStr">
        <is>
          <t>Neurologic Disorder</t>
        </is>
      </c>
      <c r="N79" s="18" t="inlineStr">
        <is>
          <t>PLE-CC1 ปี 2566 Day 2 ข้อ 21</t>
        </is>
      </c>
      <c r="O79" s="18" t="inlineStr">
        <is>
          <t>ข้อสอบจริง</t>
        </is>
      </c>
      <c r="P79" s="18" t="inlineStr">
        <is>
          <t>ปี 2566</t>
        </is>
      </c>
    </row>
    <row r="80">
      <c r="A80" s="15" t="inlineStr">
        <is>
          <t>79</t>
        </is>
      </c>
      <c r="B80" s="18" t="inlineStr">
        <is>
          <t>.การศึกษาMeta-analysis ว่าการใช้propranololสามารถป้องกันการเกิดไมเกรนได้หรือไม่ข้อใดถูกต้อง ตัวเลือก</t>
        </is>
      </c>
      <c r="C80" s="18" t="inlineStr"/>
      <c r="D80" s="18" t="inlineStr">
        <is>
          <t>Neurologic Disorder</t>
        </is>
      </c>
      <c r="E80" s="18" t="inlineStr">
        <is>
          <t>Sodium valproate 200 mg TID</t>
        </is>
      </c>
      <c r="F80" s="18" t="inlineStr">
        <is>
          <t>Carbamazepine 200 mg BID</t>
        </is>
      </c>
      <c r="G80" s="18" t="inlineStr">
        <is>
          <t>Lamotrigine 50 mg OD</t>
        </is>
      </c>
      <c r="H80" s="18" t="inlineStr">
        <is>
          <t>Levetiracetam 500 mg BID</t>
        </is>
      </c>
      <c r="I80" s="15" t="inlineStr">
        <is>
          <t>1</t>
        </is>
      </c>
      <c r="J80" s="18"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8" t="inlineStr"/>
      <c r="L80" s="18" t="inlineStr">
        <is>
          <t>Headache</t>
        </is>
      </c>
      <c r="M80" s="18" t="inlineStr">
        <is>
          <t>Neurologic Disorder</t>
        </is>
      </c>
      <c r="N80" s="18" t="inlineStr">
        <is>
          <t>PLE-CC1 ปี 2566 Day 2 ข้อ 85</t>
        </is>
      </c>
      <c r="O80" s="18" t="inlineStr">
        <is>
          <t>ข้อสอบจริง</t>
        </is>
      </c>
      <c r="P80" s="18" t="inlineStr">
        <is>
          <t>ปี 2566</t>
        </is>
      </c>
    </row>
    <row r="81">
      <c r="A81" s="15" t="inlineStr">
        <is>
          <t>80</t>
        </is>
      </c>
      <c r="B81" s="18" t="inlineStr">
        <is>
          <t>ISDN Sublingual ไม;ตองทดสอบเรื่องอะไร 120-130 / 70-79 mmHg (Thai guideline on the treatment of hypertension 2015)</t>
        </is>
      </c>
      <c r="C81" s="18" t="inlineStr"/>
      <c r="D81" s="18" t="inlineStr">
        <is>
          <t>friability</t>
        </is>
      </c>
      <c r="E81" s="18" t="inlineStr">
        <is>
          <t>Disintegration</t>
        </is>
      </c>
      <c r="F81" s="18" t="inlineStr">
        <is>
          <t>Dissolution time</t>
        </is>
      </c>
      <c r="G81" s="18" t="inlineStr">
        <is>
          <t>Thickness</t>
        </is>
      </c>
      <c r="H81" s="18" t="inlineStr">
        <is>
          <t>Content uniformity ยาเ,น@ปแบบอมใCDน จะเ.ด disintegration แGวเIาJKางกายไLโดยไ"เ.ดการละลาย 0งไ"Oเ,นCองทดสอบการละลาย</t>
        </is>
      </c>
      <c r="I81" s="15" t="inlineStr">
        <is>
          <t>1</t>
        </is>
      </c>
      <c r="J81" s="18"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(friability): ข้อนี้ไม่ใช่คำตอบที่ถูกต้องสำหรับภาวะ Headache เนื่องจากกลไกการออกฤทธิ์, efficacy หรือข้อบ่งใช้ไม่ตรงกับโจทย์ที่กำหนด
• ข้อ ค. (Disintegration): ข้อนี้ไม่ใช่คำตอบที่ถูกต้องสำหรับภาวะ Headache เนื่องจากกลไกการออกฤทธิ์, efficacy หรือข้อบ่งใช้ไม่ตรงกับโจทย์ที่กำหนด
• ข้อ ง. (Dissolution time): ข้อนี้ไม่ใช่คำตอบที่ถูกต้องสำหรับภาวะ Headache เนื่องจากกลไกการออกฤทธิ์, efficacy หรือข้อบ่งใช้ไม่ตรงกับโจทย์ที่กำหนด
• ข้อ จ. (Thickness):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18" t="inlineStr"/>
      <c r="L81" s="18" t="inlineStr">
        <is>
          <t>Headache</t>
        </is>
      </c>
      <c r="M81" s="18" t="inlineStr">
        <is>
          <t>Neurologic Disorder</t>
        </is>
      </c>
      <c r="N81" s="18" t="inlineStr">
        <is>
          <t>PLE_CC1_2565_Day1_Key ข้อ 4</t>
        </is>
      </c>
      <c r="O81" s="18" t="inlineStr">
        <is>
          <t>ข้อสอบจริง</t>
        </is>
      </c>
      <c r="P81" s="18" t="inlineStr">
        <is>
          <t>ปี 2565</t>
        </is>
      </c>
      <c r="Q81" s="18" t="inlineStr"/>
    </row>
    <row r="82">
      <c r="A82" s="15" t="inlineStr">
        <is>
          <t>81</t>
        </is>
      </c>
      <c r="B82" s="18" t="inlineStr">
        <is>
          <t>หากแพทย6เลือกใช$ topiramate เพื่อป¢องกันการปวดศีรษะจากไมเกรน ข$อใดถูกต$องเกี่ยวกับยานี้ ไWแcใจ</t>
        </is>
      </c>
      <c r="C82" s="18" t="inlineStr"/>
      <c r="D82" s="18" t="inlineStr">
        <is>
          <t>มีโอกาสเกิด cross allergy กับ cotrimoxazole ได$สูงมาก</t>
        </is>
      </c>
      <c r="E82" s="18" t="inlineStr">
        <is>
          <t>ค-อยๆ ปรับเพิ่มขนาดยาจนถึง target dose หรือจนกว-าจะทนผลข$างเคียงยาไม-ได$</t>
        </is>
      </c>
      <c r="F82" s="18" t="inlineStr">
        <is>
          <t>ใช$เวลา 2-4 สัปดาห6จึงจะเห็นผลการรักษา</t>
        </is>
      </c>
      <c r="G82" s="18" t="inlineStr">
        <is>
          <t>ต$องใช$ยาอย-างน$อย 6 เดือน</t>
        </is>
      </c>
      <c r="H82" s="18" t="inlineStr">
        <is>
          <t>ใช$ Maintain dose น$อยกว-าการให$เพื่อรักษาอาการชัก กรณีศึกษา 7</t>
        </is>
      </c>
      <c r="I82" s="15" t="inlineStr">
        <is>
          <t>1</t>
        </is>
      </c>
      <c r="J82" s="18"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(มีโอกาสเกิด cross allergy กับ cotrimoxazole ได$สูงมาก): เป็นยาผสม Trimethoprim/Sulfamethoxazole (TMP/SMX) เป็น drug of choice สำหรับ PCP/PJP prophylaxis &amp; treatment, Stenotrophomonas และ Nocardia ระวัง hyperkalemia และ SCARs
• ข้อ ค. (ค-อยๆ ปรับเพิ่มขนาดยาจนถึง target dose หรือจนกว-าจะทนผลข$างเคียงยาไม-ได$): ข้อนี้ไม่ใช่คำตอบที่ถูกต้องสำหรับภาวะ Headache เนื่องจากกลไกการออกฤทธิ์, efficacy หรือข้อบ่งใช้ไม่ตรงกับโจทย์ที่กำหนด
• ข้อ ง. (ใช$เวลา 2-4 สัปดาห6จึงจะเห็นผลการรักษา): ข้อนี้ไม่ใช่คำตอบที่ถูกต้องสำหรับภาวะ Headache เนื่องจากกลไกการออกฤทธิ์, efficacy หรือข้อบ่งใช้ไม่ตรงกับโจทย์ที่กำหนด
• ข้อ จ. (ต$องใช$ยาอย-างน$อย 6 เดือน):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18" t="inlineStr"/>
      <c r="L82" s="18" t="inlineStr">
        <is>
          <t>Headache</t>
        </is>
      </c>
      <c r="M82" s="18" t="inlineStr">
        <is>
          <t>Neurologic Disorder</t>
        </is>
      </c>
      <c r="N82" s="18" t="inlineStr">
        <is>
          <t>PLE_CC1_2565_Day2_Key ข้อ 19</t>
        </is>
      </c>
      <c r="O82" s="18" t="inlineStr">
        <is>
          <t>ข้อสอบจริง</t>
        </is>
      </c>
      <c r="P82" s="18" t="inlineStr">
        <is>
          <t>ปี 2565</t>
        </is>
      </c>
      <c r="Q82" s="18" t="inlineStr"/>
    </row>
    <row r="83">
      <c r="A83" s="15" t="inlineStr">
        <is>
          <t>82</t>
        </is>
      </c>
      <c r="B83" s="18"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18" t="inlineStr"/>
      <c r="D83" s="18" t="inlineStr">
        <is>
          <t>Neurologic Disorder</t>
        </is>
      </c>
      <c r="E83" s="18" t="inlineStr">
        <is>
          <t>Topiramate 25 mg BID</t>
        </is>
      </c>
      <c r="F83" s="18" t="inlineStr">
        <is>
          <t>Donepezil 5 mg HS</t>
        </is>
      </c>
      <c r="G83" s="18" t="inlineStr">
        <is>
          <t>Alteplase (rtPA) 0.9 mg/kg IV</t>
        </is>
      </c>
      <c r="H83" s="18" t="inlineStr">
        <is>
          <t>Phenytoin 100 mg TID</t>
        </is>
      </c>
      <c r="I83" s="15" t="inlineStr">
        <is>
          <t>1</t>
        </is>
      </c>
      <c r="J83" s="18"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Stroke เนื่องจากกลไกการออกฤทธิ์, efficacy หรือข้อบ่งใช้ไม่ตรงกับโจทย์ที่กำหนด
• ข้อ ง. (Alteplase (rtPA) 0.9 mg/kg IV): ข้อนี้ไม่ใช่คำตอบที่ถูกต้องสำหรับภาวะ Stroke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18" t="inlineStr"/>
      <c r="L83" s="18" t="inlineStr">
        <is>
          <t>Stroke</t>
        </is>
      </c>
      <c r="M83" s="18" t="inlineStr">
        <is>
          <t>Neurologic Disorder</t>
        </is>
      </c>
      <c r="N83" s="18" t="inlineStr">
        <is>
          <t>PLE_CC1_2564_All_Key ข้อ 25</t>
        </is>
      </c>
      <c r="O83" s="18" t="inlineStr">
        <is>
          <t>ข้อสอบจริง</t>
        </is>
      </c>
      <c r="P83" s="18" t="inlineStr">
        <is>
          <t>ปี 2564</t>
        </is>
      </c>
    </row>
    <row r="84">
      <c r="A84" s="15" t="inlineStr">
        <is>
          <t>83</t>
        </is>
      </c>
      <c r="B84" s="18" t="inlineStr">
        <is>
          <t>บอกอาการมา (หัวข้อ migraine) ถามจ่ายยาอะไรบรรเทาอาการดี</t>
        </is>
      </c>
      <c r="C84" s="18" t="inlineStr"/>
      <c r="D84" s="18" t="inlineStr">
        <is>
          <t>Neurologic Disorder</t>
        </is>
      </c>
      <c r="E84" s="18" t="inlineStr">
        <is>
          <t>gabapentin</t>
        </is>
      </c>
      <c r="F84" s="18" t="inlineStr">
        <is>
          <t>sumatriptan" "โจทย์ไม่สมบูรณ์ O O</t>
        </is>
      </c>
      <c r="G84" s="18" t="inlineStr">
        <is>
          <t>Carbamazepine 200 mg BID</t>
        </is>
      </c>
      <c r="H84" s="18" t="inlineStr">
        <is>
          <t>Lamotrigine 50 mg OD</t>
        </is>
      </c>
      <c r="I84" s="15" t="inlineStr">
        <is>
          <t>1</t>
        </is>
      </c>
      <c r="J84" s="18"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ข้อนี้ไม่ใช่คำตอบที่ถูกต้องสำหรับภาวะ Headache เนื่องจากกลไกการออกฤทธิ์, efficacy หรือข้อบ่งใช้ไม่ตรงกับโจทย์ที่กำหนด
• ข้อ ค. (sumatriptan" "โจทย์ไม่สมบูรณ์ O O): เป็น 5-HT1B/1D agonist หดหลอดเลือดสมอง ใช้รักษา acute moderate-to-severe migraine attack แต่ contraindication ใน ischemic heart disease, uncontrolled HTN, stroke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18" t="inlineStr"/>
      <c r="L84" s="18" t="inlineStr">
        <is>
          <t>Headache</t>
        </is>
      </c>
      <c r="M84" s="18" t="inlineStr">
        <is>
          <t>Neurologic Disorder</t>
        </is>
      </c>
      <c r="N84" s="18" t="inlineStr">
        <is>
          <t>PLE_CC1_2564_All_Key ข้อ 50</t>
        </is>
      </c>
      <c r="O84" s="18" t="inlineStr">
        <is>
          <t>ข้อสอบจริง</t>
        </is>
      </c>
      <c r="P84" s="18" t="inlineStr">
        <is>
          <t>ปี 2564</t>
        </is>
      </c>
    </row>
    <row r="85">
      <c r="A85" s="15" t="inlineStr">
        <is>
          <t>83</t>
        </is>
      </c>
      <c r="B85" s="18" t="inlineStr">
        <is>
          <t>อาการข้างเคียงใด ไม่ขึ้นกับระดับยา carbamazepine</t>
        </is>
      </c>
      <c r="C85" s="18" t="inlineStr"/>
      <c r="D85" s="18" t="inlineStr">
        <is>
          <t>Diplopia</t>
        </is>
      </c>
      <c r="E85" s="18" t="inlineStr">
        <is>
          <t>Ataxia</t>
        </is>
      </c>
      <c r="F85" s="18" t="inlineStr">
        <is>
          <t>Maculopapular eruption</t>
        </is>
      </c>
      <c r="G85" s="18" t="inlineStr">
        <is>
          <t>Dizziness</t>
        </is>
      </c>
      <c r="H85" s="18" t="inlineStr">
        <is>
          <t>Seizure</t>
        </is>
      </c>
      <c r="I85" s="15" t="inlineStr">
        <is>
          <t>1</t>
        </is>
      </c>
      <c r="J85" s="18"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ข้อนี้ไม่ใช่คำตอบที่ถูกต้องสำหรับภาวะ Epilepsy เนื่องจากกลไกการออกฤทธิ์, efficacy หรือข้อบ่งใช้ไม่ตรงกับโจทย์ที่กำหนด
• ข้อ ค. (Maculopapular eruption): ข้อนี้ไม่ใช่คำตอบที่ถูกต้องสำหรับภาวะ Epilepsy เนื่องจากกลไกการออกฤทธิ์, efficacy หรือข้อบ่งใช้ไม่ตรงกับโจทย์ที่กำหนด
• ข้อ ง. (Dizziness): ข้อนี้ไม่ใช่คำตอบที่ถูกต้องสำหรับภาวะ Epilepsy เนื่องจากกลไกการออกฤทธิ์, efficacy หรือข้อบ่งใช้ไม่ตรงกับโจทย์ที่กำหนด
• ข้อ จ.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18" t="inlineStr"/>
      <c r="L85" s="18" t="inlineStr">
        <is>
          <t>Epilepsy</t>
        </is>
      </c>
      <c r="M85" s="18" t="inlineStr">
        <is>
          <t>Clinic</t>
        </is>
      </c>
      <c r="N85" s="18" t="inlineStr">
        <is>
          <t>ข้อ 98 (PLE_CC1_2562_Key.md)</t>
        </is>
      </c>
      <c r="O85" s="18" t="inlineStr">
        <is>
          <t>ข้อสอบจริง</t>
        </is>
      </c>
      <c r="P85" s="18" t="inlineStr">
        <is>
          <t>ปี 2562</t>
        </is>
      </c>
    </row>
    <row r="86">
      <c r="A86" s="15" t="inlineStr">
        <is>
          <t>84</t>
        </is>
      </c>
      <c r="B86" s="18" t="inlineStr">
        <is>
          <t>หัวข้อใดของ carbamazepine CR ที่ไม่จำเป็นต้องตรวจตามเภสัชตำรับ controlled release</t>
        </is>
      </c>
      <c r="C86" s="18" t="inlineStr"/>
      <c r="D86" s="18" t="inlineStr">
        <is>
          <t>Dissolution</t>
        </is>
      </c>
      <c r="E86" s="18" t="inlineStr">
        <is>
          <t>Disintegration</t>
        </is>
      </c>
      <c r="F86" s="18" t="inlineStr">
        <is>
          <t>Content uniformity/weight variation</t>
        </is>
      </c>
      <c r="G86" s="18" t="inlineStr">
        <is>
          <t>Assay</t>
        </is>
      </c>
      <c r="H86" s="18" t="inlineStr">
        <is>
          <t>Impurity</t>
        </is>
      </c>
      <c r="I86" s="15" t="inlineStr">
        <is>
          <t>1</t>
        </is>
      </c>
      <c r="J86" s="18"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ข้อนี้ไม่ใช่คำตอบที่ถูกต้องสำหรับภาวะ Epilepsy เนื่องจากกลไกการออกฤทธิ์, efficacy หรือข้อบ่งใช้ไม่ตรงกับโจทย์ที่กำหนด
• ข้อ ค. (Content uniformity/weight variation): ข้อนี้ไม่ใช่คำตอบที่ถูกต้องสำหรับภาวะ Epilepsy เนื่องจากกลไกการออกฤทธิ์, efficacy หรือข้อบ่งใช้ไม่ตรงกับโจทย์ที่กำหนด
• ข้อ ง. (Assay): ข้อนี้ไม่ใช่คำตอบที่ถูกต้องสำหรับภาวะ Epilepsy เนื่องจากกลไกการออกฤทธิ์, efficacy หรือข้อบ่งใช้ไม่ตรงกับโจทย์ที่กำหนด
• ข้อ จ. (Impurity):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18" t="inlineStr"/>
      <c r="L86" s="18" t="inlineStr">
        <is>
          <t>Epilepsy</t>
        </is>
      </c>
      <c r="M86" s="18" t="inlineStr">
        <is>
          <t>Clinic</t>
        </is>
      </c>
      <c r="N86" s="18" t="inlineStr">
        <is>
          <t>ข้อ 104 (PLE_CC1_2562_Key.md)</t>
        </is>
      </c>
      <c r="O86" s="18" t="inlineStr">
        <is>
          <t>ข้อสอบจริง</t>
        </is>
      </c>
      <c r="P86" s="18" t="inlineStr">
        <is>
          <t>ปี 2562</t>
        </is>
      </c>
    </row>
    <row r="87">
      <c r="A87" s="15" t="inlineStr">
        <is>
          <t>85</t>
        </is>
      </c>
      <c r="B87" s="18" t="inlineStr">
        <is>
          <t>ยาใดที่ใช้ร่วมกับ fluoxetine แล้วมีผลต่อการเกิด serotonin syndrome น้อยที่สุด ~ cosiziene seats - Trendlies . -X T ↓jon ending orthostatic hypotension ~ ~ serotonin</t>
        </is>
      </c>
      <c r="C87" s="18" t="inlineStr"/>
      <c r="D87" s="18" t="inlineStr">
        <is>
          <t>Agomelatine</t>
        </is>
      </c>
      <c r="E87" s="18" t="inlineStr">
        <is>
          <t>Haloperidol</t>
        </is>
      </c>
      <c r="F87" s="18" t="inlineStr">
        <is>
          <t>Olanzapine</t>
        </is>
      </c>
      <c r="G87" s="18" t="inlineStr">
        <is>
          <t>Venlafaxine</t>
        </is>
      </c>
      <c r="H87" s="18" t="inlineStr">
        <is>
          <t>Hydroxyzine Liverse ↓ lastanerce serotonin der soos ston Parilara serotonin syndrome snasin DI rileserotonin Jessost หË´มนาÆปทาซËาทืกกรณิ ÂวËนาต้จ²ÆดËรงบ¯นืญ´ต</t>
        </is>
      </c>
      <c r="I87" s="15" t="inlineStr">
        <is>
          <t>1</t>
        </is>
      </c>
      <c r="J87" s="18"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First-generation (typical) antipsychotic ยับยั้ง D2 receptor สูง เสี่ยงต่อ Extrapyramidal symptoms (EPS), acute dystonia, akathisia และ tardive dyskinesia สูง
• ข้อ ค. (Olanzapine): เป็น atypical antipsychotic ที่มี metabolic side effects สูงมาก (น้ำหนักเพิ่มขึ้นรุนแรง, hyperglycemia, dyslipidemia)
• ข้อ ง. (Venlafaxine): ข้อนี้ไม่ใช่คำตอบที่ถูกต้องสำหรับภาวะ Headache เนื่องจากกลไกการออกฤทธิ์, efficacy หรือข้อบ่งใช้ไม่ตรงกับโจทย์ที่กำหนด
• ข้อ จ. (Hydroxyzine Liverse ↓ lastanerce serotonin der soos ston Parilara serotonin syndrome snasin DI rileserotonin Jessost หË´มนาÆปทาซËาทืกกรณิ ÂวËนาต้จ²ÆดËรงบ¯นืญ´ต):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18" t="inlineStr"/>
      <c r="L87" s="18" t="inlineStr">
        <is>
          <t>Headache</t>
        </is>
      </c>
      <c r="M87" s="18" t="inlineStr">
        <is>
          <t>Clinic</t>
        </is>
      </c>
      <c r="N87" s="18" t="inlineStr">
        <is>
          <t>ข้อ 6 (PLE_CC1_2562_Key.md)</t>
        </is>
      </c>
      <c r="O87" s="18" t="inlineStr">
        <is>
          <t>ข้อสอบจริง</t>
        </is>
      </c>
      <c r="P87" s="18" t="inlineStr">
        <is>
          <t>ปี 2562</t>
        </is>
      </c>
    </row>
    <row r="88">
      <c r="A88" s="15" t="inlineStr">
        <is>
          <t>86</t>
        </is>
      </c>
      <c r="B88" s="18"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18" t="inlineStr"/>
      <c r="D88" s="18" t="inlineStr">
        <is>
          <t>Donepezil 5 mg HS</t>
        </is>
      </c>
      <c r="E88" s="18" t="inlineStr">
        <is>
          <t>Alteplase (rtPA) 0.9 mg/kg IV</t>
        </is>
      </c>
      <c r="F88" s="18" t="inlineStr">
        <is>
          <t>Phenytoin 100 mg TID</t>
        </is>
      </c>
      <c r="G88" s="18" t="inlineStr">
        <is>
          <t>Sodium valproate 200 mg TID</t>
        </is>
      </c>
      <c r="H88" s="18" t="inlineStr">
        <is>
          <t>Carbamazepine 200 mg BID</t>
        </is>
      </c>
      <c r="I88" s="15" t="inlineStr">
        <is>
          <t>1</t>
        </is>
      </c>
      <c r="J88" s="1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Epilepsy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18" t="inlineStr"/>
      <c r="L88" s="18" t="inlineStr">
        <is>
          <t>Epilepsy</t>
        </is>
      </c>
      <c r="M88" s="18" t="inlineStr">
        <is>
          <t>Clinic</t>
        </is>
      </c>
      <c r="N88" s="18" t="inlineStr">
        <is>
          <t>ข้อ 29 (PLE_CC1_2559.md)</t>
        </is>
      </c>
      <c r="O88" s="18" t="inlineStr">
        <is>
          <t>ข้อสอบจริง</t>
        </is>
      </c>
      <c r="P88" s="18" t="inlineStr">
        <is>
          <t>ปี 2559</t>
        </is>
      </c>
    </row>
    <row r="89">
      <c r="A89" s="15" t="inlineStr">
        <is>
          <t>87</t>
        </is>
      </c>
      <c r="B89" s="18"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18" t="inlineStr"/>
      <c r="D89" s="18" t="inlineStr">
        <is>
          <t>Silicon dioxide</t>
        </is>
      </c>
      <c r="E89" s="18" t="inlineStr">
        <is>
          <t>Microcrystalline cellulose</t>
        </is>
      </c>
      <c r="F89" s="18" t="inlineStr">
        <is>
          <t>Starch</t>
        </is>
      </c>
      <c r="G89" s="18" t="inlineStr">
        <is>
          <t>Gelatin</t>
        </is>
      </c>
      <c r="H89" s="18" t="inlineStr">
        <is>
          <t>Polyvinyl pyrrolidone ห้ามนำไปทำซ้ำทุกกรณี เว้นแต่จะได้รับอนุญาต พบ hepatitis b virus negative และ anti-HBs positive</t>
        </is>
      </c>
      <c r="I89" s="15" t="inlineStr">
        <is>
          <t>1</t>
        </is>
      </c>
      <c r="J89" s="18"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ข้อนี้ไม่ใช่คำตอบที่ถูกต้องสำหรับภาวะ Epilepsy เนื่องจากกลไกการออกฤทธิ์, efficacy หรือข้อบ่งใช้ไม่ตรงกับโจทย์ที่กำหนด
• ข้อ ค. (Starch): ข้อนี้ไม่ใช่คำตอบที่ถูกต้องสำหรับภาวะ Epilepsy เนื่องจากกลไกการออกฤทธิ์, efficacy หรือข้อบ่งใช้ไม่ตรงกับโจทย์ที่กำหนด
• ข้อ ง. (Gelatin): ข้อนี้ไม่ใช่คำตอบที่ถูกต้องสำหรับภาวะ Epilepsy เนื่องจากกลไกการออกฤทธิ์, efficacy หรือข้อบ่งใช้ไม่ตรงกับโจทย์ที่กำหนด
• ข้อ จ. (Polyvinyl pyrrolidone ห้ามนำไปทำซ้ำทุกกรณี เว้นแต่จะได้รับอนุญาต พบ hepatitis b virus negative และ anti-HBs positive):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18" t="inlineStr"/>
      <c r="L89" s="18" t="inlineStr">
        <is>
          <t>Epilepsy</t>
        </is>
      </c>
      <c r="M89" s="18" t="inlineStr">
        <is>
          <t>Clinic</t>
        </is>
      </c>
      <c r="N89" s="18" t="inlineStr">
        <is>
          <t>ข้อ 32 (PLE_CC1_2559.md)</t>
        </is>
      </c>
      <c r="O89" s="18" t="inlineStr">
        <is>
          <t>ข้อสอบจริง</t>
        </is>
      </c>
      <c r="P89" s="18" t="inlineStr">
        <is>
          <t>ปี 2559</t>
        </is>
      </c>
    </row>
    <row r="90">
      <c r="A90" s="15" t="inlineStr">
        <is>
          <t>88</t>
        </is>
      </c>
      <c r="B90" s="18"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18" t="inlineStr"/>
      <c r="D90" s="18" t="inlineStr">
        <is>
          <t>Celecoxib</t>
        </is>
      </c>
      <c r="E90" s="18" t="inlineStr">
        <is>
          <t>Ergotamine</t>
        </is>
      </c>
      <c r="F90" s="18" t="inlineStr">
        <is>
          <t>Ibuprofen</t>
        </is>
      </c>
      <c r="G90" s="18" t="inlineStr">
        <is>
          <t>Paracetamol</t>
        </is>
      </c>
      <c r="H90" s="18" t="inlineStr">
        <is>
          <t>Sumatriptan</t>
        </is>
      </c>
      <c r="I90" s="15" t="inlineStr">
        <is>
          <t>1</t>
        </is>
      </c>
      <c r="J90" s="18"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18" t="inlineStr"/>
      <c r="L90" s="18" t="inlineStr">
        <is>
          <t>Headache</t>
        </is>
      </c>
      <c r="M90" s="18" t="inlineStr">
        <is>
          <t>Clinic</t>
        </is>
      </c>
      <c r="N90" s="18" t="inlineStr">
        <is>
          <t>ข้อ 46 (PLE_CC1_2559.md)</t>
        </is>
      </c>
      <c r="O90" s="18" t="inlineStr">
        <is>
          <t>ข้อสอบจริง</t>
        </is>
      </c>
      <c r="P90" s="18" t="inlineStr">
        <is>
          <t>ปี 2559</t>
        </is>
      </c>
    </row>
    <row r="91">
      <c r="A91" s="15" t="inlineStr">
        <is>
          <t>89</t>
        </is>
      </c>
      <c r="B91" s="18" t="inlineStr">
        <is>
          <t>ผลการวิเคราะห์ใดเหมาะสำหรับการระบุเอกลักษณ์ของยา phenytoin</t>
        </is>
      </c>
      <c r="C91" s="18" t="inlineStr"/>
      <c r="D91" s="18" t="inlineStr">
        <is>
          <t>Levodopa/Benserazide 100/25 mg TID</t>
        </is>
      </c>
      <c r="E91" s="18" t="inlineStr">
        <is>
          <t>Sumatriptan 50 mg stat</t>
        </is>
      </c>
      <c r="F91" s="18" t="inlineStr">
        <is>
          <t>Propranolol 40 mg BID</t>
        </is>
      </c>
      <c r="G91" s="18" t="inlineStr">
        <is>
          <t>Topiramate 25 mg BID</t>
        </is>
      </c>
      <c r="H91" s="18" t="inlineStr">
        <is>
          <t>ไม่มีข้อใดถูก</t>
        </is>
      </c>
      <c r="I91" s="15" t="inlineStr">
        <is>
          <t>1</t>
        </is>
      </c>
      <c r="J91" s="1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18" t="inlineStr"/>
      <c r="L91" s="18" t="inlineStr">
        <is>
          <t>Epilepsy</t>
        </is>
      </c>
      <c r="M91" s="18" t="inlineStr">
        <is>
          <t>Clinic</t>
        </is>
      </c>
      <c r="N91" s="18" t="inlineStr">
        <is>
          <t>ข้อ 95 (Pharmtutor_2024_Set1.md)</t>
        </is>
      </c>
      <c r="O91" s="18" t="inlineStr">
        <is>
          <t>Mock</t>
        </is>
      </c>
      <c r="P91" s="18" t="inlineStr">
        <is>
          <t>Mock Pharmtutor 2024</t>
        </is>
      </c>
    </row>
    <row r="92">
      <c r="A92" s="15" t="inlineStr">
        <is>
          <t>90</t>
        </is>
      </c>
      <c r="B92" s="18" t="inlineStr">
        <is>
          <t>ยากันชักชนิดใด สามารถใช้ได้อย่างปลอดภัยในหญิงตั้งครรภ์</t>
        </is>
      </c>
      <c r="C92" s="18" t="inlineStr"/>
      <c r="D92" s="18" t="inlineStr">
        <is>
          <t>Phenytoin Sodium</t>
        </is>
      </c>
      <c r="E92" s="18" t="inlineStr">
        <is>
          <t>Levetiracetam</t>
        </is>
      </c>
      <c r="F92" s="18" t="inlineStr">
        <is>
          <t>Valproic acid</t>
        </is>
      </c>
      <c r="G92" s="18" t="inlineStr">
        <is>
          <t>Diazepam</t>
        </is>
      </c>
      <c r="H92" s="18" t="inlineStr">
        <is>
          <t>Lacosamide</t>
        </is>
      </c>
      <c r="I92" s="15" t="inlineStr">
        <is>
          <t>1</t>
        </is>
      </c>
      <c r="J92" s="18"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ข้อนี้ไม่ใช่คำตอบที่ถูกต้องสำหรับภาวะ Epilepsy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(Lacosamide):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18" t="inlineStr"/>
      <c r="L92" s="18" t="inlineStr">
        <is>
          <t>Epilepsy</t>
        </is>
      </c>
      <c r="M92" s="18" t="inlineStr">
        <is>
          <t>Clinic</t>
        </is>
      </c>
      <c r="N92" s="18" t="inlineStr">
        <is>
          <t>ข้อ 46 (Pharmtutor_2024_Set2.md)</t>
        </is>
      </c>
      <c r="O92" s="18" t="inlineStr">
        <is>
          <t>Mock</t>
        </is>
      </c>
      <c r="P92" s="18" t="inlineStr">
        <is>
          <t>Mock Pharmtutor 2024</t>
        </is>
      </c>
    </row>
    <row r="93">
      <c r="A93" s="15" t="inlineStr">
        <is>
          <t>91</t>
        </is>
      </c>
      <c r="B93" s="18" t="inlineStr">
        <is>
          <t>ข้อใดคือกลไกของ Phenytoin Sodium ที่นำมาใช้ในการรักษาและป้องกันผู้ป่วยที่มีภาวะชักเกิดขึ้น</t>
        </is>
      </c>
      <c r="C93" s="18" t="inlineStr"/>
      <c r="D93" s="18" t="inlineStr">
        <is>
          <t>ยับยั้งการเปิดปิดของช่องเปิดแคลเซียม</t>
        </is>
      </c>
      <c r="E93" s="18" t="inlineStr">
        <is>
          <t>ยับยั้งการเข้าออกออกแคลเซียม</t>
        </is>
      </c>
      <c r="F93" s="18" t="inlineStr">
        <is>
          <t>ยับยั้งการเข้าออกของโซเดียมและแคลเซียมที่จุดว่างของสารสื่อประสาท</t>
        </is>
      </c>
      <c r="G93" s="18" t="inlineStr">
        <is>
          <t>ยับยั้งการเข้าสู่เซลล์ของโซเดียมผ่านช่องทางแคลเซียม-โซเดียม</t>
        </is>
      </c>
      <c r="H93" s="18" t="inlineStr">
        <is>
          <t>ยับยั้งการเปิดปิดของช่องเปิดโซเดียม</t>
        </is>
      </c>
      <c r="I93" s="15" t="inlineStr">
        <is>
          <t>1</t>
        </is>
      </c>
      <c r="J93" s="18"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(ยับยั้งการเข้าออกออกแคลเซียม): ข้อนี้ไม่ใช่คำตอบที่ถูกต้องสำหรับภาวะ Epilepsy เนื่องจากกลไกการออกฤทธิ์, efficacy หรือข้อบ่งใช้ไม่ตรงกับโจทย์ที่กำหนด
• ข้อ ค. (ยับยั้งการเข้าออกของโซเดียมและแคลเซียมที่จุดว่างของสารสื่อประสาท): ข้อนี้ไม่ใช่คำตอบที่ถูกต้องสำหรับภาวะ Epilepsy เนื่องจากกลไกการออกฤทธิ์, efficacy หรือข้อบ่งใช้ไม่ตรงกับโจทย์ที่กำหนด
• ข้อ ง. (ยับยั้งการเข้าสู่เซลล์ของโซเดียมผ่านช่องทางแคลเซียม-โซเดียม): ข้อนี้ไม่ใช่คำตอบที่ถูกต้องสำหรับภาวะ Epilepsy เนื่องจากกลไกการออกฤทธิ์, efficacy หรือข้อบ่งใช้ไม่ตรงกับโจทย์ที่กำหนด
• ข้อ จ. (ยับยั้งการเปิดปิดของช่องเปิดโซเดียม):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18" t="inlineStr"/>
      <c r="L93" s="18" t="inlineStr">
        <is>
          <t>Epilepsy</t>
        </is>
      </c>
      <c r="M93" s="18" t="inlineStr">
        <is>
          <t>Clinic</t>
        </is>
      </c>
      <c r="N93" s="18" t="inlineStr">
        <is>
          <t>ข้อ 47 (Pharmtutor_2024_Set2.md)</t>
        </is>
      </c>
      <c r="O93" s="18" t="inlineStr">
        <is>
          <t>Mock</t>
        </is>
      </c>
      <c r="P93" s="18" t="inlineStr">
        <is>
          <t>Mock Pharmtutor 2024</t>
        </is>
      </c>
    </row>
    <row r="94">
      <c r="A94" s="15" t="inlineStr">
        <is>
          <t>92</t>
        </is>
      </c>
      <c r="B94" s="18"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18" t="inlineStr"/>
      <c r="D94" s="18" t="inlineStr">
        <is>
          <t>Lamotrigine</t>
        </is>
      </c>
      <c r="E94" s="18" t="inlineStr">
        <is>
          <t>Valproic acid</t>
        </is>
      </c>
      <c r="F94" s="18" t="inlineStr">
        <is>
          <t>Oxcarbazepine</t>
        </is>
      </c>
      <c r="G94" s="18" t="inlineStr">
        <is>
          <t>Levetiracetam</t>
        </is>
      </c>
      <c r="H94" s="18" t="inlineStr">
        <is>
          <t>Topiramate</t>
        </is>
      </c>
      <c r="I94" s="15" t="inlineStr">
        <is>
          <t>1</t>
        </is>
      </c>
      <c r="J94" s="18"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ข้อนี้ไม่ใช่คำตอบที่ถูกต้องสำหรับภาวะ Epilepsy เนื่องจากกลไกการออกฤทธิ์, efficacy หรือข้อบ่งใช้ไม่ตรงกับโจทย์ที่กำหนด
• ข้อ ค. (Oxcarbazepine): ข้อนี้ไม่ใช่คำตอบที่ถูกต้องสำหรับภาวะ Epilepsy เนื่องจากกลไกการออกฤทธิ์, efficacy หรือข้อบ่งใช้ไม่ตรงกับโจทย์ที่กำหนด
• ข้อ ง. (Levetiracetam): เป็น SV2A vesicle protein binder มี drug interactions ต่ำมาก ขับออกทางไตเป็นหลัก ปลอดภัยในหญิงตั้งครรภ์ แต่ต้องระวัง behavioral/mood changes (หงุดหงิด ก้าวร้าว)
• ข้อ จ. (Topiramate):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18" t="inlineStr"/>
      <c r="L94" s="18" t="inlineStr">
        <is>
          <t>Epilepsy</t>
        </is>
      </c>
      <c r="M94" s="18" t="inlineStr">
        <is>
          <t>Clinic</t>
        </is>
      </c>
      <c r="N94" s="18" t="inlineStr">
        <is>
          <t>ข้อ 51 (Pharmtutor_2024_Set2.md)</t>
        </is>
      </c>
      <c r="O94" s="18" t="inlineStr">
        <is>
          <t>Mock</t>
        </is>
      </c>
      <c r="P94" s="18" t="inlineStr">
        <is>
          <t>Mock Pharmtutor 2024</t>
        </is>
      </c>
    </row>
    <row r="95">
      <c r="A95" s="15" t="inlineStr">
        <is>
          <t>93</t>
        </is>
      </c>
      <c r="B95" s="18" t="inlineStr">
        <is>
          <t>จากคุณสมบัติของยา phenytoin ที่มีการกำจัดออกแบบ non-linear kinetics ข้อใดถูกต้อง</t>
        </is>
      </c>
      <c r="C95" s="18" t="inlineStr"/>
      <c r="D95" s="18" t="inlineStr">
        <is>
          <t>ที่ความเข้มข้นสูง จะมีการกำจัดออกแบบ linear kinetics</t>
        </is>
      </c>
      <c r="E95" s="18" t="inlineStr">
        <is>
          <t>ที่ความเข้มข้นต่ำ จะมีการกำจัดออกแบบ non-linear kinetics</t>
        </is>
      </c>
      <c r="F95" s="18" t="inlineStr">
        <is>
          <t>ยามีค่าครึ่งชีวิตเท่าเดิมเสมอ แม้มีความเข้มข้นของยาเพิ่มมากขึ้น</t>
        </is>
      </c>
      <c r="G95" s="18" t="inlineStr">
        <is>
          <t>ยามี therapeutic index แคบ</t>
        </is>
      </c>
      <c r="H95" s="18" t="inlineStr">
        <is>
          <t>ไม่มีข้อใดถูก</t>
        </is>
      </c>
      <c r="I95" s="15" t="inlineStr">
        <is>
          <t>1</t>
        </is>
      </c>
      <c r="J95" s="18"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(ที่ความเข้มข้นต่ำ จะมีการกำจัดออกแบบ non-linear kinetics): ข้อนี้ไม่ใช่คำตอบที่ถูกต้องสำหรับภาวะ Epilepsy เนื่องจากกลไกการออกฤทธิ์, efficacy หรือข้อบ่งใช้ไม่ตรงกับโจทย์ที่กำหนด
• ข้อ ค. (ยามีค่าครึ่งชีวิตเท่าเดิมเสมอ แม้มีความเข้มข้นของยาเพิ่มมากขึ้น): ข้อนี้ไม่ใช่คำตอบที่ถูกต้องสำหรับภาวะ Epilepsy เนื่องจากกลไกการออกฤทธิ์, efficacy หรือข้อบ่งใช้ไม่ตรงกับโจทย์ที่กำหนด
• ข้อ ง. (ยามี therapeutic index แคบ): ข้อนี้ไม่ใช่คำตอบที่ถูกต้องสำหรับภาวะ Epilepsy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18" t="inlineStr"/>
      <c r="L95" s="18" t="inlineStr">
        <is>
          <t>Epilepsy</t>
        </is>
      </c>
      <c r="M95" s="18" t="inlineStr">
        <is>
          <t>Clinic</t>
        </is>
      </c>
      <c r="N95" s="18" t="inlineStr">
        <is>
          <t>ข้อ 87 (Pharmtutor_2024_Set2.md)</t>
        </is>
      </c>
      <c r="O95" s="18" t="inlineStr">
        <is>
          <t>Mock</t>
        </is>
      </c>
      <c r="P95" s="18" t="inlineStr">
        <is>
          <t>Mock Pharmtutor 2024</t>
        </is>
      </c>
    </row>
    <row r="96">
      <c r="A96" s="15" t="inlineStr">
        <is>
          <t>94</t>
        </is>
      </c>
      <c r="B96" s="18" t="inlineStr">
        <is>
          <t>ข้อใดไม่ใช่อาการแสดงของผู้ป่วย Parkinson’s disease (1) Hypertension (2) Resting tremor (3) Impaired balance (4) Slowness of movement (5) Stiffness to limb movement MCQ 11 | 1/2557 | Page 11</t>
        </is>
      </c>
      <c r="C96" s="18" t="inlineStr"/>
      <c r="D96" s="18" t="inlineStr">
        <is>
          <t>Propranolol 40 mg BID</t>
        </is>
      </c>
      <c r="E96" s="18" t="inlineStr">
        <is>
          <t>Topiramate 25 mg BID</t>
        </is>
      </c>
      <c r="F96" s="18" t="inlineStr">
        <is>
          <t>Donepezil 5 mg HS</t>
        </is>
      </c>
      <c r="G96" s="18" t="inlineStr">
        <is>
          <t>Alteplase (rtPA) 0.9 mg/kg IV</t>
        </is>
      </c>
      <c r="H96" s="18" t="inlineStr">
        <is>
          <t>Phenytoin 100 mg TID</t>
        </is>
      </c>
      <c r="I96" s="15" t="inlineStr">
        <is>
          <t>1</t>
        </is>
      </c>
      <c r="J96" s="18"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8" t="inlineStr"/>
      <c r="L96" s="18" t="inlineStr">
        <is>
          <t>Parkinson disease</t>
        </is>
      </c>
      <c r="M96" s="18" t="inlineStr">
        <is>
          <t>Clinic</t>
        </is>
      </c>
      <c r="N96" s="18" t="inlineStr">
        <is>
          <t>ข้อ 73 (PLE_CC1_2557.md)</t>
        </is>
      </c>
      <c r="O96" s="18" t="inlineStr">
        <is>
          <t>ข้อสอบจริง</t>
        </is>
      </c>
      <c r="P96" s="18" t="inlineStr">
        <is>
          <t>ปี 2557</t>
        </is>
      </c>
    </row>
    <row r="97">
      <c r="A97" s="15" t="inlineStr">
        <is>
          <t>95</t>
        </is>
      </c>
      <c r="B97" s="18" t="inlineStr">
        <is>
          <t>ข้อใดเป็นข้อบ่งใช้อื่นของยา Carbamazepine นอกจากเป็นยากันชัก</t>
        </is>
      </c>
      <c r="C97" s="18" t="inlineStr"/>
      <c r="D97" s="18" t="inlineStr">
        <is>
          <t>........</t>
        </is>
      </c>
      <c r="E97" s="18" t="inlineStr">
        <is>
          <t>.......</t>
        </is>
      </c>
      <c r="F97" s="18" t="inlineStr">
        <is>
          <t>Trigerminal neuralgia</t>
        </is>
      </c>
      <c r="G97" s="18" t="inlineStr">
        <is>
          <t>............</t>
        </is>
      </c>
      <c r="H97" s="18" t="inlineStr">
        <is>
          <t>...............</t>
        </is>
      </c>
      <c r="I97" s="15" t="inlineStr">
        <is>
          <t>1</t>
        </is>
      </c>
      <c r="J97" s="18"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 ข้อนี้ไม่ใช่คำตอบที่ถูกต้องสำหรับภาวะ Epilepsy เนื่องจากกลไกการออกฤทธิ์, efficacy หรือข้อบ่งใช้ไม่ตรงกับโจทย์ที่กำหนด
• ข้อ ค. (Trigerminal neuralgia): ข้อนี้ไม่ใช่คำตอบที่ถูกต้องสำหรับภาวะ Epilepsy เนื่องจากกลไกการออกฤทธิ์, efficacy หรือข้อบ่งใช้ไม่ตรงกับโจทย์ที่กำหนด
• ข้อ ง. (............): ข้อนี้ไม่ใช่คำตอบที่ถูกต้องสำหรับภาวะ Epilepsy เนื่องจากกลไกการออกฤทธิ์, efficacy หรือข้อบ่งใช้ไม่ตรงกับโจทย์ที่กำหนด
• ข้อ จ. (...............):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18" t="inlineStr"/>
      <c r="L97" s="18" t="inlineStr">
        <is>
          <t>Epilepsy</t>
        </is>
      </c>
      <c r="M97" s="18" t="inlineStr">
        <is>
          <t>Clinic</t>
        </is>
      </c>
      <c r="N97" s="18" t="inlineStr">
        <is>
          <t>ข้อ 83 (PLE_CC1_2555 Day 1.md)</t>
        </is>
      </c>
      <c r="O97" s="18" t="inlineStr">
        <is>
          <t>ข้อสอบจริง</t>
        </is>
      </c>
      <c r="P97" s="18" t="inlineStr">
        <is>
          <t>ปี 2555</t>
        </is>
      </c>
    </row>
    <row r="98">
      <c r="A98" s="15" t="inlineStr">
        <is>
          <t>96</t>
        </is>
      </c>
      <c r="B98" s="18" t="inlineStr">
        <is>
          <t>ยาในข้อใดสามารถเพิ่มระดับยา Carbamazepine ได้</t>
        </is>
      </c>
      <c r="C98" s="18" t="inlineStr"/>
      <c r="D98" s="18" t="inlineStr">
        <is>
          <t>Clarithromycin</t>
        </is>
      </c>
      <c r="E98" s="18" t="inlineStr">
        <is>
          <t>Nevirapine</t>
        </is>
      </c>
      <c r="F98" s="18" t="inlineStr">
        <is>
          <t>Phenytoin</t>
        </is>
      </c>
      <c r="G98" s="18" t="inlineStr">
        <is>
          <t>.....</t>
        </is>
      </c>
      <c r="H98" s="18" t="inlineStr">
        <is>
          <t>..........</t>
        </is>
      </c>
      <c r="I98" s="15" t="inlineStr">
        <is>
          <t>1</t>
        </is>
      </c>
      <c r="J98" s="18"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ข้อนี้ไม่ใช่คำตอบที่ถูกต้องสำหรับภาวะ Epilepsy เนื่องจากกลไกการออกฤทธิ์, efficacy หรือข้อบ่งใช้ไม่ตรงกับโจทย์ที่กำหนด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ง. (.....): ข้อนี้ไม่ใช่คำตอบที่ถูกต้องสำหรับภาวะ Epilepsy เนื่องจากกลไกการออกฤทธิ์, efficacy หรือข้อบ่งใช้ไม่ตรงกับโจทย์ที่กำหนด
• ข้อ จ. (..........):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18" t="inlineStr"/>
      <c r="L98" s="18" t="inlineStr">
        <is>
          <t>Epilepsy</t>
        </is>
      </c>
      <c r="M98" s="18" t="inlineStr">
        <is>
          <t>Clinic</t>
        </is>
      </c>
      <c r="N98" s="18" t="inlineStr">
        <is>
          <t>ข้อ 85 (PLE_CC1_2555 Day 1.md)</t>
        </is>
      </c>
      <c r="O98" s="18" t="inlineStr">
        <is>
          <t>ข้อสอบจริง</t>
        </is>
      </c>
      <c r="P98" s="18" t="inlineStr">
        <is>
          <t>ปี 2555</t>
        </is>
      </c>
    </row>
    <row r="99">
      <c r="A99" s="15" t="inlineStr">
        <is>
          <t>97</t>
        </is>
      </c>
      <c r="B99" s="18" t="inlineStr">
        <is>
          <t>แช่ตู้เย็น โดยเก็บไว้ในช่องแช่แข็ง Case 5: Epilepsy นางสตรี อายุ 25 ปี Dx Tonic-clonic seizure Carbamazepine 200 mg bid F/U 2 week</t>
        </is>
      </c>
      <c r="C99" s="18" t="inlineStr"/>
      <c r="D99" s="18" t="inlineStr">
        <is>
          <t>Gabapentin 300 mg TID</t>
        </is>
      </c>
      <c r="E99" s="18" t="inlineStr">
        <is>
          <t>Pregabalin 75 mg BID</t>
        </is>
      </c>
      <c r="F99" s="18" t="inlineStr">
        <is>
          <t>Levodopa/Benserazide 100/25 mg TID</t>
        </is>
      </c>
      <c r="G99" s="18" t="inlineStr">
        <is>
          <t>Sumatriptan 50 mg stat</t>
        </is>
      </c>
      <c r="H99" s="18" t="inlineStr">
        <is>
          <t>Propranolol 40 mg BID</t>
        </is>
      </c>
      <c r="I99" s="15" t="inlineStr">
        <is>
          <t>1</t>
        </is>
      </c>
      <c r="J99" s="1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18" t="inlineStr"/>
      <c r="L99" s="18" t="inlineStr">
        <is>
          <t>Epilepsy</t>
        </is>
      </c>
      <c r="M99" s="18" t="inlineStr">
        <is>
          <t>Clinic</t>
        </is>
      </c>
      <c r="N99" s="18" t="inlineStr">
        <is>
          <t>ข้อ 4 (PLE_CC1_2555 Day 2.md)</t>
        </is>
      </c>
      <c r="O99" s="18" t="inlineStr">
        <is>
          <t>ข้อสอบจริง</t>
        </is>
      </c>
      <c r="P99" s="18" t="inlineStr">
        <is>
          <t>ปี 2555</t>
        </is>
      </c>
    </row>
    <row r="100">
      <c r="A100" s="15" t="inlineStr">
        <is>
          <t>98</t>
        </is>
      </c>
      <c r="B100" s="18" t="inlineStr">
        <is>
          <t>กลไกการออกฤทธิ์ของ Carbamazepine</t>
        </is>
      </c>
      <c r="C100" s="18" t="inlineStr"/>
      <c r="D100" s="18" t="inlineStr">
        <is>
          <t>Sumatriptan 50 mg stat</t>
        </is>
      </c>
      <c r="E100" s="18" t="inlineStr">
        <is>
          <t>Propranolol 40 mg BID</t>
        </is>
      </c>
      <c r="F100" s="18" t="inlineStr">
        <is>
          <t>Topiramate 25 mg BID</t>
        </is>
      </c>
      <c r="G100" s="18" t="inlineStr">
        <is>
          <t>Donepezil 5 mg HS</t>
        </is>
      </c>
      <c r="H100" s="18" t="inlineStr">
        <is>
          <t>Alteplase (rtPA) 0.9 mg/kg IV</t>
        </is>
      </c>
      <c r="I100" s="15" t="inlineStr">
        <is>
          <t>1</t>
        </is>
      </c>
      <c r="J100" s="18"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Epilepsy เนื่องจากกลไกการออกฤทธิ์, efficacy หรือข้อบ่งใช้ไม่ตรงกับโจทย์ที่กำหนด
• ข้อ จ. (Alteplase (rtPA) 0.9 mg/kg IV):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18" t="inlineStr"/>
      <c r="L100" s="18" t="inlineStr">
        <is>
          <t>Epilepsy</t>
        </is>
      </c>
      <c r="M100" s="18" t="inlineStr">
        <is>
          <t>Clinic</t>
        </is>
      </c>
      <c r="N100" s="18" t="inlineStr">
        <is>
          <t>ข้อ 3 (PLE_CC1_2555 Day 2.md)</t>
        </is>
      </c>
      <c r="O100" s="18" t="inlineStr">
        <is>
          <t>ข้อสอบจริง</t>
        </is>
      </c>
      <c r="P100" s="18" t="inlineStr">
        <is>
          <t>ปี 2555</t>
        </is>
      </c>
    </row>
    <row r="101">
      <c r="A101" s="15" t="inlineStr">
        <is>
          <t>99</t>
        </is>
      </c>
      <c r="B101" s="18" t="inlineStr">
        <is>
          <t>Carbamazepine นอกจากจะมีข้อบ่งใช้ในโรคลมชัก ยังสามารถรักษาโรคอะไรได้</t>
        </is>
      </c>
      <c r="C101" s="18" t="inlineStr"/>
      <c r="D101" s="18" t="inlineStr">
        <is>
          <t>Donepezil 5 mg HS</t>
        </is>
      </c>
      <c r="E101" s="18" t="inlineStr">
        <is>
          <t>Alteplase (rtPA) 0.9 mg/kg IV</t>
        </is>
      </c>
      <c r="F101" s="18" t="inlineStr">
        <is>
          <t>Phenytoin 100 mg TID</t>
        </is>
      </c>
      <c r="G101" s="18" t="inlineStr">
        <is>
          <t>Sodium valproate 200 mg TID</t>
        </is>
      </c>
      <c r="H101" s="18" t="inlineStr">
        <is>
          <t>Carbamazepine 200 mg BID</t>
        </is>
      </c>
      <c r="I101" s="15" t="inlineStr">
        <is>
          <t>1</t>
        </is>
      </c>
      <c r="J101" s="1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Epilepsy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18" t="inlineStr"/>
      <c r="L101" s="18" t="inlineStr">
        <is>
          <t>Epilepsy</t>
        </is>
      </c>
      <c r="M101" s="18" t="inlineStr">
        <is>
          <t>Clinic</t>
        </is>
      </c>
      <c r="N101" s="18" t="inlineStr">
        <is>
          <t>ข้อ 4 (PLE_CC1_2555 Day 2.md)</t>
        </is>
      </c>
      <c r="O101" s="18" t="inlineStr">
        <is>
          <t>ข้อสอบจริง</t>
        </is>
      </c>
      <c r="P101" s="18" t="inlineStr">
        <is>
          <t>ปี 2555</t>
        </is>
      </c>
    </row>
    <row r="102">
      <c r="A102" s="15" t="inlineStr">
        <is>
          <t>100</t>
        </is>
      </c>
      <c r="B102" s="18" t="inlineStr">
        <is>
          <t>ยา Carbamazepine จะเพิ่มขึ้นเมื่อใช้ร่วมกับ</t>
        </is>
      </c>
      <c r="C102" s="18" t="inlineStr"/>
      <c r="D102" s="18" t="inlineStr">
        <is>
          <t>Sodium valproate 200 mg TID</t>
        </is>
      </c>
      <c r="E102" s="18" t="inlineStr">
        <is>
          <t>Carbamazepine 200 mg BID</t>
        </is>
      </c>
      <c r="F102" s="18" t="inlineStr">
        <is>
          <t>Lamotrigine 50 mg OD</t>
        </is>
      </c>
      <c r="G102" s="18" t="inlineStr">
        <is>
          <t>Levetiracetam 500 mg BID</t>
        </is>
      </c>
      <c r="H102" s="18" t="inlineStr">
        <is>
          <t>Gabapentin 300 mg TID</t>
        </is>
      </c>
      <c r="I102" s="15" t="inlineStr">
        <is>
          <t>1</t>
        </is>
      </c>
      <c r="J102" s="18"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18" t="inlineStr"/>
      <c r="L102" s="18" t="inlineStr">
        <is>
          <t>Epilepsy</t>
        </is>
      </c>
      <c r="M102" s="18" t="inlineStr">
        <is>
          <t>Clinic</t>
        </is>
      </c>
      <c r="N102" s="18" t="inlineStr">
        <is>
          <t>ข้อ 5 (PLE_CC1_2555 Day 2.md)</t>
        </is>
      </c>
      <c r="O102" s="18" t="inlineStr">
        <is>
          <t>ข้อสอบจริง</t>
        </is>
      </c>
      <c r="P102" s="18" t="inlineStr">
        <is>
          <t>ปี 2555</t>
        </is>
      </c>
    </row>
    <row r="103">
      <c r="A103" s="15" t="inlineStr">
        <is>
          <t>101</t>
        </is>
      </c>
      <c r="B103" s="18" t="inlineStr">
        <is>
          <t>Carbamazepine มี polymorph ซึ่งแต่ละ polymorph จะแตกต่างกัน ยกเว้น</t>
        </is>
      </c>
      <c r="C103" s="18" t="inlineStr"/>
      <c r="D103" s="18" t="inlineStr">
        <is>
          <t>Levetiracetam 500 mg BID</t>
        </is>
      </c>
      <c r="E103" s="18" t="inlineStr">
        <is>
          <t>Gabapentin 300 mg TID</t>
        </is>
      </c>
      <c r="F103" s="18" t="inlineStr">
        <is>
          <t>Pregabalin 75 mg BID</t>
        </is>
      </c>
      <c r="G103" s="18" t="inlineStr">
        <is>
          <t>Levodopa/Benserazide 100/25 mg TID</t>
        </is>
      </c>
      <c r="H103" s="18" t="inlineStr">
        <is>
          <t>Sumatriptan 50 mg stat</t>
        </is>
      </c>
      <c r="I103" s="15" t="inlineStr">
        <is>
          <t>1</t>
        </is>
      </c>
      <c r="J103" s="18"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Epilepsy เนื่องจากกลไกการออกฤทธิ์, efficacy หรือข้อบ่งใช้ไม่ตรงกับโจทย์ที่กำหนด
• ข้อ ค. (Pregabalin 75 mg BID): ข้อนี้ไม่ใช่คำตอบที่ถูกต้องสำหรับภาวะ Epilepsy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18" t="inlineStr"/>
      <c r="L103" s="18" t="inlineStr">
        <is>
          <t>Epilepsy</t>
        </is>
      </c>
      <c r="M103" s="18" t="inlineStr">
        <is>
          <t>Clinic</t>
        </is>
      </c>
      <c r="N103" s="18" t="inlineStr">
        <is>
          <t>ข้อ 6 (PLE_CC1_2555 Day 2.md)</t>
        </is>
      </c>
      <c r="O103" s="18" t="inlineStr">
        <is>
          <t>ข้อสอบจริง</t>
        </is>
      </c>
      <c r="P103" s="18" t="inlineStr">
        <is>
          <t>ปี 2555</t>
        </is>
      </c>
    </row>
    <row r="104">
      <c r="A104" s="15" t="inlineStr">
        <is>
          <t>102</t>
        </is>
      </c>
      <c r="B104" s="18" t="inlineStr">
        <is>
          <t>hydroxyzine ในขนาดสูงสามารถใช้เป็นยากันชักได้</t>
        </is>
      </c>
      <c r="C104" s="18" t="inlineStr"/>
      <c r="D104" s="18" t="inlineStr">
        <is>
          <t>Levodopa/Benserazide 100/25 mg TID</t>
        </is>
      </c>
      <c r="E104" s="18" t="inlineStr">
        <is>
          <t>Sumatriptan 50 mg stat</t>
        </is>
      </c>
      <c r="F104" s="18" t="inlineStr">
        <is>
          <t>Propranolol 40 mg BID</t>
        </is>
      </c>
      <c r="G104" s="18" t="inlineStr">
        <is>
          <t>Topiramate 25 mg BID</t>
        </is>
      </c>
      <c r="H104" s="18" t="inlineStr">
        <is>
          <t>Donepezil 5 mg HS</t>
        </is>
      </c>
      <c r="I104" s="15" t="inlineStr">
        <is>
          <t>1</t>
        </is>
      </c>
      <c r="J104" s="1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18" t="inlineStr"/>
      <c r="L104" s="18" t="inlineStr">
        <is>
          <t>Epilepsy</t>
        </is>
      </c>
      <c r="M104" s="18" t="inlineStr">
        <is>
          <t>Clinic</t>
        </is>
      </c>
      <c r="N104" s="18" t="inlineStr">
        <is>
          <t>ข้อ 1 (PLE_CC1_2555 Day 2.md)</t>
        </is>
      </c>
      <c r="O104" s="18" t="inlineStr">
        <is>
          <t>ข้อสอบจริง</t>
        </is>
      </c>
      <c r="P104" s="18" t="inlineStr">
        <is>
          <t>ปี 2555</t>
        </is>
      </c>
    </row>
    <row r="105">
      <c r="A105" s="15" t="inlineStr">
        <is>
          <t>103</t>
        </is>
      </c>
      <c r="B105" s="18"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18" t="inlineStr"/>
      <c r="D105" s="18" t="inlineStr">
        <is>
          <t>Topiramate 25 mg BID</t>
        </is>
      </c>
      <c r="E105" s="18" t="inlineStr">
        <is>
          <t>Donepezil 5 mg HS</t>
        </is>
      </c>
      <c r="F105" s="18" t="inlineStr">
        <is>
          <t>Alteplase (rtPA) 0.9 mg/kg IV</t>
        </is>
      </c>
      <c r="G105" s="18" t="inlineStr">
        <is>
          <t>Phenytoin 100 mg TID</t>
        </is>
      </c>
      <c r="H105" s="18" t="inlineStr">
        <is>
          <t>Sodium valproate 200 mg TID</t>
        </is>
      </c>
      <c r="I105" s="15" t="inlineStr">
        <is>
          <t>3</t>
        </is>
      </c>
      <c r="J105" s="18"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(Topiramate 25 mg BID): เป็น carbonic anhydrase inhibitor และ glutamate blocker ทำให้เกิดน้ำหนักลด สมาธิลดลง นิ่วในไต และ secondary angle-closure glaucoma
• ข้อ ข.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18" t="inlineStr"/>
      <c r="L105" s="18" t="inlineStr">
        <is>
          <t>Parkinson disease</t>
        </is>
      </c>
      <c r="M105" s="18" t="inlineStr">
        <is>
          <t>Clinic</t>
        </is>
      </c>
      <c r="N105" s="18" t="inlineStr">
        <is>
          <t>ข้อ 5 (PLE_CC1_2554 SET2.md)</t>
        </is>
      </c>
      <c r="O105" s="18" t="inlineStr">
        <is>
          <t>ข้อสอบจริง</t>
        </is>
      </c>
      <c r="P105" s="18" t="inlineStr">
        <is>
          <t>ปี 2554</t>
        </is>
      </c>
    </row>
    <row r="106">
      <c r="A106" s="15" t="inlineStr">
        <is>
          <t>104</t>
        </is>
      </c>
      <c r="B106" s="18" t="inlineStr">
        <is>
          <t>ข้อใดผิดเกี่ยวกับยา Carbidopa + Levodopa</t>
        </is>
      </c>
      <c r="C106" s="18" t="inlineStr"/>
      <c r="D106" s="18" t="inlineStr">
        <is>
          <t>Phenytoin 100 mg TID</t>
        </is>
      </c>
      <c r="E106" s="18" t="inlineStr">
        <is>
          <t>Sodium valproate 200 mg TID</t>
        </is>
      </c>
      <c r="F106" s="18" t="inlineStr">
        <is>
          <t>Carbamazepine 200 mg BID</t>
        </is>
      </c>
      <c r="G106" s="18" t="inlineStr">
        <is>
          <t>Lamotrigine 50 mg OD</t>
        </is>
      </c>
      <c r="H106" s="18" t="inlineStr">
        <is>
          <t>Levetiracetam 500 mg BID</t>
        </is>
      </c>
      <c r="I106" s="15" t="inlineStr">
        <is>
          <t>1</t>
        </is>
      </c>
      <c r="J106" s="18"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18" t="inlineStr"/>
      <c r="L106" s="18" t="inlineStr">
        <is>
          <t>Parkinson disease</t>
        </is>
      </c>
      <c r="M106" s="18" t="inlineStr">
        <is>
          <t>Clinic</t>
        </is>
      </c>
      <c r="N106" s="18" t="inlineStr">
        <is>
          <t>ข้อ 3 (PLE_CC1_2533.md)</t>
        </is>
      </c>
      <c r="O106" s="18" t="inlineStr">
        <is>
          <t>ข้อสอบจริง</t>
        </is>
      </c>
      <c r="P106" s="18" t="inlineStr">
        <is>
          <t>ปี 2533</t>
        </is>
      </c>
    </row>
    <row r="107">
      <c r="A107" s="15" t="inlineStr">
        <is>
          <t>105</t>
        </is>
      </c>
      <c r="B107" s="18" t="inlineStr">
        <is>
          <t>Levodopa ช่วยเพิ่มการดูดซึมยา Carbidopa ที่ CNS</t>
        </is>
      </c>
      <c r="C107" s="18" t="inlineStr"/>
      <c r="D107" s="18" t="inlineStr">
        <is>
          <t>Lamotrigine 50 mg OD</t>
        </is>
      </c>
      <c r="E107" s="18" t="inlineStr">
        <is>
          <t>Levetiracetam 500 mg BID</t>
        </is>
      </c>
      <c r="F107" s="18" t="inlineStr">
        <is>
          <t>Gabapentin 300 mg TID</t>
        </is>
      </c>
      <c r="G107" s="18" t="inlineStr">
        <is>
          <t>Pregabalin 75 mg BID</t>
        </is>
      </c>
      <c r="H107" s="18" t="inlineStr">
        <is>
          <t>Levodopa/Benserazide 100/25 mg TID</t>
        </is>
      </c>
      <c r="I107" s="15" t="inlineStr">
        <is>
          <t>1</t>
        </is>
      </c>
      <c r="J107" s="18"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Parkinson disease เนื่องจากกลไกการออกฤทธิ์, efficacy หรือข้อบ่งใช้ไม่ตรงกับโจทย์ที่กำหนด
• ข้อ ง. (Pregabalin 75 mg BID): ข้อนี้ไม่ใช่คำตอบที่ถูกต้องสำหรับภาวะ Parkinson disease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8" t="inlineStr"/>
      <c r="L107" s="18" t="inlineStr">
        <is>
          <t>Parkinson disease</t>
        </is>
      </c>
      <c r="M107" s="18" t="inlineStr">
        <is>
          <t>Clinic</t>
        </is>
      </c>
      <c r="N107" s="18" t="inlineStr">
        <is>
          <t>ข้อ 2 (PLE_CC1_2533.md)</t>
        </is>
      </c>
      <c r="O107" s="18" t="inlineStr">
        <is>
          <t>ข้อสอบจริง</t>
        </is>
      </c>
      <c r="P107" s="18" t="inlineStr">
        <is>
          <t>ปี 2533</t>
        </is>
      </c>
    </row>
    <row r="108">
      <c r="A108" s="15" t="inlineStr">
        <is>
          <t>106</t>
        </is>
      </c>
      <c r="B108" s="18" t="inlineStr">
        <is>
          <t>Carbidopa ช่วยลดปริมาณของ Levodopa ที่จำเป็นต้องใช้</t>
        </is>
      </c>
      <c r="C108" s="18" t="inlineStr"/>
      <c r="D108" s="18" t="inlineStr">
        <is>
          <t>Pregabalin 75 mg BID</t>
        </is>
      </c>
      <c r="E108" s="18" t="inlineStr">
        <is>
          <t>Levodopa/Benserazide 100/25 mg TID</t>
        </is>
      </c>
      <c r="F108" s="18" t="inlineStr">
        <is>
          <t>Sumatriptan 50 mg stat</t>
        </is>
      </c>
      <c r="G108" s="18" t="inlineStr">
        <is>
          <t>Propranolol 40 mg BID</t>
        </is>
      </c>
      <c r="H108" s="18" t="inlineStr">
        <is>
          <t>Topiramate 25 mg BID</t>
        </is>
      </c>
      <c r="I108" s="15" t="inlineStr">
        <is>
          <t>1</t>
        </is>
      </c>
      <c r="J108" s="18"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18" t="inlineStr"/>
      <c r="L108" s="18" t="inlineStr">
        <is>
          <t>Parkinson disease</t>
        </is>
      </c>
      <c r="M108" s="18" t="inlineStr">
        <is>
          <t>Clinic</t>
        </is>
      </c>
      <c r="N108" s="18" t="inlineStr">
        <is>
          <t>ข้อ 4 (PLE_CC1_2533.md)</t>
        </is>
      </c>
      <c r="O108" s="18" t="inlineStr">
        <is>
          <t>ข้อสอบจริง</t>
        </is>
      </c>
      <c r="P108" s="18" t="inlineStr">
        <is>
          <t>ปี 2533</t>
        </is>
      </c>
    </row>
    <row r="109">
      <c r="A109" s="15" t="inlineStr">
        <is>
          <t>107</t>
        </is>
      </c>
      <c r="B109" s="18"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18" t="inlineStr"/>
      <c r="D109" s="18" t="inlineStr">
        <is>
          <t>Propranolol 40 mg BID</t>
        </is>
      </c>
      <c r="E109" s="18" t="inlineStr">
        <is>
          <t>Topiramate 25 mg BID</t>
        </is>
      </c>
      <c r="F109" s="18" t="inlineStr">
        <is>
          <t>Donepezil 5 mg HS</t>
        </is>
      </c>
      <c r="G109" s="18" t="inlineStr">
        <is>
          <t>Alteplase (rtPA) 0.9 mg/kg IV</t>
        </is>
      </c>
      <c r="H109" s="18" t="inlineStr">
        <is>
          <t>Phenytoin 100 mg TID</t>
        </is>
      </c>
      <c r="I109" s="15" t="inlineStr">
        <is>
          <t>1</t>
        </is>
      </c>
      <c r="J109" s="18"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18" t="inlineStr"/>
      <c r="L109" s="18" t="inlineStr">
        <is>
          <t>Parkinson disease</t>
        </is>
      </c>
      <c r="M109" s="18" t="inlineStr">
        <is>
          <t>Clinic</t>
        </is>
      </c>
      <c r="N109" s="18" t="inlineStr">
        <is>
          <t>ข้อ 5 (PLE_CC1_2533.md)</t>
        </is>
      </c>
      <c r="O109" s="18" t="inlineStr">
        <is>
          <t>ข้อสอบจริง</t>
        </is>
      </c>
      <c r="P109" s="18" t="inlineStr">
        <is>
          <t>ปี 2533</t>
        </is>
      </c>
    </row>
    <row r="110">
      <c r="A110" s="15" t="inlineStr">
        <is>
          <t>108</t>
        </is>
      </c>
      <c r="B110" s="18" t="inlineStr">
        <is>
          <t>ตอบ ค. Phenytoin เนื่องจากยามีผลในการเพิ่มการทำงานของเอนไซม์ P450 ในตับ ทำให้มีผลในการเร่งการทำลาย T4</t>
        </is>
      </c>
      <c r="C110" s="18" t="inlineStr"/>
      <c r="D110" s="18" t="inlineStr">
        <is>
          <t>Alteplase (rtPA) 0.9 mg/kg IV</t>
        </is>
      </c>
      <c r="E110" s="18" t="inlineStr">
        <is>
          <t>Phenytoin 100 mg TID</t>
        </is>
      </c>
      <c r="F110" s="18" t="inlineStr">
        <is>
          <t>Sodium valproate 200 mg TID</t>
        </is>
      </c>
      <c r="G110" s="18" t="inlineStr">
        <is>
          <t>Carbamazepine 200 mg BID</t>
        </is>
      </c>
      <c r="H110" s="18" t="inlineStr">
        <is>
          <t>Lamotrigine 50 mg OD</t>
        </is>
      </c>
      <c r="I110" s="15" t="inlineStr">
        <is>
          <t>1</t>
        </is>
      </c>
      <c r="J110" s="1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18" t="inlineStr"/>
      <c r="L110" s="18" t="inlineStr">
        <is>
          <t>Epilepsy</t>
        </is>
      </c>
      <c r="M110" s="18" t="inlineStr">
        <is>
          <t>Clinic</t>
        </is>
      </c>
      <c r="N110" s="18" t="inlineStr">
        <is>
          <t>ข้อ 27 (PLE_CC1_Practice_Exam.md)</t>
        </is>
      </c>
      <c r="O110" s="18" t="inlineStr">
        <is>
          <t>Mock</t>
        </is>
      </c>
      <c r="P110" s="18" t="inlineStr">
        <is>
          <t>Mock สภาเภสัชฯ Practice</t>
        </is>
      </c>
    </row>
    <row r="111">
      <c r="A111" s="15" t="inlineStr">
        <is>
          <t>109</t>
        </is>
      </c>
      <c r="B111" s="18"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18" t="inlineStr"/>
      <c r="D111" s="18" t="inlineStr">
        <is>
          <t>Carbamazepine 200 mg BID</t>
        </is>
      </c>
      <c r="E111" s="18" t="inlineStr">
        <is>
          <t>Lamotrigine 50 mg OD</t>
        </is>
      </c>
      <c r="F111" s="18" t="inlineStr">
        <is>
          <t>Levetiracetam 500 mg BID</t>
        </is>
      </c>
      <c r="G111" s="18" t="inlineStr">
        <is>
          <t>Gabapentin 300 mg TID</t>
        </is>
      </c>
      <c r="H111" s="18" t="inlineStr">
        <is>
          <t>Pregabalin 75 mg BID</t>
        </is>
      </c>
      <c r="I111" s="15" t="inlineStr">
        <is>
          <t>1</t>
        </is>
      </c>
      <c r="J111" s="18"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Headache เนื่องจากกลไกการออกฤทธิ์, efficacy หรือข้อบ่งใช้ไม่ตรงกับโจทย์ที่กำหนด
• ข้อ จ. (Pregabalin 75 mg BID):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18" t="inlineStr"/>
      <c r="L111" s="18" t="inlineStr">
        <is>
          <t>Headache</t>
        </is>
      </c>
      <c r="M111" s="18" t="inlineStr">
        <is>
          <t>Clinic</t>
        </is>
      </c>
      <c r="N111" s="18" t="inlineStr">
        <is>
          <t>ข้อ 37 (PLE_CC1_Practice_Exam.md)</t>
        </is>
      </c>
      <c r="O111" s="18" t="inlineStr">
        <is>
          <t>Mock</t>
        </is>
      </c>
      <c r="P111" s="18" t="inlineStr">
        <is>
          <t>Mock สภาเภสัชฯ Practice</t>
        </is>
      </c>
    </row>
    <row r="112">
      <c r="A112" s="15" t="inlineStr">
        <is>
          <t>110</t>
        </is>
      </c>
      <c r="B112" s="18" t="inlineStr">
        <is>
          <t>Phenytoin 2. Valproic acid 3. Benzodiazepine 4. Carbamazepine</t>
        </is>
      </c>
      <c r="C112" s="18" t="inlineStr"/>
      <c r="D112" s="18" t="inlineStr">
        <is>
          <t>1,2,3,4</t>
        </is>
      </c>
      <c r="E112" s="18" t="inlineStr">
        <is>
          <t>1,3 และ 4</t>
        </is>
      </c>
      <c r="F112" s="18" t="inlineStr">
        <is>
          <t>1 และ 4</t>
        </is>
      </c>
      <c r="G112" s="18" t="inlineStr">
        <is>
          <t>1 เท่านั้น</t>
        </is>
      </c>
      <c r="H112" s="18" t="inlineStr">
        <is>
          <t>2 เท่านั้น</t>
        </is>
      </c>
      <c r="I112" s="15" t="inlineStr">
        <is>
          <t>1</t>
        </is>
      </c>
      <c r="J112" s="1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(1,3 และ 4): ข้อนี้ไม่ใช่คำตอบที่ถูกต้องสำหรับภาวะ Epilepsy เนื่องจากกลไกการออกฤทธิ์, efficacy หรือข้อบ่งใช้ไม่ตรงกับโจทย์ที่กำหนด
• ข้อ ค. (1 และ 4): ข้อนี้ไม่ใช่คำตอบที่ถูกต้องสำหรับภาวะ Epilepsy เนื่องจากกลไกการออกฤทธิ์, efficacy หรือข้อบ่งใช้ไม่ตรงกับโจทย์ที่กำหนด
• ข้อ ง. (1 เท่านั้น): ข้อนี้ไม่ใช่คำตอบที่ถูกต้องสำหรับภาวะ Epilepsy เนื่องจากกลไกการออกฤทธิ์, efficacy หรือข้อบ่งใช้ไม่ตรงกับโจทย์ที่กำหนด
• ข้อ จ. (2 เท่านั้น):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18" t="inlineStr"/>
      <c r="L112" s="18" t="inlineStr">
        <is>
          <t>Epilepsy</t>
        </is>
      </c>
      <c r="M112" s="18" t="inlineStr">
        <is>
          <t>Clinic</t>
        </is>
      </c>
      <c r="N112" s="18" t="inlineStr">
        <is>
          <t>ข้อ 1 (PLE_CC1_Practice_Exam.md)</t>
        </is>
      </c>
      <c r="O112" s="18" t="inlineStr">
        <is>
          <t>Mock</t>
        </is>
      </c>
      <c r="P112" s="18" t="inlineStr">
        <is>
          <t>Mock สภาเภสัชฯ Practice</t>
        </is>
      </c>
    </row>
    <row r="113">
      <c r="A113" s="15" t="inlineStr">
        <is>
          <t>111</t>
        </is>
      </c>
      <c r="B113" s="18" t="inlineStr">
        <is>
          <t>Phenytoin 2.Valproic acid 3. Benzodiazepine 4. Carbamazepine</t>
        </is>
      </c>
      <c r="C113" s="18" t="inlineStr"/>
      <c r="D113" s="18" t="inlineStr">
        <is>
          <t>1,2,3,4</t>
        </is>
      </c>
      <c r="E113" s="18"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18" t="inlineStr">
        <is>
          <t>2 และ 3</t>
        </is>
      </c>
      <c r="G113" s="18" t="inlineStr">
        <is>
          <t>2 และ 4</t>
        </is>
      </c>
      <c r="H113" s="18" t="inlineStr">
        <is>
          <t>2 เท่านั้น</t>
        </is>
      </c>
      <c r="I113" s="15" t="inlineStr">
        <is>
          <t>1</t>
        </is>
      </c>
      <c r="J113" s="1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Epilepsy เนื่องจากกลไกการออกฤทธิ์, efficacy หรือข้อบ่งใช้ไม่ตรงกับโจทย์ที่กำหนด
• ข้อ ค. (2 และ 3): ข้อนี้ไม่ใช่คำตอบที่ถูกต้องสำหรับภาวะ Epilepsy เนื่องจากกลไกการออกฤทธิ์, efficacy หรือข้อบ่งใช้ไม่ตรงกับโจทย์ที่กำหนด
• ข้อ ง. (2 และ 4): ข้อนี้ไม่ใช่คำตอบที่ถูกต้องสำหรับภาวะ Epilepsy เนื่องจากกลไกการออกฤทธิ์, efficacy หรือข้อบ่งใช้ไม่ตรงกับโจทย์ที่กำหนด
• ข้อ จ. (2 เท่านั้น):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18" t="inlineStr"/>
      <c r="L113" s="18" t="inlineStr">
        <is>
          <t>Epilepsy</t>
        </is>
      </c>
      <c r="M113" s="18" t="inlineStr">
        <is>
          <t>Clinic</t>
        </is>
      </c>
      <c r="N113" s="18" t="inlineStr">
        <is>
          <t>ข้อ 1 (PLE_CC1_Practice_Exam.md)</t>
        </is>
      </c>
      <c r="O113" s="18" t="inlineStr">
        <is>
          <t>Mock</t>
        </is>
      </c>
      <c r="P113" s="18" t="inlineStr">
        <is>
          <t>Mock สภาเภสัชฯ Practice</t>
        </is>
      </c>
    </row>
    <row r="114">
      <c r="A114" s="15" t="inlineStr">
        <is>
          <t>112</t>
        </is>
      </c>
      <c r="B114" s="18"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18" t="inlineStr"/>
      <c r="D114" s="18" t="inlineStr">
        <is>
          <t>Donepezil 5 mg HS</t>
        </is>
      </c>
      <c r="E114" s="18" t="inlineStr">
        <is>
          <t>Alteplase (rtPA) 0.9 mg/kg IV</t>
        </is>
      </c>
      <c r="F114" s="18" t="inlineStr">
        <is>
          <t>Phenytoin 100 mg TID</t>
        </is>
      </c>
      <c r="G114" s="18" t="inlineStr">
        <is>
          <t>Sodium valproate 200 mg TID</t>
        </is>
      </c>
      <c r="H114" s="18" t="inlineStr">
        <is>
          <t>Carbamazepine 200 mg BID</t>
        </is>
      </c>
      <c r="I114" s="15" t="inlineStr">
        <is>
          <t>1</t>
        </is>
      </c>
      <c r="J114" s="18"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Headache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18" t="inlineStr"/>
      <c r="L114" s="18" t="inlineStr">
        <is>
          <t>Headache</t>
        </is>
      </c>
      <c r="M114" s="18" t="inlineStr">
        <is>
          <t>Clinic</t>
        </is>
      </c>
      <c r="N114" s="18" t="inlineStr">
        <is>
          <t>ข้อ 1 (PLE_CC1_Practice_Exam.md)</t>
        </is>
      </c>
      <c r="O114" s="18" t="inlineStr">
        <is>
          <t>Mock</t>
        </is>
      </c>
      <c r="P114" s="18" t="inlineStr">
        <is>
          <t>Mock สภาเภสัชฯ Practice</t>
        </is>
      </c>
    </row>
    <row r="115">
      <c r="A115" s="15" t="inlineStr">
        <is>
          <t>113</t>
        </is>
      </c>
      <c r="B115" s="18"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18" t="inlineStr"/>
      <c r="D115" s="18" t="inlineStr">
        <is>
          <t>Sodium valproate 200 mg TID</t>
        </is>
      </c>
      <c r="E115" s="18" t="inlineStr">
        <is>
          <t>Carbamazepine 200 mg BID</t>
        </is>
      </c>
      <c r="F115" s="18" t="inlineStr">
        <is>
          <t>Lamotrigine 50 mg OD</t>
        </is>
      </c>
      <c r="G115" s="18" t="inlineStr">
        <is>
          <t>Levetiracetam 500 mg BID</t>
        </is>
      </c>
      <c r="H115" s="18" t="inlineStr">
        <is>
          <t>Gabapentin 300 mg TID</t>
        </is>
      </c>
      <c r="I115" s="15" t="inlineStr">
        <is>
          <t>1</t>
        </is>
      </c>
      <c r="J115" s="18"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18" t="inlineStr"/>
      <c r="L115" s="18" t="inlineStr">
        <is>
          <t>Headache</t>
        </is>
      </c>
      <c r="M115" s="18" t="inlineStr">
        <is>
          <t>Clinic</t>
        </is>
      </c>
      <c r="N115" s="18" t="inlineStr">
        <is>
          <t>ข้อ 4 (PLE_CC1_Practice_Exam.md)</t>
        </is>
      </c>
      <c r="O115" s="18" t="inlineStr">
        <is>
          <t>Mock</t>
        </is>
      </c>
      <c r="P115" s="18" t="inlineStr">
        <is>
          <t>Mock สภาเภสัชฯ Practice</t>
        </is>
      </c>
    </row>
    <row r="116">
      <c r="A116" s="15" t="inlineStr">
        <is>
          <t>114</t>
        </is>
      </c>
      <c r="B116" s="18" t="inlineStr">
        <is>
          <t>orthostatic hypotension</t>
        </is>
      </c>
      <c r="C116" s="18" t="inlineStr"/>
      <c r="D116" s="18" t="inlineStr">
        <is>
          <t>Levetiracetam 500 mg BID</t>
        </is>
      </c>
      <c r="E116" s="18" t="inlineStr">
        <is>
          <t>Gabapentin 300 mg TID</t>
        </is>
      </c>
      <c r="F116" s="18" t="inlineStr">
        <is>
          <t>Pregabalin 75 mg BID</t>
        </is>
      </c>
      <c r="G116" s="18" t="inlineStr">
        <is>
          <t>Levodopa/Benserazide 100/25 mg TID</t>
        </is>
      </c>
      <c r="H116" s="18" t="inlineStr">
        <is>
          <t>Sumatriptan 50 mg stat</t>
        </is>
      </c>
      <c r="I116" s="15" t="inlineStr">
        <is>
          <t>1</t>
        </is>
      </c>
      <c r="J116" s="18"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Headache เนื่องจากกลไกการออกฤทธิ์, efficacy หรือข้อบ่งใช้ไม่ตรงกับโจทย์ที่กำหนด
• ข้อ ค. (Pregabalin 75 mg BID): ข้อนี้ไม่ใช่คำตอบที่ถูกต้องสำหรับภาวะ Headache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18" t="inlineStr"/>
      <c r="L116" s="18" t="inlineStr">
        <is>
          <t>Headache</t>
        </is>
      </c>
      <c r="M116" s="18" t="inlineStr">
        <is>
          <t>Clinic</t>
        </is>
      </c>
      <c r="N116" s="18" t="inlineStr">
        <is>
          <t>ข้อ 2 (PLE_CC1_Practice_Exam.md)</t>
        </is>
      </c>
      <c r="O116" s="18" t="inlineStr">
        <is>
          <t>Mock</t>
        </is>
      </c>
      <c r="P116" s="18" t="inlineStr">
        <is>
          <t>Mock สภาเภสัชฯ Practice</t>
        </is>
      </c>
    </row>
    <row r="117">
      <c r="A117" s="15" t="inlineStr">
        <is>
          <t>115</t>
        </is>
      </c>
      <c r="B117" s="18" t="inlineStr">
        <is>
          <t>กินร่วมกับ Phenytoin ได้ ะ</t>
        </is>
      </c>
      <c r="C117" s="18" t="inlineStr"/>
      <c r="D117" s="18" t="inlineStr">
        <is>
          <t>Levodopa/Benserazide 100/25 mg TID</t>
        </is>
      </c>
      <c r="E117" s="18" t="inlineStr">
        <is>
          <t>Sumatriptan 50 mg stat</t>
        </is>
      </c>
      <c r="F117" s="18" t="inlineStr">
        <is>
          <t>Propranolol 40 mg BID</t>
        </is>
      </c>
      <c r="G117" s="18" t="inlineStr">
        <is>
          <t>Topiramate 25 mg BID</t>
        </is>
      </c>
      <c r="H117" s="18" t="inlineStr">
        <is>
          <t>Donepezil 5 mg HS</t>
        </is>
      </c>
      <c r="I117" s="15" t="inlineStr">
        <is>
          <t>1</t>
        </is>
      </c>
      <c r="J117" s="1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18" t="inlineStr"/>
      <c r="L117" s="18" t="inlineStr">
        <is>
          <t>Epilepsy</t>
        </is>
      </c>
      <c r="M117" s="18" t="inlineStr">
        <is>
          <t>Clinic</t>
        </is>
      </c>
      <c r="N117" s="18" t="inlineStr">
        <is>
          <t>ข้อ 4 (PLE_CC1_Key_Rx20_UBU.md)</t>
        </is>
      </c>
      <c r="O117" s="18" t="inlineStr">
        <is>
          <t>Mock</t>
        </is>
      </c>
      <c r="P117" s="18" t="inlineStr">
        <is>
          <t>Mock Rx20 UBU</t>
        </is>
      </c>
    </row>
    <row r="118">
      <c r="A118" s="15" t="inlineStr">
        <is>
          <t>116</t>
        </is>
      </c>
      <c r="B118" s="18" t="inlineStr">
        <is>
          <t>กลไกการออกฤทธิ์ของ Carbamazepine</t>
        </is>
      </c>
      <c r="C118" s="18" t="inlineStr"/>
      <c r="D118" s="18" t="inlineStr">
        <is>
          <t>จับกับ Na Channel ใน inactivated state</t>
        </is>
      </c>
      <c r="E118" s="18" t="inlineStr">
        <is>
          <t>จับกับ T-type Calcium Channel</t>
        </is>
      </c>
      <c r="F118" s="18" t="inlineStr">
        <is>
          <t>GABA-Chloride</t>
        </is>
      </c>
      <c r="G118" s="18" t="inlineStr">
        <is>
          <t>NMDA</t>
        </is>
      </c>
      <c r="H118" s="18" t="inlineStr">
        <is>
          <t>ยับยั้ง 2nd messenger</t>
        </is>
      </c>
      <c r="I118" s="15" t="inlineStr">
        <is>
          <t>1</t>
        </is>
      </c>
      <c r="J118" s="18"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(จับกับ T-type Calcium Channel): ข้อนี้ไม่ใช่คำตอบที่ถูกต้องสำหรับภาวะ Epilepsy เนื่องจากกลไกการออกฤทธิ์, efficacy หรือข้อบ่งใช้ไม่ตรงกับโจทย์ที่กำหนด
• ข้อ ค. (GABA-Chloride): ข้อนี้ไม่ใช่คำตอบที่ถูกต้องสำหรับภาวะ Epilepsy เนื่องจากกลไกการออกฤทธิ์, efficacy หรือข้อบ่งใช้ไม่ตรงกับโจทย์ที่กำหนด
• ข้อ ง. (NMDA): ข้อนี้ไม่ใช่คำตอบที่ถูกต้องสำหรับภาวะ Epilepsy เนื่องจากกลไกการออกฤทธิ์, efficacy หรือข้อบ่งใช้ไม่ตรงกับโจทย์ที่กำหนด
• ข้อ จ. (ยับยั้ง 2nd messenger):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18" t="inlineStr"/>
      <c r="L118" s="18" t="inlineStr">
        <is>
          <t>Epilepsy</t>
        </is>
      </c>
      <c r="M118" s="18" t="inlineStr">
        <is>
          <t>Clinic</t>
        </is>
      </c>
      <c r="N118" s="18" t="inlineStr">
        <is>
          <t>ข้อ 3 (PLE_CC1_Key_Rx20_UBU.md)</t>
        </is>
      </c>
      <c r="O118" s="18" t="inlineStr">
        <is>
          <t>Mock</t>
        </is>
      </c>
      <c r="P118" s="18" t="inlineStr">
        <is>
          <t>Mock Rx20 UBU</t>
        </is>
      </c>
    </row>
    <row r="119">
      <c r="A119" s="15" t="inlineStr">
        <is>
          <t>117</t>
        </is>
      </c>
      <c r="B119" s="18" t="inlineStr">
        <is>
          <t>Carbamazepine นอกจากจะมีข้อบ่งใช้ในโรคลมชัก ยังสามารถรักษาโรคอะไรได้</t>
        </is>
      </c>
      <c r="C119" s="18" t="inlineStr"/>
      <c r="D119" s="18" t="inlineStr">
        <is>
          <t>Antianxiety</t>
        </is>
      </c>
      <c r="E119" s="18" t="inlineStr">
        <is>
          <t>Smoking withdrawal</t>
        </is>
      </c>
      <c r="F119" s="18" t="inlineStr">
        <is>
          <t>Trigeminal neuralgia</t>
        </is>
      </c>
      <c r="G119" s="18" t="inlineStr">
        <is>
          <t>Pakinsonism dysarthria</t>
        </is>
      </c>
      <c r="H119" s="18" t="inlineStr">
        <is>
          <t>Febrile convulsion คำอธิบาย</t>
        </is>
      </c>
      <c r="I119" s="15" t="inlineStr">
        <is>
          <t>3</t>
        </is>
      </c>
      <c r="J119" s="1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(Antianxiety): ข้อนี้ไม่ใช่คำตอบที่ถูกต้องสำหรับภาวะ Epilepsy เนื่องจากกลไกการออกฤทธิ์, efficacy หรือข้อบ่งใช้ไม่ตรงกับโจทย์ที่กำหนด
• ข้อ ข. (Smoking withdrawal): ข้อนี้ไม่ใช่คำตอบที่ถูกต้องสำหรับภาวะ Epilepsy เนื่องจากกลไกการออกฤทธิ์, efficacy หรือข้อบ่งใช้ไม่ตรงกับโจทย์ที่กำหนด
• ข้อ ง. (Pakinsonism dysarthria): ข้อนี้ไม่ใช่คำตอบที่ถูกต้องสำหรับภาวะ Epilepsy เนื่องจากกลไกการออกฤทธิ์, efficacy หรือข้อบ่งใช้ไม่ตรงกับโจทย์ที่กำหนด
• ข้อ จ. (Febrile convulsion คำอธิบาย):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18" t="inlineStr"/>
      <c r="L119" s="18" t="inlineStr">
        <is>
          <t>Epilepsy</t>
        </is>
      </c>
      <c r="M119" s="18" t="inlineStr">
        <is>
          <t>Clinic</t>
        </is>
      </c>
      <c r="N119" s="18" t="inlineStr">
        <is>
          <t>ข้อ 4 (PLE_CC1_Key_Rx20_UBU.md)</t>
        </is>
      </c>
      <c r="O119" s="18" t="inlineStr">
        <is>
          <t>Mock</t>
        </is>
      </c>
      <c r="P119" s="18" t="inlineStr">
        <is>
          <t>Mock Rx20 UBU</t>
        </is>
      </c>
    </row>
    <row r="120">
      <c r="A120" s="15" t="inlineStr">
        <is>
          <t>118</t>
        </is>
      </c>
      <c r="B120" s="18" t="inlineStr">
        <is>
          <t>ยา Carbamazepine จะเพิ่มขึ้นเมื่อใช้ร่วมกับ</t>
        </is>
      </c>
      <c r="C120" s="18" t="inlineStr"/>
      <c r="D120" s="18" t="inlineStr">
        <is>
          <t>Folic acid</t>
        </is>
      </c>
      <c r="E120" s="18" t="inlineStr">
        <is>
          <t>Phenytoin</t>
        </is>
      </c>
      <c r="F120" s="18" t="inlineStr">
        <is>
          <t>Nevirapine</t>
        </is>
      </c>
      <c r="G120" s="18" t="inlineStr">
        <is>
          <t>Clarithromycin</t>
        </is>
      </c>
      <c r="H120" s="18" t="inlineStr">
        <is>
          <t>Mebendazole</t>
        </is>
      </c>
      <c r="I120" s="15" t="inlineStr">
        <is>
          <t>4</t>
        </is>
      </c>
      <c r="J120" s="1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ข้อนี้ไม่ใช่คำตอบที่ถูกต้องสำหรับภาวะ Epilepsy เนื่องจากกลไกการออกฤทธิ์, efficacy หรือข้อบ่งใช้ไม่ตรงกับโจทย์ที่กำหนด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(Nevirapine): ข้อนี้ไม่ใช่คำตอบที่ถูกต้องสำหรับภาวะ Epilepsy เนื่องจากกลไกการออกฤทธิ์, efficacy หรือข้อบ่งใช้ไม่ตรงกับโจทย์ที่กำหนด
• ข้อ จ. (Mebendazole):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18" t="inlineStr"/>
      <c r="L120" s="18" t="inlineStr">
        <is>
          <t>Epilepsy</t>
        </is>
      </c>
      <c r="M120" s="18" t="inlineStr">
        <is>
          <t>Clinic</t>
        </is>
      </c>
      <c r="N120" s="18" t="inlineStr">
        <is>
          <t>ข้อ 5 (PLE_CC1_Key_Rx20_UBU.md)</t>
        </is>
      </c>
      <c r="O120" s="18" t="inlineStr">
        <is>
          <t>Mock</t>
        </is>
      </c>
      <c r="P120" s="18" t="inlineStr">
        <is>
          <t>Mock Rx20 UBU</t>
        </is>
      </c>
    </row>
    <row r="121">
      <c r="A121" s="15" t="inlineStr">
        <is>
          <t>119</t>
        </is>
      </c>
      <c r="B121" s="18" t="inlineStr">
        <is>
          <t>Carbamazepine</t>
        </is>
      </c>
      <c r="C121" s="18" t="inlineStr"/>
      <c r="D121" s="18" t="inlineStr">
        <is>
          <t>Pregabalin 75 mg BID</t>
        </is>
      </c>
      <c r="E121" s="18" t="inlineStr">
        <is>
          <t>Levodopa/Benserazide 100/25 mg TID</t>
        </is>
      </c>
      <c r="F121" s="18" t="inlineStr">
        <is>
          <t>Sumatriptan 50 mg stat</t>
        </is>
      </c>
      <c r="G121" s="18" t="inlineStr">
        <is>
          <t>Propranolol 40 mg BID</t>
        </is>
      </c>
      <c r="H121" s="18" t="inlineStr">
        <is>
          <t>Topiramate 25 mg BID</t>
        </is>
      </c>
      <c r="I121" s="15" t="inlineStr">
        <is>
          <t>1</t>
        </is>
      </c>
      <c r="J121" s="18"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18" t="inlineStr"/>
      <c r="L121" s="18" t="inlineStr">
        <is>
          <t>Epilepsy</t>
        </is>
      </c>
      <c r="M121" s="18" t="inlineStr">
        <is>
          <t>Clinic</t>
        </is>
      </c>
      <c r="N121" s="18" t="inlineStr">
        <is>
          <t>ข้อ 5 (PLE_CC1_Key_Rx20_UBU.md)</t>
        </is>
      </c>
      <c r="O121" s="18" t="inlineStr">
        <is>
          <t>Mock</t>
        </is>
      </c>
      <c r="P121" s="18" t="inlineStr">
        <is>
          <t>Mock Rx20 UBU</t>
        </is>
      </c>
    </row>
    <row r="122">
      <c r="A122" s="15" t="inlineStr">
        <is>
          <t>120</t>
        </is>
      </c>
      <c r="B122" s="18"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18" t="inlineStr"/>
      <c r="D122" s="18" t="inlineStr">
        <is>
          <t>Propranolol 40 mg BID</t>
        </is>
      </c>
      <c r="E122" s="18" t="inlineStr">
        <is>
          <t>Topiramate 25 mg BID</t>
        </is>
      </c>
      <c r="F122" s="18" t="inlineStr">
        <is>
          <t>Donepezil 5 mg HS</t>
        </is>
      </c>
      <c r="G122" s="18" t="inlineStr">
        <is>
          <t>Alteplase (rtPA) 0.9 mg/kg IV</t>
        </is>
      </c>
      <c r="H122" s="18" t="inlineStr">
        <is>
          <t>Phenytoin 100 mg TID</t>
        </is>
      </c>
      <c r="I122" s="15" t="inlineStr">
        <is>
          <t>1</t>
        </is>
      </c>
      <c r="J122" s="18"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Headache เนื่องจากกลไกการออกฤทธิ์, efficacy หรือข้อบ่งใช้ไม่ตรงกับโจทย์ที่กำหนด
• ข้อ ง. (Alteplase (rtPA) 0.9 mg/kg IV): ข้อนี้ไม่ใช่คำตอบที่ถูกต้องสำหรับภาวะ Headache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8" t="inlineStr"/>
      <c r="L122" s="18" t="inlineStr">
        <is>
          <t>Headache</t>
        </is>
      </c>
      <c r="M122" s="18" t="inlineStr">
        <is>
          <t>Clinic</t>
        </is>
      </c>
      <c r="N122" s="18" t="inlineStr">
        <is>
          <t>ข้อ 47 (PLE_CC1_Key_Rx20_UBU.md)</t>
        </is>
      </c>
      <c r="O122" s="18" t="inlineStr">
        <is>
          <t>Mock</t>
        </is>
      </c>
      <c r="P122" s="18" t="inlineStr">
        <is>
          <t>Mock Rx20 UBU</t>
        </is>
      </c>
    </row>
    <row r="123">
      <c r="A123" s="15" t="inlineStr">
        <is>
          <t>121</t>
        </is>
      </c>
      <c r="B123" s="18" t="inlineStr">
        <is>
          <t>Phenytoin keto เพิ่มระดับ phenytoin, phenytoin ลดระดับ keto (Major)</t>
        </is>
      </c>
      <c r="C123" s="18" t="inlineStr"/>
      <c r="D123" s="18" t="inlineStr">
        <is>
          <t>Alteplase (rtPA) 0.9 mg/kg IV</t>
        </is>
      </c>
      <c r="E123" s="18" t="inlineStr">
        <is>
          <t>Phenytoin 100 mg TID</t>
        </is>
      </c>
      <c r="F123" s="18" t="inlineStr">
        <is>
          <t>Sodium valproate 200 mg TID</t>
        </is>
      </c>
      <c r="G123" s="18" t="inlineStr">
        <is>
          <t>Carbamazepine 200 mg BID</t>
        </is>
      </c>
      <c r="H123" s="18" t="inlineStr">
        <is>
          <t>Lamotrigine 50 mg OD</t>
        </is>
      </c>
      <c r="I123" s="15" t="inlineStr">
        <is>
          <t>1</t>
        </is>
      </c>
      <c r="J123" s="1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18" t="inlineStr"/>
      <c r="L123" s="18" t="inlineStr">
        <is>
          <t>Epilepsy</t>
        </is>
      </c>
      <c r="M123" s="18" t="inlineStr">
        <is>
          <t>Clinic</t>
        </is>
      </c>
      <c r="N123" s="18" t="inlineStr">
        <is>
          <t>ข้อ 1 (PLE_CC1_Key_Rx20_UBU.md)</t>
        </is>
      </c>
      <c r="O123" s="18" t="inlineStr">
        <is>
          <t>Mock</t>
        </is>
      </c>
      <c r="P123" s="18" t="inlineStr">
        <is>
          <t>Mock Rx20 UBU</t>
        </is>
      </c>
    </row>
    <row r="124">
      <c r="A124" s="15" t="inlineStr">
        <is>
          <t>122</t>
        </is>
      </c>
      <c r="B124" s="18" t="inlineStr">
        <is>
          <t>ข$อใดไมGใชGอาการแสดงของผู$ป&amp;วย Parkinson’s disease (1) Hypertension (2) Resting tremor (3) Impaired balance (4) Slowness of movement (5) Stiffness to limb movement</t>
        </is>
      </c>
      <c r="C124" s="18" t="inlineStr"/>
      <c r="D124" s="18" t="inlineStr">
        <is>
          <t>Carbamazepine 200 mg BID</t>
        </is>
      </c>
      <c r="E124" s="18" t="inlineStr">
        <is>
          <t>Lamotrigine 50 mg OD</t>
        </is>
      </c>
      <c r="F124" s="18" t="inlineStr">
        <is>
          <t>Levetiracetam 500 mg BID</t>
        </is>
      </c>
      <c r="G124" s="18" t="inlineStr">
        <is>
          <t>Gabapentin 300 mg TID</t>
        </is>
      </c>
      <c r="H124" s="18" t="inlineStr">
        <is>
          <t>Pregabalin 75 mg BID</t>
        </is>
      </c>
      <c r="I124" s="15" t="inlineStr">
        <is>
          <t>5</t>
        </is>
      </c>
      <c r="J124" s="18"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18" t="inlineStr"/>
      <c r="L124" s="18" t="inlineStr">
        <is>
          <t>Parkinson disease</t>
        </is>
      </c>
      <c r="M124" s="18" t="inlineStr">
        <is>
          <t>Clinic</t>
        </is>
      </c>
      <c r="N124" s="18" t="inlineStr">
        <is>
          <t>ข้อ 73 (PLE_CC1_Key_Rx20_UBU.md)</t>
        </is>
      </c>
      <c r="O124" s="18" t="inlineStr">
        <is>
          <t>Mock</t>
        </is>
      </c>
      <c r="P124" s="18" t="inlineStr">
        <is>
          <t>Mock Rx20 UBU</t>
        </is>
      </c>
    </row>
    <row r="125">
      <c r="A125" s="15" t="inlineStr">
        <is>
          <t>123</t>
        </is>
      </c>
      <c r="B125" s="18" t="inlineStr">
        <is>
          <t>รับประทานยากันชัก</t>
        </is>
      </c>
      <c r="C125" s="18" t="inlineStr"/>
      <c r="D125" s="18" t="inlineStr">
        <is>
          <t>Gabapentin 300 mg TID</t>
        </is>
      </c>
      <c r="E125" s="18" t="inlineStr">
        <is>
          <t>Pregabalin 75 mg BID</t>
        </is>
      </c>
      <c r="F125" s="18" t="inlineStr">
        <is>
          <t>Levodopa/Benserazide 100/25 mg TID</t>
        </is>
      </c>
      <c r="G125" s="18" t="inlineStr">
        <is>
          <t>Sumatriptan 50 mg stat</t>
        </is>
      </c>
      <c r="H125" s="18" t="inlineStr">
        <is>
          <t>Propranolol 40 mg BID</t>
        </is>
      </c>
      <c r="I125" s="15" t="inlineStr">
        <is>
          <t>1</t>
        </is>
      </c>
      <c r="J125" s="1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18" t="inlineStr"/>
      <c r="L125" s="18" t="inlineStr">
        <is>
          <t>Epilepsy</t>
        </is>
      </c>
      <c r="M125" s="18" t="inlineStr">
        <is>
          <t>Clinic</t>
        </is>
      </c>
      <c r="N125" s="18" t="inlineStr">
        <is>
          <t>ข้อ 2 (PLE_CC1_Key_Rx20_UBU.md)</t>
        </is>
      </c>
      <c r="O125" s="18" t="inlineStr">
        <is>
          <t>Mock</t>
        </is>
      </c>
      <c r="P125" s="18" t="inlineStr">
        <is>
          <t>Mock Rx20 UBU</t>
        </is>
      </c>
    </row>
    <row r="126">
      <c r="A126" s="15" t="inlineStr">
        <is>
          <t>124</t>
        </is>
      </c>
      <c r="B126" s="18" t="inlineStr">
        <is>
          <t>ลดความถี่ในการให้ยา levodopa</t>
        </is>
      </c>
      <c r="C126" s="18" t="inlineStr"/>
      <c r="D126" s="18" t="inlineStr">
        <is>
          <t>Sumatriptan 50 mg stat</t>
        </is>
      </c>
      <c r="E126" s="18" t="inlineStr">
        <is>
          <t>Propranolol 40 mg BID</t>
        </is>
      </c>
      <c r="F126" s="18" t="inlineStr">
        <is>
          <t>Topiramate 25 mg BID</t>
        </is>
      </c>
      <c r="G126" s="18" t="inlineStr">
        <is>
          <t>Donepezil 5 mg HS</t>
        </is>
      </c>
      <c r="H126" s="18" t="inlineStr">
        <is>
          <t>Alteplase (rtPA) 0.9 mg/kg IV</t>
        </is>
      </c>
      <c r="I126" s="15" t="inlineStr">
        <is>
          <t>1</t>
        </is>
      </c>
      <c r="J126" s="18"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Parkinson disease เนื่องจากกลไกการออกฤทธิ์, efficacy หรือข้อบ่งใช้ไม่ตรงกับโจทย์ที่กำหนด
• ข้อ จ. (Alteplase (rtPA) 0.9 mg/kg IV):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18" t="inlineStr"/>
      <c r="L126" s="18" t="inlineStr">
        <is>
          <t>Parkinson disease</t>
        </is>
      </c>
      <c r="M126" s="18" t="inlineStr">
        <is>
          <t>Clinic</t>
        </is>
      </c>
      <c r="N126" s="18" t="inlineStr">
        <is>
          <t>ข้อ 1 (PLE_CC1_Key_Rx20_UBU.md)</t>
        </is>
      </c>
      <c r="O126" s="18" t="inlineStr">
        <is>
          <t>Mock</t>
        </is>
      </c>
      <c r="P126" s="18" t="inlineStr">
        <is>
          <t>Mock Rx20 UBU</t>
        </is>
      </c>
    </row>
    <row r="127">
      <c r="A127" s="15" t="inlineStr">
        <is>
          <t>125</t>
        </is>
      </c>
      <c r="B127" s="18" t="inlineStr">
        <is>
          <t>ลดการปรับขนาดยา levodopa</t>
        </is>
      </c>
      <c r="C127" s="18" t="inlineStr"/>
      <c r="D127" s="18" t="inlineStr">
        <is>
          <t>Donepezil 5 mg HS</t>
        </is>
      </c>
      <c r="E127" s="18" t="inlineStr">
        <is>
          <t>Alteplase (rtPA) 0.9 mg/kg IV</t>
        </is>
      </c>
      <c r="F127" s="18" t="inlineStr">
        <is>
          <t>Phenytoin 100 mg TID</t>
        </is>
      </c>
      <c r="G127" s="18" t="inlineStr">
        <is>
          <t>Sodium valproate 200 mg TID</t>
        </is>
      </c>
      <c r="H127" s="18" t="inlineStr">
        <is>
          <t>Carbamazepine 200 mg BID</t>
        </is>
      </c>
      <c r="I127" s="15" t="inlineStr">
        <is>
          <t>1</t>
        </is>
      </c>
      <c r="J127" s="18"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18" t="inlineStr"/>
      <c r="L127" s="18" t="inlineStr">
        <is>
          <t>Parkinson disease</t>
        </is>
      </c>
      <c r="M127" s="18" t="inlineStr">
        <is>
          <t>Clinic</t>
        </is>
      </c>
      <c r="N127" s="18" t="inlineStr">
        <is>
          <t>ข้อ 4 (PLE_CC1_Key_Rx20_UBU.md)</t>
        </is>
      </c>
      <c r="O127" s="18" t="inlineStr">
        <is>
          <t>Mock</t>
        </is>
      </c>
      <c r="P127" s="18" t="inlineStr">
        <is>
          <t>Mock Rx20 UBU</t>
        </is>
      </c>
    </row>
    <row r="128">
      <c r="A128" s="15" t="inlineStr">
        <is>
          <t>126</t>
        </is>
      </c>
      <c r="B128" s="18" t="inlineStr">
        <is>
          <t>จากโครงสร้าง levodopa เปลี่ยนเป็นสารในรูปออกฤทธิ์ผ่านกลไกใด</t>
        </is>
      </c>
      <c r="C128" s="18" t="inlineStr"/>
      <c r="D128" s="18" t="inlineStr">
        <is>
          <t>Sodium valproate 200 mg TID</t>
        </is>
      </c>
      <c r="E128" s="18" t="inlineStr">
        <is>
          <t>Carbamazepine 200 mg BID</t>
        </is>
      </c>
      <c r="F128" s="18" t="inlineStr">
        <is>
          <t>Lamotrigine 50 mg OD</t>
        </is>
      </c>
      <c r="G128" s="18" t="inlineStr">
        <is>
          <t>Levetiracetam 500 mg BID</t>
        </is>
      </c>
      <c r="H128" s="18" t="inlineStr">
        <is>
          <t>Gabapentin 300 mg TID</t>
        </is>
      </c>
      <c r="I128" s="15" t="inlineStr">
        <is>
          <t>1</t>
        </is>
      </c>
      <c r="J128" s="18"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18" t="inlineStr"/>
      <c r="L128" s="18" t="inlineStr">
        <is>
          <t>Parkinson disease</t>
        </is>
      </c>
      <c r="M128" s="18" t="inlineStr">
        <is>
          <t>Clinic</t>
        </is>
      </c>
      <c r="N128" s="18" t="inlineStr">
        <is>
          <t>ข้อ 2 (PLE_CC1_Key_Rx20_UBU.md)</t>
        </is>
      </c>
      <c r="O128" s="18" t="inlineStr">
        <is>
          <t>Mock</t>
        </is>
      </c>
      <c r="P128" s="18" t="inlineStr">
        <is>
          <t>Mock Rx20 UBU</t>
        </is>
      </c>
    </row>
    <row r="129">
      <c r="A129" s="15" t="inlineStr">
        <is>
          <t>127</t>
        </is>
      </c>
      <c r="B129" s="18" t="inlineStr">
        <is>
          <t>Levodopa ใช้ไม่ได้ผลอีกต่อไป</t>
        </is>
      </c>
      <c r="C129" s="18" t="inlineStr"/>
      <c r="D129" s="18" t="inlineStr">
        <is>
          <t>Levetiracetam 500 mg BID</t>
        </is>
      </c>
      <c r="E129" s="18" t="inlineStr">
        <is>
          <t>Gabapentin 300 mg TID</t>
        </is>
      </c>
      <c r="F129" s="18" t="inlineStr">
        <is>
          <t>Pregabalin 75 mg BID</t>
        </is>
      </c>
      <c r="G129" s="18" t="inlineStr">
        <is>
          <t>Levodopa/Benserazide 100/25 mg TID</t>
        </is>
      </c>
      <c r="H129" s="18" t="inlineStr">
        <is>
          <t>Sumatriptan 50 mg stat</t>
        </is>
      </c>
      <c r="I129" s="15" t="inlineStr">
        <is>
          <t>1</t>
        </is>
      </c>
      <c r="J129" s="18"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Parkinson disease เนื่องจากกลไกการออกฤทธิ์, efficacy หรือข้อบ่งใช้ไม่ตรงกับโจทย์ที่กำหนด
• ข้อ ค. (Pregabalin 75 mg BID): ข้อนี้ไม่ใช่คำตอบที่ถูกต้องสำหรับภาวะ Parkinson disease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8" t="inlineStr"/>
      <c r="L129" s="18" t="inlineStr">
        <is>
          <t>Parkinson disease</t>
        </is>
      </c>
      <c r="M129" s="18" t="inlineStr">
        <is>
          <t>Clinic</t>
        </is>
      </c>
      <c r="N129" s="18" t="inlineStr">
        <is>
          <t>ข้อ 1 (PLE_CC1_Key_Rx20_UBU.md)</t>
        </is>
      </c>
      <c r="O129" s="18" t="inlineStr">
        <is>
          <t>Mock</t>
        </is>
      </c>
      <c r="P129" s="18" t="inlineStr">
        <is>
          <t>Mock Rx20 UBU</t>
        </is>
      </c>
    </row>
    <row r="130">
      <c r="A130" s="15" t="inlineStr">
        <is>
          <t>128</t>
        </is>
      </c>
      <c r="B130" s="18" t="inlineStr">
        <is>
          <t>ระยะเวลาในการออกฤทธิ์ของ Levodopa สั้นลง</t>
        </is>
      </c>
      <c r="C130" s="18" t="inlineStr"/>
      <c r="D130" s="18" t="inlineStr">
        <is>
          <t>Levodopa/Benserazide 100/25 mg TID</t>
        </is>
      </c>
      <c r="E130" s="18" t="inlineStr">
        <is>
          <t>Sumatriptan 50 mg stat</t>
        </is>
      </c>
      <c r="F130" s="18" t="inlineStr">
        <is>
          <t>Propranolol 40 mg BID</t>
        </is>
      </c>
      <c r="G130" s="18" t="inlineStr">
        <is>
          <t>Topiramate 25 mg BID</t>
        </is>
      </c>
      <c r="H130" s="18" t="inlineStr">
        <is>
          <t>Donepezil 5 mg HS</t>
        </is>
      </c>
      <c r="I130" s="15" t="inlineStr">
        <is>
          <t>1</t>
        </is>
      </c>
      <c r="J130" s="18"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18" t="inlineStr"/>
      <c r="L130" s="18" t="inlineStr">
        <is>
          <t>Parkinson disease</t>
        </is>
      </c>
      <c r="M130" s="18" t="inlineStr">
        <is>
          <t>Clinic</t>
        </is>
      </c>
      <c r="N130" s="18" t="inlineStr">
        <is>
          <t>ข้อ 2 (PLE_CC1_Key_Rx20_UBU.md)</t>
        </is>
      </c>
      <c r="O130" s="18" t="inlineStr">
        <is>
          <t>Mock</t>
        </is>
      </c>
      <c r="P130" s="18" t="inlineStr">
        <is>
          <t>Mock Rx20 UBU</t>
        </is>
      </c>
    </row>
    <row r="131">
      <c r="A131" s="15" t="inlineStr">
        <is>
          <t>129</t>
        </is>
      </c>
      <c r="B131" s="18" t="inlineStr">
        <is>
          <t>การเพิ่มความถี ของการให้ levodopa</t>
        </is>
      </c>
      <c r="C131" s="18" t="inlineStr"/>
      <c r="D131" s="18" t="inlineStr">
        <is>
          <t>Topiramate 25 mg BID</t>
        </is>
      </c>
      <c r="E131" s="18" t="inlineStr">
        <is>
          <t>Donepezil 5 mg HS</t>
        </is>
      </c>
      <c r="F131" s="18" t="inlineStr">
        <is>
          <t>Alteplase (rtPA) 0.9 mg/kg IV</t>
        </is>
      </c>
      <c r="G131" s="18" t="inlineStr">
        <is>
          <t>Phenytoin 100 mg TID</t>
        </is>
      </c>
      <c r="H131" s="18" t="inlineStr">
        <is>
          <t>Sodium valproate 200 mg TID</t>
        </is>
      </c>
      <c r="I131" s="15" t="inlineStr">
        <is>
          <t>1</t>
        </is>
      </c>
      <c r="J131" s="18"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ข้อนี้ไม่ใช่คำตอบที่ถูกต้องสำหรับภาวะ Parkinson disease เนื่องจากกลไกการออกฤทธิ์, efficacy หรือข้อบ่งใช้ไม่ตรงกับโจทย์ที่กำหนด
• ข้อ ค.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8" t="inlineStr"/>
      <c r="L131" s="18" t="inlineStr">
        <is>
          <t>Parkinson disease</t>
        </is>
      </c>
      <c r="M131" s="18" t="inlineStr">
        <is>
          <t>Clinic</t>
        </is>
      </c>
      <c r="N131" s="18" t="inlineStr">
        <is>
          <t>ข้อ 1 (PLE_CC1_Key_Rx20_UBU.md)</t>
        </is>
      </c>
      <c r="O131" s="18" t="inlineStr">
        <is>
          <t>Mock</t>
        </is>
      </c>
      <c r="P131" s="18" t="inlineStr">
        <is>
          <t>Mock Rx20 UBU</t>
        </is>
      </c>
    </row>
    <row r="132">
      <c r="A132" s="15" t="inlineStr">
        <is>
          <t>130</t>
        </is>
      </c>
      <c r="B132" s="18" t="inlineStr">
        <is>
          <t>ใช้ร่วมกับยา carbamazepine</t>
        </is>
      </c>
      <c r="C132" s="18" t="inlineStr"/>
      <c r="D132" s="18" t="inlineStr">
        <is>
          <t>Phenytoin 100 mg TID</t>
        </is>
      </c>
      <c r="E132" s="18" t="inlineStr">
        <is>
          <t>Sodium valproate 200 mg TID</t>
        </is>
      </c>
      <c r="F132" s="18" t="inlineStr">
        <is>
          <t>Carbamazepine 200 mg BID</t>
        </is>
      </c>
      <c r="G132" s="18" t="inlineStr">
        <is>
          <t>Lamotrigine 50 mg OD</t>
        </is>
      </c>
      <c r="H132" s="18" t="inlineStr">
        <is>
          <t>Levetiracetam 500 mg BID</t>
        </is>
      </c>
      <c r="I132" s="15" t="inlineStr">
        <is>
          <t>1</t>
        </is>
      </c>
      <c r="J132" s="18"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18" t="inlineStr"/>
      <c r="L132" s="18" t="inlineStr">
        <is>
          <t>Epilepsy</t>
        </is>
      </c>
      <c r="M132" s="18" t="inlineStr">
        <is>
          <t>Clinic</t>
        </is>
      </c>
      <c r="N132" s="18" t="inlineStr">
        <is>
          <t>ข้อ 3 (PLE_CC1_Key_Rx20_UBU.md)</t>
        </is>
      </c>
      <c r="O132" s="18" t="inlineStr">
        <is>
          <t>Mock</t>
        </is>
      </c>
      <c r="P132" s="18" t="inlineStr">
        <is>
          <t>Mock Rx20 UBU</t>
        </is>
      </c>
    </row>
    <row r="133">
      <c r="A133" s="15" t="inlineStr">
        <is>
          <t>131</t>
        </is>
      </c>
      <c r="B133" s="18" t="inlineStr">
        <is>
          <t>Portal hypertension</t>
        </is>
      </c>
      <c r="C133" s="18" t="inlineStr"/>
      <c r="D133" s="18" t="inlineStr">
        <is>
          <t>Lamotrigine 50 mg OD</t>
        </is>
      </c>
      <c r="E133" s="18" t="inlineStr">
        <is>
          <t>Levetiracetam 500 mg BID</t>
        </is>
      </c>
      <c r="F133" s="18" t="inlineStr">
        <is>
          <t>Gabapentin 300 mg TID</t>
        </is>
      </c>
      <c r="G133" s="18" t="inlineStr">
        <is>
          <t>Pregabalin 75 mg BID</t>
        </is>
      </c>
      <c r="H133" s="18" t="inlineStr">
        <is>
          <t>Levodopa/Benserazide 100/25 mg TID</t>
        </is>
      </c>
      <c r="I133" s="15" t="inlineStr">
        <is>
          <t>1</t>
        </is>
      </c>
      <c r="J133" s="18"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Headache เนื่องจากกลไกการออกฤทธิ์, efficacy หรือข้อบ่งใช้ไม่ตรงกับโจทย์ที่กำหนด
• ข้อ ง. (Pregabalin 75 mg BID): ข้อนี้ไม่ใช่คำตอบที่ถูกต้องสำหรับภาวะ Headache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18" t="inlineStr"/>
      <c r="L133" s="18" t="inlineStr">
        <is>
          <t>Headache</t>
        </is>
      </c>
      <c r="M133" s="18" t="inlineStr">
        <is>
          <t>Clinic</t>
        </is>
      </c>
      <c r="N133" s="18" t="inlineStr">
        <is>
          <t>ข้อ 1 (PLE_CC1_Key_Rx20_UBU.md)</t>
        </is>
      </c>
      <c r="O133" s="18" t="inlineStr">
        <is>
          <t>Mock</t>
        </is>
      </c>
      <c r="P133" s="18" t="inlineStr">
        <is>
          <t>Mock Rx20 UBU</t>
        </is>
      </c>
    </row>
    <row r="134">
      <c r="A134" s="15" t="inlineStr">
        <is>
          <t>132</t>
        </is>
      </c>
      <c r="B134" s="18" t="inlineStr">
        <is>
          <t>ยาที่ใชเพื่อปองกันไมเกรนที่เหมาะสมในผูปวยรายนี้</t>
        </is>
      </c>
      <c r="C134" s="18" t="inlineStr"/>
      <c r="D134" s="18" t="inlineStr">
        <is>
          <t>Pregabalin 75 mg BID</t>
        </is>
      </c>
      <c r="E134" s="18" t="inlineStr">
        <is>
          <t>Levodopa/Benserazide 100/25 mg TID</t>
        </is>
      </c>
      <c r="F134" s="18" t="inlineStr">
        <is>
          <t>Sumatriptan 50 mg stat</t>
        </is>
      </c>
      <c r="G134" s="18" t="inlineStr">
        <is>
          <t>Propranolol 40 mg BID</t>
        </is>
      </c>
      <c r="H134" s="18" t="inlineStr">
        <is>
          <t>Topiramate 25 mg BID</t>
        </is>
      </c>
      <c r="I134" s="15" t="inlineStr">
        <is>
          <t>1</t>
        </is>
      </c>
      <c r="J134" s="18"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18" t="inlineStr"/>
      <c r="L134" s="18" t="inlineStr">
        <is>
          <t>Headache</t>
        </is>
      </c>
      <c r="M134" s="18" t="inlineStr">
        <is>
          <t>Clinic</t>
        </is>
      </c>
      <c r="N134" s="18" t="inlineStr">
        <is>
          <t>ข้อ 3 (PLE_CC1_Key_Rx20_UBU.md)</t>
        </is>
      </c>
      <c r="O134" s="18" t="inlineStr">
        <is>
          <t>Mock</t>
        </is>
      </c>
      <c r="P134" s="18" t="inlineStr">
        <is>
          <t>Mock Rx20 UBU</t>
        </is>
      </c>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1</t>
        </is>
      </c>
      <c r="B3" s="1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8" t="inlineStr"/>
      <c r="D3" s="18" t="inlineStr">
        <is>
          <t>การรักษาต้องเริ่มให้ยาในขนาดที่สูง</t>
        </is>
      </c>
      <c r="E3" s="18" t="inlineStr">
        <is>
          <t>การรักษาต้องให้ยาต่อเนื่องเป็นเวลา 6-8 สัปดาห์ ในระยะแรก</t>
        </is>
      </c>
      <c r="F3" s="18" t="inlineStr">
        <is>
          <t>เป็นโรคที่ไม่สามารถรักษาให้หายขาดได้</t>
        </is>
      </c>
      <c r="G3" s="18" t="inlineStr">
        <is>
          <t>จะใช้ยากลุ่ม benzodiazepines ในผู้ป่วยซึมเศร้าที่มีอาการนอนไม่หลับร่วมด้วย</t>
        </is>
      </c>
      <c r="H3" s="18" t="inlineStr">
        <is>
          <t>สามารถหยุดใช้ยาได้ทันที</t>
        </is>
      </c>
      <c r="I3" s="15" t="inlineStr">
        <is>
          <t>2</t>
        </is>
      </c>
      <c r="J3" s="18" t="inlineStr">
        <is>
          <t>✅ คำตอบที่ถูกต้อง: ข้อ ข. การรักษาต้องให้ยาต่อเนื่องเป็นเวลา 6-8 สัปดาห์ ในระยะแรก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การรักษาต้องให้ยาต่อเนื่องเป็นเวลา 6-8 สัปดาห์ ในระยะแรก การรักษา MDD ในระยะแรก (acute phase) ต้องให้ยาอย่างต่อเนื่องเป็นเวลา 6-8 สัปดาห์จึงจะประเมิน efficacy ของยาได้เต็มที่ การเริ่มต้นยาควรเริ่มจากขนาดต่ำแล้วค่อยๆ ปรับเพิ่มขึ้น (start low, go slow) เพื่อลดผลข้างเคียง และห้ามหยุดยาทันทีเพราะเสี่ยงต่อ discontinuation syndrome
🔍 ข้ออื่นผิดเพราะอะไร:
• ข้อ ก. (การรักษาต้องเริ่มให้ยาในขนาดที่สูง): ข้อนี้ไม่ใช่คำตอบที่ถูกต้องสำหรับภาวะ Anxiety/depression เนื่องจากกลไกการออกฤทธิ์, efficacy หรือข้อบ่งใช้ไม่ตรงกับโจทย์ที่กำหนด
• ข้อ ค. (เป็นโรคที่ไม่สามารถรักษาให้หายขาดได้): ข้อนี้ไม่ใช่คำตอบที่ถูกต้องสำหรับภาวะ Anxiety/depression เนื่องจากกลไกการออกฤทธิ์, efficacy หรือข้อบ่งใช้ไม่ตรงกับโจทย์ที่กำหนด
• ข้อ ง. (จะใช้ยากลุ่ม benzodiazepines ในผู้ป่วยซึมเศร้าที่มีอาการนอนไม่หลับร่วมด้วย):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(สามารถหยุดใช้ยาได้ทันที):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 s="18" t="inlineStr"/>
      <c r="L3" s="18" t="inlineStr">
        <is>
          <t>Anxiety/depression</t>
        </is>
      </c>
      <c r="M3" s="18" t="inlineStr">
        <is>
          <t>Clinic</t>
        </is>
      </c>
      <c r="N3" s="18" t="inlineStr">
        <is>
          <t>ข้อ 1 ชุด 1 (เฉลยข้อ ข ง)</t>
        </is>
      </c>
      <c r="O3" s="18" t="inlineStr">
        <is>
          <t>Mock</t>
        </is>
      </c>
      <c r="P3" s="18" t="inlineStr">
        <is>
          <t>ชุด 1</t>
        </is>
      </c>
    </row>
    <row r="4">
      <c r="A4" s="15" t="inlineStr">
        <is>
          <t>2</t>
        </is>
      </c>
      <c r="B4" s="1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8" t="inlineStr"/>
      <c r="D4" s="18" t="inlineStr">
        <is>
          <t>ยับยั้ง alpha adrenergic receptor</t>
        </is>
      </c>
      <c r="E4" s="18" t="inlineStr">
        <is>
          <t>ยับยั้ง beta adrenergic receptor</t>
        </is>
      </c>
      <c r="F4" s="18" t="inlineStr">
        <is>
          <t>ยับยั้งการนำ norepinephrine กลับเข้าสู่ปลายประสาท</t>
        </is>
      </c>
      <c r="G4" s="18" t="inlineStr">
        <is>
          <t>ยับยั้งการนำ dopamine กลับเข้าสู่ปลายประสาท</t>
        </is>
      </c>
      <c r="H4" s="18" t="inlineStr">
        <is>
          <t>ยับยั้งการนำ serotonin กลับเข้าสู่ปลายประสาท</t>
        </is>
      </c>
      <c r="I4" s="15" t="inlineStr">
        <is>
          <t>5</t>
        </is>
      </c>
      <c r="J4" s="18" t="inlineStr">
        <is>
          <t>✅ คำตอบที่ถูกต้อง: ข้อ จ. ยับยั้งการนำ serotonin กลับเข้าสู่ปลายประสาท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ยับยั้งการนำ serotonin กลับเข้าสู่ปลายประสาท Sertraline จัดอยู่ในกลุ่ม Selective Serotonin Reuptake Inhibitors (SSRIs) มีกลไกออกฤทธิ์หลักคือยับยั้งการ reuptake ของ serotonin (5-HT) ที่ presynaptic terminal ทำให้มีระดับ serotonin ใน ics synaptic cleft เพิ่มขึ้น
🔍 ข้ออื่นผิดเพราะอะไร:
• ข้อ ก. (ยับยั้ง alpha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ข. (ยับยั้ง beta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(ยับยั้งการนำ norepinephrine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(ยับยั้งการนำ dopamine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 s="18" t="inlineStr"/>
      <c r="L4" s="18" t="inlineStr">
        <is>
          <t>Anxiety/depression</t>
        </is>
      </c>
      <c r="M4" s="18" t="inlineStr">
        <is>
          <t>Clinic</t>
        </is>
      </c>
      <c r="N4" s="18" t="inlineStr">
        <is>
          <t>ข้อ 2 ชุด 1 (เฉลยข้อ จ)</t>
        </is>
      </c>
      <c r="O4" s="18" t="inlineStr">
        <is>
          <t>Mock</t>
        </is>
      </c>
      <c r="P4" s="18" t="inlineStr">
        <is>
          <t>ชุด 1</t>
        </is>
      </c>
    </row>
    <row r="5">
      <c r="A5" s="15" t="inlineStr">
        <is>
          <t>3</t>
        </is>
      </c>
      <c r="B5" s="1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18" t="inlineStr"/>
      <c r="D5" s="18" t="inlineStr">
        <is>
          <t>Insomnia</t>
        </is>
      </c>
      <c r="E5" s="18" t="inlineStr">
        <is>
          <t>Constipation</t>
        </is>
      </c>
      <c r="F5" s="18" t="inlineStr">
        <is>
          <t>Pancreatitis</t>
        </is>
      </c>
      <c r="G5" s="18" t="inlineStr">
        <is>
          <t>Rhinitis</t>
        </is>
      </c>
      <c r="H5" s="18" t="inlineStr">
        <is>
          <t>Tinnitus</t>
        </is>
      </c>
      <c r="I5" s="15" t="inlineStr">
        <is>
          <t>1</t>
        </is>
      </c>
      <c r="J5" s="18"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Sertraline และยากลุ่ม SSRIs มักทำให้เกิด ADR ทางระบบประสาทและทางเดินอาหาร เช่น นอนไม่หลับ (insomnia), กระสับกระส่าย, คลื่นไส้, ท้องเสีย โดยมักพบบ่อยในช่วงสัปดาห์แรกของการใช้ยา จึงแนะนำให้รับประทานยาในตอนเช้าเพื่อลดอาการนอนไม่หลับ
🔍 ข้ออื่นผิดเพราะอะไร:
• ข้อ ข. (Constipation): ข้อนี้ไม่ใช่คำตอบที่ถูกต้องสำหรับภาวะ Anxiety/depression เนื่องจากกลไกการออกฤทธิ์, efficacy หรือข้อบ่งใช้ไม่ตรงกับโจทย์ที่กำหนด
• ข้อ ค. (Pancreatitis): ข้อนี้ไม่ใช่คำตอบที่ถูกต้องสำหรับภาวะ Anxiety/depression เนื่องจากกลไกการออกฤทธิ์, efficacy หรือข้อบ่งใช้ไม่ตรงกับโจทย์ที่กำหนด
• ข้อ ง. (Rhinitis): ข้อนี้ไม่ใช่คำตอบที่ถูกต้องสำหรับภาวะ Anxiety/depression เนื่องจากกลไกการออกฤทธิ์, efficacy หรือข้อบ่งใช้ไม่ตรงกับโจทย์ที่กำหนด
• ข้อ จ. (Tinnitus):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 s="18" t="inlineStr"/>
      <c r="L5" s="18" t="inlineStr">
        <is>
          <t>Anxiety/depression</t>
        </is>
      </c>
      <c r="M5" s="18" t="inlineStr">
        <is>
          <t>Clinic</t>
        </is>
      </c>
      <c r="N5" s="18" t="inlineStr">
        <is>
          <t>ข้อ 3 ชุด 1 (เฉลยข้อ ก)</t>
        </is>
      </c>
      <c r="O5" s="18" t="inlineStr">
        <is>
          <t>Mock</t>
        </is>
      </c>
      <c r="P5" s="18" t="inlineStr">
        <is>
          <t>ชุด 1</t>
        </is>
      </c>
    </row>
    <row r="6">
      <c r="A6" s="15" t="inlineStr">
        <is>
          <t>4</t>
        </is>
      </c>
      <c r="B6" s="1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8" t="inlineStr"/>
      <c r="D6" s="18" t="inlineStr">
        <is>
          <t>เห็นผลการรักษาเร็ว</t>
        </is>
      </c>
      <c r="E6" s="18" t="inlineStr">
        <is>
          <t>มีผลน้อยต่อระบบหัวใจและหลอดเลือด</t>
        </is>
      </c>
      <c r="F6" s="18" t="inlineStr">
        <is>
          <t>ไม่ต้องปรับขนาดยาบ่อยครั้ง</t>
        </is>
      </c>
      <c r="G6" s="18" t="inlineStr">
        <is>
          <t>มีผลต่อ severe adverse effect เช่น suicidal thought น้อย</t>
        </is>
      </c>
      <c r="H6" s="18" t="inlineStr">
        <is>
          <t>ไม่มี cholinergic effect</t>
        </is>
      </c>
      <c r="I6" s="15" t="inlineStr">
        <is>
          <t>1</t>
        </is>
      </c>
      <c r="J6" s="18" t="inlineStr">
        <is>
          <t>✅ คำตอบที่ถูกต้อง: ข้อ ก. เห็นผลการรักษาเร็ว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เห็นผลการรักษาเร็ว ข้อเสียและข้อจำกัดที่สำคัญของยากลุ่ม SSRIs รวมถึง sertraline คือ 'ไม่เห็นผลการรักษาเร็ว' โดยทั่วไปต้องใช้เวลาอย่างน้อย 2-4 สัปดาห์จึงจะเริ่มสังเกตเห็นการตอบสนองต่อยา และอาจใช้เวลา 6-8 สัปดาห์เพื่อให้ได้ผลการรักษาเต็มที่
🔍 ข้ออื่นผิดเพราะอะไร:
• ข้อ ข. (มีผลน้อยต่อระบบหัวใจและหลอดเลือด): ข้อนี้ไม่ใช่คำตอบที่ถูกต้องสำหรับภาวะ Anxiety/depression เนื่องจากกลไกการออกฤทธิ์, efficacy หรือข้อบ่งใช้ไม่ตรงกับโจทย์ที่กำหนด
• ข้อ ค. (ไม่ต้องปรับขนาดยาบ่อยครั้ง): ข้อนี้ไม่ใช่คำตอบที่ถูกต้องสำหรับภาวะ Anxiety/depression เนื่องจากกลไกการออกฤทธิ์, efficacy หรือข้อบ่งใช้ไม่ตรงกับโจทย์ที่กำหนด
• ข้อ ง. (มีผลต่อ severe adverse effect เช่น suicidal thought น้อย): ข้อนี้ไม่ใช่คำตอบที่ถูกต้องสำหรับภาวะ Anxiety/depression เนื่องจากกลไกการออกฤทธิ์, efficacy หรือข้อบ่งใช้ไม่ตรงกับโจทย์ที่กำหนด
• ข้อ จ. (ไม่มี cholinergic effect):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 s="18" t="inlineStr"/>
      <c r="L6" s="18" t="inlineStr">
        <is>
          <t>Anxiety/depression</t>
        </is>
      </c>
      <c r="M6" s="18" t="inlineStr">
        <is>
          <t>Clinic</t>
        </is>
      </c>
      <c r="N6" s="18" t="inlineStr">
        <is>
          <t>ข้อ 4 ชุด 1 (เฉลยข้อ ก)</t>
        </is>
      </c>
      <c r="O6" s="18" t="inlineStr">
        <is>
          <t>Mock</t>
        </is>
      </c>
      <c r="P6" s="18" t="inlineStr">
        <is>
          <t>ชุด 1</t>
        </is>
      </c>
    </row>
    <row r="7">
      <c r="A7" s="15" t="inlineStr">
        <is>
          <t>5</t>
        </is>
      </c>
      <c r="B7" s="1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8" t="inlineStr"/>
      <c r="D7" s="18" t="inlineStr">
        <is>
          <t>ห้ามรับประทานยาร่วมกับนม</t>
        </is>
      </c>
      <c r="E7" s="18" t="inlineStr">
        <is>
          <t>รับประทานยาในช่วงเดียวกันในแต่ละวัน</t>
        </is>
      </c>
      <c r="F7" s="18" t="inlineStr">
        <is>
          <t>ค่อยๆ เปลี่ยนอิริยาบถ</t>
        </is>
      </c>
      <c r="G7" s="18" t="inlineStr">
        <is>
          <t>จำกัดน้ำ</t>
        </is>
      </c>
      <c r="H7" s="18" t="inlineStr">
        <is>
          <t>รับประทานยาก่อนนอน</t>
        </is>
      </c>
      <c r="I7" s="15" t="inlineStr">
        <is>
          <t>2</t>
        </is>
      </c>
      <c r="J7" s="18" t="inlineStr">
        <is>
          <t>✅ คำตอบที่ถูกต้อง: ข้อ ข. รับประทานยาในช่วงเดียวกันในแต่ละวัน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รับประทานยาในช่วงเดียวกันในแต่ละวัน คำแนะนำที่ถูกต้องในการใช้ยา sertraline คือควรรับประทานยาในเวลาเดียวกันของทุกวันเพื่อรักษาระดับยาในเลือดให้คงที่ เนื่องจากยานี้อาจทำให้เกิดอาการนอนไม่หลับ จึงแนะนำให้รับประทานในตอนเช้า และหากมีอาการเวียนศีรษะจาก orthostatic hypotension จึงควรแนะนำเรื่องการเปลี่ยนอิริยาบถ แต่การกินเวลาเดิมสม่ำเสมอเป็นหลักปฏิบัติที่สำคัญที่สุด
🔍 ข้ออื่นผิดเพราะอะไร:
• ข้อ ก. (ห้ามรับประทานยาร่วมกับนม): ข้อนี้ไม่ใช่คำตอบที่ถูกต้องสำหรับภาวะ Anxiety/depression เนื่องจากกลไกการออกฤทธิ์, efficacy หรือข้อบ่งใช้ไม่ตรงกับโจทย์ที่กำหนด
• ข้อ ค. (ค่อยๆ เปลี่ยนอิริยาบถ): ข้อนี้ไม่ใช่คำตอบที่ถูกต้องสำหรับภาวะ Anxiety/depression เนื่องจากกลไกการออกฤทธิ์, efficacy หรือข้อบ่งใช้ไม่ตรงกับโจทย์ที่กำหนด
• ข้อ ง. (จำกัดน้ำ): ข้อนี้ไม่ใช่คำตอบที่ถูกต้องสำหรับภาวะ Anxiety/depression เนื่องจากกลไกการออกฤทธิ์, efficacy หรือข้อบ่งใช้ไม่ตรงกับโจทย์ที่กำหนด
• ข้อ จ. (รับประทานยาก่อนนอน):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 s="18" t="inlineStr"/>
      <c r="L7" s="18" t="inlineStr">
        <is>
          <t>Anxiety/depression</t>
        </is>
      </c>
      <c r="M7" s="18" t="inlineStr">
        <is>
          <t>Clinic</t>
        </is>
      </c>
      <c r="N7" s="18" t="inlineStr">
        <is>
          <t>ข้อ 5 ชุด 1 (เฉลยข้อ ข)</t>
        </is>
      </c>
      <c r="O7" s="18" t="inlineStr">
        <is>
          <t>Mock</t>
        </is>
      </c>
      <c r="P7" s="18" t="inlineStr">
        <is>
          <t>ชุด 1</t>
        </is>
      </c>
    </row>
    <row r="8">
      <c r="A8" s="15" t="inlineStr">
        <is>
          <t>6</t>
        </is>
      </c>
      <c r="B8" s="18"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18" t="inlineStr"/>
      <c r="D8" s="18" t="inlineStr">
        <is>
          <t>Imipramine</t>
        </is>
      </c>
      <c r="E8" s="18" t="inlineStr">
        <is>
          <t>Doxepin</t>
        </is>
      </c>
      <c r="F8" s="18" t="inlineStr">
        <is>
          <t>Phenelzine</t>
        </is>
      </c>
      <c r="G8" s="18" t="inlineStr">
        <is>
          <t>Sertraline</t>
        </is>
      </c>
      <c r="H8" s="18" t="inlineStr">
        <is>
          <t>Carbamazepine</t>
        </is>
      </c>
      <c r="I8" s="15" t="inlineStr">
        <is>
          <t>5</t>
        </is>
      </c>
      <c r="J8" s="18" t="inlineStr">
        <is>
          <t>✅ คำตอบที่ถูกต้อง: ข้อ จ. Carbamazepine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Carbamazepine เป็นยากลุ่ม anticonvulsant ที่ใช้ในการรักษาโรคอารมณ์สองขั้ว (Bipolar disorder) ในภาวะ mania หรือ mood stabilizer ไม่ใช่ยารักษาโรคซึมเศร้า (Antidepressant) โดยตรง ส่วน Imipramine, Doxepin เป็น TCA, Phenelzine เป็น MAOI และ Sertraline เป็น SSRI ซึ่งทั้งหมดใช้รักษา Major Depressive Disorder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(Doxepin): ข้อนี้ไม่ใช่คำตอบที่ถูกต้องสำหรับภาวะ Anxiety/depression เนื่องจากกลไกการออกฤทธิ์, efficacy หรือข้อบ่งใช้ไม่ตรงกับโจทย์ที่กำหนด
• ข้อ ค. (Phenelzine): ข้อนี้ไม่ใช่คำตอบที่ถูกต้องสำหรับภาวะ Anxiety/depression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 s="18" t="inlineStr"/>
      <c r="L8" s="18" t="inlineStr">
        <is>
          <t>Anxiety/depression</t>
        </is>
      </c>
      <c r="M8" s="18" t="inlineStr">
        <is>
          <t>Clinic</t>
        </is>
      </c>
      <c r="N8" s="18" t="inlineStr">
        <is>
          <t>ข้อ 6 ชุด 1 (เฉลยข้อ จ)</t>
        </is>
      </c>
      <c r="O8" s="18" t="inlineStr">
        <is>
          <t>Mock</t>
        </is>
      </c>
      <c r="P8" s="18" t="inlineStr">
        <is>
          <t>ชุด 1</t>
        </is>
      </c>
    </row>
    <row r="9">
      <c r="A9" s="15" t="inlineStr">
        <is>
          <t>7</t>
        </is>
      </c>
      <c r="B9" s="18" t="inlineStr">
        <is>
          <t>ข้อใดผิดในการใช้ยาเพื่อรักษาภาวะซึมเศร้า</t>
        </is>
      </c>
      <c r="C9" s="18" t="inlineStr"/>
      <c r="D9" s="18" t="inlineStr">
        <is>
          <t>การสูบบุหรี่ทำให้ฤทธิ์ของ TCA ลดลง</t>
        </is>
      </c>
      <c r="E9" s="18" t="inlineStr">
        <is>
          <t>ผู้ป่วยที่ได้รับยา MAOI ไม่ควรรับประทานอาหารที่มี tyramine สูง เช่น เนย</t>
        </is>
      </c>
      <c r="F9" s="18" t="inlineStr">
        <is>
          <t>ยากลุ่ม SSRI ไม่ควรใช้ร่วมกับยากลุ่ม MAOI</t>
        </is>
      </c>
      <c r="G9" s="18" t="inlineStr">
        <is>
          <t>เมื่อหยุดยา MAOI แล้วสามารถเริ่มใช้ SSRI ได้ทันที</t>
        </is>
      </c>
      <c r="H9" s="18" t="inlineStr">
        <is>
          <t>อาการข้างเคียงของยากลุ่ม TCA คือ ปากแห้ง ตาพร่า แน่นท้อง ท้องผูก</t>
        </is>
      </c>
      <c r="I9" s="15" t="inlineStr">
        <is>
          <t>1</t>
        </is>
      </c>
      <c r="J9" s="18" t="inlineStr">
        <is>
          <t>✅ คำตอบที่ถูกต้อง: ข้อ ก. การสูบบุหรี่ทำให้ฤทธิ์ของ TCA 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การสูบบุหรี่ทำให้ฤทธิ์ของ TCA ลดลง ข้อที่ผิดคือการหยุดยา MAOI แล้วเริ่มใช้ SSRI ทันที เนื่องจากอาจเกิดภาวะ Serotonin syndrome ที่รุนแรงถึงชีวิตได้ จำเป็นต้องเว้นระยะเวลา (washout period) อย่างน้อย 2 สัปดาห์ก่อนเปลี่ยนมาใช้ SSRI (หรือ 5 สัปดาห์หากเปลี่ยนจาก fluoxetine ไป MAOI)
🔍 ข้ออื่นผิดเพราะอะไร:
• ข้อ ข. (ผู้ป่วยที่ได้รับยา MAOI ไม่ควรรับประทานอาหารที่มี tyramine สูง เช่น เนย): ข้อนี้ไม่ใช่คำตอบที่ถูกต้องสำหรับภาวะ Anxiety/depression เนื่องจากกลไกการออกฤทธิ์, efficacy หรือข้อบ่งใช้ไม่ตรงกับโจทย์ที่กำหนด
• ข้อ ค. (ยากลุ่ม SSRI ไม่ควรใช้ร่วมกับยากลุ่ม MAOI): ข้อนี้ไม่ใช่คำตอบที่ถูกต้องสำหรับภาวะ Anxiety/depression เนื่องจากกลไกการออกฤทธิ์, efficacy หรือข้อบ่งใช้ไม่ตรงกับโจทย์ที่กำหนด
• ข้อ ง. (เมื่อหยุดยา MAOI แล้วสามารถเริ่มใช้ SSRI ได้ทันที): ข้อนี้ไม่ใช่คำตอบที่ถูกต้องสำหรับภาวะ Anxiety/depression เนื่องจากกลไกการออกฤทธิ์, efficacy หรือข้อบ่งใช้ไม่ตรงกับโจทย์ที่กำหนด
• ข้อ จ. (อาการข้างเคียงของยากลุ่ม TCA คือ ปากแห้ง ตาพร่า แน่นท้อง ท้องผูก):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 s="18" t="inlineStr"/>
      <c r="L9" s="18" t="inlineStr">
        <is>
          <t>Anxiety/depression</t>
        </is>
      </c>
      <c r="M9" s="18" t="inlineStr">
        <is>
          <t>Clinic</t>
        </is>
      </c>
      <c r="N9" s="18" t="inlineStr">
        <is>
          <t>ข้อ 7 ชุด 1 (เฉลยข้อ ก ง)</t>
        </is>
      </c>
      <c r="O9" s="18" t="inlineStr">
        <is>
          <t>Mock</t>
        </is>
      </c>
      <c r="P9" s="18" t="inlineStr">
        <is>
          <t>ชุด 1</t>
        </is>
      </c>
    </row>
    <row r="10">
      <c r="A10" s="15" t="inlineStr">
        <is>
          <t>8</t>
        </is>
      </c>
      <c r="B10" s="18" t="inlineStr">
        <is>
          <t>St. John's wort ออกฤทธิ์เหมือนยากลุ่มใด</t>
        </is>
      </c>
      <c r="C10" s="18" t="inlineStr"/>
      <c r="D10" s="18" t="inlineStr">
        <is>
          <t>MOAI</t>
        </is>
      </c>
      <c r="E10" s="18" t="inlineStr">
        <is>
          <t>BZs</t>
        </is>
      </c>
      <c r="F10" s="18" t="inlineStr">
        <is>
          <t>TCA</t>
        </is>
      </c>
      <c r="G10" s="18" t="inlineStr">
        <is>
          <t>α2 Blocker</t>
        </is>
      </c>
      <c r="H10" s="18" t="inlineStr">
        <is>
          <t>Barbiturates</t>
        </is>
      </c>
      <c r="I10" s="15" t="inlineStr">
        <is>
          <t>3</t>
        </is>
      </c>
      <c r="J10" s="18" t="inlineStr">
        <is>
          <t>✅ คำตอบที่ถูกต้อง: ข้อ ค.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St. John's wort (Hypericum perforatum) เป็นสมุนไพรที่มีฤทธิ์ต้านซึมเศร้าโดยมีกลไกยับยั้งการ reuptake ของ serotonin, norepinephrine และ dopamine คล้ายคลึงกับยากลุ่ม TCA และมีฤทธิ์กระตุ้นเอนไซม์ CYP450 ทำให้เกิดปฏิกิริยาระหว่างยามากมาย
🔍 ข้ออื่นผิดเพราะอะไร:
• ข้อ ก. (MOAI): ข้อนี้ไม่ใช่คำตอบที่ถูกต้องสำหรับภาวะ Anxiety/depression เนื่องจากกลไกการออกฤทธิ์, efficacy หรือข้อบ่งใช้ไม่ตรงกับโจทย์ที่กำหนด
• ข้อ ข. (BZs): ข้อนี้ไม่ใช่คำตอบที่ถูกต้องสำหรับภาวะ Anxiety/depression เนื่องจากกลไกการออกฤทธิ์, efficacy หรือข้อบ่งใช้ไม่ตรงกับโจทย์ที่กำหนด
• ข้อ ง. (α2 Blocker): ข้อนี้ไม่ใช่คำตอบที่ถูกต้องสำหรับภาวะ Anxiety/depression เนื่องจากกลไกการออกฤทธิ์, efficacy หรือข้อบ่งใช้ไม่ตรงกับโจทย์ที่กำหนด
• ข้อ จ. (Barbiturates):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 s="18" t="inlineStr"/>
      <c r="L10" s="18" t="inlineStr">
        <is>
          <t>Anxiety/depression</t>
        </is>
      </c>
      <c r="M10" s="18" t="inlineStr">
        <is>
          <t>Clinic</t>
        </is>
      </c>
      <c r="N10" s="18" t="inlineStr">
        <is>
          <t>ข้อ 8 ชุด 1 (เฉลยข้อ ค)</t>
        </is>
      </c>
      <c r="O10" s="18" t="inlineStr">
        <is>
          <t>Mock</t>
        </is>
      </c>
      <c r="P10" s="18" t="inlineStr">
        <is>
          <t>ชุด 1</t>
        </is>
      </c>
    </row>
    <row r="11">
      <c r="A11" s="15" t="inlineStr">
        <is>
          <t>9</t>
        </is>
      </c>
      <c r="B11" s="18" t="inlineStr">
        <is>
          <t>เพราะเหตุใด St. John's wort จึงทำให้เกิดปฏิกิริยาระหว่างยาหลายกลุ่ม</t>
        </is>
      </c>
      <c r="C11" s="18" t="inlineStr"/>
      <c r="D11" s="18" t="inlineStr">
        <is>
          <t>เพิ่มการสร้าง isozyme cytochrome P450</t>
        </is>
      </c>
      <c r="E11" s="18" t="inlineStr">
        <is>
          <t>มีความสามารถในการจับกับรีเซ็ปเตอร์ได้หลายชนิด</t>
        </is>
      </c>
      <c r="F11" s="18" t="inlineStr">
        <is>
          <t>กระตุ้นการจับกับโปรตีนในเลือดหลายชนิด</t>
        </is>
      </c>
      <c r="G11" s="18" t="inlineStr">
        <is>
          <t>สามารถทำปฏิกิริยาทางเคมีโดยตรงกับยาหลายชนิด</t>
        </is>
      </c>
      <c r="H11" s="18" t="inlineStr">
        <is>
          <t>เพิ่มอัตราการขับออกของยาที่ไต</t>
        </is>
      </c>
      <c r="I11" s="15" t="inlineStr">
        <is>
          <t>1</t>
        </is>
      </c>
      <c r="J11" s="18" t="inlineStr">
        <is>
          <t>✅ คำตอบที่ถูกต้อง: ข้อ ก. เพิ่มการสร้าง isozyme cytochrome P450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เพิ่มการสร้าง isozyme cytochrome P450 St. John's wort เป็นตัวเหนี่ยวนำเอนไซม์ (inducer) ที่ทรงพลังของ cytochrome P450 (โดยเฉพาะ CYP3A4) และ P-glycoprotein ทำให้ระดับยาอื่นๆ ที่ใช้ร่วมกันในร่างกายลดลงและ efficacy การรักษาลดลง
🔍 ข้ออื่นผิดเพราะอะไร:
• ข้อ ข. (มีความสามารถในการจับกับรีเซ็ปเตอร์ได้หลายชนิด):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ค. (กระตุ้นการจับกับโปรตีนในเลือดหลายชนิด):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ง. (สามารถทำปฏิกิริยาทางเคมีโดยตรงกับยาหลายชนิด):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จ. (เพิ่มอัตราการขับออกของยาที่ไต):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 s="18" t="inlineStr"/>
      <c r="L11" s="18" t="inlineStr">
        <is>
          <t>Anxiety/depression</t>
        </is>
      </c>
      <c r="M11" s="18" t="inlineStr">
        <is>
          <t>Clinic</t>
        </is>
      </c>
      <c r="N11" s="18" t="inlineStr">
        <is>
          <t>ข้อ 9 ชุด 1 (เฉลยข้อ ก)</t>
        </is>
      </c>
      <c r="O11" s="18" t="inlineStr">
        <is>
          <t>Mock</t>
        </is>
      </c>
      <c r="P11" s="18" t="inlineStr">
        <is>
          <t>ชุด 1</t>
        </is>
      </c>
    </row>
    <row r="12">
      <c r="A12" s="15" t="inlineStr">
        <is>
          <t>10</t>
        </is>
      </c>
      <c r="B12" s="18" t="inlineStr">
        <is>
          <t>กลไกการออกฤทธิ์ของ amitriptyline คือข้อใด</t>
        </is>
      </c>
      <c r="C12" s="18" t="inlineStr"/>
      <c r="D12" s="18" t="inlineStr">
        <is>
          <t>ยับยั้งการทำงานของ DA transporter</t>
        </is>
      </c>
      <c r="E12" s="18" t="inlineStr">
        <is>
          <t>ยับยั้งการ reuptake ของ NE ที่ปลายประสาท</t>
        </is>
      </c>
      <c r="F12" s="18" t="inlineStr">
        <is>
          <t>ยับยั้งการทำงานของ MOA enzyme</t>
        </is>
      </c>
      <c r="G12" s="18" t="inlineStr">
        <is>
          <t>กระตุ้น 5-HT receptor</t>
        </is>
      </c>
      <c r="H12" s="18" t="inlineStr">
        <is>
          <t>กระตุ้น α2-adrenergic receptor</t>
        </is>
      </c>
      <c r="I12" s="15" t="inlineStr">
        <is>
          <t>2</t>
        </is>
      </c>
      <c r="J12" s="18" t="inlineStr">
        <is>
          <t>✅ คำตอบที่ถูกต้อง: ข้อ ข. ยับยั้งการ reuptake ของ NE ที่ปลายประสาท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 reuptake ของ NE ที่ปลายประสาท Amitriptyline เป็นยากลุ่ม Tricyclic antidepressant (TCA) มีกลไกหลักในการยับยั้งการ reuptake ของ norepinephrine (NE) และ serotonin (5-HT) ที่ปลายประสาท ทำให้มีสารสื่อประสาทเหลืออยู่ใน synaptic cleft มากขึ้น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MOA enzyme): ข้อนี้ไม่ใช่คำตอบที่ถูกต้องสำหรับภาวะ Anxiety/depression เนื่องจากกลไกการออกฤทธิ์, efficacy หรือข้อบ่งใช้ไม่ตรงกับโจทย์ที่กำหนด
• ข้อ ง.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α2-adrenergic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2" s="18" t="inlineStr"/>
      <c r="L12" s="18" t="inlineStr">
        <is>
          <t>Anxiety/depression</t>
        </is>
      </c>
      <c r="M12" s="18" t="inlineStr">
        <is>
          <t>Clinic</t>
        </is>
      </c>
      <c r="N12" s="18" t="inlineStr">
        <is>
          <t>ข้อ 10 ชุด 1 (เฉลยข้อ ข)</t>
        </is>
      </c>
      <c r="O12" s="18" t="inlineStr">
        <is>
          <t>Mock</t>
        </is>
      </c>
      <c r="P12" s="18" t="inlineStr">
        <is>
          <t>ชุด 1</t>
        </is>
      </c>
    </row>
    <row r="13">
      <c r="A13" s="15" t="inlineStr">
        <is>
          <t>11</t>
        </is>
      </c>
      <c r="B13" s="18" t="inlineStr">
        <is>
          <t>ต่อไปนี้เป็น side effect ที่เกิดจากการใช้ยา amitriptyline ยกเว้น</t>
        </is>
      </c>
      <c r="C13" s="18" t="inlineStr"/>
      <c r="D13" s="18" t="inlineStr">
        <is>
          <t>Sedation</t>
        </is>
      </c>
      <c r="E13" s="18" t="inlineStr">
        <is>
          <t>Dry mouth</t>
        </is>
      </c>
      <c r="F13" s="18" t="inlineStr">
        <is>
          <t>Orthostatic hypotension</t>
        </is>
      </c>
      <c r="G13" s="18" t="inlineStr">
        <is>
          <t>Urinary retention</t>
        </is>
      </c>
      <c r="H13" s="18" t="inlineStr">
        <is>
          <t>Hyperuricemia</t>
        </is>
      </c>
      <c r="I13" s="15" t="inlineStr">
        <is>
          <t>5</t>
        </is>
      </c>
      <c r="J13" s="18" t="inlineStr">
        <is>
          <t>✅ คำตอบที่ถูกต้อง: ข้อ จ. Hyperuricemia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Hyperuricemia Amitriptyline มีฤทธิ์ต้าน anticholinergic (ปากแห้ง ท้องผูก ตาพร่า ปัสสาวะคั่ง), antihistaminic (ง่วงซึม sedation) และ alpha-1 blockade (orthostatic hypotension) แต่ไม่ได้ทำให้เกิดภาวะกรดยูริกในเลือดสูง (Hyperuricemia) เป็นอาการข้างเคียงหลัก
🔍 ข้ออื่นผิดเพราะอะไร:
• ข้อ ก. (Sedation): ข้อนี้ไม่ใช่คำตอบที่ถูกต้องสำหรับภาวะ Anxiety/depression เนื่องจากกลไกการออกฤทธิ์, efficacy หรือข้อบ่งใช้ไม่ตรงกับโจทย์ที่กำหนด
• ข้อ ข. (Dry mouth):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(Urinary retention):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3" s="18" t="inlineStr"/>
      <c r="L13" s="18" t="inlineStr">
        <is>
          <t>Anxiety/depression</t>
        </is>
      </c>
      <c r="M13" s="18" t="inlineStr">
        <is>
          <t>Clinic</t>
        </is>
      </c>
      <c r="N13" s="18" t="inlineStr">
        <is>
          <t>ข้อ 11 ชุด 1 (เฉลยข้อ จ)</t>
        </is>
      </c>
      <c r="O13" s="18" t="inlineStr">
        <is>
          <t>Mock</t>
        </is>
      </c>
      <c r="P13" s="18" t="inlineStr">
        <is>
          <t>ชุด 1</t>
        </is>
      </c>
    </row>
    <row r="14">
      <c r="A14" s="15" t="inlineStr">
        <is>
          <t>12</t>
        </is>
      </c>
      <c r="B14" s="18" t="inlineStr">
        <is>
          <t>กลไกการออกฤทธิ์ของ fluoxetine คือข้อใด</t>
        </is>
      </c>
      <c r="C14" s="18" t="inlineStr"/>
      <c r="D14" s="18" t="inlineStr">
        <is>
          <t>ยับยั้งการทำงานของ DA transporter</t>
        </is>
      </c>
      <c r="E14" s="18" t="inlineStr">
        <is>
          <t>ยับยั้งการทำงานของ NE transporter</t>
        </is>
      </c>
      <c r="F14" s="18" t="inlineStr">
        <is>
          <t>ยับยั้งการทำงานของ 5-HT transporter</t>
        </is>
      </c>
      <c r="G14" s="18" t="inlineStr">
        <is>
          <t>ยับยั้งการทำงานของ MOA-A enzyme</t>
        </is>
      </c>
      <c r="H14" s="18" t="inlineStr">
        <is>
          <t>ยับยั้งการทำงานของ MOA-B enzyme</t>
        </is>
      </c>
      <c r="I14" s="15" t="inlineStr">
        <is>
          <t>3</t>
        </is>
      </c>
      <c r="J14" s="18" t="inlineStr">
        <is>
          <t>✅ คำตอบที่ถูกต้อง: ข้อ ค. ยับยั้งการทำงานของ 5-HT transporter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ยับยั้งการทำงานของ 5-HT transporter Fluoxetine เป็นยาในกลุ่ม SSRIs (Selective Serotonin Reuptake Inhibitors) มีกลไกหลักในการยับยั้งการทำงานของ Serotonin transporter (5-HT transporter) ทำให้มีระดับ Serotonin ใน synaptic cleft สูงขึ้น ตามแนวทางการรักษาโรคซึมเศร้า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ข. (ยับยั้งการทำงานของ NE transporter):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(ยับยั้งการทำงานของ MOA-B enzyme):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4" s="18" t="inlineStr"/>
      <c r="L14" s="18" t="inlineStr">
        <is>
          <t>Anxiety/depression</t>
        </is>
      </c>
      <c r="M14" s="18" t="inlineStr">
        <is>
          <t>Clinic</t>
        </is>
      </c>
      <c r="N14" s="18" t="inlineStr">
        <is>
          <t>ข้อ 12 ชุด 1 (เฉลยข้อ ค)</t>
        </is>
      </c>
      <c r="O14" s="18" t="inlineStr">
        <is>
          <t>Mock</t>
        </is>
      </c>
      <c r="P14" s="18" t="inlineStr">
        <is>
          <t>ชุด 1</t>
        </is>
      </c>
    </row>
    <row r="15">
      <c r="A15" s="15" t="inlineStr">
        <is>
          <t>13</t>
        </is>
      </c>
      <c r="B15" s="18"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18" t="inlineStr"/>
      <c r="D15" s="18" t="inlineStr">
        <is>
          <t>Lithium carbonate</t>
        </is>
      </c>
      <c r="E15" s="18" t="inlineStr">
        <is>
          <t>Clozapine</t>
        </is>
      </c>
      <c r="F15" s="18" t="inlineStr">
        <is>
          <t>Chlorpromazine</t>
        </is>
      </c>
      <c r="G15" s="18" t="inlineStr">
        <is>
          <t>Haloperidol</t>
        </is>
      </c>
      <c r="H15" s="18" t="inlineStr">
        <is>
          <t>Diazepam</t>
        </is>
      </c>
      <c r="I15" s="15" t="inlineStr">
        <is>
          <t>5</t>
        </is>
      </c>
      <c r="J15" s="18" t="inlineStr">
        <is>
          <t>✅ คำตอบที่ถูกต้อง: ข้อ จ.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ผู้ป่วย Generalized Anxiety Disorder (GAD) สามารถใช้ยาในกลุ่ม Benzodiazepines (เช่น Diazepam) สำหรับการรักษาแบบเฉียบพลันเพื่อลดอาการวิตกกังวล หรือกลุ่ม SSRIs/SNRIs เป็น First-line สำหรับการรักษาในระยะยาว ตามแนวทางปฏิบัติการรักษาโรคทางจิตเวช
🔍 ข้ออื่นผิดเพราะอะไร:
• ข้อ ก. (Lithium carbonate): ข้อนี้ไม่ใช่คำตอบที่ถูกต้องสำหรับภาวะ Anxiety/depression เนื่องจากกลไกการออกฤทธิ์, efficacy หรือข้อบ่งใช้ไม่ตรงกับโจทย์ที่กำหนด
• ข้อ ข. (Clozapine): เป็น atypical antipsychotic สำหรับ treatment-resistant schizophrenia ที่มี efficacy สูงสุด แต่มี black box warning เรื่อง agranulocytosis (ต้องตรวจ CBC สม่ำเสมอ), myocarditis และชัก
• ข้อ ค. (Chlorpromazine): ข้อนี้ไม่ใช่คำตอบที่ถูกต้องสำหรับภาวะ Anxiety/depression เนื่องจากกลไกการออกฤทธิ์, efficacy หรือข้อบ่งใช้ไม่ตรงกับโจทย์ที่กำหนด
• ข้อ ง. (Haloperidol): เป็น First-generation (typical) antipsychotic ยับยั้ง D2 receptor สูง เสี่ยงต่อ Extrapyramidal symptoms (EPS), acute dystonia, akathisia และ tardive dyskinesia สูง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5" s="18" t="inlineStr"/>
      <c r="L15" s="18" t="inlineStr">
        <is>
          <t>Anxiety/depression</t>
        </is>
      </c>
      <c r="M15" s="18" t="inlineStr">
        <is>
          <t>Clinic</t>
        </is>
      </c>
      <c r="N15" s="18" t="inlineStr">
        <is>
          <t>ข้อ 13 ชุด 1 (เฉลยข้อ จ)</t>
        </is>
      </c>
      <c r="O15" s="18" t="inlineStr">
        <is>
          <t>Mock</t>
        </is>
      </c>
      <c r="P15" s="18" t="inlineStr">
        <is>
          <t>ชุด 1</t>
        </is>
      </c>
    </row>
    <row r="16">
      <c r="A16" s="15" t="inlineStr">
        <is>
          <t>14</t>
        </is>
      </c>
      <c r="B16" s="18"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8" t="inlineStr"/>
      <c r="D16" s="18" t="inlineStr">
        <is>
          <t>Venlafaxine</t>
        </is>
      </c>
      <c r="E16" s="18" t="inlineStr">
        <is>
          <t>Paroxetine</t>
        </is>
      </c>
      <c r="F16" s="18" t="inlineStr">
        <is>
          <t>Amitriptyline</t>
        </is>
      </c>
      <c r="G16" s="18" t="inlineStr">
        <is>
          <t>Bupropion</t>
        </is>
      </c>
      <c r="H16" s="18" t="inlineStr">
        <is>
          <t>Sertraline</t>
        </is>
      </c>
      <c r="I16" s="15" t="inlineStr">
        <is>
          <t>3</t>
        </is>
      </c>
      <c r="J16" s="18" t="inlineStr">
        <is>
          <t>✅ คำตอบที่ถูกต้อง: ข้อ ค. Amitriptyline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Amitriptyline อาการง่วงนอน (Sedation จาก H1 blockade), ปากคอแห้ง (Anticholinergic effect), และหน้ามืดเวียนหัวเวลาลุกขึ้น (Orthostatic hypotension จาก alpha-1 blockade) เป็น ADR จำเพาะของยากลุ่ม Tricyclic Antidepressants (TCAs) เช่น Amitriptyline
🔍 ข้ออื่นผิดเพราะอะไร:
• ข้อ ก. (Venlafaxine): ข้อนี้ไม่ใช่คำตอบที่ถูกต้องสำหรับภาวะ Anxiety/depression เนื่องจากกลไกการออกฤทธิ์, efficacy หรือข้อบ่งใช้ไม่ตรงกับโจทย์ที่กำหนด
• ข้อ ข. (Paroxetine): ข้อนี้ไม่ใช่คำตอบที่ถูกต้องสำหรับภาวะ Anxiety/depression เนื่องจากกลไกการออกฤทธิ์, efficacy หรือข้อบ่งใช้ไม่ตรงกับโจทย์ที่กำหนด
• ข้อ ง. (Bupropion): เป็น NDRI ใช้ช่วยเลิกบุหรี่และรักษาซึมเศร้า แต่มี contraindication ในผู้ป่วยประวัติชัก (seizure disorder) หรือ anorexia/bulimia nervosa
• ข้อ จ.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6" s="18" t="inlineStr"/>
      <c r="L16" s="18" t="inlineStr">
        <is>
          <t>Anxiety/depression</t>
        </is>
      </c>
      <c r="M16" s="18" t="inlineStr">
        <is>
          <t>Clinic</t>
        </is>
      </c>
      <c r="N16" s="18" t="inlineStr">
        <is>
          <t>ข้อ 14 ชุด 1 (เฉลยข้อ ค)</t>
        </is>
      </c>
      <c r="O16" s="18" t="inlineStr">
        <is>
          <t>Mock</t>
        </is>
      </c>
      <c r="P16" s="18" t="inlineStr">
        <is>
          <t>ชุด 1</t>
        </is>
      </c>
    </row>
    <row r="17">
      <c r="A17" s="15" t="inlineStr">
        <is>
          <t>15</t>
        </is>
      </c>
      <c r="B17" s="18"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18" t="inlineStr"/>
      <c r="D17" s="18" t="inlineStr">
        <is>
          <t>Imipramine</t>
        </is>
      </c>
      <c r="E17" s="18" t="inlineStr">
        <is>
          <t>Clomipramine</t>
        </is>
      </c>
      <c r="F17" s="18" t="inlineStr">
        <is>
          <t>Amitriptyline</t>
        </is>
      </c>
      <c r="G17" s="18" t="inlineStr">
        <is>
          <t>Doxepin</t>
        </is>
      </c>
      <c r="H17" s="18" t="inlineStr">
        <is>
          <t>Sertraline</t>
        </is>
      </c>
      <c r="I17" s="15" t="inlineStr">
        <is>
          <t>5</t>
        </is>
      </c>
      <c r="J17" s="18" t="inlineStr">
        <is>
          <t>✅ คำตอบที่ถูกต้อง: ข้อ จ.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เมื่อผู้ป่วยไม่สามารถทนอาการข้างเคียงจากยากลุ่ม TCAs ได้ ควรเปลี่ยนไปใช้ยากลุ่มที่มี safety และอาการข้างเคียงจากระบบ Anticholinergic และ Autonomic น้อยกว่า เช่น SSRIs (เช่น Sertraline)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(Clomipramine): ข้อนี้ไม่ใช่คำตอบที่ถูกต้องสำหรับภาวะ Anxiety/depression เนื่องจากกลไกการออกฤทธิ์, efficacy หรือข้อบ่งใช้ไม่ตรงกับโจทย์ที่กำหนด
• ข้อ ค. (Amitriptyline): เป็น Tricyclic antidepressant (TCA) มี anticholinergic ADRs สูง, antihistaminic (ง่วงซึม น้ำหนักขึ้น), alpha-1 blockade (orthostatic hypotension) และเสี่ยงต่อ fatal cardiotoxicity เมื่อ overdose
• ข้อ ง. (Doxepin):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7" s="18" t="inlineStr"/>
      <c r="L17" s="18" t="inlineStr">
        <is>
          <t>Anxiety/depression</t>
        </is>
      </c>
      <c r="M17" s="18" t="inlineStr">
        <is>
          <t>Clinic</t>
        </is>
      </c>
      <c r="N17" s="18" t="inlineStr">
        <is>
          <t>ข้อ 15 ชุด 1 (เฉลยข้อ จ)</t>
        </is>
      </c>
      <c r="O17" s="18" t="inlineStr">
        <is>
          <t>Mock</t>
        </is>
      </c>
      <c r="P17" s="18" t="inlineStr">
        <is>
          <t>ชุด 1</t>
        </is>
      </c>
    </row>
    <row r="18">
      <c r="A18" s="15" t="inlineStr">
        <is>
          <t>16</t>
        </is>
      </c>
      <c r="B18" s="18" t="inlineStr">
        <is>
          <t>คำแนะนำในการใช้ยากลุ่ม antidepressant ที่สำคัญเพื่อช่วยเพิ่มความร่วมมือในการใช้ยาของผู้ป่วย คือ</t>
        </is>
      </c>
      <c r="C18" s="18" t="inlineStr"/>
      <c r="D18" s="18" t="inlineStr">
        <is>
          <t>ควรแนะนำให้ผู้ป่วยใช้ยาหลังอาหารเท่านั้นจะได้ไม่ลืมใช้ยา</t>
        </is>
      </c>
      <c r="E18" s="18"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18" t="inlineStr">
        <is>
          <t>ควรแนะนำให้ผู้ป่วยดื่มน้ำมากๆ เพื่อลดการระคายเคืองกระเพาะอาหาร</t>
        </is>
      </c>
      <c r="G18" s="18" t="inlineStr">
        <is>
          <t>ควรแนะนำการเพิ่มและลดขนาดยาให้ผู้ป่วยเพื่อให้ผู้ป่วยสามารถปรับขนาดยาได้เองตามอาการ</t>
        </is>
      </c>
      <c r="H18" s="18" t="inlineStr">
        <is>
          <t>ควรแนะนำให้ผู้ป่วยหยุดยาทันทีเมื่อเกิดอาการข้างเคียง เช่น นอนไม่หลับ</t>
        </is>
      </c>
      <c r="I18" s="15" t="inlineStr">
        <is>
          <t>2</t>
        </is>
      </c>
      <c r="J18" s="18"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ยากลุ่ม Antidepressants มักต้องใช้เวลาออกฤทธิ์ทางคลินิกประมาณ 2-4 สัปดาห์ การให้คำแนะนำที่ถูกต้องเกี่ยวกับ Latent period จะช่วยให้ผู้ป่วยมีความตระหนักและมีความร่วมมือในการใช้ยาต่อเนื่องอย่างสม่ำเสมอ
🔍 ข้ออื่นผิดเพราะอะไร:
• ข้อ ก. (ควรแนะนำให้ผู้ป่วยใช้ยาหลังอาหารเท่านั้นจะได้ไม่ลืมใช้ยา): ข้อนี้ไม่ใช่คำตอบที่ถูกต้องสำหรับภาวะ Anxiety/depression เนื่องจากกลไกการออกฤทธิ์, efficacy หรือข้อบ่งใช้ไม่ตรงกับโจทย์ที่กำหนด
• ข้อ ค. (ควรแนะนำให้ผู้ป่วยดื่มน้ำมากๆ เพื่อลดการระคายเคืองกระเพาะอาหาร): ข้อนี้ไม่ใช่คำตอบที่ถูกต้องสำหรับภาวะ Anxiety/depression เนื่องจากกลไกการออกฤทธิ์, efficacy หรือข้อบ่งใช้ไม่ตรงกับโจทย์ที่กำหนด
• ข้อ ง. (ควรแนะนำการเพิ่มและลดขนาดยาให้ผู้ป่วยเพื่อให้ผู้ป่วยสามารถปรับขนาดยาได้เองตามอาการ): ข้อนี้ไม่ใช่คำตอบที่ถูกต้องสำหรับภาวะ Anxiety/depression เนื่องจากกลไกการออกฤทธิ์, efficacy หรือข้อบ่งใช้ไม่ตรงกับโจทย์ที่กำหนด
• ข้อ จ. (ควรแนะนำให้ผู้ป่วยหยุดยาทันทีเมื่อเกิดอาการข้างเคียง เช่น นอนไม่หลับ):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8" s="18" t="inlineStr"/>
      <c r="L18" s="18" t="inlineStr">
        <is>
          <t>Anxiety/depression</t>
        </is>
      </c>
      <c r="M18" s="18" t="inlineStr">
        <is>
          <t>Clinic</t>
        </is>
      </c>
      <c r="N18" s="18" t="inlineStr">
        <is>
          <t>ข้อ 16 ชุด 1 (เฉลยข้อ ข)</t>
        </is>
      </c>
      <c r="O18" s="18" t="inlineStr">
        <is>
          <t>Mock</t>
        </is>
      </c>
      <c r="P18" s="18" t="inlineStr">
        <is>
          <t>ชุด 1</t>
        </is>
      </c>
    </row>
    <row r="19">
      <c r="A19" s="15" t="inlineStr">
        <is>
          <t>17</t>
        </is>
      </c>
      <c r="B19" s="18"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18" t="inlineStr"/>
      <c r="D19" s="18" t="inlineStr">
        <is>
          <t>สามารถหยุดได้ทันทีโดยไม่ต้องปรับเปลี่ยนขนาดยาใหม่</t>
        </is>
      </c>
      <c r="E19" s="18" t="inlineStr">
        <is>
          <t>ให้ triazolam ก่อนแล้วค่อยๆ ลดขนาดยาที่ผู้ป่วยรับอยู่สัปดาห์ละ 25% ของขนาดยาที่ให้ผลรักษา</t>
        </is>
      </c>
      <c r="F19" s="18" t="inlineStr">
        <is>
          <t>ให้ olanzapine ก่อนแล้วค่อยๆ บดขนาดยาที่ผู้ป่วยได้รับอยู่สัปดาห์ละ 75% ของยาที่ให้ผลรักษา</t>
        </is>
      </c>
      <c r="G19" s="18" t="inlineStr">
        <is>
          <t>ค่อยๆ ลดขนาดยาที่ผู้ป่วยได้รับอยู่สัปดาห์ละ 25% ของขนาดยาที่ให้ผลในการรักษา</t>
        </is>
      </c>
      <c r="H19" s="18" t="inlineStr">
        <is>
          <t>ให้ผู้ป่วยรับประทานยาที่ได้รับต่อไปอีก 1 สัปดาห์ จากนั้นจึงสามารถหยุดยาได้ทันที</t>
        </is>
      </c>
      <c r="I19" s="15" t="inlineStr">
        <is>
          <t>4</t>
        </is>
      </c>
      <c r="J19" s="18" t="inlineStr">
        <is>
          <t>✅ คำตอบที่ถูกต้อง: ข้อ ง. ค่อยๆ ลดขนาดยาที่ผู้ป่วยได้รับอยู่สัปดาห์ละ 25% ของขนาดยาที่ให้ผลในการรักษา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ค่อยๆ ลดขนาดยาที่ผู้ป่วยได้รับอยู่สัปดาห์ละ 25% ของขนาดยาที่ให้ผลในการรักษา การหยุดยากลุ่ม Benzodiazepines ที่ใช้มานานกว่า 2-4 สัปดาห์ ห้ามหยุดทันทีเนื่องจากอาจเกิด Withdrawal symptoms ได้ จำเป็นต้องใช้วิธี Tapering โดยค่อยๆ ลดขนาดยาลงประมาณ 20-25% ทุก 1-2 สัปดาห์
🔍 ข้ออื่นผิดเพราะอะไร:
• ข้อ ก. (สามารถหยุดได้ทันทีโดยไม่ต้องปรับเปลี่ยนขนาดยาใหม่): ข้อนี้ไม่ใช่คำตอบที่ถูกต้องสำหรับภาวะ Anxiety/depression เนื่องจากกลไกการออกฤทธิ์, efficacy หรือข้อบ่งใช้ไม่ตรงกับโจทย์ที่กำหนด
• ข้อ ข. (ให้ triazolam ก่อนแล้วค่อยๆ ลดขนาดยาที่ผู้ป่วยรับอยู่สัปดาห์ละ 25% ของขนาดยาที่ให้ผลรักษา): ข้อนี้ไม่ใช่คำตอบที่ถูกต้องสำหรับภาวะ Anxiety/depression เนื่องจากกลไกการออกฤทธิ์, efficacy หรือข้อบ่งใช้ไม่ตรงกับโจทย์ที่กำหนด
• ข้อ ค. (ให้ olanzapine ก่อนแล้วค่อยๆ บดขนาดยาที่ผู้ป่วยได้รับอยู่สัปดาห์ละ 75% ของยาที่ให้ผลรักษา): เป็น atypical antipsychotic ที่มี metabolic side effects สูงมาก (น้ำหนักเพิ่มขึ้นรุนแรง, hyperglycemia, dyslipidemia)
• ข้อ จ. (ให้ผู้ป่วยรับประทานยาที่ได้รับต่อไปอีก 1 สัปดาห์ จากนั้นจึงสามารถหยุดยาได้ทันที):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9" s="18" t="inlineStr"/>
      <c r="L19" s="18" t="inlineStr">
        <is>
          <t>Anxiety/depression</t>
        </is>
      </c>
      <c r="M19" s="18" t="inlineStr">
        <is>
          <t>Clinic</t>
        </is>
      </c>
      <c r="N19" s="18" t="inlineStr">
        <is>
          <t>ข้อ 17 ชุด 1 (เฉลยข้อ ง)</t>
        </is>
      </c>
      <c r="O19" s="18" t="inlineStr">
        <is>
          <t>Mock</t>
        </is>
      </c>
      <c r="P19" s="18" t="inlineStr">
        <is>
          <t>ชุด 1</t>
        </is>
      </c>
    </row>
    <row r="20">
      <c r="A20" s="15" t="inlineStr">
        <is>
          <t>18</t>
        </is>
      </c>
      <c r="B20" s="18"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8" t="inlineStr"/>
      <c r="D20" s="18" t="inlineStr">
        <is>
          <t>Clonazepam</t>
        </is>
      </c>
      <c r="E20" s="18" t="inlineStr">
        <is>
          <t>Diazepam</t>
        </is>
      </c>
      <c r="F20" s="18" t="inlineStr">
        <is>
          <t>Flunitrazepam</t>
        </is>
      </c>
      <c r="G20" s="18" t="inlineStr">
        <is>
          <t>Lorazepam</t>
        </is>
      </c>
      <c r="H20" s="18" t="inlineStr">
        <is>
          <t>Temazepam</t>
        </is>
      </c>
      <c r="I20" s="15" t="inlineStr">
        <is>
          <t>5</t>
        </is>
      </c>
      <c r="J20" s="18" t="inlineStr">
        <is>
          <t>✅ คำตอบที่ถูกต้อง: ข้อ จ. Temazepam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Temazepam เป็น Benzodiazepine ที่มีค่าครึ่งชีวิตปานกลางถึงสั้น (intermediate-acting) เหมาะสำหรับรักษาอาการนอนไม่หลับ (sleep-onset และ sleep-maintenance insomnia) โดยลดอาการง่วงซึมในวันถัดไปเมื่อเทียบกับยาที่มีค่าครึ่งชีวิตยาว เช่น Diazepam หรือ Clonazepam
🔍 ข้ออื่นผิดเพราะอะไร:
• ข้อ ก. (Clonazepam): ข้อนี้ไม่ใช่คำตอบที่ถูกต้องสำหรับภาวะ Insomnia เนื่องจากกลไกการออกฤทธิ์, efficacy หรือข้อบ่งใช้ไม่ตรงกับโจทย์ที่กำหนด
• ข้อ ข. (Diazepam): เป็น long-acting Benzodiazepine มี active metabolites (nordiazepam) สะสมในผู้สูงอายุ ทำให้ง่วงซึม หกล้ม เสี่ยง fracture
• ข้อ ค. (Flunitrazepam): ข้อนี้ไม่ใช่คำตอบที่ถูกต้องสำหรับภาวะ Insomnia เนื่องจากกลไกการออกฤทธิ์, efficacy หรือข้อบ่งใช้ไม่ตรงกับโจทย์ที่กำหนด
• ข้อ ง.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18" t="inlineStr"/>
      <c r="L20" s="18" t="inlineStr">
        <is>
          <t>Insomnia</t>
        </is>
      </c>
      <c r="M20" s="18" t="inlineStr">
        <is>
          <t>Clinic</t>
        </is>
      </c>
      <c r="N20" s="18" t="inlineStr">
        <is>
          <t>ข้อ 18 ชุด 1 (เฉลยข้อ จ)</t>
        </is>
      </c>
      <c r="O20" s="18" t="inlineStr">
        <is>
          <t>Mock</t>
        </is>
      </c>
      <c r="P20" s="18" t="inlineStr">
        <is>
          <t>ชุด 1</t>
        </is>
      </c>
    </row>
    <row r="21">
      <c r="A21" s="15" t="inlineStr">
        <is>
          <t>19</t>
        </is>
      </c>
      <c r="B21" s="18" t="inlineStr">
        <is>
          <t>กลไการออกฤทธิ์ของยากลุ่ม benzodiazepine คือ</t>
        </is>
      </c>
      <c r="C21" s="18" t="inlineStr"/>
      <c r="D21" s="18" t="inlineStr">
        <is>
          <t>กระตุ้น 5-HT receptor</t>
        </is>
      </c>
      <c r="E21" s="18" t="inlineStr">
        <is>
          <t>กระตุ้น dopamine receptor</t>
        </is>
      </c>
      <c r="F21" s="18" t="inlineStr">
        <is>
          <t>กระตุ้น GABA receptor</t>
        </is>
      </c>
      <c r="G21" s="18" t="inlineStr">
        <is>
          <t>กระตุ้น glutamate receptor</t>
        </is>
      </c>
      <c r="H21" s="18" t="inlineStr">
        <is>
          <t>กระตุ้น muscarinic receptor</t>
        </is>
      </c>
      <c r="I21" s="15" t="inlineStr">
        <is>
          <t>3</t>
        </is>
      </c>
      <c r="J21" s="18" t="inlineStr">
        <is>
          <t>✅ คำตอบที่ถูกต้อง: ข้อ ค. กระตุ้น GABA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กระตุ้น GABA receptor ยากลุ่ม Benzodiazepine ออกฤทธิ์จับกับ GABAA receptor บนตำแหน่ง Allosteric site (Benzodiazepine receptor) ทำให้เพิ่มความถี่ในการเปิดของช่องคลอไรด์ (chloride ion channels) ส่งผลให้เกิด hyperpolarization และเพิ่มฤทธิ์ยับยั้งของ GABA
🔍 ข้ออื่นผิดเพราะอะไร:
• ข้อ ก.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ข.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ง.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muscarinic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1" s="18" t="inlineStr"/>
      <c r="L21" s="18" t="inlineStr">
        <is>
          <t>Anxiety/depression</t>
        </is>
      </c>
      <c r="M21" s="18" t="inlineStr">
        <is>
          <t>Clinic</t>
        </is>
      </c>
      <c r="N21" s="18" t="inlineStr">
        <is>
          <t>ข้อ 19 ชุด 1 (เฉลยข้อ ค)</t>
        </is>
      </c>
      <c r="O21" s="18" t="inlineStr">
        <is>
          <t>Mock</t>
        </is>
      </c>
      <c r="P21" s="18" t="inlineStr">
        <is>
          <t>ชุด 1</t>
        </is>
      </c>
    </row>
    <row r="22">
      <c r="A22" s="15" t="inlineStr">
        <is>
          <t>20</t>
        </is>
      </c>
      <c r="B22" s="18" t="inlineStr">
        <is>
          <t>Benzodiazepine ไม่ใช้ในการรักษาใด</t>
        </is>
      </c>
      <c r="C22" s="18" t="inlineStr"/>
      <c r="D22" s="18" t="inlineStr">
        <is>
          <t>Anxiety</t>
        </is>
      </c>
      <c r="E22" s="18" t="inlineStr">
        <is>
          <t>OCD</t>
        </is>
      </c>
      <c r="F22" s="18" t="inlineStr">
        <is>
          <t>Epilepsy</t>
        </is>
      </c>
      <c r="G22" s="18" t="inlineStr">
        <is>
          <t>Muscle spasm</t>
        </is>
      </c>
      <c r="H22" s="18" t="inlineStr">
        <is>
          <t>Alcohol withdrawal</t>
        </is>
      </c>
      <c r="I22" s="15" t="inlineStr">
        <is>
          <t>2</t>
        </is>
      </c>
      <c r="J22" s="18" t="inlineStr">
        <is>
          <t>✅ คำตอบที่ถูกต้อง: ข้อ ข. OCD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OCD Obsessive-Compulsive Disorder (OCD) รักษาด้วยยากลุ่ม SSRIs เป็นหลัก เนื่องจาก Benzodiazepine ไม่มี efficacy ในการรักษา OCD (แม้บางครั้งอาจใช้เสริมในระยะสั้นเพื่อลดความวิตกกังวลร่วม)
🔍 ข้ออื่นผิดเพราะอะไร:
• ข้อ ก. (Anxiety): ข้อนี้ไม่ใช่คำตอบที่ถูกต้องสำหรับภาวะ Anxiety/depression เนื่องจากกลไกการออกฤทธิ์, efficacy หรือข้อบ่งใช้ไม่ตรงกับโจทย์ที่กำหนด
• ข้อ ค. (Epilepsy): ข้อนี้ไม่ใช่คำตอบที่ถูกต้องสำหรับภาวะ Anxiety/depression เนื่องจากกลไกการออกฤทธิ์, efficacy หรือข้อบ่งใช้ไม่ตรงกับโจทย์ที่กำหนด
• ข้อ ง. (Muscle spasm): ข้อนี้ไม่ใช่คำตอบที่ถูกต้องสำหรับภาวะ Anxiety/depression เนื่องจากกลไกการออกฤทธิ์, efficacy หรือข้อบ่งใช้ไม่ตรงกับโจทย์ที่กำหนด
• ข้อ จ. (Alcohol withdrawal):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2" s="18" t="inlineStr"/>
      <c r="L22" s="18" t="inlineStr">
        <is>
          <t>Anxiety/depression</t>
        </is>
      </c>
      <c r="M22" s="18" t="inlineStr">
        <is>
          <t>Clinic</t>
        </is>
      </c>
      <c r="N22" s="18" t="inlineStr">
        <is>
          <t>ข้อ 20 ชุด 1 (เฉลยข้อ ข)</t>
        </is>
      </c>
      <c r="O22" s="18" t="inlineStr">
        <is>
          <t>Mock</t>
        </is>
      </c>
      <c r="P22" s="18" t="inlineStr">
        <is>
          <t>ชุด 1</t>
        </is>
      </c>
    </row>
    <row r="23">
      <c r="A23" s="15" t="inlineStr">
        <is>
          <t>21</t>
        </is>
      </c>
      <c r="B23" s="18" t="inlineStr">
        <is>
          <t>อาการไม่พึงประสงค์ของ benzodiazepine คือ</t>
        </is>
      </c>
      <c r="C23" s="18" t="inlineStr"/>
      <c r="D23" s="18" t="inlineStr">
        <is>
          <t>ชัก</t>
        </is>
      </c>
      <c r="E23" s="18" t="inlineStr">
        <is>
          <t>Anterograde amnesia</t>
        </is>
      </c>
      <c r="F23" s="18" t="inlineStr">
        <is>
          <t>สั่น</t>
        </is>
      </c>
      <c r="G23" s="18" t="inlineStr">
        <is>
          <t>ปากแห้ง</t>
        </is>
      </c>
      <c r="H23" s="18" t="inlineStr">
        <is>
          <t>ปวดศีรษะ</t>
        </is>
      </c>
      <c r="I23" s="15" t="inlineStr">
        <is>
          <t>2</t>
        </is>
      </c>
      <c r="J23" s="18" t="inlineStr">
        <is>
          <t>✅ คำตอบที่ถูกต้อง: ข้อ ข. Anterograde amnesia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Anterograde amnesia (ภาวะสูญเสียความทรงจำเหตุการณ์ภายหลัง) เป็นผลข้างเคียงที่สำคัญทางระบบประสาทของ Benzodiazepine โดยเฉพาะยาที่มีความแรงสูงและออกฤทธิ์เร็ว
🔍 ข้ออื่นผิดเพราะอะไร:
• ข้อ ก. (ชัก): ข้อนี้ไม่ใช่คำตอบที่ถูกต้องสำหรับภาวะ Anxiety/depression เนื่องจากกลไกการออกฤทธิ์, efficacy หรือข้อบ่งใช้ไม่ตรงกับโจทย์ที่กำหนด
• ข้อ ค. (สั่น): ข้อนี้ไม่ใช่คำตอบที่ถูกต้องสำหรับภาวะ Anxiety/depression เนื่องจากกลไกการออกฤทธิ์, efficacy หรือข้อบ่งใช้ไม่ตรงกับโจทย์ที่กำหนด
• ข้อ ง. (ปากแห้ง): ข้อนี้ไม่ใช่คำตอบที่ถูกต้องสำหรับภาวะ Anxiety/depression เนื่องจากกลไกการออกฤทธิ์, efficacy หรือข้อบ่งใช้ไม่ตรงกับโจทย์ที่กำหนด
• ข้อ จ. (ปวดศีรษะ):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3" s="18" t="inlineStr"/>
      <c r="L23" s="18" t="inlineStr">
        <is>
          <t>Anxiety/depression</t>
        </is>
      </c>
      <c r="M23" s="18" t="inlineStr">
        <is>
          <t>Clinic</t>
        </is>
      </c>
      <c r="N23" s="18" t="inlineStr">
        <is>
          <t>ข้อ 21 ชุด 1 (เฉลยข้อ ข)</t>
        </is>
      </c>
      <c r="O23" s="18" t="inlineStr">
        <is>
          <t>Mock</t>
        </is>
      </c>
      <c r="P23" s="18" t="inlineStr">
        <is>
          <t>ชุด 1</t>
        </is>
      </c>
    </row>
    <row r="24">
      <c r="A24" s="15" t="inlineStr">
        <is>
          <t>22</t>
        </is>
      </c>
      <c r="B24" s="18" t="inlineStr">
        <is>
          <t>ข้อใดไม่ถูกต้องเกี่ยวกับ benzodiazepine</t>
        </is>
      </c>
      <c r="C24" s="18" t="inlineStr"/>
      <c r="D24" s="18" t="inlineStr">
        <is>
          <t>ประสิทธิผลเท่ากัน diazepam มีราคาถูกกว่า แต่ประสิทธิผลดี</t>
        </is>
      </c>
      <c r="E24" s="18" t="inlineStr">
        <is>
          <t>Pharmacokinetics ต่างกัน แต่ประสิทธิผลไม่ต่างกัน ถ้าไม่มีโรคประจำตัวไต diazepam สามารถใช้ได้</t>
        </is>
      </c>
      <c r="F24" s="18" t="inlineStr">
        <is>
          <t>ยาออกฤทธิ์ต่อจิตประสาท แต่ปลอดภัยมี therapeutic index กว้าง</t>
        </is>
      </c>
      <c r="G24" s="18" t="inlineStr">
        <is>
          <t>ใช้ยาในขนาดสูงเป็นเวลานาน ค่อยๆลดขนาดยาลงใน 1-2 สัปดาห์</t>
        </is>
      </c>
      <c r="H24" s="18" t="inlineStr">
        <is>
          <t>สามารถหยุดยาได้ทันที</t>
        </is>
      </c>
      <c r="I24" s="15" t="inlineStr">
        <is>
          <t>5</t>
        </is>
      </c>
      <c r="J24" s="18" t="inlineStr">
        <is>
          <t>✅ คำตอบที่ถูกต้อง: ข้อ จ. สามารถหยุดยาได้ทันที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สามารถหยุดยาได้ทันที การหยุดยากลุ่ม Benzodiazepine ทันทีหลังใช้ต่อเนื่องเป็นเวลานานจะทำให้เกิดอาการถอนยา (withdrawal symptoms) จึงไม่ควรหยุดยาฉับพลัน แต่ต้องค่อยๆ ลดขนาดยาลง (tapering)
🔍 ข้ออื่นผิดเพราะอะไร:
• ข้อ ก. (ประสิทธิผลเท่ากัน diazepam มีราคาถูกกว่า แต่ประสิทธิผลดี): เป็น long-acting Benzodiazepine มี active metabolites (nordiazepam) สะสมในผู้สูงอายุ ทำให้ง่วงซึม หกล้ม เสี่ยง fracture
• ข้อ ข. (Pharmacokinetics ต่างกัน แต่ประสิทธิผลไม่ต่างกัน ถ้าไม่มีโรคประจำตัวไต diazepam สามารถใช้ได้): เป็น long-acting Benzodiazepine มี active metabolites (nordiazepam) สะสมในผู้สูงอายุ ทำให้ง่วงซึม หกล้ม เสี่ยง fracture
• ข้อ ค. (ยาออกฤทธิ์ต่อจิตประสาท แต่ปลอดภัยมี therapeutic index กว้าง): ข้อนี้ไม่ใช่คำตอบที่ถูกต้องสำหรับภาวะ Anxiety/depression เนื่องจากกลไกการออกฤทธิ์, efficacy หรือข้อบ่งใช้ไม่ตรงกับโจทย์ที่กำหนด
• ข้อ ง. (ใช้ยาในขนาดสูงเป็นเวลานาน ค่อยๆลดขนาดยาลงใน 1-2 สัปดาห์):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4" s="18" t="inlineStr"/>
      <c r="L24" s="18" t="inlineStr">
        <is>
          <t>Anxiety/depression</t>
        </is>
      </c>
      <c r="M24" s="18" t="inlineStr">
        <is>
          <t>Clinic</t>
        </is>
      </c>
      <c r="N24" s="18" t="inlineStr">
        <is>
          <t>ข้อ 22 ชุด 1 (เฉลยข้อ จ)</t>
        </is>
      </c>
      <c r="O24" s="18" t="inlineStr">
        <is>
          <t>Mock</t>
        </is>
      </c>
      <c r="P24" s="18" t="inlineStr">
        <is>
          <t>ชุด 1</t>
        </is>
      </c>
    </row>
    <row r="25">
      <c r="A25" s="15" t="inlineStr">
        <is>
          <t>23</t>
        </is>
      </c>
      <c r="B25" s="18" t="inlineStr">
        <is>
          <t>หากใช้ยากลุ่ม benzodiazepine พร้อมกับ alcohol จะเกิดผลอย่างไร</t>
        </is>
      </c>
      <c r="C25" s="18" t="inlineStr"/>
      <c r="D25" s="18" t="inlineStr">
        <is>
          <t>Flu-like symptoms</t>
        </is>
      </c>
      <c r="E25" s="18" t="inlineStr">
        <is>
          <t>Vasodilation</t>
        </is>
      </c>
      <c r="F25" s="18" t="inlineStr">
        <is>
          <t>เพิ่ม half life ของยา</t>
        </is>
      </c>
      <c r="G25" s="18" t="inlineStr">
        <is>
          <t>Respiratory depressions</t>
        </is>
      </c>
      <c r="H25" s="18" t="inlineStr">
        <is>
          <t>Vomiting</t>
        </is>
      </c>
      <c r="I25" s="15" t="inlineStr">
        <is>
          <t>4</t>
        </is>
      </c>
      <c r="J25" s="18" t="inlineStr">
        <is>
          <t>✅ คำตอบที่ถูกต้อง: ข้อ ง. Respiratory depressions
💡 Background:
การบริบาลผู้ป่วยในกลุ่มโรค Drug &amp; alcohol abuse มุ่งเน้นการควบคุมโรคและลดความเสี่ยงต่อภาวะแทรกซ้อนด้วย evidence-based pharmacotherapy
🎯 ทำไมข้อนี้ถึงถูก:
Respiratory depressions การใช้ Benzodiazepine ร่วมกับแอลกอฮอล์จะเกิดปฏิกิริยาเสริมฤทธิ์กันในระบบประสาทส่วนกลาง (CNS depression) อย่างรุนแรง ทำให้เกิดภาวะกดการหายใจ (Respiratory depression) ซึ่งอาจถึงแก่ชีวิตได้
🔍 ข้ออื่นผิดเพราะอะไร:
• ข้อ ก. (Flu-like symptoms): ข้อนี้ไม่ใช่คำตอบที่ถูกต้องสำหรับภาวะ Drug &amp; alcohol abuse เนื่องจากกลไกการออกฤทธิ์, efficacy หรือข้อบ่งใช้ไม่ตรงกับโจทย์ที่กำหนด
• ข้อ ข. (Vasodilation): ข้อนี้ไม่ใช่คำตอบที่ถูกต้องสำหรับภาวะ Drug &amp; alcohol abuse เนื่องจากกลไกการออกฤทธิ์, efficacy หรือข้อบ่งใช้ไม่ตรงกับโจทย์ที่กำหนด
• ข้อ ค. (เพิ่ม half life ของยา): ข้อนี้ไม่ใช่คำตอบที่ถูกต้องสำหรับภาวะ Drug &amp; alcohol abuse เนื่องจากกลไกการออกฤทธิ์, efficacy หรือข้อบ่งใช้ไม่ตรงกับโจทย์ที่กำหนด
• ข้อ จ. (Vomiting): ข้อนี้ไม่ใช่คำตอบที่ถูกต้องสำหรับภาวะ Drug &amp; alcohol abuse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Drug &amp; alcohol abuse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8" t="inlineStr"/>
      <c r="L25" s="18" t="inlineStr">
        <is>
          <t>Drug &amp; alcohol abuse</t>
        </is>
      </c>
      <c r="M25" s="18" t="inlineStr">
        <is>
          <t>Clinic</t>
        </is>
      </c>
      <c r="N25" s="18" t="inlineStr">
        <is>
          <t>ข้อ 23 ชุด 1 (เฉลยข้อ ง)</t>
        </is>
      </c>
      <c r="O25" s="18" t="inlineStr">
        <is>
          <t>Mock</t>
        </is>
      </c>
      <c r="P25" s="18" t="inlineStr">
        <is>
          <t>ชุด 1</t>
        </is>
      </c>
    </row>
    <row r="26">
      <c r="A26" s="15" t="inlineStr">
        <is>
          <t>24</t>
        </is>
      </c>
      <c r="B26" s="18" t="inlineStr">
        <is>
          <t>ข้อใดถูกต้องเกี่ยวกับการใช้ยาในกลุ่ม benzodiazepine เป็นเวลานาน</t>
        </is>
      </c>
      <c r="C26" s="18" t="inlineStr"/>
      <c r="D26" s="18" t="inlineStr">
        <is>
          <t>สามารถหยุดยาได้ทันที</t>
        </is>
      </c>
      <c r="E26" s="18" t="inlineStr">
        <is>
          <t>หากจะหยุดยา ให้รับประทานต่อในขนาดเดิมอีก 10 วัน แล้วจึงหยุดยา</t>
        </is>
      </c>
      <c r="F26" s="18" t="inlineStr">
        <is>
          <t>หากจะหยุดยา ให้รับประทานต่อในขนาดลดลงครึ่งหนึ่งอีก 10 วัน แล้วจึงหยุดยา</t>
        </is>
      </c>
      <c r="G26" s="18" t="inlineStr">
        <is>
          <t>หากจะหยุดยา ให้ลดขนาดยาลง 25% ทุกๆ 3-7 วัน</t>
        </is>
      </c>
      <c r="H26" s="18" t="inlineStr">
        <is>
          <t>ทำให้ติดยาทางใจ</t>
        </is>
      </c>
      <c r="I26" s="15" t="inlineStr">
        <is>
          <t>4</t>
        </is>
      </c>
      <c r="J26" s="18" t="inlineStr">
        <is>
          <t>✅ คำตอบที่ถูกต้อง: ข้อ ง. หากจะหยุดยา ให้ลดขนาดยาลง 25% ทุกๆ 3-7 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หากจะหยุดยา ให้ลดขนาดยาลง 25% ทุกๆ 3-7 วัน ตามแนวทางการปฏิบัติทางคลินิก การถอนยา Benzodiazepine ที่ใช้มานานควรลดขนาดยาลงประมาณ 20-25% ทุกๆ 1-2 สัปดาห์ (หรือ 3-7 วันตามบริบทข้อสอบ) เพื่อป้องกันอาการถอนยา (Withdrawal syndrome)
🔍 ข้ออื่นผิดเพราะอะไร:
• ข้อ ก. (สามารถหยุดยาได้ทันที):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ข้อ ข. (หากจะหยุดยา ให้รับประทานต่อในขนาดเดิมอีก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ค. (หากจะหยุดยา ให้รับประทานต่อในขนาดลดลงครึ่งหนึ่งอีก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จ. (ทำให้ติดยาทางใจ):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6" s="18" t="inlineStr"/>
      <c r="L26" s="18" t="inlineStr">
        <is>
          <t>Anxiety/depression</t>
        </is>
      </c>
      <c r="M26" s="18" t="inlineStr">
        <is>
          <t>Clinic</t>
        </is>
      </c>
      <c r="N26" s="18" t="inlineStr">
        <is>
          <t>ข้อ 24 ชุด 1 (เฉลยข้อ ง)</t>
        </is>
      </c>
      <c r="O26" s="18" t="inlineStr">
        <is>
          <t>Mock</t>
        </is>
      </c>
      <c r="P26" s="18" t="inlineStr">
        <is>
          <t>ชุด 1</t>
        </is>
      </c>
    </row>
    <row r="27">
      <c r="A27" s="15" t="inlineStr">
        <is>
          <t>25</t>
        </is>
      </c>
      <c r="B27" s="18"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8" t="inlineStr"/>
      <c r="D27" s="18" t="inlineStr">
        <is>
          <t>มีอาการทาง negative symptoms</t>
        </is>
      </c>
      <c r="E27" s="18" t="inlineStr">
        <is>
          <t>เกิดจากความผิดปกติของสารสื่อประสาท เช่น dopamine ซึ่งเชื่อว่าอาจเกี่ยวข้องกับพันธุกรรมด้วย</t>
        </is>
      </c>
      <c r="F27" s="18" t="inlineStr">
        <is>
          <t>จำเป็นต้องรักษาสภาพจิตใจร่วมด้วย</t>
        </is>
      </c>
      <c r="G27" s="18" t="inlineStr">
        <is>
          <t>เกิดจากความผิดปกติที่ nigrostriatal tract/extrapyramidal pathway</t>
        </is>
      </c>
      <c r="H27" s="18" t="inlineStr">
        <is>
          <t>มีจำนวนของ D-receptor เพิ่มมากขึ้น</t>
        </is>
      </c>
      <c r="I27" s="15" t="inlineStr">
        <is>
          <t>4</t>
        </is>
      </c>
      <c r="J27" s="18" t="inlineStr">
        <is>
          <t>✅ คำตอบที่ถูกต้อง: ข้อ ง. เกิดจากความผิดปกติที่ nigrostriatal tract/extrapyramidal pathway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เกิดจากความผิดปกติที่ nigrostriatal tract/extrapyramidal pathway อาการ negative symptoms ของ schizophrenia เกิดจากความผิดปกติของ mesocortical pathway (Dopamine hypofunction) ไม่ใช่ nigrostriatal pathway ซึ่งเกี่ยวข้องกับ extrapyramidal side effects (EPS) จากยาต้านโรคจิต
🔍 ข้ออื่นผิดเพราะอะไร:
• ข้อ ก. (มีอาการทาง negative symptoms): ข้อนี้ไม่ใช่คำตอบที่ถูกต้องสำหรับภาวะ Anxiety/depression เนื่องจากกลไกการออกฤทธิ์, efficacy หรือข้อบ่งใช้ไม่ตรงกับโจทย์ที่กำหนด
• ข้อ ข. (เกิดจากความผิดปกติของสารสื่อประสาท เช่น dopamine ซึ่งเชื่อว่าอาจเกี่ยวข้องกับพันธุกรรมด้วย): ข้อนี้ไม่ใช่คำตอบที่ถูกต้องสำหรับภาวะ Anxiety/depression เนื่องจากกลไกการออกฤทธิ์, efficacy หรือข้อบ่งใช้ไม่ตรงกับโจทย์ที่กำหนด
• ข้อ ค. (จำเป็นต้องรักษาสภาพจิตใจร่วมด้วย):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(มีจำนวนของ D-receptor เพิ่มมากขึ้น):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7" s="18" t="inlineStr"/>
      <c r="L27" s="18" t="inlineStr">
        <is>
          <t>Anxiety/depression</t>
        </is>
      </c>
      <c r="M27" s="18" t="inlineStr">
        <is>
          <t>Clinic</t>
        </is>
      </c>
      <c r="N27" s="18" t="inlineStr">
        <is>
          <t>ข้อ 25 ชุด 1 (เฉลยข้อ ง)</t>
        </is>
      </c>
      <c r="O27" s="18" t="inlineStr">
        <is>
          <t>Mock</t>
        </is>
      </c>
      <c r="P27" s="18" t="inlineStr">
        <is>
          <t>ชุด 1</t>
        </is>
      </c>
    </row>
    <row r="28">
      <c r="A28" s="15" t="inlineStr">
        <is>
          <t>26</t>
        </is>
      </c>
      <c r="B28" s="18"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8" t="inlineStr"/>
      <c r="D28" s="18" t="inlineStr">
        <is>
          <t>Haloperidol, Clozapine</t>
        </is>
      </c>
      <c r="E28" s="18" t="inlineStr">
        <is>
          <t>Chlorpromazine, Clozapine</t>
        </is>
      </c>
      <c r="F28" s="18" t="inlineStr">
        <is>
          <t>Risperidone, Quetiapine</t>
        </is>
      </c>
      <c r="G28" s="18" t="inlineStr">
        <is>
          <t>Thioridazine, Fluphenazine</t>
        </is>
      </c>
      <c r="H28" s="18" t="inlineStr">
        <is>
          <t>Perphenazine, Olanzapine</t>
        </is>
      </c>
      <c r="I28" s="15" t="inlineStr">
        <is>
          <t>1</t>
        </is>
      </c>
      <c r="J28" s="18" t="inlineStr">
        <is>
          <t>✅ คำตอบที่ถูกต้อง: ข้อ ก. Haloperidol, Clozapine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Haloperidol, Clozapine ผู้ป่วยรายนี้มีอาการ negative symptoms และอาจดื้อยา การเลือกใช้ Second-generation (atypical) antipsychotics เช่น Risperidone หรือ Quetiapine รวมถึง Clozapine (กรณีดื้อยา) จะมีความเหมาะสมกว่า FGA เนื่องจากครอบคลุมทั้ง positive และ negative symptoms และเกิด EPS น้อยกว่า
 เป็น First-generation (typical) antipsychotic ยับยั้ง D2 receptor สูง เสี่ยงต่อ Extrapyramidal symptoms (EPS), acute dystonia, akathisia และ tardive dyskinesia สูง
🔍 ข้ออื่นผิดเพราะอะไร:
• ข้อ ข. (Chlorpromazine, Clozapine): เป็น atypical antipsychotic สำหรับ treatment-resistant schizophrenia ที่มี efficacy สูงสุด แต่มี black box warning เรื่อง agranulocytosis (ต้องตรวจ CBC สม่ำเสมอ), myocarditis และชัก
• ข้อ ค. (Risperidone, Quetiapine): เป็น Second-generation (atypical) antipsychotic ยับยั้ง 5-HT2A/D2 เสี่ยง EPS ต่ำกว่า typical APs แต่เพิ่มระดับ prolactin สูงสุดในกลุ่ม atypical (gynecomastia, amenorrhea)
• ข้อ ง. (Thioridazine, Fluphenazine): ข้อนี้ไม่ใช่คำตอบที่ถูกต้องสำหรับภาวะ Anxiety/depression เนื่องจากกลไกการออกฤทธิ์, efficacy หรือข้อบ่งใช้ไม่ตรงกับโจทย์ที่กำหนด
• ข้อ จ. (Perphenazine, Olanzapine): เป็น atypical antipsychotic ที่มี metabolic side effects สูงมาก (น้ำหนักเพิ่มขึ้นรุนแรง, hyperglycemia, dyslipidemia)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8" s="18" t="inlineStr"/>
      <c r="L28" s="18" t="inlineStr">
        <is>
          <t>Anxiety/depression</t>
        </is>
      </c>
      <c r="M28" s="18" t="inlineStr">
        <is>
          <t>Clinic</t>
        </is>
      </c>
      <c r="N28" s="18" t="inlineStr">
        <is>
          <t>ข้อ 26 ชุด 1 (เฉลยข้อ )</t>
        </is>
      </c>
      <c r="O28" s="18" t="inlineStr">
        <is>
          <t>Mock</t>
        </is>
      </c>
      <c r="P28" s="18" t="inlineStr">
        <is>
          <t>ชุด 1</t>
        </is>
      </c>
    </row>
    <row r="29">
      <c r="A29" s="15" t="inlineStr">
        <is>
          <t>27</t>
        </is>
      </c>
      <c r="B29" s="18"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8" t="inlineStr"/>
      <c r="D29" s="18" t="inlineStr">
        <is>
          <t>Agranulocytosis</t>
        </is>
      </c>
      <c r="E29" s="18" t="inlineStr">
        <is>
          <t>Weight loss</t>
        </is>
      </c>
      <c r="F29" s="18" t="inlineStr">
        <is>
          <t>Orthostatic hypotension</t>
        </is>
      </c>
      <c r="G29" s="18" t="inlineStr">
        <is>
          <t>Sedative</t>
        </is>
      </c>
      <c r="H29" s="18" t="inlineStr">
        <is>
          <t>Potential QT-prolongation</t>
        </is>
      </c>
      <c r="I29" s="15" t="inlineStr">
        <is>
          <t>2</t>
        </is>
      </c>
      <c r="J29" s="18" t="inlineStr">
        <is>
          <t>✅ คำตอบที่ถูกต้อง: ข้อ ข. Weight loss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Weight loss Clozapine ทำให้เกิดน้ำหนักเพิ่มขึ้น (Weight gain) อย่างมาก ไม่ใช่ Weight loss นอกจากนี้ยังมีผลข้างเคียงสำคัญคือ Agranulocytosis, Sedation, Orthostatic hypotension และสามารถทำให้เกิด QT prolongation ได้
🔍 ข้ออื่นผิดเพราะอะไร:
• ข้อ ก. (Agranulocytosis):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(Sedative): ข้อนี้ไม่ใช่คำตอบที่ถูกต้องสำหรับภาวะ Anxiety/depression เนื่องจากกลไกการออกฤทธิ์, efficacy หรือข้อบ่งใช้ไม่ตรงกับโจทย์ที่กำหนด
• ข้อ จ. (Potential QT-prolongation):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9" s="18" t="inlineStr"/>
      <c r="L29" s="18" t="inlineStr">
        <is>
          <t>Anxiety/depression</t>
        </is>
      </c>
      <c r="M29" s="18" t="inlineStr">
        <is>
          <t>Clinic</t>
        </is>
      </c>
      <c r="N29" s="18" t="inlineStr">
        <is>
          <t>ข้อ 27 ชุด 1 (เฉลยข้อ ข)</t>
        </is>
      </c>
      <c r="O29" s="18" t="inlineStr">
        <is>
          <t>Mock</t>
        </is>
      </c>
      <c r="P29" s="18" t="inlineStr">
        <is>
          <t>ชุด 1</t>
        </is>
      </c>
    </row>
    <row r="30">
      <c r="A30" s="15" t="inlineStr">
        <is>
          <t>28</t>
        </is>
      </c>
      <c r="B30" s="18" t="inlineStr">
        <is>
          <t>ข้อมูลเพิ่มเติม: เดิมผู้ป่วยรักษาด้วยยา haloperidol มานานจนกระทั่งตรวจพบว่าเกิดภาวะ pseudo-parkinsonism ขึ้น
ข้อใดผิด</t>
        </is>
      </c>
      <c r="C30" s="18" t="inlineStr"/>
      <c r="D30" s="18" t="inlineStr">
        <is>
          <t>เกิดจากการใช้ยากลุ่ม conventional antipsychotic</t>
        </is>
      </c>
      <c r="E30" s="18" t="inlineStr">
        <is>
          <t>สามารถรักษาได้ด้วยการใช้ trihexyphenidyl</t>
        </is>
      </c>
      <c r="F30" s="18" t="inlineStr">
        <is>
          <t>ผู้ป่วยอาจมีอาการ tremor, akathisia, tardive dyskinesia ร่วมด้วยได้</t>
        </is>
      </c>
      <c r="G30" s="18" t="inlineStr">
        <is>
          <t>มักเกิดในช่วง 5-90 วัน หลังจากเริ่มใช้ยา</t>
        </is>
      </c>
      <c r="H30" s="18" t="inlineStr">
        <is>
          <t>เกี่ยวข้องกับ dopamine และ NE</t>
        </is>
      </c>
      <c r="I30" s="15" t="inlineStr">
        <is>
          <t>5</t>
        </is>
      </c>
      <c r="J30" s="18" t="inlineStr">
        <is>
          <t>✅ คำตอบที่ถูกต้อง: ข้อ จ. เกี่ยวข้องกับ dopamine และ 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เกี่ยวข้องกับ dopamine และ NE Pseudo-parkinsonism และ EPS ส่วนใหญ่เกี่ยวข้องกับการบล็อก Dopamine receptors ที่ nigrostriatal pathway โดยตรง (Dopamine blockade) ไม่ได้เกี่ยวข้องกับ Norepinephrine (NE) หลัก และ tardive dyskinesia เป็นภาวะระยะยาวที่ต่างจาก acute EPS
🔍 ข้ออื่นผิดเพราะอะไร:
• ข้อ ก. (เกิดจากการใช้ยากลุ่ม conventional antipsychotic): ข้อนี้ไม่ใช่คำตอบที่ถูกต้องสำหรับภาวะ Anxiety/depression เนื่องจากกลไกการออกฤทธิ์, efficacy หรือข้อบ่งใช้ไม่ตรงกับโจทย์ที่กำหนด
• ข้อ ข. (สามารถรักษาได้ด้วยการใช้ trihexyphenidyl): เป็น centrally-acting anticholinergic ช่วยลด tremor ใน Parkinson disease แต่มี ADR ปากแห้ง ตาพร่า ท้องผูก ปัสสาวะคั่ง และ cognitive impairment ในผู้สูงอายุ
• ข้อ ค. (ผู้ป่วยอาจมีอาการ tremor, akathisia, tardive dyskinesia ร่วมด้วยได้): ข้อนี้ไม่ใช่คำตอบที่ถูกต้องสำหรับภาวะ Anxiety/depression เนื่องจากกลไกการออกฤทธิ์, efficacy หรือข้อบ่งใช้ไม่ตรงกับโจทย์ที่กำหนด
• ข้อ ง. (มักเกิดในช่วง 5-90 วัน หลังจากเริ่มใช้ยา):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0" s="18" t="inlineStr"/>
      <c r="L30" s="18" t="inlineStr">
        <is>
          <t>Anxiety/depression</t>
        </is>
      </c>
      <c r="M30" s="18" t="inlineStr">
        <is>
          <t>Clinic</t>
        </is>
      </c>
      <c r="N30" s="18" t="inlineStr">
        <is>
          <t>ข้อ 28 ชุด 1 (เฉลยข้อ จ)</t>
        </is>
      </c>
      <c r="O30" s="18" t="inlineStr">
        <is>
          <t>Mock</t>
        </is>
      </c>
      <c r="P30" s="18" t="inlineStr">
        <is>
          <t>ชุด 1</t>
        </is>
      </c>
    </row>
    <row r="31">
      <c r="A31" s="15" t="inlineStr">
        <is>
          <t>29</t>
        </is>
      </c>
      <c r="B31" s="18" t="inlineStr">
        <is>
          <t>Lorazepam มีฤทธิ์ต่างๆ ต่อไปนี้นยกเว้น</t>
        </is>
      </c>
      <c r="C31" s="18" t="inlineStr"/>
      <c r="D31" s="18" t="inlineStr">
        <is>
          <t>Hypnotic effect</t>
        </is>
      </c>
      <c r="E31" s="18" t="inlineStr">
        <is>
          <t>Muscle relaxant effect</t>
        </is>
      </c>
      <c r="F31" s="18" t="inlineStr">
        <is>
          <t>Anticonvulsant effect</t>
        </is>
      </c>
      <c r="G31" s="18" t="inlineStr">
        <is>
          <t>Antianxiety effect</t>
        </is>
      </c>
      <c r="H31" s="18" t="inlineStr">
        <is>
          <t>Antidepressant effect</t>
        </is>
      </c>
      <c r="I31" s="15" t="inlineStr">
        <is>
          <t>5</t>
        </is>
      </c>
      <c r="J31" s="18" t="inlineStr">
        <is>
          <t>✅ คำตอบที่ถูกต้อง: ข้อ จ. Antidepressant effect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Antidepressant effect Lorazepam เป็นยากลุ่ม Benzodiazepine มีฤทธิ์ Anxiolytic, Sedative/Hypnotic, Muscle relaxant และ Anticonvulsant แต่ไม่มีฤทธิ์ต้านเศร้า (Antidepressant effect)
🔍 ข้ออื่นผิดเพราะอะไร:
• ข้อ ก. (Hypnotic effect): ข้อนี้ไม่ใช่คำตอบที่ถูกต้องสำหรับภาวะ Insomnia เนื่องจากกลไกการออกฤทธิ์, efficacy หรือข้อบ่งใช้ไม่ตรงกับโจทย์ที่กำหนด
• ข้อ ข. (Muscle relaxant effect): ข้อนี้ไม่ใช่คำตอบที่ถูกต้องสำหรับภาวะ Insomnia เนื่องจากกลไกการออกฤทธิ์, efficacy หรือข้อบ่งใช้ไม่ตรงกับโจทย์ที่กำหนด
• ข้อ ค. (Anticonvulsant effect): ข้อนี้ไม่ใช่คำตอบที่ถูกต้องสำหรับภาวะ Insomnia เนื่องจากกลไกการออกฤทธิ์, efficacy หรือข้อบ่งใช้ไม่ตรงกับโจทย์ที่กำหนด
• ข้อ ง. (Antianxiety effect):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8" t="inlineStr"/>
      <c r="L31" s="18" t="inlineStr">
        <is>
          <t>Insomnia</t>
        </is>
      </c>
      <c r="M31" s="18" t="inlineStr">
        <is>
          <t>Clinic</t>
        </is>
      </c>
      <c r="N31" s="18" t="inlineStr">
        <is>
          <t>ข้อ 29 ชุด 1 (เฉลยข้อ จ)</t>
        </is>
      </c>
      <c r="O31" s="18" t="inlineStr">
        <is>
          <t>Mock</t>
        </is>
      </c>
      <c r="P31" s="18" t="inlineStr">
        <is>
          <t>ชุด 1</t>
        </is>
      </c>
    </row>
    <row r="32">
      <c r="A32" s="15" t="inlineStr">
        <is>
          <t>30</t>
        </is>
      </c>
      <c r="B32" s="18" t="inlineStr">
        <is>
          <t>ข้อใดต่อไปเกี่ยวกับ lorazepam ผิด</t>
        </is>
      </c>
      <c r="C32" s="18" t="inlineStr"/>
      <c r="D32" s="18" t="inlineStr">
        <is>
          <t>ออกฤทธิ์โดยกระตุ้น GABA receptor</t>
        </is>
      </c>
      <c r="E32" s="18" t="inlineStr">
        <is>
          <t>Overdose ของ lorazepam สามารถใช้ flumazenil ซึ่งเป็น antidote รักษาได้</t>
        </is>
      </c>
      <c r="F32" s="18" t="inlineStr">
        <is>
          <t>ถ้าใช้เป็นระยะเวลานานแล้วหยุดยา จะก่อให้เกิดให้อาการถอนยาได้</t>
        </is>
      </c>
      <c r="G32" s="18" t="inlineStr">
        <is>
          <t>เป็น Hepatic drug metabolizing enzyme inducer</t>
        </is>
      </c>
      <c r="H32" s="18" t="inlineStr">
        <is>
          <t>ไม่ก่อให้เกิด "hangover effect" ได้มากเหมือน diazepam</t>
        </is>
      </c>
      <c r="I32" s="15" t="inlineStr">
        <is>
          <t>4</t>
        </is>
      </c>
      <c r="J32" s="18" t="inlineStr">
        <is>
          <t>✅ คำตอบที่ถูกต้อง: ข้อ ง. เป็น Hepatic drug metabolizing enzyme inducer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เป็น Hepatic drug metabolizing enzyme inducer Benzodiazepines ส่วนใหญ่รวมถึง Lorazepam ไม่ใช่ Hepatic drug metabolizing enzyme inducer (บางตัวอาจเป็น substrate ผ่าน CYP3A4/2C19 แต่ไม่ได้เหนี่ยวนำเอนไซม์เหมือน Barbiturates)
🔍 ข้ออื่นผิดเพราะอะไร:
• ข้อ ก. (ออกฤทธิ์โดยกระตุ้น GABA receptor): ข้อนี้ไม่ใช่คำตอบที่ถูกต้องสำหรับภาวะ Insomnia เนื่องจากกลไกการออกฤทธิ์, efficacy หรือข้อบ่งใช้ไม่ตรงกับโจทย์ที่กำหนด
• ข้อ ข. (Overdose ของ lorazepam สามารถใช้ flumazenil ซึ่งเป็น antidote รักษาได้): เป็น Benzodiazepine กลุ่ม LOT (Lorazepam, Oxazepam, Temazepam) ที่ผ่าน hepatic Phase II glucuronidation โดยตรง ไม่ผ่าน CYP oxidation จึงปลอดภัยกว่าในผู้สูงอายุและโรคตับ
• ข้อ ค. (ถ้าใช้เป็นระยะเวลานานแล้วหยุดยา จะก่อให้เกิดให้อาการถอนยาได้): ข้อนี้ไม่ใช่คำตอบที่ถูกต้องสำหรับภาวะ Insomnia เนื่องจากกลไกการออกฤทธิ์, efficacy หรือข้อบ่งใช้ไม่ตรงกับโจทย์ที่กำหนด
• ข้อ จ. (ไม่ก่อให้เกิด "hangover effect" ได้มากเหมือน diazepam):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8" t="inlineStr"/>
      <c r="L32" s="18" t="inlineStr">
        <is>
          <t>Insomnia</t>
        </is>
      </c>
      <c r="M32" s="18" t="inlineStr">
        <is>
          <t>Clinic</t>
        </is>
      </c>
      <c r="N32" s="18" t="inlineStr">
        <is>
          <t>ข้อ 30 ชุด 1 (เฉลยข้อ ง)</t>
        </is>
      </c>
      <c r="O32" s="18" t="inlineStr">
        <is>
          <t>Mock</t>
        </is>
      </c>
      <c r="P32" s="18" t="inlineStr">
        <is>
          <t>ชุด 1</t>
        </is>
      </c>
    </row>
    <row r="33">
      <c r="A33" s="15" t="inlineStr">
        <is>
          <t>31</t>
        </is>
      </c>
      <c r="B33" s="18" t="inlineStr">
        <is>
          <t>ชายไทยคู่ อายุ 65 ปี ได้รับการวินิจฉัยจากแพทย์ว่ามีภาวะ insomnia
ยาในข้อใดต่อไปนี้ไม่ใช่ยาที่ใช้ในการรักษาภาวะ insomnia</t>
        </is>
      </c>
      <c r="C33" s="18" t="inlineStr"/>
      <c r="D33" s="18" t="inlineStr">
        <is>
          <t>CPM</t>
        </is>
      </c>
      <c r="E33" s="18" t="inlineStr">
        <is>
          <t>Phenobarbital</t>
        </is>
      </c>
      <c r="F33" s="18" t="inlineStr">
        <is>
          <t>Chloral hydrate</t>
        </is>
      </c>
      <c r="G33" s="18" t="inlineStr">
        <is>
          <t>Clonazepam</t>
        </is>
      </c>
      <c r="H33" s="18" t="inlineStr">
        <is>
          <t>Haloperidol</t>
        </is>
      </c>
      <c r="I33" s="15" t="inlineStr">
        <is>
          <t>5</t>
        </is>
      </c>
      <c r="J33" s="18" t="inlineStr">
        <is>
          <t>✅ คำตอบที่ถูกต้อง: ข้อ จ. Haloperidol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Haloperidol เป็นยาต้านโรคจิตรุ่นที่ 1 (First-generation antipsychotic) ที่มีฤทธิ์เด่นในการบล็อก dopamine D2 receptors ใช้รักษาอาการทางจิตหรือภาวะ delirium ไม่ได้ใช้เป็นยานอนหลับ (Hypnotics) ในการรักษาภาวะ insomnia ทั่วไป ในขณะที่ CPM (Chlorpheniramine), Phenobarbital, Chloral hydrate และ Clonazepam ต่างมีฤทธิ์ทำให้ง่วงซึมหรือใช้เป็นยานอนหลับได้
🔍 ข้ออื่นผิดเพราะอะไร:
• ข้อ ก. (CPM): ข้อนี้ไม่ใช่คำตอบที่ถูกต้องสำหรับภาวะ Insomnia เนื่องจากกลไกการออกฤทธิ์, efficacy หรือข้อบ่งใช้ไม่ตรงกับโจทย์ที่กำหนด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8" t="inlineStr"/>
      <c r="L33" s="18" t="inlineStr">
        <is>
          <t>Insomnia</t>
        </is>
      </c>
      <c r="M33" s="18" t="inlineStr">
        <is>
          <t>Clinic</t>
        </is>
      </c>
      <c r="N33" s="18" t="inlineStr">
        <is>
          <t>ข้อ 31 ชุด 1 (เฉลยข้อ จ)</t>
        </is>
      </c>
      <c r="O33" s="18" t="inlineStr">
        <is>
          <t>Mock</t>
        </is>
      </c>
      <c r="P33" s="18" t="inlineStr">
        <is>
          <t>ชุด 1</t>
        </is>
      </c>
    </row>
    <row r="34">
      <c r="A34" s="15" t="inlineStr">
        <is>
          <t>32</t>
        </is>
      </c>
      <c r="B34" s="18" t="inlineStr">
        <is>
          <t>ในกรณีที่ผู้ป่วยมีปัญหานอนหลับยาก (ต้องใช้เวลานานกว่าจะหลับ) ควรเลือกใช้ยาในข้อใดต่อไปนี้</t>
        </is>
      </c>
      <c r="C34" s="18" t="inlineStr"/>
      <c r="D34" s="18" t="inlineStr">
        <is>
          <t>Midazolam</t>
        </is>
      </c>
      <c r="E34" s="18" t="inlineStr">
        <is>
          <t>Temazepam</t>
        </is>
      </c>
      <c r="F34" s="18" t="inlineStr">
        <is>
          <t>Lorazepam</t>
        </is>
      </c>
      <c r="G34" s="18" t="inlineStr">
        <is>
          <t>Diazepam</t>
        </is>
      </c>
      <c r="H34" s="18" t="inlineStr">
        <is>
          <t>Flurazepam</t>
        </is>
      </c>
      <c r="I34" s="15" t="inlineStr">
        <is>
          <t>1</t>
        </is>
      </c>
      <c r="J34" s="18" t="inlineStr">
        <is>
          <t>✅ คำตอบที่ถูกต้อง: ข้อ ก. Midazolam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Midazolam ผู้ป่วยที่มีปัญหานอนหลับยาก (Sleep-onset insomnia) หรือใช้เวลานานกว่าจะหลับ ควรเลือกใช้ยาที่มีระยะเวลาออกฤทธิ์สั้น (Short-acting benzodiazepine receptor agonists หรือ ultrashort/short-acting BZDs) เช่น Midazolam ซึ่งออกฤทธิ์เร็วและสั้น ช่วยลด sleep latency ได้ดี เหมาะกับอาการนอนไม่หลับช่วงเริ่มเข้านอน
🔍 ข้ออื่นผิดเพราะอะไร:
• ข้อ ข. (Temazepam): ข้อนี้ไม่ใช่คำตอบที่ถูกต้องสำหรับภาวะ Insomnia เนื่องจากกลไกการออกฤทธิ์, efficacy หรือข้อบ่งใช้ไม่ตรงกับโจทย์ที่กำหนด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(Diazepam): เป็น long-acting Benzodiazepine มี active metabolites (nordiazepam) สะสมในผู้สูงอายุ ทำให้ง่วงซึม หกล้ม เสี่ยง fracture
• ข้อ จ. (Flurazepam):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8" t="inlineStr"/>
      <c r="L34" s="18" t="inlineStr">
        <is>
          <t>Insomnia</t>
        </is>
      </c>
      <c r="M34" s="18" t="inlineStr">
        <is>
          <t>Clinic</t>
        </is>
      </c>
      <c r="N34" s="18" t="inlineStr">
        <is>
          <t>ข้อ 32 ชุด 1 (เฉลยข้อ ก ข)</t>
        </is>
      </c>
      <c r="O34" s="18" t="inlineStr">
        <is>
          <t>Mock</t>
        </is>
      </c>
      <c r="P34" s="18" t="inlineStr">
        <is>
          <t>ชุด 1</t>
        </is>
      </c>
    </row>
    <row r="35">
      <c r="A35" s="15" t="inlineStr">
        <is>
          <t>33</t>
        </is>
      </c>
      <c r="B35" s="18" t="inlineStr">
        <is>
          <t>ข้อใดต่อไปนี้ไม่ใช่ประโยชน์ของการใช้ยากลุ่ม BZD ในทางคลินิก</t>
        </is>
      </c>
      <c r="C35" s="18" t="inlineStr"/>
      <c r="D35" s="18" t="inlineStr">
        <is>
          <t>ใช้เป็นยานอนหลับ</t>
        </is>
      </c>
      <c r="E35" s="18" t="inlineStr">
        <is>
          <t>ใช้เป็นยาคลายกังวล</t>
        </is>
      </c>
      <c r="F35" s="18" t="inlineStr">
        <is>
          <t>ใช้เป็นยาคลายกล้ามเนื้อ</t>
        </is>
      </c>
      <c r="G35" s="18" t="inlineStr">
        <is>
          <t>ใช้เป็นยากันชัก</t>
        </is>
      </c>
      <c r="H35" s="18" t="inlineStr">
        <is>
          <t>ใช้เป็นยาสลบ</t>
        </is>
      </c>
      <c r="I35" s="15" t="inlineStr">
        <is>
          <t>5</t>
        </is>
      </c>
      <c r="J35" s="18" t="inlineStr">
        <is>
          <t>✅ คำตอบที่ถูกต้อง: ข้อ จ. ใช้เป็นยาสลบ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ใช้เป็นยาสลบ ยากลุ่ม Benzodiazepines (BZDs) มีข้อบ่งใช้หลักในทางคลินิก ได้แก่ เป็นยานอนหลับ (Hypnotics), ยาคลายกังวล (Anxiolytics), ยาคลายกล้ามเนื้อ (Muscle relaxants) และยากันชัก (Anticonvulsants) แต่ BZDs ไม่ใช่ยาสลบ (General anesthetics) แม้ว่าจะสามารถใช้เป็นยา premedication หรือใช้ร่วมในการเหนี่ยวนำการสลบได้ แต่ตัวยา BZDs เองไม่สามารถทำให้เกิดภาวะสลบที่สมบูรณ์ได้ด้วยตัวเองเหมือนยาในกลุ่ม intravenous anesthetics (เช่น Propofol หรือ Thiopental)
🔍 ข้ออื่นผิดเพราะอะไร:
• ข้อ ก. (ใช้เป็นยานอนหลับ): ข้อนี้ไม่ใช่คำตอบที่ถูกต้องสำหรับภาวะ Insomnia เนื่องจากกลไกการออกฤทธิ์, efficacy หรือข้อบ่งใช้ไม่ตรงกับโจทย์ที่กำหนด
• ข้อ ข. (ใช้เป็นยาคลายกังวล): ข้อนี้ไม่ใช่คำตอบที่ถูกต้องสำหรับภาวะ Insomnia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Insomnia เนื่องจากกลไกการออกฤทธิ์, efficacy หรือข้อบ่งใช้ไม่ตรงกับโจทย์ที่กำหนด
• ข้อ ง. (ใช้เป็นยากันชัก):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8" t="inlineStr"/>
      <c r="L35" s="18" t="inlineStr">
        <is>
          <t>Insomnia</t>
        </is>
      </c>
      <c r="M35" s="18" t="inlineStr">
        <is>
          <t>Clinic</t>
        </is>
      </c>
      <c r="N35" s="18" t="inlineStr">
        <is>
          <t>ข้อ 33 ชุด 1 (เฉลยข้อ จ)</t>
        </is>
      </c>
      <c r="O35" s="18" t="inlineStr">
        <is>
          <t>Mock</t>
        </is>
      </c>
      <c r="P35" s="18" t="inlineStr">
        <is>
          <t>ชุด 1</t>
        </is>
      </c>
    </row>
    <row r="36">
      <c r="A36" s="15" t="inlineStr">
        <is>
          <t>35</t>
        </is>
      </c>
      <c r="B36" s="18" t="inlineStr">
        <is>
          <t>ข้อใดไม่ใช่เกณฑ์ในการวินิจฉัยภาวะนอนไม่หลับตาม DSM5 (ไม่แน่ใจ)</t>
        </is>
      </c>
      <c r="C36" s="18" t="inlineStr"/>
      <c r="D36" s="18" t="inlineStr">
        <is>
          <t>ต้องกินกาแฟเพิ่ม 3-4 แก้ว</t>
        </is>
      </c>
      <c r="E36" s="18" t="inlineStr">
        <is>
          <t>ถ้าหลับได้จะหลับสนิท</t>
        </is>
      </c>
      <c r="F36" s="18" t="inlineStr">
        <is>
          <t>ต้องกินเหล้า 1 ขวดให้หลับ</t>
        </is>
      </c>
      <c r="G36" s="18" t="inlineStr">
        <is>
          <t>ง่วงตอนกลางวัน</t>
        </is>
      </c>
      <c r="H36" s="18" t="inlineStr">
        <is>
          <t>หลับตอนประชุม/ติดไฟแดง</t>
        </is>
      </c>
      <c r="I36" s="15" t="inlineStr">
        <is>
          <t>1</t>
        </is>
      </c>
      <c r="J36" s="18" t="inlineStr">
        <is>
          <t>✅ คำตอบที่ถูกต้อง: ข้อ ก. ต้องกินกาแฟเพิ่ม 3-4 แก้ว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(ต้องกินกาแฟเพิ่ม 3-4 แก้ว): ข้อนี้ไม่ใช่คำตอบที่ถูกต้องสำหรับภาวะ Insomnia เนื่องจากกลไกการออกฤทธิ์, efficacy หรือข้อบ่งใช้ไม่ตรงกับโจทย์ที่กำหนด
• ข้อ ค. (ถ้าหลับได้จะหลับสนิท): ข้อนี้ไม่ใช่คำตอบที่ถูกต้องสำหรับภาวะ Insomnia เนื่องจากกลไกการออกฤทธิ์, efficacy หรือข้อบ่งใช้ไม่ตรงกับโจทย์ที่กำหนด
• ข้อ ง. (ต้องกินเหล้า 1 ขวดให้หลับ): ข้อนี้ไม่ใช่คำตอบที่ถูกต้องสำหรับภาวะ Insomnia เนื่องจากกลไกการออกฤทธิ์, efficacy หรือข้อบ่งใช้ไม่ตรงกับโจทย์ที่กำหนด
• ข้อ จ. (ง่วงตอนกลางวัน):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18" t="inlineStr"/>
      <c r="L36" s="18" t="inlineStr">
        <is>
          <t>Insomnia</t>
        </is>
      </c>
      <c r="M36" s="18" t="inlineStr">
        <is>
          <t>Psychiatric &amp; Addiction</t>
        </is>
      </c>
      <c r="N36" s="18" t="inlineStr">
        <is>
          <t>PLE_CC1_2567_Key ข้อ 19</t>
        </is>
      </c>
      <c r="O36" s="18" t="inlineStr">
        <is>
          <t>ข้อสอบจริง</t>
        </is>
      </c>
      <c r="P36" s="18" t="inlineStr">
        <is>
          <t>ปี 2567</t>
        </is>
      </c>
      <c r="Q36" s="18" t="inlineStr"/>
    </row>
    <row r="37">
      <c r="A37" s="15" t="inlineStr">
        <is>
          <t>36</t>
        </is>
      </c>
      <c r="B37" s="18" t="inlineStr">
        <is>
          <t>ข้อใดเป็นสารเพิ่มความยืดหยุ่นใน nicotine gum</t>
        </is>
      </c>
      <c r="C37" s="18" t="inlineStr"/>
      <c r="D37" s="18" t="inlineStr">
        <is>
          <t>Sodium sulfate</t>
        </is>
      </c>
      <c r="E37" s="18" t="inlineStr">
        <is>
          <t>Glycerin</t>
        </is>
      </c>
      <c r="F37" s="18" t="inlineStr">
        <is>
          <t>Sorbitol</t>
        </is>
      </c>
      <c r="G37" s="18" t="inlineStr">
        <is>
          <t>Aspartame</t>
        </is>
      </c>
      <c r="H37" s="18" t="inlineStr">
        <is>
          <t>Polacrilex (cation exchange resin)</t>
        </is>
      </c>
      <c r="I37" s="15" t="inlineStr">
        <is>
          <t>1</t>
        </is>
      </c>
      <c r="J37" s="18" t="inlineStr">
        <is>
          <t>✅ คำตอบที่ถูกต้อง: ข้อ ก. Sodium sulfate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(Sodium sulfate): ข้อนี้ไม่ใช่คำตอบที่ถูกต้องสำหรับภาวะ Tobacco dependence เนื่องจากกลไกการออกฤทธิ์, efficacy หรือข้อบ่งใช้ไม่ตรงกับโจทย์ที่กำหนด
• ข้อ ค. (Glycerin): ข้อนี้ไม่ใช่คำตอบที่ถูกต้องสำหรับภาวะ Tobacco dependence เนื่องจากกลไกการออกฤทธิ์, efficacy หรือข้อบ่งใช้ไม่ตรงกับโจทย์ที่กำหนด
• ข้อ ง. (Sorbitol): ข้อนี้ไม่ใช่คำตอบที่ถูกต้องสำหรับภาวะ Tobacco dependence เนื่องจากกลไกการออกฤทธิ์, efficacy หรือข้อบ่งใช้ไม่ตรงกับโจทย์ที่กำหนด
• ข้อ จ. (Aspartame):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18" t="inlineStr"/>
      <c r="L37" s="18" t="inlineStr">
        <is>
          <t>Tobacco dependence</t>
        </is>
      </c>
      <c r="M37" s="18" t="inlineStr">
        <is>
          <t>Psychiatric &amp; Addiction</t>
        </is>
      </c>
      <c r="N37" s="18" t="inlineStr">
        <is>
          <t>PLE_CC1_2567_Key ข้อ 63</t>
        </is>
      </c>
      <c r="O37" s="18" t="inlineStr">
        <is>
          <t>ข้อสอบจริง</t>
        </is>
      </c>
      <c r="P37" s="18" t="inlineStr">
        <is>
          <t>ปี 2567</t>
        </is>
      </c>
      <c r="Q37" s="18" t="inlineStr"/>
    </row>
    <row r="38">
      <c r="A38" s="15" t="inlineStr">
        <is>
          <t>37</t>
        </is>
      </c>
      <c r="B38" s="18"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18" t="inlineStr"/>
      <c r="D38" s="18" t="inlineStr">
        <is>
          <t>Sertraline 50 mg OD</t>
        </is>
      </c>
      <c r="E38" s="18" t="inlineStr">
        <is>
          <t>Escitalopram 10 mg OD</t>
        </is>
      </c>
      <c r="F38" s="18" t="inlineStr">
        <is>
          <t>Venlafaxine 75 mg OD</t>
        </is>
      </c>
      <c r="G38" s="18" t="inlineStr">
        <is>
          <t>Amitriptyline 10 mg HS</t>
        </is>
      </c>
      <c r="H38" s="18" t="inlineStr">
        <is>
          <t>Bromocriptine</t>
        </is>
      </c>
      <c r="I38" s="15" t="inlineStr">
        <is>
          <t>1</t>
        </is>
      </c>
      <c r="J38" s="18" t="inlineStr">
        <is>
          <t>✅ คำตอบที่ถูกต้อง: ข้อ ก. Sertraline 50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38" s="18" t="inlineStr"/>
      <c r="L38" s="18" t="inlineStr">
        <is>
          <t>Insomnia</t>
        </is>
      </c>
      <c r="M38" s="18" t="inlineStr">
        <is>
          <t>Psychiatric &amp; Addiction</t>
        </is>
      </c>
      <c r="N38" s="18" t="inlineStr">
        <is>
          <t>PLE_CC1_2567_Set1_Key ข้อ 22</t>
        </is>
      </c>
      <c r="O38" s="18" t="inlineStr">
        <is>
          <t>ข้อสอบจริง</t>
        </is>
      </c>
      <c r="P38" s="18" t="inlineStr">
        <is>
          <t>ปี 2567</t>
        </is>
      </c>
      <c r="Q38" s="18" t="inlineStr"/>
    </row>
    <row r="39">
      <c r="A39" s="15" t="inlineStr">
        <is>
          <t>38</t>
        </is>
      </c>
      <c r="B39" s="18" t="inlineStr">
        <is>
          <t>ข้อเลิกบุหรี่คนไข้มีโรคประจำตัวชักห้ามใช้ยาไร ตัวเลือก</t>
        </is>
      </c>
      <c r="C39" s="18" t="inlineStr"/>
      <c r="D39" s="18" t="inlineStr">
        <is>
          <t>Psychiatric &amp; Addiction</t>
        </is>
      </c>
      <c r="E39" s="18" t="inlineStr">
        <is>
          <t>Amitriptyline 10 mg HS</t>
        </is>
      </c>
      <c r="F39" s="18" t="inlineStr">
        <is>
          <t>Lorazepam 1 mg HS</t>
        </is>
      </c>
      <c r="G39" s="18" t="inlineStr">
        <is>
          <t>Alprazolam 0.5 mg HS</t>
        </is>
      </c>
      <c r="H39" s="18" t="inlineStr">
        <is>
          <t>Diazepam 5 mg HS</t>
        </is>
      </c>
      <c r="I39" s="15" t="inlineStr">
        <is>
          <t>1</t>
        </is>
      </c>
      <c r="J39" s="18"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8" t="inlineStr"/>
      <c r="L39" s="18" t="inlineStr">
        <is>
          <t>Tobacco dependence</t>
        </is>
      </c>
      <c r="M39" s="18" t="inlineStr">
        <is>
          <t>Psychiatric &amp; Addiction</t>
        </is>
      </c>
      <c r="N39" s="18" t="inlineStr">
        <is>
          <t>PLE-CC1 ปี 2566 Day 1 ข้อ 18</t>
        </is>
      </c>
      <c r="O39" s="18" t="inlineStr">
        <is>
          <t>ข้อสอบจริง</t>
        </is>
      </c>
      <c r="P39" s="18" t="inlineStr">
        <is>
          <t>ปี 2566</t>
        </is>
      </c>
    </row>
    <row r="40">
      <c r="A40" s="15" t="inlineStr">
        <is>
          <t>39</t>
        </is>
      </c>
      <c r="B40" s="18" t="inlineStr">
        <is>
          <t>ให้โครงสร้างNicotine gum มาถามว่าควรตรวจหาด้วยtest อะไร. ตัวเลือก</t>
        </is>
      </c>
      <c r="C40" s="18" t="inlineStr"/>
      <c r="D40" s="18" t="inlineStr">
        <is>
          <t>Psychiatric &amp; Addiction</t>
        </is>
      </c>
      <c r="E40" s="18" t="inlineStr">
        <is>
          <t>Diazepam 5 mg HS</t>
        </is>
      </c>
      <c r="F40" s="18" t="inlineStr">
        <is>
          <t>Zolpidem 10 mg HS</t>
        </is>
      </c>
      <c r="G40" s="18" t="inlineStr">
        <is>
          <t>Nicotine gum 2 mg PRN</t>
        </is>
      </c>
      <c r="H40" s="18" t="inlineStr">
        <is>
          <t>Quetiapine 25 mg HS</t>
        </is>
      </c>
      <c r="I40" s="15" t="inlineStr">
        <is>
          <t>1</t>
        </is>
      </c>
      <c r="J40" s="18"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8" t="inlineStr"/>
      <c r="L40" s="18" t="inlineStr">
        <is>
          <t>Tobacco dependence</t>
        </is>
      </c>
      <c r="M40" s="18" t="inlineStr">
        <is>
          <t>Psychiatric &amp; Addiction</t>
        </is>
      </c>
      <c r="N40" s="18" t="inlineStr">
        <is>
          <t>PLE-CC1 ปี 2566 Day 2 ข้อ 14</t>
        </is>
      </c>
      <c r="O40" s="18" t="inlineStr">
        <is>
          <t>ข้อสอบจริง</t>
        </is>
      </c>
      <c r="P40" s="18" t="inlineStr">
        <is>
          <t>ปี 2566</t>
        </is>
      </c>
    </row>
    <row r="41">
      <c r="A41" s="15" t="inlineStr">
        <is>
          <t>40</t>
        </is>
      </c>
      <c r="B41" s="18"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18" t="inlineStr"/>
      <c r="D41" s="18" t="inlineStr">
        <is>
          <t>Nicotine แสดงคุณสมบัติเปQนกรดอ-อน มี pKa เท-ากับ 8.0</t>
        </is>
      </c>
      <c r="E41" s="18" t="inlineStr">
        <is>
          <t>Nicotine ในสภาวะ physiological pH สามารถดูดซึมผ-านเมมเบรนได$ดี</t>
        </is>
      </c>
      <c r="F41" s="18" t="inlineStr">
        <is>
          <t>Cotinine เปQน major metabolite ของ nicotine Weak base Cotinine ใWเLน biomarker หNก ใน การประเXน exposure Yอ nicotine PLE-CC1 Preparation 2565</t>
        </is>
      </c>
      <c r="G41" s="18" t="inlineStr">
        <is>
          <t>Sertraline 50 mg OD</t>
        </is>
      </c>
      <c r="H41" s="18" t="inlineStr">
        <is>
          <t>Hyperuricemia</t>
        </is>
      </c>
      <c r="I41" s="15" t="inlineStr">
        <is>
          <t>1</t>
        </is>
      </c>
      <c r="J41" s="18"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18" t="inlineStr"/>
      <c r="L41" s="18" t="inlineStr">
        <is>
          <t>Anxiety/depression</t>
        </is>
      </c>
      <c r="M41" s="18" t="inlineStr">
        <is>
          <t>Psychiatric &amp; Addiction</t>
        </is>
      </c>
      <c r="N41" s="18" t="inlineStr">
        <is>
          <t>PLE_CC1_2565_Day2_Key ข้อ 11</t>
        </is>
      </c>
      <c r="O41" s="18" t="inlineStr">
        <is>
          <t>ข้อสอบจริง</t>
        </is>
      </c>
      <c r="P41" s="18" t="inlineStr">
        <is>
          <t>ปี 2565</t>
        </is>
      </c>
      <c r="Q41" s="18" t="inlineStr"/>
    </row>
    <row r="42">
      <c r="A42" s="15" t="inlineStr">
        <is>
          <t>41</t>
        </is>
      </c>
      <c r="B42" s="18" t="inlineStr">
        <is>
          <t>อาการเศร้า หดหู่ (Depression)</t>
        </is>
      </c>
      <c r="C42" s="18" t="inlineStr"/>
      <c r="D42" s="18" t="inlineStr">
        <is>
          <t>Psychiatric &amp; Addiction</t>
        </is>
      </c>
      <c r="E42" s="18" t="inlineStr">
        <is>
          <t>Sertraline 50 mg OD</t>
        </is>
      </c>
      <c r="F42" s="18" t="inlineStr">
        <is>
          <t>Escitalopram 10 mg OD</t>
        </is>
      </c>
      <c r="G42" s="18" t="inlineStr">
        <is>
          <t>Venlafaxine 75 mg OD</t>
        </is>
      </c>
      <c r="H42" s="18" t="inlineStr">
        <is>
          <t>Amitriptyline 10 mg HS</t>
        </is>
      </c>
      <c r="I42" s="15" t="inlineStr">
        <is>
          <t>1</t>
        </is>
      </c>
      <c r="J42" s="18"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2" s="18" t="inlineStr"/>
      <c r="L42" s="18" t="inlineStr">
        <is>
          <t>Anxiety/depression</t>
        </is>
      </c>
      <c r="M42" s="18" t="inlineStr">
        <is>
          <t>Psychiatric &amp; Addiction</t>
        </is>
      </c>
      <c r="N42" s="18" t="inlineStr">
        <is>
          <t>PLE_CC1_2564_All_Key ข้อ 1</t>
        </is>
      </c>
      <c r="O42" s="18" t="inlineStr">
        <is>
          <t>ข้อสอบจริง</t>
        </is>
      </c>
      <c r="P42" s="18" t="inlineStr">
        <is>
          <t>ปี 2564</t>
        </is>
      </c>
    </row>
    <row r="43">
      <c r="A43" s="15" t="inlineStr">
        <is>
          <t>42</t>
        </is>
      </c>
      <c r="B43" s="18" t="inlineStr">
        <is>
          <t>Nicotine จับกับ receptor ให้รูปมา ถามว่าพันธะใดแข็งแรงน้อยที่สุด</t>
        </is>
      </c>
      <c r="C43" s="18" t="inlineStr"/>
      <c r="D43" s="18" t="inlineStr">
        <is>
          <t>Psychiatric &amp; Addiction</t>
        </is>
      </c>
      <c r="E43" s="18" t="inlineStr">
        <is>
          <t>Covalent bond</t>
        </is>
      </c>
      <c r="F43" s="18" t="inlineStr">
        <is>
          <t>H-bond</t>
        </is>
      </c>
      <c r="G43" s="18" t="inlineStr">
        <is>
          <t>Alprazolam 0.5 mg HS</t>
        </is>
      </c>
      <c r="H43" s="18" t="inlineStr">
        <is>
          <t>Diazepam 5 mg HS</t>
        </is>
      </c>
      <c r="I43" s="15" t="inlineStr">
        <is>
          <t>1</t>
        </is>
      </c>
      <c r="J43" s="18"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โจทย์ถามพันธะที่แข็งแรงน้อยสุดเลยคิดว่าเป็น H-bond  https://cen.acs.org/articles/87/i10/Nicotines-Binding-Mystery-Solved.html ..............................................................................................................................................................................................................
🔍 ข้ออื่นผิดเพราะอะไร:
• ข้อ ข. (Covalent bond): ข้อนี้ไม่ใช่คำตอบที่ถูกต้องสำหรับภาวะ Anxiety/depression เนื่องจากกลไกการออกฤทธิ์, efficacy หรือข้อบ่งใช้ไม่ตรงกับโจทย์ที่กำหนด
• ข้อ ค. (H-bond): ข้อนี้ไม่ใช่คำตอบที่ถูกต้องสำหรับภาวะ Anxiety/depression เนื่องจากกลไกการออกฤทธิ์, efficacy หรือข้อบ่งใช้ไม่ตรงกับโจทย์ที่กำหนด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3" s="18" t="inlineStr"/>
      <c r="L43" s="18" t="inlineStr">
        <is>
          <t>Anxiety/depression</t>
        </is>
      </c>
      <c r="M43" s="18" t="inlineStr">
        <is>
          <t>Psychiatric &amp; Addiction</t>
        </is>
      </c>
      <c r="N43" s="18" t="inlineStr">
        <is>
          <t>PLE_CC1_2564_All_Key ข้อ 103</t>
        </is>
      </c>
      <c r="O43" s="18" t="inlineStr">
        <is>
          <t>ข้อสอบจริง</t>
        </is>
      </c>
      <c r="P43" s="18" t="inlineStr">
        <is>
          <t>ปี 2564</t>
        </is>
      </c>
    </row>
    <row r="44">
      <c r="A44" s="15" t="inlineStr">
        <is>
          <t>43</t>
        </is>
      </c>
      <c r="B44" s="18" t="inlineStr">
        <is>
          <t>ข้อแนะนำในข้อใดผิด สำหรับผู้ป่วยที่ใฬ้ Nortriptyline ในการเลิกบุหรี่ (ฬุดA)</t>
        </is>
      </c>
      <c r="C44" s="18" t="inlineStr"/>
      <c r="D44" s="18" t="inlineStr">
        <is>
          <t>Psychiatric &amp; Addiction</t>
        </is>
      </c>
      <c r="E44" s="18" t="inlineStr">
        <is>
          <t>ให้เริ่มยาเป็นมื้อแรกขอษวันที่เริ่มเลิกบุหรี่</t>
        </is>
      </c>
      <c r="F44" s="18" t="inlineStr">
        <is>
          <t>ยาทำให้ปากแห้ษคอแห้ษแนะนำให้สิบน้ำบ่อยๆ</t>
        </is>
      </c>
      <c r="G44" s="18" t="inlineStr">
        <is>
          <t>ยาทำให้ษ่วษไม่แนะนำให้ขับขี่ยานพาหนะ ษ. ยาทำให้ท้อษอืด ให้ดื่มน้ำบ่อยๆ กับรับประทานอาหารที่มีกากใยสูษ</t>
        </is>
      </c>
      <c r="H44" s="18" t="inlineStr">
        <is>
          <t>Quetiapine 25 mg HS</t>
        </is>
      </c>
      <c r="I44" s="15" t="inlineStr">
        <is>
          <t>1</t>
        </is>
      </c>
      <c r="J44" s="18"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(ให้เริ่มยาเป็นมื้อแรกขอษวันที่เริ่มเลิกบุหรี่): ข้อนี้ไม่ใช่คำตอบที่ถูกต้องสำหรับภาวะ Tobacco dependence เนื่องจากกลไกการออกฤทธิ์, efficacy หรือข้อบ่งใช้ไม่ตรงกับโจทย์ที่กำหนด
• ข้อ ค. (ยาทำให้ปากแห้ษคอแห้ษแนะนำให้สิบน้ำบ่อยๆ): ข้อนี้ไม่ใช่คำตอบที่ถูกต้องสำหรับภาวะ Tobacco dependence เนื่องจากกลไกการออกฤทธิ์, efficacy หรือข้อบ่งใช้ไม่ตรงกับโจทย์ที่กำหนด
• ข้อ ง. (ยาทำให้ษ่วษไม่แนะนำให้ขับขี่ยานพาหนะ ษ. ยาทำให้ท้อษอืด ให้ดื่มน้ำบ่อยๆ กับรับประทานอาหารที่มีกากใยสูษ): ข้อนี้ไม่ใช่คำตอบที่ถูกต้องสำหรับภาวะ Tobacco dependence เนื่องจากกลไกการออกฤทธิ์, efficacy หรือข้อบ่งใช้ไม่ตรงกับโจทย์ที่กำหนด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8" t="inlineStr"/>
      <c r="L44" s="18" t="inlineStr">
        <is>
          <t>Tobacco dependence</t>
        </is>
      </c>
      <c r="M44" s="18" t="inlineStr">
        <is>
          <t>Psychiatric &amp; Addiction</t>
        </is>
      </c>
      <c r="N44" s="18" t="inlineStr">
        <is>
          <t>PLE_CC1_2563_Q ข้อ 75</t>
        </is>
      </c>
      <c r="O44" s="18" t="inlineStr">
        <is>
          <t>ข้อสอบจริง</t>
        </is>
      </c>
      <c r="P44" s="18" t="inlineStr">
        <is>
          <t>ปี 2563</t>
        </is>
      </c>
    </row>
    <row r="45">
      <c r="A45" s="15" t="inlineStr">
        <is>
          <t>44</t>
        </is>
      </c>
      <c r="B45" s="18" t="inlineStr">
        <is>
          <t>ระดับ nicotine ในเลือดแบบใดเป็นขอษ nicotine gum 2 mg 1 ฬิ้น และ nicotine patch 21 mg 1 แผ่น ตามลำดับ</t>
        </is>
      </c>
      <c r="C45" s="18" t="inlineStr"/>
      <c r="D45" s="18" t="inlineStr">
        <is>
          <t>Psychiatric &amp; Addiction</t>
        </is>
      </c>
      <c r="E45" s="18" t="inlineStr">
        <is>
          <t>A และ B</t>
        </is>
      </c>
      <c r="F45" s="18" t="inlineStr">
        <is>
          <t>B และ C</t>
        </is>
      </c>
      <c r="G45" s="18" t="inlineStr">
        <is>
          <t>C และ D ษ. D และ A ส. B และ D หอบหืด สถานการณ์ คนไข้ได้รับยา Salmeterol + Fluticasone furoate (25/125) 1 x 2 Salbutamol Prn Montelukast</t>
        </is>
      </c>
      <c r="H45" s="18" t="inlineStr">
        <is>
          <t>Sertraline 50 mg OD</t>
        </is>
      </c>
      <c r="I45" s="15" t="inlineStr">
        <is>
          <t>1</t>
        </is>
      </c>
      <c r="J45" s="18"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 และ B): ข้อนี้ไม่ใช่คำตอบที่ถูกต้องสำหรับภาวะ Tobacco dependence เนื่องจากกลไกการออกฤทธิ์, efficacy หรือข้อบ่งใช้ไม่ตรงกับโจทย์ที่กำหนด
• ข้อ ค. (B และ C): ข้อนี้ไม่ใช่คำตอบที่ถูกต้องสำหรับภาวะ Tobacco dependence เนื่องจากกลไกการออกฤทธิ์, efficacy หรือข้อบ่งใช้ไม่ตรงกับโจทย์ที่กำหนด
• ข้อ ง. (C และ D ษ. D และ A ส. B และ D หอบหืด สถานการณ์ คนไข้ได้รับยา Salmeterol + Fluticasone furoate (25/125) 1 x 2 Salbutamol Prn Montelukast):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18" t="inlineStr"/>
      <c r="L45" s="18" t="inlineStr">
        <is>
          <t>Tobacco dependence</t>
        </is>
      </c>
      <c r="M45" s="18" t="inlineStr">
        <is>
          <t>Psychiatric &amp; Addiction</t>
        </is>
      </c>
      <c r="N45" s="18" t="inlineStr">
        <is>
          <t>PLE_CC1_2563_Q ข้อ 76</t>
        </is>
      </c>
      <c r="O45" s="18" t="inlineStr">
        <is>
          <t>ข้อสอบจริง</t>
        </is>
      </c>
      <c r="P45" s="18" t="inlineStr">
        <is>
          <t>ปี 2563</t>
        </is>
      </c>
    </row>
    <row r="46">
      <c r="A46" s="15" t="inlineStr">
        <is>
          <t>44</t>
        </is>
      </c>
      <c r="B46" s="18" t="inlineStr">
        <is>
          <t>ยารายการที่ 3 พบ diazepam มีความผิดหรือไม่</t>
        </is>
      </c>
      <c r="C46" s="18" t="inlineStr"/>
      <c r="D46" s="18" t="inlineStr">
        <is>
          <t>ไม่ผิด เพราะขายยาอันตราย</t>
        </is>
      </c>
      <c r="E46" s="18" t="inlineStr">
        <is>
          <t>ไม่ผิด เพราะขายยาควบคุมพิเศษ</t>
        </is>
      </c>
      <c r="F46" s="18" t="inlineStr">
        <is>
          <t>ผิด เพราะขายยา วจ 2 โดยไม่มีใบอนุญาต</t>
        </is>
      </c>
      <c r="G46" s="18" t="inlineStr">
        <is>
          <t>ผิด เพราะขายยา วจ 3 โดยไม่มีใบอนุญาต</t>
        </is>
      </c>
      <c r="H46" s="18" t="inlineStr">
        <is>
          <t>ผิด เพราะขายยา วจ 4 โดยไม่มีใบอนุญาต</t>
        </is>
      </c>
      <c r="I46" s="15" t="inlineStr">
        <is>
          <t>1</t>
        </is>
      </c>
      <c r="J46" s="18" t="inlineStr">
        <is>
          <t>✅ คำตอบที่ถูกต้อง: ข้อ ก. ไม่ผิด เพราะขายยาอันตราย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ไม่ผิด เพราะขายยาอันตราย การเลือก ไม่ผิด เพราะขายยาอันตราย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(ไม่ผิด เพราะขายยาควบคุมพิเศษ):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เพราะขายยา วจ 2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ง. (ผิด เพราะขายยา วจ 3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จ. (ผิด เพราะขายยา วจ 4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8" t="inlineStr"/>
      <c r="L46" s="18" t="inlineStr">
        <is>
          <t>Insomnia</t>
        </is>
      </c>
      <c r="M46" s="18" t="inlineStr">
        <is>
          <t>Clinic</t>
        </is>
      </c>
      <c r="N46" s="18" t="inlineStr">
        <is>
          <t>ข้อ 83 (PLE_CC1_2562_Key.md)</t>
        </is>
      </c>
      <c r="O46" s="18" t="inlineStr">
        <is>
          <t>ข้อสอบจริง</t>
        </is>
      </c>
      <c r="P46" s="18" t="inlineStr">
        <is>
          <t>ปี 2562</t>
        </is>
      </c>
    </row>
    <row r="47">
      <c r="A47" s="15" t="inlineStr">
        <is>
          <t>45</t>
        </is>
      </c>
      <c r="B47" s="18" t="inlineStr">
        <is>
          <t>ข้อใดคือกลไกของยารักษา depression (er) . we ninascosserotonin Bowling neuroplasticity Bardinan. = dog Nasserotonin X ิ nGneon .Iden . ind neuroplasticity Vosges</t>
        </is>
      </c>
      <c r="C47" s="18" t="inlineStr"/>
      <c r="D47" s="18" t="inlineStr">
        <is>
          <t>เพิ่ม monoamine</t>
        </is>
      </c>
      <c r="E47" s="18" t="inlineStr">
        <is>
          <t>ยังยั้งการทำงานสมองส่วน amygdala</t>
        </is>
      </c>
      <c r="F47" s="18" t="inlineStr">
        <is>
          <t>ยับยั้งการทำงานของ serotonin</t>
        </is>
      </c>
      <c r="G47" s="18" t="inlineStr">
        <is>
          <t>ลด neuroplasticity ของ neuron</t>
        </is>
      </c>
      <c r="H47" s="18" t="inlineStr">
        <is>
          <t>ยับยั้งการสร้าง neuron ในสมอง</t>
        </is>
      </c>
      <c r="I47" s="15" t="inlineStr">
        <is>
          <t>1</t>
        </is>
      </c>
      <c r="J47" s="18" t="inlineStr">
        <is>
          <t>✅ คำตอบที่ถูกต้อง: ข้อ ก. เพิ่ม monoamine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 monoamine การเลือก เพิ่ม monoamine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(ยังยั้งการทำงานสมองส่วน amygdala):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serotonin): ข้อนี้ไม่ใช่คำตอบที่ถูกต้องสำหรับภาวะ Anxiety/depression เนื่องจากกลไกการออกฤทธิ์, efficacy หรือข้อบ่งใช้ไม่ตรงกับโจทย์ที่กำหนด
• ข้อ ง. (ลด neuroplasticity ของ neuron):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(ยับยั้งการสร้าง neuron ในสมอง):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7" s="18" t="inlineStr"/>
      <c r="L47" s="18" t="inlineStr">
        <is>
          <t>Anxiety/depression</t>
        </is>
      </c>
      <c r="M47" s="18" t="inlineStr">
        <is>
          <t>Clinic</t>
        </is>
      </c>
      <c r="N47" s="18" t="inlineStr">
        <is>
          <t>ข้อ 1 (PLE_CC1_2562_Key.md)</t>
        </is>
      </c>
      <c r="O47" s="18" t="inlineStr">
        <is>
          <t>ข้อสอบจริง</t>
        </is>
      </c>
      <c r="P47" s="18" t="inlineStr">
        <is>
          <t>ปี 2562</t>
        </is>
      </c>
    </row>
    <row r="48">
      <c r="A48" s="15" t="inlineStr">
        <is>
          <t>46</t>
        </is>
      </c>
      <c r="B48" s="18" t="inlineStr">
        <is>
          <t>ข้อใดไม่ใช่อาการที่ไม่พึงประสงค์ที่พบบ่อยของ fluoxetine X 4 - balanci full response G</t>
        </is>
      </c>
      <c r="C48" s="18" t="inlineStr"/>
      <c r="D48" s="18" t="inlineStr">
        <is>
          <t>Insomnia</t>
        </is>
      </c>
      <c r="E48" s="18" t="inlineStr">
        <is>
          <t>Sexual dysfunction</t>
        </is>
      </c>
      <c r="F48" s="18" t="inlineStr">
        <is>
          <t>Anorexia</t>
        </is>
      </c>
      <c r="G48" s="18" t="inlineStr">
        <is>
          <t>Renal failure</t>
        </is>
      </c>
      <c r="H48" s="18" t="inlineStr">
        <is>
          <t>Diarrhea</t>
        </is>
      </c>
      <c r="I48" s="15" t="inlineStr">
        <is>
          <t>1</t>
        </is>
      </c>
      <c r="J48" s="18"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การเลือก Insomnia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(Sexual dysfunction): ข้อนี้ไม่ใช่คำตอบที่ถูกต้องสำหรับภาวะ Anxiety/depression เนื่องจากกลไกการออกฤทธิ์, efficacy หรือข้อบ่งใช้ไม่ตรงกับโจทย์ที่กำหนด
• ข้อ ค. (Anorexia): ข้อนี้ไม่ใช่คำตอบที่ถูกต้องสำหรับภาวะ Anxiety/depression เนื่องจากกลไกการออกฤทธิ์, efficacy หรือข้อบ่งใช้ไม่ตรงกับโจทย์ที่กำหนด
• ข้อ ง. (Renal failure): ข้อนี้ไม่ใช่คำตอบที่ถูกต้องสำหรับภาวะ Anxiety/depression เนื่องจากกลไกการออกฤทธิ์, efficacy หรือข้อบ่งใช้ไม่ตรงกับโจทย์ที่กำหนด
• ข้อ จ. (Diarrhea):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8" s="18" t="inlineStr"/>
      <c r="L48" s="18" t="inlineStr">
        <is>
          <t>Anxiety/depression</t>
        </is>
      </c>
      <c r="M48" s="18" t="inlineStr">
        <is>
          <t>Clinic</t>
        </is>
      </c>
      <c r="N48" s="18" t="inlineStr">
        <is>
          <t>ข้อ 4 (PLE_CC1_2562_Key.md)</t>
        </is>
      </c>
      <c r="O48" s="18" t="inlineStr">
        <is>
          <t>ข้อสอบจริง</t>
        </is>
      </c>
      <c r="P48" s="18" t="inlineStr">
        <is>
          <t>ปี 2562</t>
        </is>
      </c>
    </row>
    <row r="49">
      <c r="A49" s="15" t="inlineStr">
        <is>
          <t>47</t>
        </is>
      </c>
      <c r="B49" s="18"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18" t="inlineStr"/>
      <c r="D49" s="18" t="inlineStr">
        <is>
          <t>Sertraline</t>
        </is>
      </c>
      <c r="E49" s="18" t="inlineStr">
        <is>
          <t>Venlafaxine</t>
        </is>
      </c>
      <c r="F49" s="18" t="inlineStr">
        <is>
          <t>Bupropion</t>
        </is>
      </c>
      <c r="G49" s="18" t="inlineStr">
        <is>
          <t>Mirtazapine</t>
        </is>
      </c>
      <c r="H49" s="18" t="inlineStr">
        <is>
          <t>Paroxetine</t>
        </is>
      </c>
      <c r="I49" s="15" t="inlineStr">
        <is>
          <t>1</t>
        </is>
      </c>
      <c r="J49" s="18" t="inlineStr">
        <is>
          <t>✅ คำตอบที่ถูกต้อง: ข้อ ก.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การเลือก Sertraline เป็นคำตอบที่ถูกต้องตามแนวทางการรักษามาตรฐาน เนื่องจาก เป็น SSRI ที่มี safety สูงในผู้ป่วยโรคหัวใจ (cardiovascular safety profile ดีที่สุด) เหมาะสำหรับ post-MI depression
🔍 ข้ออื่นผิดเพราะอะไร:
• ข้อ ข. (Venlafaxine): ข้อนี้ไม่ใช่คำตอบที่ถูกต้องสำหรับภาวะ Anxiety/depression เนื่องจากกลไกการออกฤทธิ์, efficacy หรือข้อบ่งใช้ไม่ตรงกับโจทย์ที่กำหนด
• ข้อ ค. (Bupropion): เป็น NDRI ใช้ช่วยเลิกบุหรี่และรักษาซึมเศร้า แต่มี contraindication ในผู้ป่วยประวัติชัก (seizure disorder) หรือ anorexia/bulimia nervosa
• ข้อ ง. (Mirtazapine): ข้อนี้ไม่ใช่คำตอบที่ถูกต้องสำหรับภาวะ Anxiety/depression เนื่องจากกลไกการออกฤทธิ์, efficacy หรือข้อบ่งใช้ไม่ตรงกับโจทย์ที่กำหนด
• ข้อ จ. (Paroxetine):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9" s="18" t="inlineStr"/>
      <c r="L49" s="18" t="inlineStr">
        <is>
          <t>Anxiety/depression</t>
        </is>
      </c>
      <c r="M49" s="18" t="inlineStr">
        <is>
          <t>Clinic</t>
        </is>
      </c>
      <c r="N49" s="18" t="inlineStr">
        <is>
          <t>ข้อ 5 (PLE_CC1_2562_Key.md)</t>
        </is>
      </c>
      <c r="O49" s="18" t="inlineStr">
        <is>
          <t>ข้อสอบจริง</t>
        </is>
      </c>
      <c r="P49" s="18" t="inlineStr">
        <is>
          <t>ปี 2562</t>
        </is>
      </c>
    </row>
    <row r="50">
      <c r="A50" s="15" t="inlineStr">
        <is>
          <t>48</t>
        </is>
      </c>
      <c r="B50" s="18" t="inlineStr">
        <is>
          <t>ยาที่ไม่ควรใช้ในการเลิกบุหรี่ของผู้ป่วยรายนี คือ</t>
        </is>
      </c>
      <c r="C50" s="18" t="inlineStr"/>
      <c r="D50" s="18" t="inlineStr">
        <is>
          <t>Nicotine gum</t>
        </is>
      </c>
      <c r="E50" s="18" t="inlineStr">
        <is>
          <t>Nicotine patch</t>
        </is>
      </c>
      <c r="F50" s="18" t="inlineStr">
        <is>
          <t>Bupropion</t>
        </is>
      </c>
      <c r="G50" s="18" t="inlineStr">
        <is>
          <t>Varenicline</t>
        </is>
      </c>
      <c r="H50" s="18" t="inlineStr">
        <is>
          <t>Nortriptyline</t>
        </is>
      </c>
      <c r="I50" s="15" t="inlineStr">
        <is>
          <t>1</t>
        </is>
      </c>
      <c r="J50" s="18" t="inlineStr">
        <is>
          <t>✅ คำตอบที่ถูกต้อง: ข้อ ก. Nicotine gum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การเลือก Nicotine gum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(Nicotine patch): เป็น Nicotine Replacement Therapy (NRT) ช่วยบรรเทา withdrawal symptoms ใน smoking cessation โดยหลีกเลี่ยงสารก่อมะเร็งในควันบุหรี่
• ข้อ ค. (Bupropion): เป็น NDRI ใช้ช่วยเลิกบุหรี่และรักษาซึมเศร้า แต่มี contraindication ในผู้ป่วยประวัติชัก (seizure disorder) หรือ anorexia/bulimia nervosa
• ข้อ ง. (Varenicline): เป็น alpha-4 beta-2 nicotinic acetylcholine receptor partial agonist มี efficacy สูงสุดในการช่วยเลิกบุหรี่ แต่ต้องระวัง neuropsychiatric symptoms และ vivid dreams
• ข้อ จ. (Nortriptyline):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8" t="inlineStr"/>
      <c r="L50" s="18" t="inlineStr">
        <is>
          <t>Tobacco dependence</t>
        </is>
      </c>
      <c r="M50" s="18" t="inlineStr">
        <is>
          <t>Clinic</t>
        </is>
      </c>
      <c r="N50" s="18" t="inlineStr">
        <is>
          <t>ข้อ 13 (PLE_CC1_2559.md)</t>
        </is>
      </c>
      <c r="O50" s="18" t="inlineStr">
        <is>
          <t>ข้อสอบจริง</t>
        </is>
      </c>
      <c r="P50" s="18" t="inlineStr">
        <is>
          <t>ปี 2559</t>
        </is>
      </c>
    </row>
    <row r="51">
      <c r="A51" s="15" t="inlineStr">
        <is>
          <t>49</t>
        </is>
      </c>
      <c r="B51" s="18" t="inlineStr">
        <is>
          <t>ยาตัวใดที่มีผลข้างเคียงท้าให้ผันร้าย และนอนไม่หลับได้ หลับยาก</t>
        </is>
      </c>
      <c r="C51" s="18" t="inlineStr"/>
      <c r="D51" s="18" t="inlineStr">
        <is>
          <t>ATV/r</t>
        </is>
      </c>
      <c r="E51" s="18" t="inlineStr">
        <is>
          <t>EFV</t>
        </is>
      </c>
      <c r="F51" s="18" t="inlineStr">
        <is>
          <t>LPV/r</t>
        </is>
      </c>
      <c r="G51" s="18" t="inlineStr">
        <is>
          <t>RPV</t>
        </is>
      </c>
      <c r="H51" s="18" t="inlineStr">
        <is>
          <t>TDF ml ประกอบไปด้วย Enfuvirtide 90 mg Mannitol 22.55 mg Sodium carbonate Sodium hydroxide และ HCl หลังผสม pH = 9.0</t>
        </is>
      </c>
      <c r="I51" s="15" t="inlineStr">
        <is>
          <t>1</t>
        </is>
      </c>
      <c r="J51" s="18" t="inlineStr">
        <is>
          <t>✅ คำตอบที่ถูกต้อง: ข้อ ก. ATV/r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ATV/r ยา enfuvirtide ผลึกสีขาว, เป็น lyophilized powder, บริหารโดยการให้ทาง SC, reconstitute ด้วย SWFI 1.1 ml ซึ่ง 1
🔍 ข้ออื่นผิดเพราะอะไร:
• ข้อ ข. (EFV): ข้อนี้ไม่ใช่คำตอบที่ถูกต้องสำหรับภาวะ Insomnia เนื่องจากกลไกการออกฤทธิ์, efficacy หรือข้อบ่งใช้ไม่ตรงกับโจทย์ที่กำหนด
• ข้อ ค. (LPV/r): ข้อนี้ไม่ใช่คำตอบที่ถูกต้องสำหรับภาวะ Insomnia เนื่องจากกลไกการออกฤทธิ์, efficacy หรือข้อบ่งใช้ไม่ตรงกับโจทย์ที่กำหนด
• ข้อ ง. (RPV): ข้อนี้ไม่ใช่คำตอบที่ถูกต้องสำหรับภาวะ Insomnia เนื่องจากกลไกการออกฤทธิ์, efficacy หรือข้อบ่งใช้ไม่ตรงกับโจทย์ที่กำหนด
• ข้อ จ. (TDF ml ประกอบไปด้วย Enfuvirtide 90 mg Mannitol 22.55 mg Sodium carbonate Sodium hydroxide และ HCl หลังผสม pH = 9.0): เป็น Diluent ชนิด non-hygroscopic ให้ negative heat of solution (รู้สึกเย็นในปาก) นิยมใช้ใน chewable tablets และ orally disintegrating tablets (ODTs)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8" t="inlineStr"/>
      <c r="L51" s="18" t="inlineStr">
        <is>
          <t>Insomnia</t>
        </is>
      </c>
      <c r="M51" s="18" t="inlineStr">
        <is>
          <t>Clinic</t>
        </is>
      </c>
      <c r="N51" s="18" t="inlineStr">
        <is>
          <t>ข้อ 48 (PLE_CC1_2559.md)</t>
        </is>
      </c>
      <c r="O51" s="18" t="inlineStr">
        <is>
          <t>ข้อสอบจริง</t>
        </is>
      </c>
      <c r="P51" s="18" t="inlineStr">
        <is>
          <t>ปี 2559</t>
        </is>
      </c>
    </row>
    <row r="52">
      <c r="A52" s="15" t="inlineStr">
        <is>
          <t>50</t>
        </is>
      </c>
      <c r="B52" s="18" t="inlineStr">
        <is>
          <t>ยากลุ่ม benzodiazepine เกี่ยวข้องกับไอออนใด</t>
        </is>
      </c>
      <c r="C52" s="18" t="inlineStr"/>
      <c r="D52" s="18" t="inlineStr">
        <is>
          <t>Na+</t>
        </is>
      </c>
      <c r="E52" s="18" t="inlineStr">
        <is>
          <t>K+</t>
        </is>
      </c>
      <c r="F52" s="18" t="inlineStr">
        <is>
          <t>Cl-</t>
        </is>
      </c>
      <c r="G52" s="18" t="inlineStr">
        <is>
          <t>Ca2+</t>
        </is>
      </c>
      <c r="H52" s="18" t="inlineStr">
        <is>
          <t>HCO3- Lot 1 Lot 2 น ้าหนักยาเม็ด Assay 400 390 400 385 %label amount 97-101</t>
        </is>
      </c>
      <c r="I52" s="15" t="inlineStr">
        <is>
          <t>1</t>
        </is>
      </c>
      <c r="J52" s="18" t="inlineStr">
        <is>
          <t>✅ คำตอบที่ถูกต้อง: ข้อ ก. Na+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Na+ การเลือก Na+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(K+): ข้อนี้ไม่ใช่คำตอบที่ถูกต้องสำหรับภาวะ Anxiety/depression เนื่องจากกลไกการออกฤทธิ์, efficacy หรือข้อบ่งใช้ไม่ตรงกับโจทย์ที่กำหนด
• ข้อ ค. (Cl-): ข้อนี้ไม่ใช่คำตอบที่ถูกต้องสำหรับภาวะ Anxiety/depression เนื่องจากกลไกการออกฤทธิ์, efficacy หรือข้อบ่งใช้ไม่ตรงกับโจทย์ที่กำหนด
• ข้อ ง. (Ca2+): ข้อนี้ไม่ใช่คำตอบที่ถูกต้องสำหรับภาวะ Anxiety/depression เนื่องจากกลไกการออกฤทธิ์, efficacy หรือข้อบ่งใช้ไม่ตรงกับโจทย์ที่กำหนด
• ข้อ จ. (HCO3- Lot 1 Lot 2 น ้าหนักยาเม็ด Assay 400 390 400 385 %label amount 97-101):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2" s="18" t="inlineStr"/>
      <c r="L52" s="18" t="inlineStr">
        <is>
          <t>Anxiety/depression</t>
        </is>
      </c>
      <c r="M52" s="18" t="inlineStr">
        <is>
          <t>Clinic</t>
        </is>
      </c>
      <c r="N52" s="18" t="inlineStr">
        <is>
          <t>ข้อ 90 (PLE_CC1_2559.md)</t>
        </is>
      </c>
      <c r="O52" s="18" t="inlineStr">
        <is>
          <t>ข้อสอบจริง</t>
        </is>
      </c>
      <c r="P52" s="18" t="inlineStr">
        <is>
          <t>ปี 2559</t>
        </is>
      </c>
    </row>
    <row r="53">
      <c r="A53" s="15" t="inlineStr">
        <is>
          <t>51</t>
        </is>
      </c>
      <c r="B53" s="18" t="inlineStr">
        <is>
          <t>ผู้ป่วยเป็นโรคนอนไม่หลับแบบไหนมีอาการยังไง -</t>
        </is>
      </c>
      <c r="C53" s="18" t="inlineStr"/>
      <c r="D53" s="18" t="inlineStr">
        <is>
          <t>Short term, difficulty falling asleep</t>
        </is>
      </c>
      <c r="E53" s="18" t="inlineStr">
        <is>
          <t>Short term, difficulty falling asleep, maintaining sleep</t>
        </is>
      </c>
      <c r="F53" s="18" t="inlineStr">
        <is>
          <t>Chronic, difficulty falling asleep</t>
        </is>
      </c>
      <c r="G53" s="18" t="inlineStr">
        <is>
          <t>Chronic, difficulty maintaining sleep</t>
        </is>
      </c>
      <c r="H53" s="18" t="inlineStr">
        <is>
          <t>Chronic, difficulty falling asleep, maintaining sleep</t>
        </is>
      </c>
      <c r="I53" s="15" t="inlineStr">
        <is>
          <t>1</t>
        </is>
      </c>
      <c r="J53" s="18" t="inlineStr">
        <is>
          <t>✅ คำตอบที่ถูกต้อง: ข้อ ก. Short term, difficulty falling asleep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difficulty falling asleep การเลือก Short term, difficulty falling asleep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(Short term,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ข้อ ค. (Chronic, difficulty falling asleep): ข้อนี้ไม่ใช่คำตอบที่ถูกต้องสำหรับภาวะ Insomnia เนื่องจากกลไกการออกฤทธิ์, efficacy หรือข้อบ่งใช้ไม่ตรงกับโจทย์ที่กำหนด
• ข้อ ง. (Chronic, difficulty maintaining sleep): ข้อนี้ไม่ใช่คำตอบที่ถูกต้องสำหรับภาวะ Insomnia เนื่องจากกลไกการออกฤทธิ์, efficacy หรือข้อบ่งใช้ไม่ตรงกับโจทย์ที่กำหนด
• ข้อ จ. (Chronic,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18" t="inlineStr"/>
      <c r="L53" s="18" t="inlineStr">
        <is>
          <t>Insomnia</t>
        </is>
      </c>
      <c r="M53" s="18" t="inlineStr">
        <is>
          <t>Clinic</t>
        </is>
      </c>
      <c r="N53" s="18" t="inlineStr">
        <is>
          <t>ข้อ 1 (PLE_CC1_2558_Key.md)</t>
        </is>
      </c>
      <c r="O53" s="18" t="inlineStr">
        <is>
          <t>ข้อสอบจริง</t>
        </is>
      </c>
      <c r="P53" s="18" t="inlineStr">
        <is>
          <t>ปี 2558</t>
        </is>
      </c>
    </row>
    <row r="54">
      <c r="A54" s="15" t="inlineStr">
        <is>
          <t>52</t>
        </is>
      </c>
      <c r="B54" s="18" t="inlineStr">
        <is>
          <t>ข้อใดเป็นสาเหตุหลักที่ทำให้นอนไม่หลับ</t>
        </is>
      </c>
      <c r="C54" s="18" t="inlineStr"/>
      <c r="D54" s="18" t="inlineStr">
        <is>
          <t>อ้วน</t>
        </is>
      </c>
      <c r="E54" s="18" t="inlineStr">
        <is>
          <t>เศร้าเรื่องพ่อตาย</t>
        </is>
      </c>
      <c r="F54" s="18" t="inlineStr">
        <is>
          <t>กังวลเรื่องแม่ป่วย</t>
        </is>
      </c>
      <c r="G54" s="18" t="inlineStr">
        <is>
          <t>เครียดจากหน้าที่การงาน</t>
        </is>
      </c>
      <c r="H54" s="18" t="inlineStr">
        <is>
          <t>อ้วน</t>
        </is>
      </c>
      <c r="I54" s="15" t="inlineStr">
        <is>
          <t>1</t>
        </is>
      </c>
      <c r="J54" s="18" t="inlineStr">
        <is>
          <t>✅ คำตอบที่ถูกต้อง: ข้อ ก. อ้วน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อ้วน การเลือก อ้วน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(เศร้าเรื่องพ่อตาย): ข้อนี้ไม่ใช่คำตอบที่ถูกต้องสำหรับภาวะ Insomnia เนื่องจากกลไกการออกฤทธิ์, efficacy หรือข้อบ่งใช้ไม่ตรงกับโจทย์ที่กำหนด
• ข้อ ค. (กังวลเรื่องแม่ป่วย): ข้อนี้ไม่ใช่คำตอบที่ถูกต้องสำหรับภาวะ Insomnia เนื่องจากกลไกการออกฤทธิ์, efficacy หรือข้อบ่งใช้ไม่ตรงกับโจทย์ที่กำหนด
• ข้อ ง. (เครียดจากหน้าที่การงาน): ข้อนี้ไม่ใช่คำตอบที่ถูกต้องสำหรับภาวะ Insomnia เนื่องจากกลไกการออกฤทธิ์, efficacy หรือข้อบ่งใช้ไม่ตรงกับโจทย์ที่กำหนด
• ข้อ จ. (อ้วน):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18" t="inlineStr"/>
      <c r="L54" s="18" t="inlineStr">
        <is>
          <t>Insomnia</t>
        </is>
      </c>
      <c r="M54" s="18" t="inlineStr">
        <is>
          <t>Clinic</t>
        </is>
      </c>
      <c r="N54" s="18" t="inlineStr">
        <is>
          <t>ข้อ 2 (PLE_CC1_2558_Key.md)</t>
        </is>
      </c>
      <c r="O54" s="18" t="inlineStr">
        <is>
          <t>ข้อสอบจริง</t>
        </is>
      </c>
      <c r="P54" s="18" t="inlineStr">
        <is>
          <t>ปี 2558</t>
        </is>
      </c>
    </row>
    <row r="55">
      <c r="A55" s="15" t="inlineStr">
        <is>
          <t>53</t>
        </is>
      </c>
      <c r="B55" s="18" t="inlineStr">
        <is>
          <t>ข้อใดถูกต้องเกี่ยวกับการแนะนำการเลิกบุหรี่</t>
        </is>
      </c>
      <c r="C55" s="18" t="inlineStr"/>
      <c r="D55" s="18" t="inlineStr">
        <is>
          <t>ควรหยุดสูบบุหรี่เมื่อมีการใช้ nicotine replacement ทันที</t>
        </is>
      </c>
      <c r="E55" s="18" t="inlineStr">
        <is>
          <t>เมื่อเคี้ยวไว้ห้ามกลืนน้ำลายประมาณ 1 นาที</t>
        </is>
      </c>
      <c r="F55" s="18" t="inlineStr">
        <is>
          <t>เมื่อเคี้ยวหมากฝรั่ง nicotine ควรหลีกเลี่ยงการดื่มน้ำส้ม น้ำอัดลม อย่างน้อย 15 นาที</t>
        </is>
      </c>
      <c r="G55" s="18" t="inlineStr">
        <is>
          <t>การใช้ยา Bupropion อาจจะเพิ่มความเสี่ยงต่อการเกิดการชักได้</t>
        </is>
      </c>
      <c r="H55" s="18" t="inlineStr">
        <is>
          <t>ถูกทุกข้อ</t>
        </is>
      </c>
      <c r="I55" s="15" t="inlineStr">
        <is>
          <t>1</t>
        </is>
      </c>
      <c r="J55" s="18" t="inlineStr">
        <is>
          <t>✅ คำตอบที่ถูกต้อง: ข้อ ก. ควรหยุดสูบบุหรี่เมื่อมีการใช้ nicotine replacement ทันที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ควรหยุดสูบบุหรี่เมื่อมีการใช้ nicotine replacement ทันที การเลือก ควรหยุดสูบบุหรี่เมื่อมีการใช้ nicotine replacement ทันที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(เมื่อเคี้ยวไว้ห้ามกลืนน้ำลายประมาณ 1 นาที): ข้อนี้ไม่ใช่คำตอบที่ถูกต้องสำหรับภาวะ Tobacco dependence เนื่องจากกลไกการออกฤทธิ์, efficacy หรือข้อบ่งใช้ไม่ตรงกับโจทย์ที่กำหนด
• ข้อ ค. (เมื่อเคี้ยวหมากฝรั่ง nicotine ควรหลีกเลี่ยงการดื่มน้ำส้ม น้ำอัดลม อย่างน้อย 15 นาที): เป็น Nicotine Replacement Therapy (NRT) ช่วยบรรเทา withdrawal symptoms ใน smoking cessation โดยหลีกเลี่ยงสารก่อมะเร็งในควันบุหรี่
• ข้อ ง. (การใช้ยา Bupropion อาจจะเพิ่มความเสี่ยงต่อการเกิดการชักได้): เป็น NDRI ใช้ช่วยเลิกบุหรี่และรักษาซึมเศร้า แต่มี contraindication ในผู้ป่วยประวัติชัก (seizure disorder) หรือ anorexia/bulimia nervosa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8" t="inlineStr"/>
      <c r="L55" s="18" t="inlineStr">
        <is>
          <t>Tobacco dependence</t>
        </is>
      </c>
      <c r="M55" s="18" t="inlineStr">
        <is>
          <t>Clinic</t>
        </is>
      </c>
      <c r="N55" s="18" t="inlineStr">
        <is>
          <t>ข้อ 55 (Pharmtutor_2024_Set1.md)</t>
        </is>
      </c>
      <c r="O55" s="18" t="inlineStr">
        <is>
          <t>Mock</t>
        </is>
      </c>
      <c r="P55" s="18" t="inlineStr">
        <is>
          <t>Mock Pharmtutor 2024</t>
        </is>
      </c>
    </row>
    <row r="56">
      <c r="A56" s="15" t="inlineStr">
        <is>
          <t>54</t>
        </is>
      </c>
      <c r="B56" s="18" t="inlineStr">
        <is>
          <t>ยาในกลุ่มใดที่เป็นยาทางเลือกแรก ในการรักษาภาวะซึมเศร้าในกลุ่มที่ไม่มีข้อห้ามใช้</t>
        </is>
      </c>
      <c r="C56" s="18" t="inlineStr"/>
      <c r="D56" s="18" t="inlineStr">
        <is>
          <t>TCA</t>
        </is>
      </c>
      <c r="E56" s="18" t="inlineStr">
        <is>
          <t>SNRI</t>
        </is>
      </c>
      <c r="F56" s="18" t="inlineStr">
        <is>
          <t>SSRI</t>
        </is>
      </c>
      <c r="G56" s="18" t="inlineStr">
        <is>
          <t>BZPs</t>
        </is>
      </c>
      <c r="H56" s="18" t="inlineStr">
        <is>
          <t>SDRI</t>
        </is>
      </c>
      <c r="I56" s="15" t="inlineStr">
        <is>
          <t>1</t>
        </is>
      </c>
      <c r="J56" s="18" t="inlineStr">
        <is>
          <t>✅ คำตอบที่ถูกต้อง: ข้อ ก.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การเลือก TCA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(SNRI): ข้อนี้ไม่ใช่คำตอบที่ถูกต้องสำหรับภาวะ Anxiety/depression เนื่องจากกลไกการออกฤทธิ์, efficacy หรือข้อบ่งใช้ไม่ตรงกับโจทย์ที่กำหนด
• ข้อ ค. (SSRI): ข้อนี้ไม่ใช่คำตอบที่ถูกต้องสำหรับภาวะ Anxiety/depression เนื่องจากกลไกการออกฤทธิ์, efficacy หรือข้อบ่งใช้ไม่ตรงกับโจทย์ที่กำหนด
• ข้อ ง. (BZPs): ข้อนี้ไม่ใช่คำตอบที่ถูกต้องสำหรับภาวะ Anxiety/depression เนื่องจากกลไกการออกฤทธิ์, efficacy หรือข้อบ่งใช้ไม่ตรงกับโจทย์ที่กำหนด
• ข้อ จ. (SDRI):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6" s="18" t="inlineStr"/>
      <c r="L56" s="18" t="inlineStr">
        <is>
          <t>Anxiety/depression</t>
        </is>
      </c>
      <c r="M56" s="18" t="inlineStr">
        <is>
          <t>Clinic</t>
        </is>
      </c>
      <c r="N56" s="18" t="inlineStr">
        <is>
          <t>ข้อ 56 (Pharmtutor_2024_Set1.md)</t>
        </is>
      </c>
      <c r="O56" s="18" t="inlineStr">
        <is>
          <t>Mock</t>
        </is>
      </c>
      <c r="P56" s="18" t="inlineStr">
        <is>
          <t>Mock Pharmtutor 2024</t>
        </is>
      </c>
    </row>
    <row r="57">
      <c r="A57" s="15" t="inlineStr">
        <is>
          <t>55</t>
        </is>
      </c>
      <c r="B57" s="18"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18" t="inlineStr"/>
      <c r="D57" s="18" t="inlineStr">
        <is>
          <t>Clozapine</t>
        </is>
      </c>
      <c r="E57" s="18" t="inlineStr">
        <is>
          <t>Fluoxetine</t>
        </is>
      </c>
      <c r="F57" s="18" t="inlineStr">
        <is>
          <t>Lorazepam</t>
        </is>
      </c>
      <c r="G57" s="18" t="inlineStr">
        <is>
          <t>Clonazepam</t>
        </is>
      </c>
      <c r="H57" s="18" t="inlineStr">
        <is>
          <t>Amitriptyline</t>
        </is>
      </c>
      <c r="I57" s="15" t="inlineStr">
        <is>
          <t>1</t>
        </is>
      </c>
      <c r="J57" s="18" t="inlineStr">
        <is>
          <t>✅ คำตอบที่ถูกต้อง: ข้อ ก. Clozapine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Clozapine การเลือก Clozapine เป็นคำตอบที่ถูกต้องตามแนวทางการรักษามาตรฐาน เนื่องจาก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เป็น SSRI มี half-life ยาวที่สุดในกลุ่ม (ร่วมกับ active metabolite norfluoxetine) จึงมี discontinuation syndrome ต่ำ แต่ยับยั้ง CYP2D6 สูง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(Clonazepam): ข้อนี้ไม่ใช่คำตอบที่ถูกต้องสำหรับภาวะ Insomnia เนื่องจากกลไกการออกฤทธิ์, efficacy หรือข้อบ่งใช้ไม่ตรงกับโจทย์ที่กำหนด
• ข้อ จ. (Amitriptyline):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8" t="inlineStr"/>
      <c r="L57" s="18" t="inlineStr">
        <is>
          <t>Insomnia</t>
        </is>
      </c>
      <c r="M57" s="18" t="inlineStr">
        <is>
          <t>Clinic</t>
        </is>
      </c>
      <c r="N57" s="18" t="inlineStr">
        <is>
          <t>ข้อ 58 (Pharmtutor_2024_Set1.md)</t>
        </is>
      </c>
      <c r="O57" s="18" t="inlineStr">
        <is>
          <t>Mock</t>
        </is>
      </c>
      <c r="P57" s="18" t="inlineStr">
        <is>
          <t>Mock Pharmtutor 2024</t>
        </is>
      </c>
    </row>
    <row r="58">
      <c r="A58" s="15" t="inlineStr">
        <is>
          <t>56</t>
        </is>
      </c>
      <c r="B58" s="18" t="inlineStr">
        <is>
          <t>Fluoxetine จะถูก metabolized ที_x001e_ตำแหน่งใด เพื_x001e_อ เปลี_x001e_ยนเป็น norfluoxetine A B C D E (1) A (2) B (3) C (4) D (5) E</t>
        </is>
      </c>
      <c r="C58" s="18" t="inlineStr"/>
      <c r="D58" s="18" t="inlineStr">
        <is>
          <t>Fluoxetine 20 mg OD</t>
        </is>
      </c>
      <c r="E58" s="18" t="inlineStr">
        <is>
          <t>Sertraline 50 mg OD</t>
        </is>
      </c>
      <c r="F58" s="18" t="inlineStr">
        <is>
          <t>Escitalopram 10 mg OD</t>
        </is>
      </c>
      <c r="G58" s="18" t="inlineStr">
        <is>
          <t>Venlafaxine 75 mg OD</t>
        </is>
      </c>
      <c r="H58" s="18" t="inlineStr">
        <is>
          <t>Amitriptyline 10 mg HS</t>
        </is>
      </c>
      <c r="I58" s="15" t="inlineStr">
        <is>
          <t>1</t>
        </is>
      </c>
      <c r="J58" s="18"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58" s="18" t="inlineStr"/>
      <c r="L58" s="18" t="inlineStr">
        <is>
          <t>Anxiety/depression</t>
        </is>
      </c>
      <c r="M58" s="18" t="inlineStr">
        <is>
          <t>Clinic</t>
        </is>
      </c>
      <c r="N58" s="18" t="inlineStr">
        <is>
          <t>ข้อ 55 (PLE_CC1_2557.md)</t>
        </is>
      </c>
      <c r="O58" s="18" t="inlineStr">
        <is>
          <t>ข้อสอบจริง</t>
        </is>
      </c>
      <c r="P58" s="18" t="inlineStr">
        <is>
          <t>ปี 2557</t>
        </is>
      </c>
    </row>
    <row r="59">
      <c r="A59" s="15" t="inlineStr">
        <is>
          <t>57</t>
        </is>
      </c>
      <c r="B59" s="18"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18" t="inlineStr"/>
      <c r="D59" s="18" t="inlineStr">
        <is>
          <t>Venlafaxine 75 mg OD</t>
        </is>
      </c>
      <c r="E59" s="18" t="inlineStr">
        <is>
          <t>Amitriptyline 10 mg HS</t>
        </is>
      </c>
      <c r="F59" s="18" t="inlineStr">
        <is>
          <t>Lorazepam 1 mg HS</t>
        </is>
      </c>
      <c r="G59" s="18" t="inlineStr">
        <is>
          <t>Alprazolam 0.5 mg HS</t>
        </is>
      </c>
      <c r="H59" s="18" t="inlineStr">
        <is>
          <t>Diazepam 5 mg HS</t>
        </is>
      </c>
      <c r="I59" s="15" t="inlineStr">
        <is>
          <t>1</t>
        </is>
      </c>
      <c r="J59" s="18"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18" t="inlineStr"/>
      <c r="L59" s="18" t="inlineStr">
        <is>
          <t>Insomnia</t>
        </is>
      </c>
      <c r="M59" s="18" t="inlineStr">
        <is>
          <t>Clinic</t>
        </is>
      </c>
      <c r="N59" s="18" t="inlineStr">
        <is>
          <t>ข้อ 7 (PLE_CC1_2556.md)</t>
        </is>
      </c>
      <c r="O59" s="18" t="inlineStr">
        <is>
          <t>ข้อสอบจริง</t>
        </is>
      </c>
      <c r="P59" s="18" t="inlineStr">
        <is>
          <t>ปี 2556</t>
        </is>
      </c>
    </row>
    <row r="60">
      <c r="A60" s="15" t="inlineStr">
        <is>
          <t>58</t>
        </is>
      </c>
      <c r="B60" s="18"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18" t="inlineStr"/>
      <c r="D60" s="18" t="inlineStr">
        <is>
          <t>Lorazepam</t>
        </is>
      </c>
      <c r="E60" s="18" t="inlineStr">
        <is>
          <t>Flurazepam</t>
        </is>
      </c>
      <c r="F60" s="18" t="inlineStr">
        <is>
          <t>Temazepam</t>
        </is>
      </c>
      <c r="G60" s="18" t="inlineStr">
        <is>
          <t>Diazepam</t>
        </is>
      </c>
      <c r="H60" s="18"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15" t="inlineStr">
        <is>
          <t>2</t>
        </is>
      </c>
      <c r="J60" s="18" t="inlineStr">
        <is>
          <t>✅ คำตอบที่ถูกต้อง: ข้อ ข. Flurazepam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Flurazepam ส่งผลให้เปิด Cl-channel ทำให้เกิดฤทธิ์ในทาง inhibitory process:sedative-hypnotic, anticonvulsant, muscle  ที่ phenyl ring ตำแหน่ง C2,เพิ่ม activity เมื่อ ortho-sub (2’)หรือ di-ortho-sub (2’, 6’) [steric effect] (diluents), silicon dioxide (glidant), talcum (glidant) และ PVP (binder)ต่างใช้ในหน้าที่อื่นของตำรับ แล้วไม่ได้ผลควรใช้ยา specific treatment คือ Ergot alkaloid &amp; deriv. หรือ Serotonin receptor agonist เช่น
🔍 ข้ออื่นผิดเพราะอะไร:
• ข้อ ก. (Lorazepam): เป็น Benzodiazepine กลุ่ม LOT (Lorazepam, Oxazepam, Temazepam) ที่ผ่าน hepatic Phase II glucuronidation โดยตรง ไม่ผ่าน CYP oxidation จึงปลอดภัยกว่าในผู้สูงอายุและโรคตับ
• ข้อ ค. (Temazepam): ข้อนี้ไม่ใช่คำตอบที่ถูกต้องสำหรับภาวะ Insomnia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8" t="inlineStr"/>
      <c r="L60" s="18" t="inlineStr">
        <is>
          <t>Insomnia</t>
        </is>
      </c>
      <c r="M60" s="18" t="inlineStr">
        <is>
          <t>Clinic</t>
        </is>
      </c>
      <c r="N60" s="18" t="inlineStr">
        <is>
          <t>ข้อ ๒๕๕๐ (PLE_CC1_2554 SET2.md)</t>
        </is>
      </c>
      <c r="O60" s="18" t="inlineStr">
        <is>
          <t>ข้อสอบจริง</t>
        </is>
      </c>
      <c r="P60" s="18" t="inlineStr">
        <is>
          <t>ปี 2554</t>
        </is>
      </c>
    </row>
    <row r="61">
      <c r="A61" s="15" t="inlineStr">
        <is>
          <t>59</t>
        </is>
      </c>
      <c r="B61" s="18" t="inlineStr">
        <is>
          <t>ชายไทยคุ้อาย่65 ปีได้รับการวินิจฉัยจากแพทย์วุามีภาวะInsomnia ยาใน ข้อใดตุอไปนี้ไมุใชุยาที่ใช้ในการรักษาภาวะInsomnia</t>
        </is>
      </c>
      <c r="C61" s="18" t="inlineStr"/>
      <c r="D61" s="18" t="inlineStr">
        <is>
          <t>CPM</t>
        </is>
      </c>
      <c r="E61" s="18" t="inlineStr">
        <is>
          <t>Phenobarbital</t>
        </is>
      </c>
      <c r="F61" s="18" t="inlineStr">
        <is>
          <t>Chloral hydrate</t>
        </is>
      </c>
      <c r="G61" s="18" t="inlineStr">
        <is>
          <t>Clonazepam</t>
        </is>
      </c>
      <c r="H61" s="18" t="inlineStr">
        <is>
          <t>Haloperidol (จ)</t>
        </is>
      </c>
      <c r="I61" s="15" t="inlineStr">
        <is>
          <t>1</t>
        </is>
      </c>
      <c r="J61" s="18" t="inlineStr">
        <is>
          <t>✅ คำตอบที่ถูกต้อง: ข้อ ก. CPM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CPM การเลือก CPM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ข้อ จ. (Haloperidol (จ)): เป็น First-generation (typical) antipsychotic ยับยั้ง D2 receptor สูง เสี่ยงต่อ Extrapyramidal symptoms (EPS), acute dystonia, akathisia และ tardive dyskinesia สูง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8" t="inlineStr"/>
      <c r="L61" s="18" t="inlineStr">
        <is>
          <t>Insomnia</t>
        </is>
      </c>
      <c r="M61" s="18" t="inlineStr">
        <is>
          <t>Clinic</t>
        </is>
      </c>
      <c r="N61" s="18" t="inlineStr">
        <is>
          <t>ข้อ 5 (PLE_CC1_2547.md)</t>
        </is>
      </c>
      <c r="O61" s="18" t="inlineStr">
        <is>
          <t>ข้อสอบจริง</t>
        </is>
      </c>
      <c r="P61" s="18" t="inlineStr">
        <is>
          <t>ปี 2547</t>
        </is>
      </c>
    </row>
    <row r="62">
      <c r="A62" s="15" t="inlineStr">
        <is>
          <t>60</t>
        </is>
      </c>
      <c r="B62" s="18" t="inlineStr">
        <is>
          <t>ข้อใดถ้กต้องเกี่ยวกับโครงสร้างและความสัมพันธ์ในการออกฤทธิ์ของยา นอนหลับDiazepam โครงสร้างDiazepam</t>
        </is>
      </c>
      <c r="C62" s="18" t="inlineStr"/>
      <c r="D62" s="18" t="inlineStr">
        <is>
          <t>Fluoxetine 20 mg OD</t>
        </is>
      </c>
      <c r="E62" s="18" t="inlineStr">
        <is>
          <t>Sertraline 50 mg OD</t>
        </is>
      </c>
      <c r="F62" s="18" t="inlineStr">
        <is>
          <t>Escitalopram 10 mg OD</t>
        </is>
      </c>
      <c r="G62" s="18" t="inlineStr">
        <is>
          <t>Venlafaxine 75 mg OD</t>
        </is>
      </c>
      <c r="H62" s="18" t="inlineStr">
        <is>
          <t>Amitriptyline 10 mg HS</t>
        </is>
      </c>
      <c r="I62" s="15" t="inlineStr">
        <is>
          <t>1</t>
        </is>
      </c>
      <c r="J62" s="18"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2" s="18" t="inlineStr"/>
      <c r="L62" s="18" t="inlineStr">
        <is>
          <t>Insomnia</t>
        </is>
      </c>
      <c r="M62" s="18" t="inlineStr">
        <is>
          <t>Clinic</t>
        </is>
      </c>
      <c r="N62" s="18" t="inlineStr">
        <is>
          <t>ข้อ 8 (PLE_CC1_2547.md)</t>
        </is>
      </c>
      <c r="O62" s="18" t="inlineStr">
        <is>
          <t>ข้อสอบจริง</t>
        </is>
      </c>
      <c r="P62" s="18" t="inlineStr">
        <is>
          <t>ปี 2547</t>
        </is>
      </c>
    </row>
    <row r="63">
      <c r="A63" s="15" t="inlineStr">
        <is>
          <t>61</t>
        </is>
      </c>
      <c r="B63" s="18" t="inlineStr">
        <is>
          <t>มีความแรงในการออกฤทธิ์มากกวุาDiazepam เนื่องจากมีC12 อะตอม</t>
        </is>
      </c>
      <c r="C63" s="18" t="inlineStr"/>
      <c r="D63" s="18" t="inlineStr">
        <is>
          <t>Venlafaxine 75 mg OD</t>
        </is>
      </c>
      <c r="E63" s="18" t="inlineStr">
        <is>
          <t>Amitriptyline 10 mg HS</t>
        </is>
      </c>
      <c r="F63" s="18" t="inlineStr">
        <is>
          <t>Lorazepam 1 mg HS</t>
        </is>
      </c>
      <c r="G63" s="18" t="inlineStr">
        <is>
          <t>Alprazolam 0.5 mg HS</t>
        </is>
      </c>
      <c r="H63" s="18" t="inlineStr">
        <is>
          <t>Diazepam 5 mg HS</t>
        </is>
      </c>
      <c r="I63" s="15" t="inlineStr">
        <is>
          <t>1</t>
        </is>
      </c>
      <c r="J63" s="18"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8" t="inlineStr"/>
      <c r="L63" s="18" t="inlineStr">
        <is>
          <t>Insomnia</t>
        </is>
      </c>
      <c r="M63" s="18" t="inlineStr">
        <is>
          <t>Clinic</t>
        </is>
      </c>
      <c r="N63" s="18" t="inlineStr">
        <is>
          <t>ข้อ 1 (PLE_CC1_2547.md)</t>
        </is>
      </c>
      <c r="O63" s="18" t="inlineStr">
        <is>
          <t>ข้อสอบจริง</t>
        </is>
      </c>
      <c r="P63" s="18" t="inlineStr">
        <is>
          <t>ปี 2547</t>
        </is>
      </c>
    </row>
    <row r="64">
      <c r="A64" s="15" t="inlineStr">
        <is>
          <t>62</t>
        </is>
      </c>
      <c r="B64" s="18" t="inlineStr">
        <is>
          <t>มีระยะเวลาในการออกฤทธิ์สั้นกวุาDiazepam เนื่องจากละลายในไข มันได้มากวุา</t>
        </is>
      </c>
      <c r="C64" s="18" t="inlineStr"/>
      <c r="D64" s="18" t="inlineStr">
        <is>
          <t>Alprazolam 0.5 mg HS</t>
        </is>
      </c>
      <c r="E64" s="18" t="inlineStr">
        <is>
          <t>Diazepam 5 mg HS</t>
        </is>
      </c>
      <c r="F64" s="18" t="inlineStr">
        <is>
          <t>Zolpidem 10 mg HS</t>
        </is>
      </c>
      <c r="G64" s="18" t="inlineStr">
        <is>
          <t>Nicotine gum 2 mg PRN</t>
        </is>
      </c>
      <c r="H64" s="18" t="inlineStr">
        <is>
          <t>Quetiapine 25 mg HS</t>
        </is>
      </c>
      <c r="I64" s="15" t="inlineStr">
        <is>
          <t>1</t>
        </is>
      </c>
      <c r="J64" s="18"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8" t="inlineStr"/>
      <c r="L64" s="18" t="inlineStr">
        <is>
          <t>Insomnia</t>
        </is>
      </c>
      <c r="M64" s="18" t="inlineStr">
        <is>
          <t>Clinic</t>
        </is>
      </c>
      <c r="N64" s="18" t="inlineStr">
        <is>
          <t>ข้อ 2 (PLE_CC1_2547.md)</t>
        </is>
      </c>
      <c r="O64" s="18" t="inlineStr">
        <is>
          <t>ข้อสอบจริง</t>
        </is>
      </c>
      <c r="P64" s="18" t="inlineStr">
        <is>
          <t>ปี 2547</t>
        </is>
      </c>
    </row>
    <row r="65">
      <c r="A65" s="15" t="inlineStr">
        <is>
          <t>63</t>
        </is>
      </c>
      <c r="B65" s="18" t="inlineStr">
        <is>
          <t>มีระยะเวลาในการออกฤทธิ์สั้นDiazepam เนื่องจากสามารถถ้กเมตา บอไลต์ได้เร็ว</t>
        </is>
      </c>
      <c r="C65" s="18" t="inlineStr"/>
      <c r="D65" s="18" t="inlineStr">
        <is>
          <t>Nicotine gum 2 mg PRN</t>
        </is>
      </c>
      <c r="E65" s="18" t="inlineStr">
        <is>
          <t>Quetiapine 25 mg HS</t>
        </is>
      </c>
      <c r="F65" s="18" t="inlineStr">
        <is>
          <t>Risperidone 2 mg OD</t>
        </is>
      </c>
      <c r="G65" s="18" t="inlineStr">
        <is>
          <t>Fluoxetine 20 mg OD</t>
        </is>
      </c>
      <c r="H65" s="18" t="inlineStr">
        <is>
          <t>Sertraline 50 mg OD</t>
        </is>
      </c>
      <c r="I65" s="15" t="inlineStr">
        <is>
          <t>1</t>
        </is>
      </c>
      <c r="J65" s="18"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 s="18" t="inlineStr"/>
      <c r="L65" s="18" t="inlineStr">
        <is>
          <t>Insomnia</t>
        </is>
      </c>
      <c r="M65" s="18" t="inlineStr">
        <is>
          <t>Clinic</t>
        </is>
      </c>
      <c r="N65" s="18" t="inlineStr">
        <is>
          <t>ข้อ 3 (PLE_CC1_2547.md)</t>
        </is>
      </c>
      <c r="O65" s="18" t="inlineStr">
        <is>
          <t>ข้อสอบจริง</t>
        </is>
      </c>
      <c r="P65" s="18" t="inlineStr">
        <is>
          <t>ปี 2547</t>
        </is>
      </c>
    </row>
    <row r="66">
      <c r="A66" s="15" t="inlineStr">
        <is>
          <t>64</t>
        </is>
      </c>
      <c r="B66" s="18" t="inlineStr">
        <is>
          <t>มีระยะเวลาที่ยารออกฤทธิ์เร็วกวุาDiazepam เนื่องจากสามารถผุาน BBB ได้ดี</t>
        </is>
      </c>
      <c r="C66" s="18" t="inlineStr"/>
      <c r="D66" s="18" t="inlineStr">
        <is>
          <t>Fluoxetine 20 mg OD</t>
        </is>
      </c>
      <c r="E66" s="18" t="inlineStr">
        <is>
          <t>Sertraline 50 mg OD</t>
        </is>
      </c>
      <c r="F66" s="18" t="inlineStr">
        <is>
          <t>Escitalopram 10 mg OD</t>
        </is>
      </c>
      <c r="G66" s="18" t="inlineStr">
        <is>
          <t>Venlafaxine 75 mg OD</t>
        </is>
      </c>
      <c r="H66" s="18" t="inlineStr">
        <is>
          <t>Amitriptyline 10 mg HS</t>
        </is>
      </c>
      <c r="I66" s="15" t="inlineStr">
        <is>
          <t>1</t>
        </is>
      </c>
      <c r="J66" s="18"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6" s="18" t="inlineStr"/>
      <c r="L66" s="18" t="inlineStr">
        <is>
          <t>Insomnia</t>
        </is>
      </c>
      <c r="M66" s="18" t="inlineStr">
        <is>
          <t>Clinic</t>
        </is>
      </c>
      <c r="N66" s="18" t="inlineStr">
        <is>
          <t>ข้อ 4 (PLE_CC1_2547.md)</t>
        </is>
      </c>
      <c r="O66" s="18" t="inlineStr">
        <is>
          <t>ข้อสอบจริง</t>
        </is>
      </c>
      <c r="P66" s="18" t="inlineStr">
        <is>
          <t>ปี 2547</t>
        </is>
      </c>
    </row>
    <row r="67">
      <c r="A67" s="15" t="inlineStr">
        <is>
          <t>65</t>
        </is>
      </c>
      <c r="B67" s="18" t="inlineStr">
        <is>
          <t>มีระยะเวลาที่ยารออกฤทธิ์ช้ากวุาDiazepam เนื่องจากมีC-OH (ก)</t>
        </is>
      </c>
      <c r="C67" s="18" t="inlineStr"/>
      <c r="D67" s="18" t="inlineStr">
        <is>
          <t>Venlafaxine 75 mg OD</t>
        </is>
      </c>
      <c r="E67" s="18" t="inlineStr">
        <is>
          <t>Amitriptyline 10 mg HS</t>
        </is>
      </c>
      <c r="F67" s="18" t="inlineStr">
        <is>
          <t>Lorazepam 1 mg HS</t>
        </is>
      </c>
      <c r="G67" s="18" t="inlineStr">
        <is>
          <t>Alprazolam 0.5 mg HS</t>
        </is>
      </c>
      <c r="H67" s="18" t="inlineStr">
        <is>
          <t>Diazepam 5 mg HS</t>
        </is>
      </c>
      <c r="I67" s="15" t="inlineStr">
        <is>
          <t>1</t>
        </is>
      </c>
      <c r="J67" s="18"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8" t="inlineStr"/>
      <c r="L67" s="18" t="inlineStr">
        <is>
          <t>Insomnia</t>
        </is>
      </c>
      <c r="M67" s="18" t="inlineStr">
        <is>
          <t>Clinic</t>
        </is>
      </c>
      <c r="N67" s="18" t="inlineStr">
        <is>
          <t>ข้อ 5 (PLE_CC1_2547.md)</t>
        </is>
      </c>
      <c r="O67" s="18" t="inlineStr">
        <is>
          <t>ข้อสอบจริง</t>
        </is>
      </c>
      <c r="P67" s="18" t="inlineStr">
        <is>
          <t>ปี 2547</t>
        </is>
      </c>
    </row>
    <row r="68">
      <c r="A68" s="15" t="inlineStr">
        <is>
          <t>66</t>
        </is>
      </c>
      <c r="B68" s="18"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18" t="inlineStr"/>
      <c r="D68" s="18" t="inlineStr">
        <is>
          <t>Sibutramine, Lorcaserin</t>
        </is>
      </c>
      <c r="E68" s="18" t="inlineStr">
        <is>
          <t>Rimonabant, Orlistat</t>
        </is>
      </c>
      <c r="F68" s="18" t="inlineStr">
        <is>
          <t>Phentermine, Orlistat</t>
        </is>
      </c>
      <c r="G68" s="18" t="inlineStr">
        <is>
          <t>Rimonabant, Lorcaserin</t>
        </is>
      </c>
      <c r="H68" s="18"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15" t="inlineStr">
        <is>
          <t>1</t>
        </is>
      </c>
      <c r="J68" s="18" t="inlineStr">
        <is>
          <t>✅ คำตอบที่ถูกต้อง: ข้อ ก. Sibutramine, Lorcaserin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Sibutramine, Lorcaserin การเลือก Sibutramine, Lorcaserin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(Rimonabant, Orlistat): ข้อนี้ไม่ใช่คำตอบที่ถูกต้องสำหรับภาวะ Anxiety/depression เนื่องจากกลไกการออกฤทธิ์, efficacy หรือข้อบ่งใช้ไม่ตรงกับโจทย์ที่กำหนด
• ข้อ ค. (Phentermine, Orlistat): ข้อนี้ไม่ใช่คำตอบที่ถูกต้องสำหรับภาวะ Anxiety/depression เนื่องจากกลไกการออกฤทธิ์, efficacy หรือข้อบ่งใช้ไม่ตรงกับโจทย์ที่กำหนด
• ข้อ ง. (Rimonabant, Lorcaserin): ข้อนี้ไม่ใช่คำตอบที่ถูกต้องสำหรับภาวะ Anxiety/depression เนื่องจากกลไกการออกฤทธิ์, efficacy หรือข้อบ่งใช้ไม่ตรงกับโจทย์ที่กำหนด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8" s="18" t="inlineStr"/>
      <c r="L68" s="18" t="inlineStr">
        <is>
          <t>Anxiety/depression</t>
        </is>
      </c>
      <c r="M68" s="18" t="inlineStr">
        <is>
          <t>Clinic</t>
        </is>
      </c>
      <c r="N68" s="18" t="inlineStr">
        <is>
          <t>ข้อ 39 (PLE_CC1_Practice_Exam.md)</t>
        </is>
      </c>
      <c r="O68" s="18" t="inlineStr">
        <is>
          <t>Mock</t>
        </is>
      </c>
      <c r="P68" s="18" t="inlineStr">
        <is>
          <t>Mock สภาเภสัชฯ Practice</t>
        </is>
      </c>
    </row>
    <row r="69">
      <c r="A69" s="15" t="inlineStr">
        <is>
          <t>67</t>
        </is>
      </c>
      <c r="B69" s="18"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18" t="inlineStr"/>
      <c r="D69" s="18" t="inlineStr">
        <is>
          <t>Nicotine gum 2 mg PRN</t>
        </is>
      </c>
      <c r="E69" s="18" t="inlineStr">
        <is>
          <t>Quetiapine 25 mg HS</t>
        </is>
      </c>
      <c r="F69" s="18" t="inlineStr">
        <is>
          <t>Risperidone 2 mg OD</t>
        </is>
      </c>
      <c r="G69" s="18" t="inlineStr">
        <is>
          <t>Fluoxetine 20 mg OD</t>
        </is>
      </c>
      <c r="H69" s="18" t="inlineStr">
        <is>
          <t>Sertraline 50 mg OD</t>
        </is>
      </c>
      <c r="I69" s="15" t="inlineStr">
        <is>
          <t>1</t>
        </is>
      </c>
      <c r="J69" s="18"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18" t="inlineStr"/>
      <c r="L69" s="18" t="inlineStr">
        <is>
          <t>Anxiety/depression</t>
        </is>
      </c>
      <c r="M69" s="18" t="inlineStr">
        <is>
          <t>Clinic</t>
        </is>
      </c>
      <c r="N69" s="18" t="inlineStr">
        <is>
          <t>ข้อ 39 (PLE_CC1_Practice_Exam.md)</t>
        </is>
      </c>
      <c r="O69" s="18" t="inlineStr">
        <is>
          <t>Mock</t>
        </is>
      </c>
      <c r="P69" s="18" t="inlineStr">
        <is>
          <t>Mock สภาเภสัชฯ Practice</t>
        </is>
      </c>
    </row>
    <row r="70">
      <c r="A70" s="15" t="inlineStr">
        <is>
          <t>68</t>
        </is>
      </c>
      <c r="B70" s="18"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18" t="inlineStr"/>
      <c r="D70" s="18" t="inlineStr">
        <is>
          <t>Fluoxetine 20 mg OD</t>
        </is>
      </c>
      <c r="E70" s="18" t="inlineStr">
        <is>
          <t>Sertraline 50 mg OD</t>
        </is>
      </c>
      <c r="F70" s="18" t="inlineStr">
        <is>
          <t>Escitalopram 10 mg OD</t>
        </is>
      </c>
      <c r="G70" s="18" t="inlineStr">
        <is>
          <t>Venlafaxine 75 mg OD</t>
        </is>
      </c>
      <c r="H70" s="18" t="inlineStr">
        <is>
          <t>Amitriptyline 10 mg HS</t>
        </is>
      </c>
      <c r="I70" s="15" t="inlineStr">
        <is>
          <t>1</t>
        </is>
      </c>
      <c r="J70" s="18"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0" s="18" t="inlineStr"/>
      <c r="L70" s="18" t="inlineStr">
        <is>
          <t>Anxiety/depression</t>
        </is>
      </c>
      <c r="M70" s="18" t="inlineStr">
        <is>
          <t>Clinic</t>
        </is>
      </c>
      <c r="N70" s="18" t="inlineStr">
        <is>
          <t>ข้อ 5 (PLE_CC1_Practice_Exam.md)</t>
        </is>
      </c>
      <c r="O70" s="18" t="inlineStr">
        <is>
          <t>Mock</t>
        </is>
      </c>
      <c r="P70" s="18" t="inlineStr">
        <is>
          <t>Mock สภาเภสัชฯ Practice</t>
        </is>
      </c>
    </row>
    <row r="71">
      <c r="A71" s="15" t="inlineStr">
        <is>
          <t>69</t>
        </is>
      </c>
      <c r="B71" s="18" t="inlineStr">
        <is>
          <t>ยาในข้อใดใช้เพื่อรักษา Benzodiazepine overdose</t>
        </is>
      </c>
      <c r="C71" s="18" t="inlineStr"/>
      <c r="D71" s="18" t="inlineStr">
        <is>
          <t>Venlafaxine 75 mg OD</t>
        </is>
      </c>
      <c r="E71" s="18" t="inlineStr">
        <is>
          <t>Amitriptyline 10 mg HS</t>
        </is>
      </c>
      <c r="F71" s="18" t="inlineStr">
        <is>
          <t>Lorazepam 1 mg HS</t>
        </is>
      </c>
      <c r="G71" s="18" t="inlineStr">
        <is>
          <t>Alprazolam 0.5 mg HS</t>
        </is>
      </c>
      <c r="H71" s="18" t="inlineStr">
        <is>
          <t>Diazepam 5 mg HS</t>
        </is>
      </c>
      <c r="I71" s="15" t="inlineStr">
        <is>
          <t>1</t>
        </is>
      </c>
      <c r="J71" s="18"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18" t="inlineStr"/>
      <c r="L71" s="18" t="inlineStr">
        <is>
          <t>Anxiety/depression</t>
        </is>
      </c>
      <c r="M71" s="18" t="inlineStr">
        <is>
          <t>Clinic</t>
        </is>
      </c>
      <c r="N71" s="18" t="inlineStr">
        <is>
          <t>ข้อ 16 (PLE_CC1_Practice_Exam.md)</t>
        </is>
      </c>
      <c r="O71" s="18" t="inlineStr">
        <is>
          <t>Mock</t>
        </is>
      </c>
      <c r="P71" s="18" t="inlineStr">
        <is>
          <t>Mock สภาเภสัชฯ Practice</t>
        </is>
      </c>
    </row>
    <row r="72">
      <c r="A72" s="15" t="inlineStr">
        <is>
          <t>70</t>
        </is>
      </c>
      <c r="B72" s="18" t="inlineStr">
        <is>
          <t>การใช้ Nicotine patch ในผู้ป่วยที่สูบบุหรี่ 15 มวนต่อวัน ข้อใดเหมาะสมที่สุด</t>
        </is>
      </c>
      <c r="C72" s="18" t="inlineStr"/>
      <c r="D72" s="18" t="inlineStr">
        <is>
          <t>Alprazolam 0.5 mg HS</t>
        </is>
      </c>
      <c r="E72" s="18" t="inlineStr">
        <is>
          <t>Diazepam 5 mg HS</t>
        </is>
      </c>
      <c r="F72" s="18" t="inlineStr">
        <is>
          <t>Zolpidem 10 mg HS</t>
        </is>
      </c>
      <c r="G72" s="18" t="inlineStr">
        <is>
          <t>Nicotine gum 2 mg PRN</t>
        </is>
      </c>
      <c r="H72" s="18" t="inlineStr">
        <is>
          <t>Quetiapine 25 mg HS</t>
        </is>
      </c>
      <c r="I72" s="15" t="inlineStr">
        <is>
          <t>1</t>
        </is>
      </c>
      <c r="J72" s="18"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8" t="inlineStr"/>
      <c r="L72" s="18" t="inlineStr">
        <is>
          <t>Tobacco dependence</t>
        </is>
      </c>
      <c r="M72" s="18" t="inlineStr">
        <is>
          <t>Clinic</t>
        </is>
      </c>
      <c r="N72" s="18" t="inlineStr">
        <is>
          <t>ข้อ 18 (PLE_CC1_Practice_Exam.md)</t>
        </is>
      </c>
      <c r="O72" s="18" t="inlineStr">
        <is>
          <t>Mock</t>
        </is>
      </c>
      <c r="P72" s="18" t="inlineStr">
        <is>
          <t>Mock สภาเภสัชฯ Practice</t>
        </is>
      </c>
    </row>
    <row r="73">
      <c r="A73" s="15" t="inlineStr">
        <is>
          <t>71</t>
        </is>
      </c>
      <c r="B73" s="18" t="inlineStr">
        <is>
          <t>ข้อใดไม่ใช่ยาที่แนะนำให้ใช้ในผู้ป่วยที่ต้องการเลิกบุหรี่</t>
        </is>
      </c>
      <c r="C73" s="18" t="inlineStr"/>
      <c r="D73" s="18" t="inlineStr">
        <is>
          <t>Nicotine gum 2 mg PRN</t>
        </is>
      </c>
      <c r="E73" s="18" t="inlineStr">
        <is>
          <t>Quetiapine 25 mg HS</t>
        </is>
      </c>
      <c r="F73" s="18" t="inlineStr">
        <is>
          <t>Risperidone 2 mg OD</t>
        </is>
      </c>
      <c r="G73" s="18" t="inlineStr">
        <is>
          <t>Fluoxetine 20 mg OD</t>
        </is>
      </c>
      <c r="H73" s="18" t="inlineStr">
        <is>
          <t>Sertraline 50 mg OD</t>
        </is>
      </c>
      <c r="I73" s="15" t="inlineStr">
        <is>
          <t>1</t>
        </is>
      </c>
      <c r="J73" s="18"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8" t="inlineStr"/>
      <c r="L73" s="18" t="inlineStr">
        <is>
          <t>Tobacco dependence</t>
        </is>
      </c>
      <c r="M73" s="18" t="inlineStr">
        <is>
          <t>Clinic</t>
        </is>
      </c>
      <c r="N73" s="18" t="inlineStr">
        <is>
          <t>ข้อ 20 (PLE_CC1_Practice_Exam.md)</t>
        </is>
      </c>
      <c r="O73" s="18" t="inlineStr">
        <is>
          <t>Mock</t>
        </is>
      </c>
      <c r="P73" s="18" t="inlineStr">
        <is>
          <t>Mock สภาเภสัชฯ Practice</t>
        </is>
      </c>
    </row>
    <row r="74">
      <c r="A74" s="15" t="inlineStr">
        <is>
          <t>72</t>
        </is>
      </c>
      <c r="B74" s="18"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18" t="inlineStr"/>
      <c r="D74" s="18" t="inlineStr">
        <is>
          <t>Fluoxetine 20 mg OD</t>
        </is>
      </c>
      <c r="E74" s="18" t="inlineStr">
        <is>
          <t>Sertraline 50 mg OD</t>
        </is>
      </c>
      <c r="F74" s="18" t="inlineStr">
        <is>
          <t>Escitalopram 10 mg OD</t>
        </is>
      </c>
      <c r="G74" s="18" t="inlineStr">
        <is>
          <t>Venlafaxine 75 mg OD</t>
        </is>
      </c>
      <c r="H74" s="18" t="inlineStr">
        <is>
          <t>Amitriptyline 10 mg HS</t>
        </is>
      </c>
      <c r="I74" s="15" t="inlineStr">
        <is>
          <t>1</t>
        </is>
      </c>
      <c r="J74" s="18"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4" s="18" t="inlineStr"/>
      <c r="L74" s="18" t="inlineStr">
        <is>
          <t>Anxiety/depression</t>
        </is>
      </c>
      <c r="M74" s="18" t="inlineStr">
        <is>
          <t>Clinic</t>
        </is>
      </c>
      <c r="N74" s="18" t="inlineStr">
        <is>
          <t>ข้อ 21 (PLE_CC1_Practice_Exam.md)</t>
        </is>
      </c>
      <c r="O74" s="18" t="inlineStr">
        <is>
          <t>Mock</t>
        </is>
      </c>
      <c r="P74" s="18" t="inlineStr">
        <is>
          <t>Mock สภาเภสัชฯ Practice</t>
        </is>
      </c>
    </row>
    <row r="75">
      <c r="A75" s="15" t="inlineStr">
        <is>
          <t>73</t>
        </is>
      </c>
      <c r="B75" s="18"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18" t="inlineStr"/>
      <c r="D75" s="18" t="inlineStr">
        <is>
          <t>Venlafaxine 75 mg OD</t>
        </is>
      </c>
      <c r="E75" s="18" t="inlineStr">
        <is>
          <t>Amitriptyline 10 mg HS</t>
        </is>
      </c>
      <c r="F75" s="18" t="inlineStr">
        <is>
          <t>Lorazepam 1 mg HS</t>
        </is>
      </c>
      <c r="G75" s="18" t="inlineStr">
        <is>
          <t>Alprazolam 0.5 mg HS</t>
        </is>
      </c>
      <c r="H75" s="18" t="inlineStr">
        <is>
          <t>Diazepam 5 mg HS</t>
        </is>
      </c>
      <c r="I75" s="15" t="inlineStr">
        <is>
          <t>1</t>
        </is>
      </c>
      <c r="J75" s="18"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8" t="inlineStr"/>
      <c r="L75" s="18" t="inlineStr">
        <is>
          <t>Tobacco dependence</t>
        </is>
      </c>
      <c r="M75" s="18" t="inlineStr">
        <is>
          <t>Clinic</t>
        </is>
      </c>
      <c r="N75" s="18" t="inlineStr">
        <is>
          <t>ข้อ 22 (PLE_CC1_Practice_Exam.md)</t>
        </is>
      </c>
      <c r="O75" s="18" t="inlineStr">
        <is>
          <t>Mock</t>
        </is>
      </c>
      <c r="P75" s="18" t="inlineStr">
        <is>
          <t>Mock สภาเภสัชฯ Practice</t>
        </is>
      </c>
    </row>
    <row r="76">
      <c r="A76" s="15" t="inlineStr">
        <is>
          <t>74</t>
        </is>
      </c>
      <c r="B76" s="18" t="inlineStr">
        <is>
          <t>ผู้ป่วยที่ไม่ควรได้รับ Varenicline ในการช่วยเลิกบุหรี่ คือข้อใด</t>
        </is>
      </c>
      <c r="C76" s="18" t="inlineStr"/>
      <c r="D76" s="18" t="inlineStr">
        <is>
          <t>Alprazolam 0.5 mg HS</t>
        </is>
      </c>
      <c r="E76" s="18" t="inlineStr">
        <is>
          <t>Diazepam 5 mg HS</t>
        </is>
      </c>
      <c r="F76" s="18" t="inlineStr">
        <is>
          <t>Zolpidem 10 mg HS</t>
        </is>
      </c>
      <c r="G76" s="18" t="inlineStr">
        <is>
          <t>Nicotine gum 2 mg PRN</t>
        </is>
      </c>
      <c r="H76" s="18" t="inlineStr">
        <is>
          <t>Quetiapine 25 mg HS</t>
        </is>
      </c>
      <c r="I76" s="15" t="inlineStr">
        <is>
          <t>1</t>
        </is>
      </c>
      <c r="J76" s="18"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8" t="inlineStr"/>
      <c r="L76" s="18" t="inlineStr">
        <is>
          <t>Tobacco dependence</t>
        </is>
      </c>
      <c r="M76" s="18" t="inlineStr">
        <is>
          <t>Clinic</t>
        </is>
      </c>
      <c r="N76" s="18" t="inlineStr">
        <is>
          <t>ข้อ 23 (PLE_CC1_Practice_Exam.md)</t>
        </is>
      </c>
      <c r="O76" s="18" t="inlineStr">
        <is>
          <t>Mock</t>
        </is>
      </c>
      <c r="P76" s="18" t="inlineStr">
        <is>
          <t>Mock สภาเภสัชฯ Practice</t>
        </is>
      </c>
    </row>
    <row r="77">
      <c r="A77" s="15" t="inlineStr">
        <is>
          <t>75</t>
        </is>
      </c>
      <c r="B77" s="18"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18" t="inlineStr"/>
      <c r="D77" s="18" t="inlineStr">
        <is>
          <t>Nicotine gum 2 mg PRN</t>
        </is>
      </c>
      <c r="E77" s="18" t="inlineStr">
        <is>
          <t>Quetiapine 25 mg HS</t>
        </is>
      </c>
      <c r="F77" s="18" t="inlineStr">
        <is>
          <t>Risperidone 2 mg OD</t>
        </is>
      </c>
      <c r="G77" s="18" t="inlineStr">
        <is>
          <t>Fluoxetine 20 mg OD</t>
        </is>
      </c>
      <c r="H77" s="18" t="inlineStr">
        <is>
          <t>Sertraline 50 mg OD</t>
        </is>
      </c>
      <c r="I77" s="15" t="inlineStr">
        <is>
          <t>1</t>
        </is>
      </c>
      <c r="J77" s="18"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7" s="18" t="inlineStr"/>
      <c r="L77" s="18" t="inlineStr">
        <is>
          <t>Anxiety/depression</t>
        </is>
      </c>
      <c r="M77" s="18" t="inlineStr">
        <is>
          <t>Clinic</t>
        </is>
      </c>
      <c r="N77" s="18" t="inlineStr">
        <is>
          <t>ข้อ 1 (PLE_CC1_Practice_Exam.md)</t>
        </is>
      </c>
      <c r="O77" s="18" t="inlineStr">
        <is>
          <t>Mock</t>
        </is>
      </c>
      <c r="P77" s="18" t="inlineStr">
        <is>
          <t>Mock สภาเภสัชฯ Practice</t>
        </is>
      </c>
    </row>
    <row r="78">
      <c r="A78" s="15" t="inlineStr">
        <is>
          <t>76</t>
        </is>
      </c>
      <c r="B78" s="18"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18" t="inlineStr"/>
      <c r="D78" s="18" t="inlineStr">
        <is>
          <t>Fluoxetine 20 mg OD</t>
        </is>
      </c>
      <c r="E78" s="18" t="inlineStr">
        <is>
          <t>Sertraline 50 mg OD</t>
        </is>
      </c>
      <c r="F78" s="18" t="inlineStr">
        <is>
          <t>Escitalopram 10 mg OD</t>
        </is>
      </c>
      <c r="G78" s="18" t="inlineStr">
        <is>
          <t>Venlafaxine 75 mg OD</t>
        </is>
      </c>
      <c r="H78" s="18" t="inlineStr">
        <is>
          <t>Amitriptyline 10 mg HS</t>
        </is>
      </c>
      <c r="I78" s="15" t="inlineStr">
        <is>
          <t>1</t>
        </is>
      </c>
      <c r="J78" s="18"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8" s="18" t="inlineStr"/>
      <c r="L78" s="18" t="inlineStr">
        <is>
          <t>Insomnia</t>
        </is>
      </c>
      <c r="M78" s="18" t="inlineStr">
        <is>
          <t>Clinic</t>
        </is>
      </c>
      <c r="N78" s="18" t="inlineStr">
        <is>
          <t>ข้อ 5 (PLE_CC1_Practice_Exam.md)</t>
        </is>
      </c>
      <c r="O78" s="18" t="inlineStr">
        <is>
          <t>Mock</t>
        </is>
      </c>
      <c r="P78" s="18" t="inlineStr">
        <is>
          <t>Mock สภาเภสัชฯ Practice</t>
        </is>
      </c>
    </row>
    <row r="79">
      <c r="A79" s="15" t="inlineStr">
        <is>
          <t>77</t>
        </is>
      </c>
      <c r="B79" s="18" t="inlineStr">
        <is>
          <t>กลไกการออกฤทธิ์ของยากลุ่ม Benzodiazepines คือข้อใด</t>
        </is>
      </c>
      <c r="C79" s="18" t="inlineStr"/>
      <c r="D79" s="18" t="inlineStr">
        <is>
          <t>. กระตุ้น 5-HT receptor</t>
        </is>
      </c>
      <c r="E79" s="18" t="inlineStr">
        <is>
          <t>. กระตุ้น Dopamine receptor</t>
        </is>
      </c>
      <c r="F79" s="18"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18" t="inlineStr">
        <is>
          <t>. กระตุ้น Glutamate receptor</t>
        </is>
      </c>
      <c r="H79" s="18" t="inlineStr">
        <is>
          <t>Diazepam 5 mg HS</t>
        </is>
      </c>
      <c r="I79" s="15" t="inlineStr">
        <is>
          <t>1</t>
        </is>
      </c>
      <c r="J79" s="18" t="inlineStr">
        <is>
          <t>✅ คำตอบที่ถูกต้อง: ข้อ ก. . กระตุ้น 5-HT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 กระตุ้น 5-HT receptor การเลือก . กระตุ้น 5-HT receptor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ข้อ ง. (.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9" s="18" t="inlineStr"/>
      <c r="L79" s="18" t="inlineStr">
        <is>
          <t>Anxiety/depression</t>
        </is>
      </c>
      <c r="M79" s="18" t="inlineStr">
        <is>
          <t>Clinic</t>
        </is>
      </c>
      <c r="N79" s="18" t="inlineStr">
        <is>
          <t>ข้อ 26 (PLE_CC1_Practice_Exam.md)</t>
        </is>
      </c>
      <c r="O79" s="18" t="inlineStr">
        <is>
          <t>Mock</t>
        </is>
      </c>
      <c r="P79" s="18" t="inlineStr">
        <is>
          <t>Mock สภาเภสัชฯ Practice</t>
        </is>
      </c>
    </row>
    <row r="80">
      <c r="A80" s="15" t="inlineStr">
        <is>
          <t>78</t>
        </is>
      </c>
      <c r="B80" s="18" t="inlineStr">
        <is>
          <t>Haloperidol 32.ข้อใดต่อไปนี้ ไม่ใช่ อาการไม่พึงประสงค์ของยากลุ่ม Benzodiazepines</t>
        </is>
      </c>
      <c r="C80" s="18" t="inlineStr"/>
      <c r="D80" s="18" t="inlineStr">
        <is>
          <t>Alprazolam 0.5 mg HS</t>
        </is>
      </c>
      <c r="E80" s="18" t="inlineStr">
        <is>
          <t>Diazepam 5 mg HS</t>
        </is>
      </c>
      <c r="F80" s="18" t="inlineStr">
        <is>
          <t>Zolpidem 10 mg HS</t>
        </is>
      </c>
      <c r="G80" s="18" t="inlineStr">
        <is>
          <t>Nicotine gum 2 mg PRN</t>
        </is>
      </c>
      <c r="H80" s="18" t="inlineStr">
        <is>
          <t>Quetiapine 25 mg HS</t>
        </is>
      </c>
      <c r="I80" s="15" t="inlineStr">
        <is>
          <t>1</t>
        </is>
      </c>
      <c r="J80" s="18"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0" s="18" t="inlineStr"/>
      <c r="L80" s="18" t="inlineStr">
        <is>
          <t>Anxiety/depression</t>
        </is>
      </c>
      <c r="M80" s="18" t="inlineStr">
        <is>
          <t>Clinic</t>
        </is>
      </c>
      <c r="N80" s="18" t="inlineStr">
        <is>
          <t>ข้อ 5 (PLE_CC1_Practice_Exam.md)</t>
        </is>
      </c>
      <c r="O80" s="18" t="inlineStr">
        <is>
          <t>Mock</t>
        </is>
      </c>
      <c r="P80" s="18" t="inlineStr">
        <is>
          <t>Mock สภาเภสัชฯ Practice</t>
        </is>
      </c>
    </row>
    <row r="81">
      <c r="A81" s="15" t="inlineStr">
        <is>
          <t>79</t>
        </is>
      </c>
      <c r="B81" s="18" t="inlineStr">
        <is>
          <t>Cognitive imparement Depression</t>
        </is>
      </c>
      <c r="C81" s="18" t="inlineStr"/>
      <c r="D81" s="18" t="inlineStr">
        <is>
          <t>Nicotine gum 2 mg PRN</t>
        </is>
      </c>
      <c r="E81" s="18" t="inlineStr">
        <is>
          <t>Quetiapine 25 mg HS</t>
        </is>
      </c>
      <c r="F81" s="18" t="inlineStr">
        <is>
          <t>Risperidone 2 mg OD</t>
        </is>
      </c>
      <c r="G81" s="18" t="inlineStr">
        <is>
          <t>Fluoxetine 20 mg OD</t>
        </is>
      </c>
      <c r="H81" s="18" t="inlineStr">
        <is>
          <t>Sertraline 50 mg OD</t>
        </is>
      </c>
      <c r="I81" s="15" t="inlineStr">
        <is>
          <t>1</t>
        </is>
      </c>
      <c r="J81" s="18"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1" s="18" t="inlineStr"/>
      <c r="L81" s="18" t="inlineStr">
        <is>
          <t>Anxiety/depression</t>
        </is>
      </c>
      <c r="M81" s="18" t="inlineStr">
        <is>
          <t>Clinic</t>
        </is>
      </c>
      <c r="N81" s="18" t="inlineStr">
        <is>
          <t>ข้อ 5 (PLE_CC1_Practice_Exam.md)</t>
        </is>
      </c>
      <c r="O81" s="18" t="inlineStr">
        <is>
          <t>Mock</t>
        </is>
      </c>
      <c r="P81" s="18" t="inlineStr">
        <is>
          <t>Mock สภาเภสัชฯ Practice</t>
        </is>
      </c>
    </row>
    <row r="82">
      <c r="A82" s="15" t="inlineStr">
        <is>
          <t>80</t>
        </is>
      </c>
      <c r="B82" s="18"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18" t="inlineStr"/>
      <c r="D82" s="18" t="inlineStr">
        <is>
          <t>Fluoxetine 20 mg OD</t>
        </is>
      </c>
      <c r="E82" s="18" t="inlineStr">
        <is>
          <t>Sertraline 50 mg OD</t>
        </is>
      </c>
      <c r="F82" s="18" t="inlineStr">
        <is>
          <t>Escitalopram 10 mg OD</t>
        </is>
      </c>
      <c r="G82" s="18" t="inlineStr">
        <is>
          <t>Venlafaxine 75 mg OD</t>
        </is>
      </c>
      <c r="H82" s="18" t="inlineStr">
        <is>
          <t>Amitriptyline 10 mg HS</t>
        </is>
      </c>
      <c r="I82" s="15" t="inlineStr">
        <is>
          <t>1</t>
        </is>
      </c>
      <c r="J82" s="18"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2" s="18" t="inlineStr"/>
      <c r="L82" s="18" t="inlineStr">
        <is>
          <t>Anxiety/depression</t>
        </is>
      </c>
      <c r="M82" s="18" t="inlineStr">
        <is>
          <t>Clinic</t>
        </is>
      </c>
      <c r="N82" s="18" t="inlineStr">
        <is>
          <t>ข้อ 33 (PLE_CC1_Practice_Exam.md)</t>
        </is>
      </c>
      <c r="O82" s="18" t="inlineStr">
        <is>
          <t>Mock</t>
        </is>
      </c>
      <c r="P82" s="18" t="inlineStr">
        <is>
          <t>Mock สภาเภสัชฯ Practice</t>
        </is>
      </c>
    </row>
    <row r="83">
      <c r="A83" s="15" t="inlineStr">
        <is>
          <t>81</t>
        </is>
      </c>
      <c r="B83" s="18" t="inlineStr">
        <is>
          <t>ยาในกลุ่ม SSRIs ตัวใดที่หลังหยุดยาแล้วยังมีโอกาสเกิด serotonin syndrome ได้ หากรีบเพิ่มยาอื่นที่ เพิ่มระดับ serotonin ได้</t>
        </is>
      </c>
      <c r="C83" s="18" t="inlineStr"/>
      <c r="D83" s="18" t="inlineStr">
        <is>
          <t>Venlafaxine 75 mg OD</t>
        </is>
      </c>
      <c r="E83" s="18" t="inlineStr">
        <is>
          <t>Amitriptyline 10 mg HS</t>
        </is>
      </c>
      <c r="F83" s="18" t="inlineStr">
        <is>
          <t>Lorazepam 1 mg HS</t>
        </is>
      </c>
      <c r="G83" s="18" t="inlineStr">
        <is>
          <t>Alprazolam 0.5 mg HS</t>
        </is>
      </c>
      <c r="H83" s="18" t="inlineStr">
        <is>
          <t>Diazepam 5 mg HS</t>
        </is>
      </c>
      <c r="I83" s="15" t="inlineStr">
        <is>
          <t>1</t>
        </is>
      </c>
      <c r="J83" s="18"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3" s="18" t="inlineStr"/>
      <c r="L83" s="18" t="inlineStr">
        <is>
          <t>Anxiety/depression</t>
        </is>
      </c>
      <c r="M83" s="18" t="inlineStr">
        <is>
          <t>Clinic</t>
        </is>
      </c>
      <c r="N83" s="18" t="inlineStr">
        <is>
          <t>ข้อ 38 (PLE_CC1_Practice_Exam.md)</t>
        </is>
      </c>
      <c r="O83" s="18" t="inlineStr">
        <is>
          <t>Mock</t>
        </is>
      </c>
      <c r="P83" s="18" t="inlineStr">
        <is>
          <t>Mock สภาเภสัชฯ Practice</t>
        </is>
      </c>
    </row>
    <row r="84">
      <c r="A84" s="15" t="inlineStr">
        <is>
          <t>82</t>
        </is>
      </c>
      <c r="B84" s="18"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18" t="inlineStr"/>
      <c r="D84" s="18" t="inlineStr">
        <is>
          <t>Alprazolam 0.5 mg HS</t>
        </is>
      </c>
      <c r="E84" s="18" t="inlineStr">
        <is>
          <t>Diazepam 5 mg HS</t>
        </is>
      </c>
      <c r="F84" s="18" t="inlineStr">
        <is>
          <t>Zolpidem 10 mg HS</t>
        </is>
      </c>
      <c r="G84" s="18" t="inlineStr">
        <is>
          <t>Nicotine gum 2 mg PRN</t>
        </is>
      </c>
      <c r="H84" s="18" t="inlineStr">
        <is>
          <t>Quetiapine 25 mg HS</t>
        </is>
      </c>
      <c r="I84" s="15" t="inlineStr">
        <is>
          <t>1</t>
        </is>
      </c>
      <c r="J84" s="18"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18" t="inlineStr"/>
      <c r="L84" s="18" t="inlineStr">
        <is>
          <t>Insomnia</t>
        </is>
      </c>
      <c r="M84" s="18" t="inlineStr">
        <is>
          <t>Clinic</t>
        </is>
      </c>
      <c r="N84" s="18" t="inlineStr">
        <is>
          <t>ข้อ 39 (PLE_CC1_Practice_Exam.md)</t>
        </is>
      </c>
      <c r="O84" s="18" t="inlineStr">
        <is>
          <t>Mock</t>
        </is>
      </c>
      <c r="P84" s="18" t="inlineStr">
        <is>
          <t>Mock สภาเภสัชฯ Practice</t>
        </is>
      </c>
    </row>
    <row r="85">
      <c r="A85" s="15" t="inlineStr">
        <is>
          <t>83</t>
        </is>
      </c>
      <c r="B85" s="18"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18" t="inlineStr"/>
      <c r="D85" s="18" t="inlineStr">
        <is>
          <t>Nicotine gum 2 mg PRN</t>
        </is>
      </c>
      <c r="E85" s="18" t="inlineStr">
        <is>
          <t>Quetiapine 25 mg HS</t>
        </is>
      </c>
      <c r="F85" s="18" t="inlineStr">
        <is>
          <t>Risperidone 2 mg OD</t>
        </is>
      </c>
      <c r="G85" s="18" t="inlineStr">
        <is>
          <t>Fluoxetine 20 mg OD</t>
        </is>
      </c>
      <c r="H85" s="18" t="inlineStr">
        <is>
          <t>Sertraline 50 mg OD</t>
        </is>
      </c>
      <c r="I85" s="15" t="inlineStr">
        <is>
          <t>1</t>
        </is>
      </c>
      <c r="J85" s="18"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5" s="18" t="inlineStr"/>
      <c r="L85" s="18" t="inlineStr">
        <is>
          <t>Anxiety/depression</t>
        </is>
      </c>
      <c r="M85" s="18" t="inlineStr">
        <is>
          <t>Clinic</t>
        </is>
      </c>
      <c r="N85" s="18" t="inlineStr">
        <is>
          <t>ข้อ 2 (PLE_CC1_Practice_Exam.md)</t>
        </is>
      </c>
      <c r="O85" s="18" t="inlineStr">
        <is>
          <t>Mock</t>
        </is>
      </c>
      <c r="P85" s="18" t="inlineStr">
        <is>
          <t>Mock สภาเภสัชฯ Practice</t>
        </is>
      </c>
    </row>
    <row r="86">
      <c r="A86" s="15" t="inlineStr">
        <is>
          <t>84</t>
        </is>
      </c>
      <c r="B86" s="18"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18" t="inlineStr"/>
      <c r="D86" s="18" t="inlineStr">
        <is>
          <t>Fluoxetine 20 mg OD</t>
        </is>
      </c>
      <c r="E86" s="18" t="inlineStr">
        <is>
          <t>Sertraline 50 mg OD</t>
        </is>
      </c>
      <c r="F86" s="18" t="inlineStr">
        <is>
          <t>Escitalopram 10 mg OD</t>
        </is>
      </c>
      <c r="G86" s="18" t="inlineStr">
        <is>
          <t>Venlafaxine 75 mg OD</t>
        </is>
      </c>
      <c r="H86" s="18" t="inlineStr">
        <is>
          <t>Amitriptyline 10 mg HS</t>
        </is>
      </c>
      <c r="I86" s="15" t="inlineStr">
        <is>
          <t>1</t>
        </is>
      </c>
      <c r="J86" s="18"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6" s="18" t="inlineStr"/>
      <c r="L86" s="18" t="inlineStr">
        <is>
          <t>Tobacco dependence</t>
        </is>
      </c>
      <c r="M86" s="18" t="inlineStr">
        <is>
          <t>Clinic</t>
        </is>
      </c>
      <c r="N86" s="18" t="inlineStr">
        <is>
          <t>ข้อ 4 (PLE_CC1_Practice_Exam.md)</t>
        </is>
      </c>
      <c r="O86" s="18" t="inlineStr">
        <is>
          <t>Mock</t>
        </is>
      </c>
      <c r="P86" s="18" t="inlineStr">
        <is>
          <t>Mock สภาเภสัชฯ Practice</t>
        </is>
      </c>
    </row>
    <row r="87">
      <c r="A87" s="15" t="inlineStr">
        <is>
          <t>85</t>
        </is>
      </c>
      <c r="B87" s="18" t="inlineStr">
        <is>
          <t>Fluoxetine ไม่ควรใช้ เนื่องจากยา 5-HT reuptake inhibitor ซึ่งยาจะเพิ่มระดับของ 5-HT ซึ่ง ทำให้ยามีฤทธิ์เป็น 5-HT2A agonist จึงทำให้ผู้ป่วยเกิดอาการนอนไม่หลับ (insomnia) ได้</t>
        </is>
      </c>
      <c r="C87" s="18" t="inlineStr"/>
      <c r="D87" s="18" t="inlineStr">
        <is>
          <t>Venlafaxine 75 mg OD</t>
        </is>
      </c>
      <c r="E87" s="18" t="inlineStr">
        <is>
          <t>Amitriptyline 10 mg HS</t>
        </is>
      </c>
      <c r="F87" s="18" t="inlineStr">
        <is>
          <t>Lorazepam 1 mg HS</t>
        </is>
      </c>
      <c r="G87" s="18" t="inlineStr">
        <is>
          <t>Alprazolam 0.5 mg HS</t>
        </is>
      </c>
      <c r="H87" s="18" t="inlineStr">
        <is>
          <t>Diazepam 5 mg HS</t>
        </is>
      </c>
      <c r="I87" s="15" t="inlineStr">
        <is>
          <t>1</t>
        </is>
      </c>
      <c r="J87" s="18"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18" t="inlineStr"/>
      <c r="L87" s="18" t="inlineStr">
        <is>
          <t>Anxiety/depression</t>
        </is>
      </c>
      <c r="M87" s="18" t="inlineStr">
        <is>
          <t>Clinic</t>
        </is>
      </c>
      <c r="N87" s="18" t="inlineStr">
        <is>
          <t>ข้อ 1 (PLE_CC1_Practice_Exam.md)</t>
        </is>
      </c>
      <c r="O87" s="18" t="inlineStr">
        <is>
          <t>Mock</t>
        </is>
      </c>
      <c r="P87" s="18" t="inlineStr">
        <is>
          <t>Mock สภาเภสัชฯ Practice</t>
        </is>
      </c>
    </row>
    <row r="88">
      <c r="A88" s="15" t="inlineStr">
        <is>
          <t>86</t>
        </is>
      </c>
      <c r="B88" s="18"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18" t="inlineStr"/>
      <c r="D88" s="18" t="inlineStr">
        <is>
          <t>Clemastine และ Amoxicilllin</t>
        </is>
      </c>
      <c r="E88" s="18"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18" t="inlineStr">
        <is>
          <t>Cetirizine และ Theophylline</t>
        </is>
      </c>
      <c r="G88" s="18" t="inlineStr">
        <is>
          <t>Chlorpheniramine และ Salbutamol inhaler</t>
        </is>
      </c>
      <c r="H88" s="18" t="inlineStr">
        <is>
          <t>Chloramphenicol และ Budesonide spray</t>
        </is>
      </c>
      <c r="I88" s="15" t="inlineStr">
        <is>
          <t>1</t>
        </is>
      </c>
      <c r="J88" s="18" t="inlineStr">
        <is>
          <t>✅ คำตอบที่ถูกต้อง: ข้อ ก. Clemastine และ Amoxicilllin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Clemastine และ Amoxicilllin การเลือก Clemastine และ Amoxicilllin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Insomnia เนื่องจากกลไกการออกฤทธิ์, efficacy หรือข้อบ่งใช้ไม่ตรงกับโจทย์ที่กำหนด
• ข้อ ค. (Cetirizine และ Theophylline): มี narrow therapeutic window (target 5-15 mcg/mL) และ ADR สูง (ใจสั่น คลื่นไส้ ชัก หัวใจเต้นผิดจังหวะ) CPG จึงจัดเป็นเพียงทางเลือกท้ายๆ (alternative)
• ข้อ ง. (Chlorpheniramine และ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(Chloramphenicol และ Budesonide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18" t="inlineStr"/>
      <c r="L88" s="18" t="inlineStr">
        <is>
          <t>Insomnia</t>
        </is>
      </c>
      <c r="M88" s="18" t="inlineStr">
        <is>
          <t>Clinic</t>
        </is>
      </c>
      <c r="N88" s="18" t="inlineStr">
        <is>
          <t>ข้อ 29 (PLE_CC1_Practice_Exam.md)</t>
        </is>
      </c>
      <c r="O88" s="18" t="inlineStr">
        <is>
          <t>Mock</t>
        </is>
      </c>
      <c r="P88" s="18" t="inlineStr">
        <is>
          <t>Mock สภาเภสัชฯ Practice</t>
        </is>
      </c>
    </row>
    <row r="89">
      <c r="A89" s="15" t="inlineStr">
        <is>
          <t>87</t>
        </is>
      </c>
      <c r="B89" s="18" t="inlineStr">
        <is>
          <t>หลักทั่วไปในการใช้ยาต้านอาการซึมเศร้า</t>
        </is>
      </c>
      <c r="C89" s="18" t="inlineStr"/>
      <c r="D89" s="18" t="inlineStr">
        <is>
          <t>Nicotine gum 2 mg PRN</t>
        </is>
      </c>
      <c r="E89" s="18" t="inlineStr">
        <is>
          <t>Quetiapine 25 mg HS</t>
        </is>
      </c>
      <c r="F89" s="18" t="inlineStr">
        <is>
          <t>Risperidone 2 mg OD</t>
        </is>
      </c>
      <c r="G89" s="18" t="inlineStr">
        <is>
          <t>Fluoxetine 20 mg OD</t>
        </is>
      </c>
      <c r="H89" s="18" t="inlineStr">
        <is>
          <t>Sertraline 50 mg OD</t>
        </is>
      </c>
      <c r="I89" s="15" t="inlineStr">
        <is>
          <t>1</t>
        </is>
      </c>
      <c r="J89" s="18"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9" s="18" t="inlineStr"/>
      <c r="L89" s="18" t="inlineStr">
        <is>
          <t>Anxiety/depression</t>
        </is>
      </c>
      <c r="M89" s="18" t="inlineStr">
        <is>
          <t>Clinic</t>
        </is>
      </c>
      <c r="N89" s="18" t="inlineStr">
        <is>
          <t>ข้อ 36 (PLE_CC1_Key_Rx20_UBU.md)</t>
        </is>
      </c>
      <c r="O89" s="18" t="inlineStr">
        <is>
          <t>Mock</t>
        </is>
      </c>
      <c r="P89" s="18" t="inlineStr">
        <is>
          <t>Mock Rx20 UBU</t>
        </is>
      </c>
    </row>
    <row r="90">
      <c r="A90" s="15" t="inlineStr">
        <is>
          <t>88</t>
        </is>
      </c>
      <c r="B90" s="18" t="inlineStr">
        <is>
          <t>Benzodiazepine เป็นยาตัวแรกที่แนะนำให้ใช้ในผู้ป่วย Depression + Insomnia</t>
        </is>
      </c>
      <c r="C90" s="18" t="inlineStr"/>
      <c r="D90" s="18" t="inlineStr">
        <is>
          <t>Fluoxetine 20 mg OD</t>
        </is>
      </c>
      <c r="E90" s="18" t="inlineStr">
        <is>
          <t>Sertraline 50 mg OD</t>
        </is>
      </c>
      <c r="F90" s="18" t="inlineStr">
        <is>
          <t>Escitalopram 10 mg OD</t>
        </is>
      </c>
      <c r="G90" s="18" t="inlineStr">
        <is>
          <t>Venlafaxine 75 mg OD</t>
        </is>
      </c>
      <c r="H90" s="18" t="inlineStr">
        <is>
          <t>Amitriptyline 10 mg HS</t>
        </is>
      </c>
      <c r="I90" s="15" t="inlineStr">
        <is>
          <t>1</t>
        </is>
      </c>
      <c r="J90" s="18"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0" s="18" t="inlineStr"/>
      <c r="L90" s="18" t="inlineStr">
        <is>
          <t>Anxiety/depression</t>
        </is>
      </c>
      <c r="M90" s="18" t="inlineStr">
        <is>
          <t>Clinic</t>
        </is>
      </c>
      <c r="N90" s="18" t="inlineStr">
        <is>
          <t>ข้อ 1 (PLE_CC1_Key_Rx20_UBU.md)</t>
        </is>
      </c>
      <c r="O90" s="18" t="inlineStr">
        <is>
          <t>Mock</t>
        </is>
      </c>
      <c r="P90" s="18" t="inlineStr">
        <is>
          <t>Mock Rx20 UBU</t>
        </is>
      </c>
    </row>
    <row r="91">
      <c r="A91" s="15" t="inlineStr">
        <is>
          <t>89</t>
        </is>
      </c>
      <c r="B91" s="18" t="inlineStr">
        <is>
          <t>ตารางประเมินโรคซึมเศร้าต่อไปนี้ ในช่วง 2 สัปดาห์ที่ผ่านมา ท่านมีอาการหรือความรู้สึกนึกคิดดังข้อคาถามต่อไปนี้หรือไม่ คะแนนรวมในข้อ 1-6 ประเมินภาวะซึมเศร้า คะแนนรวมในข้อ 7-8 ประเมินความเสี่ยงในการฆ่าตัวตาย ตารางนี้เป็น Scale แบบใด</t>
        </is>
      </c>
      <c r="C91" s="18" t="inlineStr"/>
      <c r="D91" s="18" t="inlineStr">
        <is>
          <t>Venlafaxine 75 mg OD</t>
        </is>
      </c>
      <c r="E91" s="18" t="inlineStr">
        <is>
          <t>Amitriptyline 10 mg HS</t>
        </is>
      </c>
      <c r="F91" s="18" t="inlineStr">
        <is>
          <t>Lorazepam 1 mg HS</t>
        </is>
      </c>
      <c r="G91" s="18" t="inlineStr">
        <is>
          <t>Alprazolam 0.5 mg HS</t>
        </is>
      </c>
      <c r="H91" s="18" t="inlineStr">
        <is>
          <t>Diazepam 5 mg HS</t>
        </is>
      </c>
      <c r="I91" s="15" t="inlineStr">
        <is>
          <t>1</t>
        </is>
      </c>
      <c r="J91" s="18"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1" s="18" t="inlineStr"/>
      <c r="L91" s="18" t="inlineStr">
        <is>
          <t>Anxiety/depression</t>
        </is>
      </c>
      <c r="M91" s="18" t="inlineStr">
        <is>
          <t>Clinic</t>
        </is>
      </c>
      <c r="N91" s="18" t="inlineStr">
        <is>
          <t>ข้อ 41 (PLE_CC1_Key_Rx20_UBU.md)</t>
        </is>
      </c>
      <c r="O91" s="18" t="inlineStr">
        <is>
          <t>Mock</t>
        </is>
      </c>
      <c r="P91" s="18" t="inlineStr">
        <is>
          <t>Mock Rx20 UBU</t>
        </is>
      </c>
    </row>
    <row r="92">
      <c r="A92" s="15" t="inlineStr">
        <is>
          <t>90</t>
        </is>
      </c>
      <c r="B92" s="18" t="inlineStr">
        <is>
          <t>สามารถจ่ายยา Diazepam ให้ผู้ป่วยรายนี้ได้หรือไม่</t>
        </is>
      </c>
      <c r="C92" s="18" t="inlineStr"/>
      <c r="D92" s="18" t="inlineStr">
        <is>
          <t>Alprazolam 0.5 mg HS</t>
        </is>
      </c>
      <c r="E92" s="18" t="inlineStr">
        <is>
          <t>Diazepam 5 mg HS</t>
        </is>
      </c>
      <c r="F92" s="18" t="inlineStr">
        <is>
          <t>Zolpidem 10 mg HS</t>
        </is>
      </c>
      <c r="G92" s="18" t="inlineStr">
        <is>
          <t>Nicotine gum 2 mg PRN</t>
        </is>
      </c>
      <c r="H92" s="18" t="inlineStr">
        <is>
          <t>Quetiapine 25 mg HS</t>
        </is>
      </c>
      <c r="I92" s="15" t="inlineStr">
        <is>
          <t>1</t>
        </is>
      </c>
      <c r="J92" s="18"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8" t="inlineStr"/>
      <c r="L92" s="18" t="inlineStr">
        <is>
          <t>Insomnia</t>
        </is>
      </c>
      <c r="M92" s="18" t="inlineStr">
        <is>
          <t>Clinic</t>
        </is>
      </c>
      <c r="N92" s="18" t="inlineStr">
        <is>
          <t>ข้อ 2 (PLE_CC1_Key_Rx20_UBU.md)</t>
        </is>
      </c>
      <c r="O92" s="18" t="inlineStr">
        <is>
          <t>Mock</t>
        </is>
      </c>
      <c r="P92" s="18" t="inlineStr">
        <is>
          <t>Mock Rx20 UBU</t>
        </is>
      </c>
    </row>
    <row r="93">
      <c r="A93" s="15" t="inlineStr">
        <is>
          <t>91</t>
        </is>
      </c>
      <c r="B93" s="18" t="inlineStr">
        <is>
          <t>ข้อใดไม่ใช่ข้อบ่งใช้ของยา Diazepam</t>
        </is>
      </c>
      <c r="C93" s="18" t="inlineStr"/>
      <c r="D93" s="18" t="inlineStr">
        <is>
          <t>Nicotine gum 2 mg PRN</t>
        </is>
      </c>
      <c r="E93" s="18" t="inlineStr">
        <is>
          <t>Quetiapine 25 mg HS</t>
        </is>
      </c>
      <c r="F93" s="18" t="inlineStr">
        <is>
          <t>Risperidone 2 mg OD</t>
        </is>
      </c>
      <c r="G93" s="18" t="inlineStr">
        <is>
          <t>Fluoxetine 20 mg OD</t>
        </is>
      </c>
      <c r="H93" s="18" t="inlineStr">
        <is>
          <t>Sertraline 50 mg OD</t>
        </is>
      </c>
      <c r="I93" s="15" t="inlineStr">
        <is>
          <t>1</t>
        </is>
      </c>
      <c r="J93" s="18"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18" t="inlineStr"/>
      <c r="L93" s="18" t="inlineStr">
        <is>
          <t>Insomnia</t>
        </is>
      </c>
      <c r="M93" s="18" t="inlineStr">
        <is>
          <t>Clinic</t>
        </is>
      </c>
      <c r="N93" s="18" t="inlineStr">
        <is>
          <t>ข้อ 6 (PLE_CC1_Key_Rx20_UBU.md)</t>
        </is>
      </c>
      <c r="O93" s="18" t="inlineStr">
        <is>
          <t>Mock</t>
        </is>
      </c>
      <c r="P93" s="18" t="inlineStr">
        <is>
          <t>Mock Rx20 UBU</t>
        </is>
      </c>
    </row>
    <row r="94">
      <c r="A94" s="15" t="inlineStr">
        <is>
          <t>92</t>
        </is>
      </c>
      <c r="B94" s="18" t="inlineStr">
        <is>
          <t>นักศึกษาซึมเศร้าทำข้อสอบไม่ได้</t>
        </is>
      </c>
      <c r="C94" s="18" t="inlineStr"/>
      <c r="D94" s="18" t="inlineStr">
        <is>
          <t>Fluoxetine 20 mg OD</t>
        </is>
      </c>
      <c r="E94" s="18" t="inlineStr">
        <is>
          <t>Sertraline 50 mg OD</t>
        </is>
      </c>
      <c r="F94" s="18" t="inlineStr">
        <is>
          <t>Escitalopram 10 mg OD</t>
        </is>
      </c>
      <c r="G94" s="18" t="inlineStr">
        <is>
          <t>Venlafaxine 75 mg OD</t>
        </is>
      </c>
      <c r="H94" s="18" t="inlineStr">
        <is>
          <t>Amitriptyline 10 mg HS</t>
        </is>
      </c>
      <c r="I94" s="15" t="inlineStr">
        <is>
          <t>1</t>
        </is>
      </c>
      <c r="J94" s="18"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4" s="18" t="inlineStr"/>
      <c r="L94" s="18" t="inlineStr">
        <is>
          <t>Anxiety/depression</t>
        </is>
      </c>
      <c r="M94" s="18" t="inlineStr">
        <is>
          <t>Clinic</t>
        </is>
      </c>
      <c r="N94" s="18" t="inlineStr">
        <is>
          <t>ข้อ 5 (PLE_CC1_Key_Rx20_UBU.md)</t>
        </is>
      </c>
      <c r="O94" s="18" t="inlineStr">
        <is>
          <t>Mock</t>
        </is>
      </c>
      <c r="P94" s="18" t="inlineStr">
        <is>
          <t>Mock Rx20 UBU</t>
        </is>
      </c>
    </row>
    <row r="95">
      <c r="A95" s="15" t="inlineStr">
        <is>
          <t>93</t>
        </is>
      </c>
      <c r="B95" s="18" t="inlineStr">
        <is>
          <t>ยา Diazepam ไม่นำมาใช้ในกรณีใด</t>
        </is>
      </c>
      <c r="C95" s="18" t="inlineStr"/>
      <c r="D95" s="18" t="inlineStr">
        <is>
          <t>Venlafaxine 75 mg OD</t>
        </is>
      </c>
      <c r="E95" s="18" t="inlineStr">
        <is>
          <t>Amitriptyline 10 mg HS</t>
        </is>
      </c>
      <c r="F95" s="18" t="inlineStr">
        <is>
          <t>Lorazepam 1 mg HS</t>
        </is>
      </c>
      <c r="G95" s="18" t="inlineStr">
        <is>
          <t>Alprazolam 0.5 mg HS</t>
        </is>
      </c>
      <c r="H95" s="18" t="inlineStr">
        <is>
          <t>Diazepam 5 mg HS</t>
        </is>
      </c>
      <c r="I95" s="15" t="inlineStr">
        <is>
          <t>1</t>
        </is>
      </c>
      <c r="J95" s="18"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18" t="inlineStr"/>
      <c r="L95" s="18" t="inlineStr">
        <is>
          <t>Insomnia</t>
        </is>
      </c>
      <c r="M95" s="18" t="inlineStr">
        <is>
          <t>Clinic</t>
        </is>
      </c>
      <c r="N95" s="18" t="inlineStr">
        <is>
          <t>ข้อ 7 (PLE_CC1_Key_Rx20_UBU.md)</t>
        </is>
      </c>
      <c r="O95" s="18" t="inlineStr">
        <is>
          <t>Mock</t>
        </is>
      </c>
      <c r="P95" s="18" t="inlineStr">
        <is>
          <t>Mock Rx20 UBU</t>
        </is>
      </c>
    </row>
    <row r="96">
      <c r="A96" s="15" t="inlineStr">
        <is>
          <t>94</t>
        </is>
      </c>
      <c r="B96" s="18" t="inlineStr">
        <is>
          <t>ภาวะซึมเศร้า</t>
        </is>
      </c>
      <c r="C96" s="18" t="inlineStr"/>
      <c r="D96" s="18" t="inlineStr">
        <is>
          <t>Alprazolam 0.5 mg HS</t>
        </is>
      </c>
      <c r="E96" s="18" t="inlineStr">
        <is>
          <t>Diazepam 5 mg HS</t>
        </is>
      </c>
      <c r="F96" s="18" t="inlineStr">
        <is>
          <t>Zolpidem 10 mg HS</t>
        </is>
      </c>
      <c r="G96" s="18" t="inlineStr">
        <is>
          <t>Nicotine gum 2 mg PRN</t>
        </is>
      </c>
      <c r="H96" s="18" t="inlineStr">
        <is>
          <t>Quetiapine 25 mg HS</t>
        </is>
      </c>
      <c r="I96" s="15" t="inlineStr">
        <is>
          <t>1</t>
        </is>
      </c>
      <c r="J96" s="18"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6" s="18" t="inlineStr"/>
      <c r="L96" s="18" t="inlineStr">
        <is>
          <t>Anxiety/depression</t>
        </is>
      </c>
      <c r="M96" s="18" t="inlineStr">
        <is>
          <t>Clinic</t>
        </is>
      </c>
      <c r="N96" s="18" t="inlineStr">
        <is>
          <t>ข้อ 5 (PLE_CC1_Key_Rx20_UBU.md)</t>
        </is>
      </c>
      <c r="O96" s="18" t="inlineStr">
        <is>
          <t>Mock</t>
        </is>
      </c>
      <c r="P96" s="18" t="inlineStr">
        <is>
          <t>Mock Rx20 UBU</t>
        </is>
      </c>
    </row>
    <row r="97">
      <c r="A97" s="15" t="inlineStr">
        <is>
          <t>95</t>
        </is>
      </c>
      <c r="B97" s="18" t="inlineStr">
        <is>
          <t>Antidote ของยา Benzodiazepine เมื่อได้รับยาเกินขนาด คืออะไร</t>
        </is>
      </c>
      <c r="C97" s="18" t="inlineStr"/>
      <c r="D97" s="18" t="inlineStr">
        <is>
          <t>Nicotine gum 2 mg PRN</t>
        </is>
      </c>
      <c r="E97" s="18" t="inlineStr">
        <is>
          <t>Quetiapine 25 mg HS</t>
        </is>
      </c>
      <c r="F97" s="18" t="inlineStr">
        <is>
          <t>Risperidone 2 mg OD</t>
        </is>
      </c>
      <c r="G97" s="18" t="inlineStr">
        <is>
          <t>Fluoxetine 20 mg OD</t>
        </is>
      </c>
      <c r="H97" s="18" t="inlineStr">
        <is>
          <t>Sertraline 50 mg OD</t>
        </is>
      </c>
      <c r="I97" s="15" t="inlineStr">
        <is>
          <t>1</t>
        </is>
      </c>
      <c r="J97" s="18" t="inlineStr">
        <is>
          <t>✅ คำตอบที่ถูกต้อง: ข้อ ก. Nicotine gum 2 mg PRN
💡 Background:
ภาวะ acute poisoning ต้องได้รับการประเมิน supportive care ควบคู่กับการให้ specific antidote อย่างทันท่วงที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7" s="18" t="inlineStr"/>
      <c r="L97" s="18" t="inlineStr">
        <is>
          <t>Anxiety/depression</t>
        </is>
      </c>
      <c r="M97" s="18" t="inlineStr">
        <is>
          <t>Clinic</t>
        </is>
      </c>
      <c r="N97" s="18" t="inlineStr">
        <is>
          <t>ข้อ 9 (PLE_CC1_Key_Rx20_UBU.md)</t>
        </is>
      </c>
      <c r="O97" s="18" t="inlineStr">
        <is>
          <t>Mock</t>
        </is>
      </c>
      <c r="P97" s="18" t="inlineStr">
        <is>
          <t>Mock Rx20 UBU</t>
        </is>
      </c>
    </row>
    <row r="98">
      <c r="A98" s="15" t="inlineStr">
        <is>
          <t>96</t>
        </is>
      </c>
      <c r="B98" s="18"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18" t="inlineStr"/>
      <c r="D98" s="18" t="inlineStr">
        <is>
          <t>Fluoxetine 20 mg OD</t>
        </is>
      </c>
      <c r="E98" s="18" t="inlineStr">
        <is>
          <t>Sertraline 50 mg OD</t>
        </is>
      </c>
      <c r="F98" s="18" t="inlineStr">
        <is>
          <t>Escitalopram 10 mg OD</t>
        </is>
      </c>
      <c r="G98" s="18" t="inlineStr">
        <is>
          <t>Venlafaxine 75 mg OD</t>
        </is>
      </c>
      <c r="H98" s="18" t="inlineStr">
        <is>
          <t>Amitriptyline 10 mg HS</t>
        </is>
      </c>
      <c r="I98" s="15" t="inlineStr">
        <is>
          <t>1</t>
        </is>
      </c>
      <c r="J98" s="18" t="inlineStr">
        <is>
          <t>✅ คำตอบที่ถูกต้อง: ข้อ ก. Fluoxetine 20 mg OD
💡 Background:
การรักษาโรคติดเชื้อแบคทีเรีย (Anxiety/depression) ต้องเลือก antibiotic ที่ครอบคลุม likely pathogens และมี PK/PD profile เหมาะสมกับตำแหน่งการติดเชื้อ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8" s="18" t="inlineStr"/>
      <c r="L98" s="18" t="inlineStr">
        <is>
          <t>Anxiety/depression</t>
        </is>
      </c>
      <c r="M98" s="18" t="inlineStr">
        <is>
          <t>Clinic</t>
        </is>
      </c>
      <c r="N98" s="18" t="inlineStr">
        <is>
          <t>ข้อ 5 (PLE_CC1_Key_Rx20_UBU.md)</t>
        </is>
      </c>
      <c r="O98" s="18" t="inlineStr">
        <is>
          <t>Mock</t>
        </is>
      </c>
      <c r="P98" s="18" t="inlineStr">
        <is>
          <t>Mock Rx20 UBU</t>
        </is>
      </c>
    </row>
    <row r="99">
      <c r="A99" s="15" t="inlineStr">
        <is>
          <t>97</t>
        </is>
      </c>
      <c r="B99" s="18" t="inlineStr">
        <is>
          <t>หากผู้ป่วยใช้ Diazepam มาเป็นเวลานาน แล้วผู้ป่วยหยุดใช้ยาดังกล่าวทันที จะเกิดอาการใดขึ้น</t>
        </is>
      </c>
      <c r="C99" s="18" t="inlineStr"/>
      <c r="D99" s="18" t="inlineStr">
        <is>
          <t>Venlafaxine 75 mg OD</t>
        </is>
      </c>
      <c r="E99" s="18" t="inlineStr">
        <is>
          <t>Amitriptyline 10 mg HS</t>
        </is>
      </c>
      <c r="F99" s="18" t="inlineStr">
        <is>
          <t>Lorazepam 1 mg HS</t>
        </is>
      </c>
      <c r="G99" s="18" t="inlineStr">
        <is>
          <t>Alprazolam 0.5 mg HS</t>
        </is>
      </c>
      <c r="H99" s="18" t="inlineStr">
        <is>
          <t>Diazepam 5 mg HS</t>
        </is>
      </c>
      <c r="I99" s="15" t="inlineStr">
        <is>
          <t>1</t>
        </is>
      </c>
      <c r="J99" s="18"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8" t="inlineStr"/>
      <c r="L99" s="18" t="inlineStr">
        <is>
          <t>Insomnia</t>
        </is>
      </c>
      <c r="M99" s="18" t="inlineStr">
        <is>
          <t>Clinic</t>
        </is>
      </c>
      <c r="N99" s="18" t="inlineStr">
        <is>
          <t>ข้อ 10 (PLE_CC1_Key_Rx20_UBU.md)</t>
        </is>
      </c>
      <c r="O99" s="18" t="inlineStr">
        <is>
          <t>Mock</t>
        </is>
      </c>
      <c r="P99" s="18" t="inlineStr">
        <is>
          <t>Mock Rx20 UBU</t>
        </is>
      </c>
    </row>
    <row r="100">
      <c r="A100" s="15" t="inlineStr">
        <is>
          <t>98</t>
        </is>
      </c>
      <c r="B100" s="18" t="inlineStr">
        <is>
          <t>เขียนว่ามีเภสัชกรจบจากสหรัฐอเมริกา กรณีศึกษาที่ 10 HF เลิกบุหรี่</t>
        </is>
      </c>
      <c r="C100" s="18" t="inlineStr"/>
      <c r="D100" s="18" t="inlineStr">
        <is>
          <t>Alprazolam 0.5 mg HS</t>
        </is>
      </c>
      <c r="E100" s="18" t="inlineStr">
        <is>
          <t>Diazepam 5 mg HS</t>
        </is>
      </c>
      <c r="F100" s="18" t="inlineStr">
        <is>
          <t>Zolpidem 10 mg HS</t>
        </is>
      </c>
      <c r="G100" s="18" t="inlineStr">
        <is>
          <t>Nicotine gum 2 mg PRN</t>
        </is>
      </c>
      <c r="H100" s="18" t="inlineStr">
        <is>
          <t>Quetiapine 25 mg HS</t>
        </is>
      </c>
      <c r="I100" s="15" t="inlineStr">
        <is>
          <t>1</t>
        </is>
      </c>
      <c r="J100" s="18"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8" t="inlineStr"/>
      <c r="L100" s="18" t="inlineStr">
        <is>
          <t>Tobacco dependence</t>
        </is>
      </c>
      <c r="M100" s="18" t="inlineStr">
        <is>
          <t>Clinic</t>
        </is>
      </c>
      <c r="N100" s="18" t="inlineStr">
        <is>
          <t>ข้อ 5 (PLE_CC1_Key_Rx20_UBU.md)</t>
        </is>
      </c>
      <c r="O100" s="18" t="inlineStr">
        <is>
          <t>Mock</t>
        </is>
      </c>
      <c r="P100" s="18" t="inlineStr">
        <is>
          <t>Mock Rx20 UBU</t>
        </is>
      </c>
    </row>
    <row r="101">
      <c r="A101" s="15" t="inlineStr">
        <is>
          <t>99</t>
        </is>
      </c>
      <c r="B101" s="18" t="inlineStr">
        <is>
          <t>แนะนำให้เลิกบุหรี่ เพราะมีผลกระทบต่อสุขภาพ</t>
        </is>
      </c>
      <c r="C101" s="18" t="inlineStr"/>
      <c r="D101" s="18" t="inlineStr">
        <is>
          <t>Nicotine gum 2 mg PRN</t>
        </is>
      </c>
      <c r="E101" s="18" t="inlineStr">
        <is>
          <t>Quetiapine 25 mg HS</t>
        </is>
      </c>
      <c r="F101" s="18" t="inlineStr">
        <is>
          <t>Risperidone 2 mg OD</t>
        </is>
      </c>
      <c r="G101" s="18" t="inlineStr">
        <is>
          <t>Fluoxetine 20 mg OD</t>
        </is>
      </c>
      <c r="H101" s="18" t="inlineStr">
        <is>
          <t>Sertraline 50 mg OD</t>
        </is>
      </c>
      <c r="I101" s="15" t="inlineStr">
        <is>
          <t>1</t>
        </is>
      </c>
      <c r="J101" s="18"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8" t="inlineStr"/>
      <c r="L101" s="18" t="inlineStr">
        <is>
          <t>Tobacco dependence</t>
        </is>
      </c>
      <c r="M101" s="18" t="inlineStr">
        <is>
          <t>Clinic</t>
        </is>
      </c>
      <c r="N101" s="18" t="inlineStr">
        <is>
          <t>ข้อ 1 (PLE_CC1_Key_Rx20_UBU.md)</t>
        </is>
      </c>
      <c r="O101" s="18" t="inlineStr">
        <is>
          <t>Mock</t>
        </is>
      </c>
      <c r="P101" s="18" t="inlineStr">
        <is>
          <t>Mock Rx20 UBU</t>
        </is>
      </c>
    </row>
    <row r="102">
      <c r="A102" s="15" t="inlineStr">
        <is>
          <t>100</t>
        </is>
      </c>
      <c r="B102" s="18" t="inlineStr">
        <is>
          <t>แนะนำให้ซื้อยาเลิกบุหรี่ไปใช้</t>
        </is>
      </c>
      <c r="C102" s="18" t="inlineStr"/>
      <c r="D102" s="18" t="inlineStr">
        <is>
          <t>Fluoxetine 20 mg OD</t>
        </is>
      </c>
      <c r="E102" s="18" t="inlineStr">
        <is>
          <t>Sertraline 50 mg OD</t>
        </is>
      </c>
      <c r="F102" s="18" t="inlineStr">
        <is>
          <t>Escitalopram 10 mg OD</t>
        </is>
      </c>
      <c r="G102" s="18" t="inlineStr">
        <is>
          <t>Venlafaxine 75 mg OD</t>
        </is>
      </c>
      <c r="H102" s="18" t="inlineStr">
        <is>
          <t>Amitriptyline 10 mg HS</t>
        </is>
      </c>
      <c r="I102" s="15" t="inlineStr">
        <is>
          <t>1</t>
        </is>
      </c>
      <c r="J102" s="18"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2" s="18" t="inlineStr"/>
      <c r="L102" s="18" t="inlineStr">
        <is>
          <t>Tobacco dependence</t>
        </is>
      </c>
      <c r="M102" s="18" t="inlineStr">
        <is>
          <t>Clinic</t>
        </is>
      </c>
      <c r="N102" s="18" t="inlineStr">
        <is>
          <t>ข้อ 2 (PLE_CC1_Key_Rx20_UBU.md)</t>
        </is>
      </c>
      <c r="O102" s="18" t="inlineStr">
        <is>
          <t>Mock</t>
        </is>
      </c>
      <c r="P102" s="18" t="inlineStr">
        <is>
          <t>Mock Rx20 UBU</t>
        </is>
      </c>
    </row>
    <row r="103">
      <c r="A103" s="15" t="inlineStr">
        <is>
          <t>101</t>
        </is>
      </c>
      <c r="B103" s="18" t="inlineStr">
        <is>
          <t>คำนวณ Nicotine ที่คงเหลือในแผ่นแปะหลังจากผู้ป่วยดึงแผ่นแปะ Nicotine ออก โดยปริมาณ Nicotine ที่ถูกดูดซึมขึ้นอยู่กับพื้นที่ผิวแผ่นแปะ มีข้อมูลให้ดังนี้ อัตราการปลดปล่อย Nicotine = 7 mg/24 hr พื้นที่ผิวแผ่นแปะ = 10 cm3 ปริมาณ Nicotine ทั้งหมดในแผ่นแปะ = 17.5 g อัตราการปลดปล่อย Nicotine = 29 g/cm2/hr</t>
        </is>
      </c>
      <c r="C103" s="18" t="inlineStr"/>
      <c r="D103" s="18" t="inlineStr">
        <is>
          <t>Venlafaxine 75 mg OD</t>
        </is>
      </c>
      <c r="E103" s="18" t="inlineStr">
        <is>
          <t>Amitriptyline 10 mg HS</t>
        </is>
      </c>
      <c r="F103" s="18" t="inlineStr">
        <is>
          <t>Lorazepam 1 mg HS</t>
        </is>
      </c>
      <c r="G103" s="18" t="inlineStr">
        <is>
          <t>Alprazolam 0.5 mg HS</t>
        </is>
      </c>
      <c r="H103" s="18" t="inlineStr">
        <is>
          <t>Diazepam 5 mg HS</t>
        </is>
      </c>
      <c r="I103" s="15" t="inlineStr">
        <is>
          <t>1</t>
        </is>
      </c>
      <c r="J103" s="18"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3" s="18" t="inlineStr"/>
      <c r="L103" s="18" t="inlineStr">
        <is>
          <t>Anxiety/depression</t>
        </is>
      </c>
      <c r="M103" s="18" t="inlineStr">
        <is>
          <t>Clinic</t>
        </is>
      </c>
      <c r="N103" s="18" t="inlineStr">
        <is>
          <t>ข้อ 66 (PLE_CC1_Key_Rx20_UBU.md)</t>
        </is>
      </c>
      <c r="O103" s="18" t="inlineStr">
        <is>
          <t>Mock</t>
        </is>
      </c>
      <c r="P103" s="18" t="inlineStr">
        <is>
          <t>Mock Rx20 UBU</t>
        </is>
      </c>
    </row>
    <row r="104">
      <c r="A104" s="15" t="inlineStr">
        <is>
          <t>102</t>
        </is>
      </c>
      <c r="B104" s="18" t="inlineStr">
        <is>
          <t>จากตำรับของ nicotine patch ดังกล่าว จัดเป็น TDDS ชนิดใด</t>
        </is>
      </c>
      <c r="C104" s="18" t="inlineStr"/>
      <c r="D104" s="18" t="inlineStr">
        <is>
          <t>Alprazolam 0.5 mg HS</t>
        </is>
      </c>
      <c r="E104" s="18" t="inlineStr">
        <is>
          <t>Diazepam 5 mg HS</t>
        </is>
      </c>
      <c r="F104" s="18" t="inlineStr">
        <is>
          <t>Zolpidem 10 mg HS</t>
        </is>
      </c>
      <c r="G104" s="18" t="inlineStr">
        <is>
          <t>Nicotine gum 2 mg PRN</t>
        </is>
      </c>
      <c r="H104" s="18" t="inlineStr">
        <is>
          <t>Quetiapine 25 mg HS</t>
        </is>
      </c>
      <c r="I104" s="15" t="inlineStr">
        <is>
          <t>1</t>
        </is>
      </c>
      <c r="J104" s="18"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18" t="inlineStr"/>
      <c r="L104" s="18" t="inlineStr">
        <is>
          <t>Tobacco dependence</t>
        </is>
      </c>
      <c r="M104" s="18" t="inlineStr">
        <is>
          <t>Clinic</t>
        </is>
      </c>
      <c r="N104" s="18" t="inlineStr">
        <is>
          <t>ข้อ 68 (PLE_CC1_Key_Rx20_UBU.md)</t>
        </is>
      </c>
      <c r="O104" s="18" t="inlineStr">
        <is>
          <t>Mock</t>
        </is>
      </c>
      <c r="P104" s="18" t="inlineStr">
        <is>
          <t>Mock Rx20 UBU</t>
        </is>
      </c>
    </row>
    <row r="105">
      <c r="A105" s="15" t="inlineStr">
        <is>
          <t>103</t>
        </is>
      </c>
      <c r="B105" s="18" t="inlineStr">
        <is>
          <t>Fluoxetine 1x1 pc เช$า</t>
        </is>
      </c>
      <c r="C105" s="18" t="inlineStr"/>
      <c r="D105" s="18" t="inlineStr">
        <is>
          <t>Nicotine gum 2 mg PRN</t>
        </is>
      </c>
      <c r="E105" s="18" t="inlineStr">
        <is>
          <t>Quetiapine 25 mg HS</t>
        </is>
      </c>
      <c r="F105" s="18" t="inlineStr">
        <is>
          <t>Risperidone 2 mg OD</t>
        </is>
      </c>
      <c r="G105" s="18" t="inlineStr">
        <is>
          <t>Fluoxetine 20 mg OD</t>
        </is>
      </c>
      <c r="H105" s="18" t="inlineStr">
        <is>
          <t>Sertraline 50 mg OD</t>
        </is>
      </c>
      <c r="I105" s="15" t="inlineStr">
        <is>
          <t>1</t>
        </is>
      </c>
      <c r="J105" s="18"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5" s="18" t="inlineStr"/>
      <c r="L105" s="18" t="inlineStr">
        <is>
          <t>Anxiety/depression</t>
        </is>
      </c>
      <c r="M105" s="18" t="inlineStr">
        <is>
          <t>Clinic</t>
        </is>
      </c>
      <c r="N105" s="18" t="inlineStr">
        <is>
          <t>ข้อ 1 (PLE_CC1_Key_Rx20_UBU.md)</t>
        </is>
      </c>
      <c r="O105" s="18" t="inlineStr">
        <is>
          <t>Mock</t>
        </is>
      </c>
      <c r="P105" s="18" t="inlineStr">
        <is>
          <t>Mock Rx20 UBU</t>
        </is>
      </c>
    </row>
    <row r="106">
      <c r="A106" s="15" t="inlineStr">
        <is>
          <t>104</t>
        </is>
      </c>
      <c r="B106" s="18" t="inlineStr">
        <is>
          <t>Fluoxetine มีการขจัดออกอยGางไร</t>
        </is>
      </c>
      <c r="C106" s="18" t="inlineStr"/>
      <c r="D106" s="18" t="inlineStr">
        <is>
          <t>Hydroxylation</t>
        </is>
      </c>
      <c r="E106" s="18" t="inlineStr">
        <is>
          <t>O-dealkylation</t>
        </is>
      </c>
      <c r="F106" s="18" t="inlineStr">
        <is>
          <t>N-dealkylation</t>
        </is>
      </c>
      <c r="G106" s="18" t="inlineStr">
        <is>
          <t>Deamination</t>
        </is>
      </c>
      <c r="H106" s="18" t="inlineStr">
        <is>
          <t>…..</t>
        </is>
      </c>
      <c r="I106" s="15" t="inlineStr">
        <is>
          <t>2</t>
        </is>
      </c>
      <c r="J106" s="18" t="inlineStr">
        <is>
          <t>✅ คำตอบที่ถูกต้อง: ข้อ ข. O-dealkylation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O-dealkylation การเลือก O-dealkylation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(Hydroxylation): ข้อนี้ไม่ใช่คำตอบที่ถูกต้องสำหรับภาวะ Anxiety/depression เนื่องจากกลไกการออกฤทธิ์, efficacy หรือข้อบ่งใช้ไม่ตรงกับโจทย์ที่กำหนด
• ข้อ ค. (N-dealkylation): ข้อนี้ไม่ใช่คำตอบที่ถูกต้องสำหรับภาวะ Anxiety/depression เนื่องจากกลไกการออกฤทธิ์, efficacy หรือข้อบ่งใช้ไม่ตรงกับโจทย์ที่กำหนด
• ข้อ ง. (Deamination): ข้อนี้ไม่ใช่คำตอบที่ถูกต้องสำหรับภาวะ Anxiety/depression เนื่องจากกลไกการออกฤทธิ์, efficacy หรือข้อบ่งใช้ไม่ตรงกับโจทย์ที่กำหนด
• ข้อ จ. (…..):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6" s="18" t="inlineStr"/>
      <c r="L106" s="18" t="inlineStr">
        <is>
          <t>Anxiety/depression</t>
        </is>
      </c>
      <c r="M106" s="18" t="inlineStr">
        <is>
          <t>Clinic</t>
        </is>
      </c>
      <c r="N106" s="18" t="inlineStr">
        <is>
          <t>ข้อ 79 (PLE_CC1_Key_Rx20_UBU.md)</t>
        </is>
      </c>
      <c r="O106" s="18" t="inlineStr">
        <is>
          <t>Mock</t>
        </is>
      </c>
      <c r="P106" s="18" t="inlineStr">
        <is>
          <t>Mock Rx20 UBU</t>
        </is>
      </c>
    </row>
    <row r="107">
      <c r="A107" s="15" t="inlineStr">
        <is>
          <t>105</t>
        </is>
      </c>
      <c r="B107" s="18" t="inlineStr">
        <is>
          <t>การใช้ tamoxifen ร่วมกับ fluoxetine ซึ่งมีกระบวนการ metabolize ผ่าน CYP2D6 เช่นเดียวกัน จะทำให้ตอบสนองต่อยาดีขึ้น</t>
        </is>
      </c>
      <c r="C107" s="18" t="inlineStr"/>
      <c r="D107" s="18" t="inlineStr">
        <is>
          <t>Venlafaxine 75 mg OD</t>
        </is>
      </c>
      <c r="E107" s="18" t="inlineStr">
        <is>
          <t>Amitriptyline 10 mg HS</t>
        </is>
      </c>
      <c r="F107" s="18" t="inlineStr">
        <is>
          <t>Lorazepam 1 mg HS</t>
        </is>
      </c>
      <c r="G107" s="18" t="inlineStr">
        <is>
          <t>Alprazolam 0.5 mg HS</t>
        </is>
      </c>
      <c r="H107" s="18" t="inlineStr">
        <is>
          <t>Diazepam 5 mg HS</t>
        </is>
      </c>
      <c r="I107" s="15" t="inlineStr">
        <is>
          <t>1</t>
        </is>
      </c>
      <c r="J107" s="18"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7" s="18" t="inlineStr"/>
      <c r="L107" s="18" t="inlineStr">
        <is>
          <t>Anxiety/depression</t>
        </is>
      </c>
      <c r="M107" s="18" t="inlineStr">
        <is>
          <t>Clinic</t>
        </is>
      </c>
      <c r="N107" s="18" t="inlineStr">
        <is>
          <t>ข้อ 1 (PLE_CC1_Key_Rx20_UBU.md)</t>
        </is>
      </c>
      <c r="O107" s="18" t="inlineStr">
        <is>
          <t>Mock</t>
        </is>
      </c>
      <c r="P107" s="18" t="inlineStr">
        <is>
          <t>Mock Rx20 UBU</t>
        </is>
      </c>
    </row>
    <row r="108">
      <c r="A108" s="15" t="inlineStr">
        <is>
          <t>106</t>
        </is>
      </c>
      <c r="B108" s="18" t="inlineStr">
        <is>
          <t>acute insomnia, sleep onset and maintainance</t>
        </is>
      </c>
      <c r="C108" s="18" t="inlineStr"/>
      <c r="D108" s="18" t="inlineStr">
        <is>
          <t>Alprazolam 0.5 mg HS</t>
        </is>
      </c>
      <c r="E108" s="18" t="inlineStr">
        <is>
          <t>Diazepam 5 mg HS</t>
        </is>
      </c>
      <c r="F108" s="18" t="inlineStr">
        <is>
          <t>Zolpidem 10 mg HS</t>
        </is>
      </c>
      <c r="G108" s="18" t="inlineStr">
        <is>
          <t>Nicotine gum 2 mg PRN</t>
        </is>
      </c>
      <c r="H108" s="18" t="inlineStr">
        <is>
          <t>Quetiapine 25 mg HS</t>
        </is>
      </c>
      <c r="I108" s="15" t="inlineStr">
        <is>
          <t>1</t>
        </is>
      </c>
      <c r="J108" s="18"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18" t="inlineStr"/>
      <c r="L108" s="18" t="inlineStr">
        <is>
          <t>Insomnia</t>
        </is>
      </c>
      <c r="M108" s="18" t="inlineStr">
        <is>
          <t>Clinic</t>
        </is>
      </c>
      <c r="N108" s="18" t="inlineStr">
        <is>
          <t>ข้อ 1 (PLE_CC1_Key_Rx20_UBU.md)</t>
        </is>
      </c>
      <c r="O108" s="18" t="inlineStr">
        <is>
          <t>Mock</t>
        </is>
      </c>
      <c r="P108" s="18" t="inlineStr">
        <is>
          <t>Mock Rx20 UBU</t>
        </is>
      </c>
    </row>
    <row r="109">
      <c r="A109" s="15" t="inlineStr">
        <is>
          <t>107</t>
        </is>
      </c>
      <c r="B109" s="18" t="inlineStr">
        <is>
          <t>acute insomnia, sleep onset and wake up early</t>
        </is>
      </c>
      <c r="C109" s="18" t="inlineStr"/>
      <c r="D109" s="18" t="inlineStr">
        <is>
          <t>Nicotine gum 2 mg PRN</t>
        </is>
      </c>
      <c r="E109" s="18" t="inlineStr">
        <is>
          <t>Quetiapine 25 mg HS</t>
        </is>
      </c>
      <c r="F109" s="18" t="inlineStr">
        <is>
          <t>Risperidone 2 mg OD</t>
        </is>
      </c>
      <c r="G109" s="18" t="inlineStr">
        <is>
          <t>Fluoxetine 20 mg OD</t>
        </is>
      </c>
      <c r="H109" s="18" t="inlineStr">
        <is>
          <t>Sertraline 50 mg OD</t>
        </is>
      </c>
      <c r="I109" s="15" t="inlineStr">
        <is>
          <t>1</t>
        </is>
      </c>
      <c r="J109" s="18"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18" t="inlineStr"/>
      <c r="L109" s="18" t="inlineStr">
        <is>
          <t>Insomnia</t>
        </is>
      </c>
      <c r="M109" s="18" t="inlineStr">
        <is>
          <t>Clinic</t>
        </is>
      </c>
      <c r="N109" s="18" t="inlineStr">
        <is>
          <t>ข้อ 3 (PLE_CC1_Key_Rx20_UBU.md)</t>
        </is>
      </c>
      <c r="O109" s="18" t="inlineStr">
        <is>
          <t>Mock</t>
        </is>
      </c>
      <c r="P109" s="18" t="inlineStr">
        <is>
          <t>Mock Rx20 UBU</t>
        </is>
      </c>
    </row>
    <row r="110">
      <c r="A110" s="15" t="inlineStr">
        <is>
          <t>108</t>
        </is>
      </c>
      <c r="B110" s="18" t="inlineStr">
        <is>
          <t>chronic insomnia, sleep onset and maintainance</t>
        </is>
      </c>
      <c r="C110" s="18" t="inlineStr"/>
      <c r="D110" s="18" t="inlineStr">
        <is>
          <t>Fluoxetine 20 mg OD</t>
        </is>
      </c>
      <c r="E110" s="18" t="inlineStr">
        <is>
          <t>Sertraline 50 mg OD</t>
        </is>
      </c>
      <c r="F110" s="18" t="inlineStr">
        <is>
          <t>Escitalopram 10 mg OD</t>
        </is>
      </c>
      <c r="G110" s="18" t="inlineStr">
        <is>
          <t>Venlafaxine 75 mg OD</t>
        </is>
      </c>
      <c r="H110" s="18" t="inlineStr">
        <is>
          <t>Amitriptyline 10 mg HS</t>
        </is>
      </c>
      <c r="I110" s="15" t="inlineStr">
        <is>
          <t>1</t>
        </is>
      </c>
      <c r="J110" s="18"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10" s="18" t="inlineStr"/>
      <c r="L110" s="18" t="inlineStr">
        <is>
          <t>Insomnia</t>
        </is>
      </c>
      <c r="M110" s="18" t="inlineStr">
        <is>
          <t>Clinic</t>
        </is>
      </c>
      <c r="N110" s="18" t="inlineStr">
        <is>
          <t>ข้อ 4 (PLE_CC1_Key_Rx20_UBU.md)</t>
        </is>
      </c>
      <c r="O110" s="18" t="inlineStr">
        <is>
          <t>Mock</t>
        </is>
      </c>
      <c r="P110" s="18" t="inlineStr">
        <is>
          <t>Mock Rx20 UBU</t>
        </is>
      </c>
    </row>
    <row r="111">
      <c r="A111" s="15" t="inlineStr">
        <is>
          <t>109</t>
        </is>
      </c>
      <c r="B111" s="18" t="inlineStr">
        <is>
          <t>ดื่มชาเพื่อช่วยให้นอนหลับ 3 ข้อใดน่าจะเป็นสาเหตุในการนอนไม่หลับของผู้ป่วยรายนี้</t>
        </is>
      </c>
      <c r="C111" s="18" t="inlineStr"/>
      <c r="D111" s="18" t="inlineStr">
        <is>
          <t>Venlafaxine 75 mg OD</t>
        </is>
      </c>
      <c r="E111" s="18" t="inlineStr">
        <is>
          <t>Amitriptyline 10 mg HS</t>
        </is>
      </c>
      <c r="F111" s="18" t="inlineStr">
        <is>
          <t>Lorazepam 1 mg HS</t>
        </is>
      </c>
      <c r="G111" s="18" t="inlineStr">
        <is>
          <t>Alprazolam 0.5 mg HS</t>
        </is>
      </c>
      <c r="H111" s="18" t="inlineStr">
        <is>
          <t>Diazepam 5 mg HS</t>
        </is>
      </c>
      <c r="I111" s="15" t="inlineStr">
        <is>
          <t>1</t>
        </is>
      </c>
      <c r="J111" s="18"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18" t="inlineStr"/>
      <c r="L111" s="18" t="inlineStr">
        <is>
          <t>Insomnia</t>
        </is>
      </c>
      <c r="M111" s="18" t="inlineStr">
        <is>
          <t>Clinic</t>
        </is>
      </c>
      <c r="N111" s="18" t="inlineStr">
        <is>
          <t>ข้อ 5 (PLE_CC1_Key_Rx20_UBU.md)</t>
        </is>
      </c>
      <c r="O111" s="18" t="inlineStr">
        <is>
          <t>Mock</t>
        </is>
      </c>
      <c r="P111" s="18" t="inlineStr">
        <is>
          <t>Mock Rx20 UBU</t>
        </is>
      </c>
    </row>
    <row r="112">
      <c r="A112" s="15" t="inlineStr">
        <is>
          <t>110</t>
        </is>
      </c>
      <c r="B112" s="18" t="inlineStr">
        <is>
          <t>ตำแหน่งสองเปลี่ยน C=O เป็น C=N จากโครงสร้างยาเป็นกลุ่ม Benzodiazepines</t>
        </is>
      </c>
      <c r="C112" s="18" t="inlineStr"/>
      <c r="D112" s="18" t="inlineStr">
        <is>
          <t>เติม Halogen ที่ Carbon ตำแหน่ง 9 ทำให้ฤทธิ์ลดลง</t>
        </is>
      </c>
      <c r="E112" s="18" t="inlineStr">
        <is>
          <t>Diazepam 5 mg HS</t>
        </is>
      </c>
      <c r="F112" s="18" t="inlineStr">
        <is>
          <t>Zolpidem 10 mg HS</t>
        </is>
      </c>
      <c r="G112" s="18" t="inlineStr">
        <is>
          <t>Nicotine gum 2 mg PRN</t>
        </is>
      </c>
      <c r="H112" s="18" t="inlineStr">
        <is>
          <t>Quetiapine 25 mg HS</t>
        </is>
      </c>
      <c r="I112" s="15" t="inlineStr">
        <is>
          <t>1</t>
        </is>
      </c>
      <c r="J112" s="18" t="inlineStr">
        <is>
          <t>✅ คำตอบที่ถูกต้อง: ข้อ ก. เติม Halogen ที่ Carbon ตำแหน่ง 9 ทำให้ฤทธิ์ลดลง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เติม Halogen ที่ Carbon ตำแหน่ง 9 ทำให้ฤทธิ์ลดลง การเลือก เติม Halogen ที่ Carbon ตำแหน่ง 9 ทำให้ฤทธิ์ลดลง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2" s="18" t="inlineStr"/>
      <c r="L112" s="18" t="inlineStr">
        <is>
          <t>Anxiety/depression</t>
        </is>
      </c>
      <c r="M112" s="18" t="inlineStr">
        <is>
          <t>Clinic</t>
        </is>
      </c>
      <c r="N112" s="18" t="inlineStr">
        <is>
          <t>ข้อ 5 (PLE_CC1_Key_Rx20_UBU.md)</t>
        </is>
      </c>
      <c r="O112" s="18" t="inlineStr">
        <is>
          <t>Mock</t>
        </is>
      </c>
      <c r="P112" s="18" t="inlineStr">
        <is>
          <t>Mock Rx20 UBU</t>
        </is>
      </c>
    </row>
    <row r="113">
      <c r="A113" s="15" t="inlineStr">
        <is>
          <t>111</t>
        </is>
      </c>
      <c r="B113" s="18" t="inlineStr">
        <is>
          <t>ผู้ป่วยจัดเป็น Insomnia ประเภทใด</t>
        </is>
      </c>
      <c r="C113" s="18" t="inlineStr"/>
      <c r="D113" s="18" t="inlineStr">
        <is>
          <t>Short term insomnia with difficulty falling asleep</t>
        </is>
      </c>
      <c r="E113" s="18" t="inlineStr">
        <is>
          <t>Short term insomnia with difficulty falling asleep and maintaining sleep</t>
        </is>
      </c>
      <c r="F113" s="18" t="inlineStr">
        <is>
          <t>Long term insomnia with difficulty falling asleep</t>
        </is>
      </c>
      <c r="G113" s="18" t="inlineStr">
        <is>
          <t>Long term insomnia with difficulty falling asleep and maintaining sleep</t>
        </is>
      </c>
      <c r="H113" s="18"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15" t="inlineStr">
        <is>
          <t>2</t>
        </is>
      </c>
      <c r="J113" s="18" t="inlineStr">
        <is>
          <t>✅ คำตอบที่ถูกต้อง: ข้อ ข. Short term insomnia with difficulty falling asleep and maintaining 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insomnia with difficulty falling asleep and maintaining sleep การเลือก Short term insomnia with difficulty falling asleep and maintaining 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(Short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ค. (Long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ง. (Long term insomnia with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8" t="inlineStr"/>
      <c r="L113" s="18" t="inlineStr">
        <is>
          <t>Insomnia</t>
        </is>
      </c>
      <c r="M113" s="18" t="inlineStr">
        <is>
          <t>Clinic</t>
        </is>
      </c>
      <c r="N113" s="18" t="inlineStr">
        <is>
          <t>ข้อ 64 (PLE_CC1_Key_Rx20_UBU.md)</t>
        </is>
      </c>
      <c r="O113" s="18" t="inlineStr">
        <is>
          <t>Mock</t>
        </is>
      </c>
      <c r="P113" s="18" t="inlineStr">
        <is>
          <t>Mock Rx20 UBU</t>
        </is>
      </c>
    </row>
    <row r="114">
      <c r="A114" s="15" t="inlineStr">
        <is>
          <t>112</t>
        </is>
      </c>
      <c r="B114" s="18" t="inlineStr">
        <is>
          <t>สาเหตุใดเป็นสาเหตุหลักของการนอนไม่หลับมากที่สุด</t>
        </is>
      </c>
      <c r="C114" s="18" t="inlineStr"/>
      <c r="D114" s="18" t="inlineStr">
        <is>
          <t>พ่อเสียชีวิต</t>
        </is>
      </c>
      <c r="E114" s="18" t="inlineStr">
        <is>
          <t>แม่ป่วย</t>
        </is>
      </c>
      <c r="F114" s="18" t="inlineStr">
        <is>
          <t>ภรรยาเสียชีวิต</t>
        </is>
      </c>
      <c r="G114" s="18" t="inlineStr">
        <is>
          <t>กินยาลดความดันโลหิต</t>
        </is>
      </c>
      <c r="H114" s="18"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15" t="inlineStr">
        <is>
          <t>3</t>
        </is>
      </c>
      <c r="J114" s="18" t="inlineStr">
        <is>
          <t>✅ คำตอบที่ถูกต้อง: ข้อ ค. ภรรยาเสียชีวิต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ภรรยาเสียชีวิต การเลือก ภรรยาเสียชีวิต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(พ่อเสียชีวิต): ข้อนี้ไม่ใช่คำตอบที่ถูกต้องสำหรับภาวะ Insomnia เนื่องจากกลไกการออกฤทธิ์, efficacy หรือข้อบ่งใช้ไม่ตรงกับโจทย์ที่กำหนด
• ข้อ ข. (แม่ป่วย): ข้อนี้ไม่ใช่คำตอบที่ถูกต้องสำหรับภาวะ Insomnia เนื่องจากกลไกการออกฤทธิ์, efficacy หรือข้อบ่งใช้ไม่ตรงกับโจทย์ที่กำหนด
• ข้อ ง. (กินยาลดความดันโลหิต): ข้อนี้ไม่ใช่คำตอบที่ถูกต้องสำหรับภาวะ Insomnia เนื่องจากกลไกการออกฤทธิ์, efficacy หรือข้อบ่งใช้ไม่ตรงกับโจทย์ที่กำหนด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8" t="inlineStr"/>
      <c r="L114" s="18" t="inlineStr">
        <is>
          <t>Insomnia</t>
        </is>
      </c>
      <c r="M114" s="18" t="inlineStr">
        <is>
          <t>Clinic</t>
        </is>
      </c>
      <c r="N114" s="18" t="inlineStr">
        <is>
          <t>ข้อ 65 (PLE_CC1_Key_Rx20_UBU.md)</t>
        </is>
      </c>
      <c r="O114" s="18" t="inlineStr">
        <is>
          <t>Mock</t>
        </is>
      </c>
      <c r="P114" s="18" t="inlineStr">
        <is>
          <t>Mock Rx20 UBU</t>
        </is>
      </c>
    </row>
    <row r="115">
      <c r="A115" s="15" t="inlineStr">
        <is>
          <t>113</t>
        </is>
      </c>
      <c r="B115" s="18" t="inlineStr">
        <is>
          <t>ควรใช้ยาใดในผู้ป่วยรายนี้ มีตาราง Pharmacokinetics ของ Benzodiazepine มาดังนี้</t>
        </is>
      </c>
      <c r="C115" s="18" t="inlineStr"/>
      <c r="D115" s="18" t="inlineStr">
        <is>
          <t>Diazepam</t>
        </is>
      </c>
      <c r="E115" s="18" t="inlineStr">
        <is>
          <t>Lorazepam</t>
        </is>
      </c>
      <c r="F115" s="18" t="inlineStr">
        <is>
          <t>Alprazolam</t>
        </is>
      </c>
      <c r="G115" s="18" t="inlineStr">
        <is>
          <t>Triazolam</t>
        </is>
      </c>
      <c r="H115" s="18"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15" t="inlineStr">
        <is>
          <t>1</t>
        </is>
      </c>
      <c r="J115" s="18" t="inlineStr">
        <is>
          <t>✅ คำตอบที่ถูกต้อง: ข้อ ก.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การเลือก Diazepam เป็นคำตอบที่ถูกต้องตามแนวทางการรักษามาตรฐาน เนื่องจาก เป็น long-acting Benzodiazepine มี active metabolites (nordiazepam) สะสมในผู้สูงอายุ ทำให้ง่วงซึม หกล้ม เสี่ยง fracture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(Alprazolam): เป็น intermediate-acting Benzodiazepine ออกฤทธิ์เร็ว เหมาะสำหรับ panic attack แต่มีโอกาสเกิด dependence และ rebound anxiety สูงเมื่อหยุดยา
• ข้อ ง. (Triazolam): ข้อนี้ไม่ใช่คำตอบที่ถูกต้องสำหรับภาวะ Anxiety/depression เนื่องจากกลไกการออกฤทธิ์, efficacy หรือข้อบ่งใช้ไม่ตรงกับโจทย์ที่กำหนด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5" s="18" t="inlineStr"/>
      <c r="L115" s="18" t="inlineStr">
        <is>
          <t>Anxiety/depression</t>
        </is>
      </c>
      <c r="M115" s="18" t="inlineStr">
        <is>
          <t>Clinic</t>
        </is>
      </c>
      <c r="N115" s="18" t="inlineStr">
        <is>
          <t>ข้อ 67 (PLE_CC1_Key_Rx20_UBU.md)</t>
        </is>
      </c>
      <c r="O115" s="18" t="inlineStr">
        <is>
          <t>Mock</t>
        </is>
      </c>
      <c r="P115" s="18" t="inlineStr">
        <is>
          <t>Mock Rx20 UBU</t>
        </is>
      </c>
    </row>
    <row r="116">
      <c r="A116" s="15" t="inlineStr">
        <is>
          <t>114</t>
        </is>
      </c>
      <c r="B116" s="18" t="inlineStr">
        <is>
          <t>ผู้ป่วยมีโรคซึมเศร้าร่วมด้วย ควรได้รับยาใด เพื่อรักษาอาการนอนไม่หลับและซึมเศร้า</t>
        </is>
      </c>
      <c r="C116" s="18" t="inlineStr"/>
      <c r="D116" s="18" t="inlineStr">
        <is>
          <t>Bupropion</t>
        </is>
      </c>
      <c r="E116" s="18" t="inlineStr">
        <is>
          <t>Mirtazapine</t>
        </is>
      </c>
      <c r="F116" s="18" t="inlineStr">
        <is>
          <t>Amitriptyline</t>
        </is>
      </c>
      <c r="G116" s="18" t="inlineStr">
        <is>
          <t>Venlafaxine</t>
        </is>
      </c>
      <c r="H116" s="18"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15" t="inlineStr">
        <is>
          <t>2</t>
        </is>
      </c>
      <c r="J116" s="18" t="inlineStr">
        <is>
          <t>✅ คำตอบที่ถูกต้อง: ข้อ ข. Mirtazapine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Mirtazapine การเลือก Mirtazapine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(Bupropion): เป็น NDRI ใช้ช่วยเลิกบุหรี่และรักษาซึมเศร้า แต่มี contraindication ในผู้ป่วยประวัติชัก (seizure disorder) หรือ anorexia/bulimia nervosa
• ข้อ ค. (Amitriptyline): เป็น Tricyclic antidepressant (TCA) มี anticholinergic ADRs สูง, antihistaminic (ง่วงซึม น้ำหนักขึ้น), alpha-1 blockade (orthostatic hypotension) และเสี่ยงต่อ fatal cardiotoxicity เมื่อ overdose
• ข้อ ง. (Venlafaxine): ข้อนี้ไม่ใช่คำตอบที่ถูกต้องสำหรับภาวะ Anxiety/depression เนื่องจากกลไกการออกฤทธิ์, efficacy หรือข้อบ่งใช้ไม่ตรงกับโจทย์ที่กำหนด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เป็น NDRI ใช้ช่วยเลิกบุหรี่และรักษาซึมเศร้า แต่มี contraindication ในผู้ป่วยประวัติชัก (seizure disorder) หรือ anorexia/bulimia nervosa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6" s="18" t="inlineStr"/>
      <c r="L116" s="18" t="inlineStr">
        <is>
          <t>Anxiety/depression</t>
        </is>
      </c>
      <c r="M116" s="18" t="inlineStr">
        <is>
          <t>Clinic</t>
        </is>
      </c>
      <c r="N116" s="18" t="inlineStr">
        <is>
          <t>ข้อ 68 (PLE_CC1_Key_Rx20_UBU.md)</t>
        </is>
      </c>
      <c r="O116" s="18" t="inlineStr">
        <is>
          <t>Mock</t>
        </is>
      </c>
      <c r="P116" s="18" t="inlineStr">
        <is>
          <t>Mock Rx20 UBU</t>
        </is>
      </c>
    </row>
    <row r="117">
      <c r="A117" s="18" t="n">
        <v>115</v>
      </c>
      <c r="B117" s="18"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18" t="inlineStr"/>
      <c r="D117" s="18" t="inlineStr">
        <is>
          <t>แนะนำให้งดดื่มเครื่องดื่มแอลกอฮอล์ก่อนนอน</t>
        </is>
      </c>
      <c r="E117" s="18" t="inlineStr">
        <is>
          <t>เมื่อนอนไม่หลับภายใน 20 นาที ให้ลุกออกจากเตียงไปทำกิจกรรมผ่อนคลาย เมื่อรู้สึกง่วงจึงค่อยกลับมานอน</t>
        </is>
      </c>
      <c r="F117" s="18" t="inlineStr">
        <is>
          <t>แนะนำให้นอนหลับพักผ่อนในช่วงกลางวันชดเชยวันละ 2-3 ชั่วโมง</t>
        </is>
      </c>
      <c r="G117" s="18" t="inlineStr">
        <is>
          <t>เข้านอนและตื่นนอนให้ตรงเวลาเดิมสม่ำเสมอทุกวัน</t>
        </is>
      </c>
      <c r="H117" s="18" t="inlineStr">
        <is>
          <t>งดดื่มชา กาแฟ และเครื่องดื่มที่มีคาเฟอีน โดยเฉพาะในช่วงบ่ายและเย็น</t>
        </is>
      </c>
      <c r="I117" s="15" t="inlineStr">
        <is>
          <t>3</t>
        </is>
      </c>
      <c r="J117" s="18"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18" t="inlineStr"/>
      <c r="L117" s="18" t="inlineStr">
        <is>
          <t>Psychiatric</t>
        </is>
      </c>
      <c r="M117" s="18" t="inlineStr">
        <is>
          <t>Clinic</t>
        </is>
      </c>
      <c r="N117" s="18" t="inlineStr">
        <is>
          <t>PLE_CC1_2567_Key ข้อ 18</t>
        </is>
      </c>
      <c r="O117" s="18" t="inlineStr">
        <is>
          <t>ข้อสอบจริง</t>
        </is>
      </c>
      <c r="P117" s="18" t="inlineStr">
        <is>
          <t>ปี 2567</t>
        </is>
      </c>
    </row>
    <row r="118">
      <c r="A118" s="18" t="n">
        <v>116</v>
      </c>
      <c r="B118" s="18"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18" t="inlineStr"/>
      <c r="D118" s="18" t="inlineStr">
        <is>
          <t>จ่าย Lorazepam 1 mg รับประทานก่อนนอนทุกคืนต่อเนื่อง 1 เดือน</t>
        </is>
      </c>
      <c r="E118" s="18" t="inlineStr">
        <is>
          <t>ปรับสุขอนามัยการนอนหลับ (Sleep hygiene) งดแอลกอฮอล์/กาแฟ และอาจพิจารณา Melatonin ระยะสั้น</t>
        </is>
      </c>
      <c r="F118" s="18" t="inlineStr">
        <is>
          <t>แนะนำให้รับประทานยาเม็ดสารสกัดสมุนไพรใบขี้เหล็กก่อนนอน</t>
        </is>
      </c>
      <c r="G118" s="18" t="inlineStr">
        <is>
          <t>จ่ายยา Chlorpheniramine (CPM) 4 mg รับประทานก่อนนอนเป็นประจำเพื่อช่วยให้นอนหลับ</t>
        </is>
      </c>
      <c r="H118" s="18" t="inlineStr">
        <is>
          <t>ให้ดื่มแอลกอฮอล์เพิ่มปริมาณเป็น 2 แก้วก่อนนอนเพื่อให้หลับสนิทตลอดคืน</t>
        </is>
      </c>
      <c r="I118" s="15" t="inlineStr">
        <is>
          <t>2</t>
        </is>
      </c>
      <c r="J118" s="18"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18" t="inlineStr"/>
      <c r="L118" s="18" t="inlineStr">
        <is>
          <t>Psychiatric</t>
        </is>
      </c>
      <c r="M118" s="18" t="inlineStr">
        <is>
          <t>Clinic</t>
        </is>
      </c>
      <c r="N118" s="18" t="inlineStr">
        <is>
          <t>PLE_CC1_2567_Key ข้อ 20</t>
        </is>
      </c>
      <c r="O118" s="18" t="inlineStr">
        <is>
          <t>ข้อสอบจริง</t>
        </is>
      </c>
      <c r="P118" s="18" t="inlineStr">
        <is>
          <t>ปี 2567</t>
        </is>
      </c>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30"/>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26" t="inlineStr">
        <is>
          <t>1</t>
        </is>
      </c>
      <c r="B3" s="18"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18" t="inlineStr"/>
      <c r="D3" s="18" t="inlineStr">
        <is>
          <t>Short-acting beta-2 agonist (SABA) เดี่ยวๆ (เช่น Salbutamol MDI)</t>
        </is>
      </c>
      <c r="E3" s="18" t="inlineStr">
        <is>
          <t>Inhaled corticosteroid + Formoterol (ICS-Formoterol ขนาดต่ำ)</t>
        </is>
      </c>
      <c r="F3" s="18" t="inlineStr">
        <is>
          <t>Oral Prednisolone 30 mg</t>
        </is>
      </c>
      <c r="G3" s="18" t="inlineStr">
        <is>
          <t>Ipratropium bromide MDI</t>
        </is>
      </c>
      <c r="H3" s="18" t="inlineStr">
        <is>
          <t>Theophylline sustained-release</t>
        </is>
      </c>
      <c r="I3" s="15" t="inlineStr">
        <is>
          <t>2</t>
        </is>
      </c>
      <c r="J3" s="18"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18" t="inlineStr"/>
      <c r="L3" s="18" t="inlineStr">
        <is>
          <t>Asthma</t>
        </is>
      </c>
      <c r="M3" s="18" t="inlineStr">
        <is>
          <t>Clinic</t>
        </is>
      </c>
      <c r="N3" s="18" t="inlineStr">
        <is>
          <t>GINA Guidelines</t>
        </is>
      </c>
      <c r="O3" s="18" t="inlineStr">
        <is>
          <t>Mock</t>
        </is>
      </c>
      <c r="P3" s="18" t="inlineStr"/>
    </row>
    <row r="4">
      <c r="A4" s="15" t="inlineStr">
        <is>
          <t>1</t>
        </is>
      </c>
      <c r="B4" s="1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18" t="inlineStr"/>
      <c r="D4" s="18" t="inlineStr">
        <is>
          <t>เพื่อให้สามารถดำเนินชีวิตได้ปกติ</t>
        </is>
      </c>
      <c r="E4" s="18" t="inlineStr">
        <is>
          <t>เพื่อให้ควบคุมอาการของโรคได้</t>
        </is>
      </c>
      <c r="F4" s="18" t="inlineStr">
        <is>
          <t>เพื่อหลีกเลี่ยงอาการไม่พึงประสงค์อันเนื่องมาจากยารับประทาน</t>
        </is>
      </c>
      <c r="G4" s="18" t="inlineStr">
        <is>
          <t>เพื่อป้องกันการเกิดอาการเรื้อรัง</t>
        </is>
      </c>
      <c r="H4" s="18" t="inlineStr">
        <is>
          <t>เพื่อป้องกันการทำลายเนื้อเยื่อปอด</t>
        </is>
      </c>
      <c r="I4" s="15" t="inlineStr">
        <is>
          <t>5</t>
        </is>
      </c>
      <c r="J4" s="18" t="inlineStr">
        <is>
          <t>✅ คำตอบที่ถูกต้อง: ข้อ จ. เพื่อป้องกันการทำลายเนื้อเยื่อปอด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เพื่อป้องกันการทำลายเนื้อเยื่อปอด ตามแนวทาง GINA (Global Initiative for Asthma) เป้าหมายของการรักษาโรคหืดประกอบด้วย การควบคุมอาการในระยะยาว (achieve and maintain control) และลดความเสี่ยงในอนาคต (minimize future risk) เช่น ป้องกันการเกิดอาการกำเริบ ป้องกันการสูญเสียการทำงานของปอด และลดผลข้างเคียงจากยา แต่เป้าหมายหลักไม่ได้เน้นเรื่องหลีกเลี่ยงยารับประทานโดยเฉพาะ หากจำเป็นต้องใช้ยาควบคุมอาการชนิดกินตามข้อบ่งชี้
🔍 ข้ออื่นผิดเพราะอะไร:
• ข้อ ก. (เพื่อให้สามารถดำเนินชีวิตได้ปกติ): ข้อนี้ไม่ใช่คำตอบที่ถูกต้องสำหรับภาวะ Asthma เนื่องจากกลไกการออกฤทธิ์, efficacy หรือข้อบ่งใช้ไม่ตรงกับโจทย์ที่กำหนด
• ข้อ ข. (เพื่อให้ควบคุมอาการของโรคได้): ข้อนี้ไม่ใช่คำตอบที่ถูกต้องสำหรับภาวะ Asthma เนื่องจากกลไกการออกฤทธิ์, efficacy หรือข้อบ่งใช้ไม่ตรงกับโจทย์ที่กำหนด
• ข้อ ค. (เพื่อหลีกเลี่ยงอาการไม่พึงประสงค์อันเนื่องมาจากยารับประทาน): ข้อนี้ไม่ใช่คำตอบที่ถูกต้องสำหรับภาวะ Asthma เนื่องจากกลไกการออกฤทธิ์, efficacy หรือข้อบ่งใช้ไม่ตรงกับโจทย์ที่กำหนด
• ข้อ ง. (เพื่อป้องกันการเกิดอาการเรื้อรัง):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 s="18" t="inlineStr"/>
      <c r="L4" s="18" t="inlineStr">
        <is>
          <t>Asthma</t>
        </is>
      </c>
      <c r="M4" s="18" t="inlineStr">
        <is>
          <t>Clinic</t>
        </is>
      </c>
      <c r="N4" s="18" t="inlineStr">
        <is>
          <t>ข้อ 1 ชุด 1 (เฉลยข้อ จ)</t>
        </is>
      </c>
      <c r="O4" s="18" t="inlineStr">
        <is>
          <t>Mock</t>
        </is>
      </c>
      <c r="P4" s="18" t="inlineStr">
        <is>
          <t>ชุด 1</t>
        </is>
      </c>
    </row>
    <row r="5">
      <c r="A5" s="15" t="inlineStr">
        <is>
          <t>2</t>
        </is>
      </c>
      <c r="B5" s="1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18" t="inlineStr"/>
      <c r="D5" s="18" t="inlineStr">
        <is>
          <t>เดินขึ้นบันได 2 ชั้น</t>
        </is>
      </c>
      <c r="E5" s="18" t="inlineStr">
        <is>
          <t>อากาศร้อน</t>
        </is>
      </c>
      <c r="F5" s="18" t="inlineStr">
        <is>
          <t>ขนแมว</t>
        </is>
      </c>
      <c r="G5" s="18" t="inlineStr">
        <is>
          <t>ฝุ่น</t>
        </is>
      </c>
      <c r="H5" s="18" t="inlineStr">
        <is>
          <t>ควันบุหรี่</t>
        </is>
      </c>
      <c r="I5" s="15" t="inlineStr">
        <is>
          <t>2</t>
        </is>
      </c>
      <c r="J5" s="18" t="inlineStr">
        <is>
          <t>✅ คำตอบที่ถูกต้อง: ข้อ ข. อากาศร้อน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อากาศร้อน การเดินขึ้นบันได 2 ชั้นเป็นกิจกรรมปกติ (แม้จะกระตุ้น exercise-induced bronchoconstriction ได้ในบางราย แต่เมื่อเทียบกับสารก่อภูมิแพ้ เช่น ขนแมว ฝุ่น และสารระคายเคือง เช่น ควันบุหรี่ หรืออากาศร้อนจัด/เย็นจัด ซึ่งเป็นตัวกระตุ้นหลักที่ทำให้เกิดหลอดเกร็งตัวได้บ่อยและชัดเจนกว่า การเดินขึ้นบันได 2 ชั้นจึงมีโอกาสน้อยที่สุดในคนทั่วไปที่ไม่มีอาการหอบหืดรุนแรงจากการออกกำลังกาย
🔍 ข้ออื่นผิดเพราะอะไร:
• ข้อ ก. (เดินขึ้นบันได 2 ชั้น): ข้อนี้ไม่ใช่คำตอบที่ถูกต้องสำหรับภาวะ Asthma เนื่องจากกลไกการออกฤทธิ์, efficacy หรือข้อบ่งใช้ไม่ตรงกับโจทย์ที่กำหนด
• ข้อ ค. (ขนแมว): ข้อนี้ไม่ใช่คำตอบที่ถูกต้องสำหรับภาวะ Asthma เนื่องจากกลไกการออกฤทธิ์, efficacy หรือข้อบ่งใช้ไม่ตรงกับโจทย์ที่กำหนด
• ข้อ ง. (ฝุ่น): ข้อนี้ไม่ใช่คำตอบที่ถูกต้องสำหรับภาวะ Asthma เนื่องจากกลไกการออกฤทธิ์, efficacy หรือข้อบ่งใช้ไม่ตรงกับโจทย์ที่กำหนด
• ข้อ จ. (ควันบุหรี่):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 s="18" t="inlineStr"/>
      <c r="L5" s="18" t="inlineStr">
        <is>
          <t>Asthma</t>
        </is>
      </c>
      <c r="M5" s="18" t="inlineStr">
        <is>
          <t>Clinic</t>
        </is>
      </c>
      <c r="N5" s="18" t="inlineStr">
        <is>
          <t>ข้อ 2 ชุด 1 (เฉลยข้อ ข)</t>
        </is>
      </c>
      <c r="O5" s="18" t="inlineStr">
        <is>
          <t>Mock</t>
        </is>
      </c>
      <c r="P5" s="18" t="inlineStr">
        <is>
          <t>ชุด 1</t>
        </is>
      </c>
    </row>
    <row r="6">
      <c r="A6" s="15" t="inlineStr">
        <is>
          <t>3</t>
        </is>
      </c>
      <c r="B6" s="1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18" t="inlineStr"/>
      <c r="D6" s="18" t="inlineStr">
        <is>
          <t>ตัวยามีฤทธิ์เป็น long-acting beta 2 antagonist</t>
        </is>
      </c>
      <c r="E6" s="18" t="inlineStr">
        <is>
          <t>หากใช้ร่วมกับ inhaled steroid ให้พ่น steroid ก่อน</t>
        </is>
      </c>
      <c r="F6" s="18" t="inlineStr">
        <is>
          <t>ผู้ป่วยทุกรายควรพกติดตัวไว้ตลอดเวลาเพราะเป็นยาช่วยบรรเทาอาการ</t>
        </is>
      </c>
      <c r="G6" s="18" t="inlineStr">
        <is>
          <t>เวลาเกิด attack ให้พ่น 2-4 puffs ทุกหนึ่งชั่วโมงอย่างมากที่สุด 3 ครั้ง</t>
        </is>
      </c>
      <c r="H6" s="18" t="inlineStr">
        <is>
          <t>ที่ห้องฉุกเฉินเปลี่ยนไปให้เป็นรูปแบบยาฉีดให้ออกฤทธิ์เร็วและเพิ่ม bioavailability</t>
        </is>
      </c>
      <c r="I6" s="15" t="inlineStr">
        <is>
          <t>3</t>
        </is>
      </c>
      <c r="J6" s="18" t="inlineStr">
        <is>
          <t>✅ คำตอบที่ถูกต้อง: ข้อ ค. ผู้ป่วยทุกรายควรพกติดตัวไว้ตลอดเวลาเพราะเป็นยาช่วยบรรเทาอาการ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ผู้ป่วยทุกรายควรพกติดตัวไว้ตลอดเวลาเพราะเป็นยาช่วยบรรเทาอาการ Salbutamol เป็น short-acting beta-2 agonist (SABA) ที่ใช้เป็นยาบรรเทาอาการ (reliever) ผู้ป่วยโรคหืดทุกคนควรพกติดตัวไว้เพื่อใช้ยามีอาการเฉียบพลัน การใช้ร่วมกับ ICS ควรพ่น SABA ก่อนเพื่อขยายหลอดลมให้ยาสเตียรอยด์เข้าสู่ทางเดินหายใจได้ดีขึ้น
🔍 ข้ออื่นผิดเพราะอะไร:
• ข้อ ก. (ตัวยามีฤทธิ์เป็น long-acting beta 2 antagonist): ข้อนี้ไม่ใช่คำตอบที่ถูกต้องสำหรับภาวะ Asthma เนื่องจากกลไกการออกฤทธิ์, efficacy หรือข้อบ่งใช้ไม่ตรงกับโจทย์ที่กำหนด
• ข้อ ข. (หากใช้ร่วมกับ inhaled steroid ให้พ่น steroid ก่อน): ข้อนี้ไม่ใช่คำตอบที่ถูกต้องสำหรับภาวะ Asthma เนื่องจากกลไกการออกฤทธิ์, efficacy หรือข้อบ่งใช้ไม่ตรงกับโจทย์ที่กำหนด
• ข้อ ง. (เวลาเกิด attack ให้พ่น 2-4 puffs ทุกหนึ่งชั่วโมงอย่างมากที่สุด 3 ครั้ง): ข้อนี้ไม่ใช่คำตอบที่ถูกต้องสำหรับภาวะ Asthma เนื่องจากกลไกการออกฤทธิ์, efficacy หรือข้อบ่งใช้ไม่ตรงกับโจทย์ที่กำหนด
• ข้อ จ. (ที่ห้องฉุกเฉินเปลี่ยนไปให้เป็นรูปแบบยาฉีดให้ออกฤทธิ์เร็วและเพิ่ม bioavailability):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 s="18" t="inlineStr"/>
      <c r="L6" s="18" t="inlineStr">
        <is>
          <t>Asthma</t>
        </is>
      </c>
      <c r="M6" s="18" t="inlineStr">
        <is>
          <t>Clinic</t>
        </is>
      </c>
      <c r="N6" s="18" t="inlineStr">
        <is>
          <t>ข้อ 3 ชุด 1 (เฉลยข้อ ค)</t>
        </is>
      </c>
      <c r="O6" s="18" t="inlineStr">
        <is>
          <t>Mock</t>
        </is>
      </c>
      <c r="P6" s="18" t="inlineStr">
        <is>
          <t>ชุด 1</t>
        </is>
      </c>
    </row>
    <row r="7">
      <c r="A7" s="15" t="inlineStr">
        <is>
          <t>4</t>
        </is>
      </c>
      <c r="B7" s="1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18" t="inlineStr"/>
      <c r="D7" s="18" t="inlineStr">
        <is>
          <t>Inhaled formoterol ครั้งละ 3 puffs ก่อนนอน</t>
        </is>
      </c>
      <c r="E7" s="18" t="inlineStr">
        <is>
          <t>Zileuton ครั้งละ 1 เม็ด วันละ 4 ครั้ง</t>
        </is>
      </c>
      <c r="F7" s="18" t="inlineStr">
        <is>
          <t>Sustained-released theophylline ครั้งละ 1 เม็ด วันละ 2 ครั้ง</t>
        </is>
      </c>
      <c r="G7" s="18" t="inlineStr">
        <is>
          <t>Inhaled budesonide ครั้งละ 1 puffs วันละ 2 ครั้ง</t>
        </is>
      </c>
      <c r="H7" s="18" t="inlineStr">
        <is>
          <t>Ketotifen (1mg/tablet) ครั้งละ 1 เม็ด วันละ 2 ครั้ง</t>
        </is>
      </c>
      <c r="I7" s="15" t="inlineStr">
        <is>
          <t>4</t>
        </is>
      </c>
      <c r="J7" s="18" t="inlineStr">
        <is>
          <t>✅ คำตอบที่ถูกต้อง: ข้อ ง. Inhaled budesonide ครั้งละ 1 puffs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budesonide ครั้งละ 1 puffs วันละ 2 ครั้ง ผู้ป่วยมีอาการกลางคืน (nighttime awakening) บ่อย ซึ่งบ่งบอกถึงโรคหืดที่ยังควบคุมไม่ได้ (partially controlled หรือ uncontrolled) ตามแนวทาง GINA Step 2 การรักษาหลักคือการให้ Low-dose Inhaled Corticosteroid (ICS) เช่น Inhaled budesonide เพื่อลดการอักเสบเรื้อรังในทางเดินหายใจ
🔍 ข้ออื่นผิดเพราะอะไร:
• ข้อ ก. (Inhaled formoterol ครั้งละ 3 puffs ก่อนนอน): เป็น LABA ที่มี onset รวดเร็ว (1-3 นาที) และออกฤทธิ์นาน 12 ชม. สามารถใช้ร่วมกับ ICS (ICS-formoterol) เป็นได้ทั้ง maintenance และ reliever (MART / AIR strategy)
• ข้อ ข. (Zileuton ครั้งละ 1 เม็ด วันละ 4 ครั้ง): ข้อนี้ไม่ใช่คำตอบที่ถูกต้องสำหรับภาวะ Asthma เนื่องจากกลไกการออกฤทธิ์, efficacy หรือข้อบ่งใช้ไม่ตรงกับโจทย์ที่กำหนด
• ข้อ ค. (Sustained-released theophylline ครั้งละ 1 เม็ด วันละ 2 ครั้ง): มี narrow therapeutic window (target 5-15 mcg/mL) และ ADR สูง (ใจสั่น คลื่นไส้ ชัก หัวใจเต้นผิดจังหวะ) CPG จึงจัดเป็นเพียงทางเลือกท้ายๆ (alternative)
• ข้อ จ. (Ketotifen (1mg/tablet) ครั้งละ 1 เม็ด วันละ 2 ครั้ง):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 s="18" t="inlineStr"/>
      <c r="L7" s="18" t="inlineStr">
        <is>
          <t>Asthma</t>
        </is>
      </c>
      <c r="M7" s="18" t="inlineStr">
        <is>
          <t>Clinic</t>
        </is>
      </c>
      <c r="N7" s="18" t="inlineStr">
        <is>
          <t>ข้อ 4 ชุด 1 (เฉลยข้อ ง)</t>
        </is>
      </c>
      <c r="O7" s="18" t="inlineStr">
        <is>
          <t>Mock</t>
        </is>
      </c>
      <c r="P7" s="18" t="inlineStr">
        <is>
          <t>ชุด 1</t>
        </is>
      </c>
    </row>
    <row r="8">
      <c r="A8" s="15" t="inlineStr">
        <is>
          <t>5</t>
        </is>
      </c>
      <c r="B8" s="18"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18" t="inlineStr"/>
      <c r="D8" s="18" t="inlineStr">
        <is>
          <t>Inhaled salmeterol DPI ครั้งละ 1 blister ทุก 12 ชม.</t>
        </is>
      </c>
      <c r="E8" s="18" t="inlineStr">
        <is>
          <t>Inhaled cromolyn MDI (1mg/puff) ครั้งละ 2 puff วันละ 3 ครั้ง</t>
        </is>
      </c>
      <c r="F8" s="18" t="inlineStr">
        <is>
          <t>Inhaled fluticasone + salmeterol DPI ครั้งละ 1 puff วันละ 2 ครั้ง</t>
        </is>
      </c>
      <c r="G8" s="18" t="inlineStr">
        <is>
          <t>Prednisolone (5 mg/tab) ครั้งละ 5 เม็ด หลังอาหาร เช้า เย็น</t>
        </is>
      </c>
      <c r="H8" s="18" t="inlineStr">
        <is>
          <t>Inhaled ipratropium MDI ครั้งละ 2 puff วันละ 3 ครั้ง</t>
        </is>
      </c>
      <c r="I8" s="15" t="inlineStr">
        <is>
          <t>3</t>
        </is>
      </c>
      <c r="J8" s="18" t="inlineStr">
        <is>
          <t>✅ คำตอบที่ถูกต้อง: ข้อ ค. Inhaled fluticasone + salmeterol DPI ครั้งละ 1 puff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fluticasone + salmeterol DPI ครั้งละ 1 puff วันละ 2 ครั้ง เมื่อผู้ป่วยใช้ยาควบคุมระดับเริ่มต้นแล้วยังมีอาการควบคุมไม่ได้ (Step 2 ไม่ได้ผล) แนวทาง GINA แนะนำให้ปรับขึ้นเป็น Step 3 คือการใช้ Combination therapy ระหว่าง Low-to-medium dose ICS ร่วมกับ Long-acting beta-2 agonist (LABA) เช่น Inhaled fluticasone + salmeterol DPI เพื่อควบคุมอาการทั้งกลางวันและกลางคืนได้อย่างมี efficacy
🔍 ข้ออื่นผิดเพราะอะไร:
• ข้อ ก. (Inhaled salmeterol DPI ครั้งละ 1 blister ทุก 12 ชม.): เป็น LABA ที่มี onset ช้า (10-20 นาที) จึงใช้เป็น maintenance bronchodilator เท่านั้น ห้ามใช้เป็น reliever เด็ดขาด
• ข้อ ข. (Inhaled cromolyn MDI (1mg/puff) ครั้งละ 2 puff วันละ 3 ครั้ง): ข้อนี้ไม่ใช่คำตอบที่ถูกต้องสำหรับภาวะ Asthma เนื่องจากกลไกการออกฤทธิ์, efficacy หรือข้อบ่งใช้ไม่ตรงกับโจทย์ที่กำหนด
• ข้อ ง. (Prednisolone (5 mg/tab) ครั้งละ 5 เม็ด หลังอาหาร เช้า เย็น): เป็น intermediate-acting systemic corticosteroid ขนาดยอดนิยมสำหรับ immunosuppressive &amp; anti-inflammatory therapy ต้องระวัง Cushingoid, infection, osteoporosis, peptic ulcer
• ข้อ จ. (Inhaled ipratropium MDI ครั้งละ 2 puff วันละ 3 ครั้ง):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 s="18" t="inlineStr"/>
      <c r="L8" s="18" t="inlineStr">
        <is>
          <t>Asthma</t>
        </is>
      </c>
      <c r="M8" s="18" t="inlineStr">
        <is>
          <t>Clinic</t>
        </is>
      </c>
      <c r="N8" s="18" t="inlineStr">
        <is>
          <t>ข้อ 5 ชุด 1 (เฉลยข้อ ค)</t>
        </is>
      </c>
      <c r="O8" s="18" t="inlineStr">
        <is>
          <t>Mock</t>
        </is>
      </c>
      <c r="P8" s="18" t="inlineStr">
        <is>
          <t>ชุด 1</t>
        </is>
      </c>
    </row>
    <row r="9">
      <c r="A9" s="15" t="inlineStr">
        <is>
          <t>6</t>
        </is>
      </c>
      <c r="B9" s="18" t="inlineStr">
        <is>
          <t>การใช้น้ำกลั้วคอแล้วบ้วนทิ้งหลังพ่นยา steroid ป้องกันผลข้างเคียงใดได้มากที่สุด</t>
        </is>
      </c>
      <c r="C9" s="18" t="inlineStr"/>
      <c r="D9" s="18" t="inlineStr">
        <is>
          <t>Sore throat</t>
        </is>
      </c>
      <c r="E9" s="18" t="inlineStr">
        <is>
          <t>Pharyngitis</t>
        </is>
      </c>
      <c r="F9" s="18" t="inlineStr">
        <is>
          <t>Metallic taste</t>
        </is>
      </c>
      <c r="G9" s="18" t="inlineStr">
        <is>
          <t>Gingivitis</t>
        </is>
      </c>
      <c r="H9" s="18" t="inlineStr">
        <is>
          <t>Oral thrush</t>
        </is>
      </c>
      <c r="I9" s="15" t="inlineStr">
        <is>
          <t>5</t>
        </is>
      </c>
      <c r="J9" s="18" t="inlineStr">
        <is>
          <t>✅ คำตอบที่ถูกต้อง: ข้อ จ. Oral thrush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Oral thrush การบ้วนปากและกลั้วคอด้วยน้ำสะอาดแล้วบ้วนทิ้งหลังใช้ยาพ่นสูดสเตียรอยด์ (Inhaled corticosteroids) ช่วยลดการตกค้างของยาในช่องปากและลำคอ ซึ่งเป็นสาเหตุหลักของการเกิดเชื้อราในช่องปาก (Oral candidiasis หรือ Oral thrush) และเสียงแหบ
🔍 ข้ออื่นผิดเพราะอะไร:
• ข้อ ก. (Sore throat): ข้อนี้ไม่ใช่คำตอบที่ถูกต้องสำหรับภาวะ Asthma เนื่องจากกลไกการออกฤทธิ์, efficacy หรือข้อบ่งใช้ไม่ตรงกับโจทย์ที่กำหนด
• ข้อ ข. (Pharyngitis): ข้อนี้ไม่ใช่คำตอบที่ถูกต้องสำหรับภาวะ Asthma เนื่องจากกลไกการออกฤทธิ์, efficacy หรือข้อบ่งใช้ไม่ตรงกับโจทย์ที่กำหนด
• ข้อ ค. (Metallic taste): ข้อนี้ไม่ใช่คำตอบที่ถูกต้องสำหรับภาวะ Asthma เนื่องจากกลไกการออกฤทธิ์, efficacy หรือข้อบ่งใช้ไม่ตรงกับโจทย์ที่กำหนด
• ข้อ ง. (Gingivitis):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 s="18" t="inlineStr"/>
      <c r="L9" s="18" t="inlineStr">
        <is>
          <t>Asthma</t>
        </is>
      </c>
      <c r="M9" s="18" t="inlineStr">
        <is>
          <t>Clinic</t>
        </is>
      </c>
      <c r="N9" s="18" t="inlineStr">
        <is>
          <t>ข้อ 6 ชุด 1 (เฉลยข้อ จ)</t>
        </is>
      </c>
      <c r="O9" s="18" t="inlineStr">
        <is>
          <t>Mock</t>
        </is>
      </c>
      <c r="P9" s="18" t="inlineStr">
        <is>
          <t>ชุด 1</t>
        </is>
      </c>
    </row>
    <row r="10">
      <c r="A10" s="15" t="inlineStr">
        <is>
          <t>7</t>
        </is>
      </c>
      <c r="B10" s="18" t="inlineStr">
        <is>
          <t>ยาใดต่อไปนี้ไม่เกิดปฏิกิริยาเมื่อรับประทานร่วมกับ theophylline</t>
        </is>
      </c>
      <c r="C10" s="18" t="inlineStr"/>
      <c r="D10" s="18" t="inlineStr">
        <is>
          <t>Ciprofloxacin</t>
        </is>
      </c>
      <c r="E10" s="18" t="inlineStr">
        <is>
          <t>Fluvoxamine</t>
        </is>
      </c>
      <c r="F10" s="18" t="inlineStr">
        <is>
          <t>Cimetidine</t>
        </is>
      </c>
      <c r="G10" s="18" t="inlineStr">
        <is>
          <t>Amoxicillin</t>
        </is>
      </c>
      <c r="H10" s="18" t="inlineStr">
        <is>
          <t>Rifampicin</t>
        </is>
      </c>
      <c r="I10" s="15" t="inlineStr">
        <is>
          <t>4</t>
        </is>
      </c>
      <c r="J10" s="18" t="inlineStr">
        <is>
          <t>✅ คำตอบที่ถูกต้อง: ข้อ ง. Amoxicillin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Amoxicillin Theophylline ถูกเมแทบอไลต์ผ่านเอนไซม์ CYP1A2 และ CYP3A4 เป็นหลัก ยา Ciprofloxacin, Fluvoxamine และ Cimetidine เป็น CYP inhibitors ที่ทำให้ระดับ theophylline ในเลือดสูงขึ้นจนเกิดพิษ ส่วน Rifampicin เป็น CYP inducer ที่ทำให้ระดับยา theophylline ลดลง สำหรับ Amoxicillin ไม่ได้มีผลยับยั้งหรือกระตุ้นเอนไซม์ดังกล่าวในระดับที่มีนัยสำคัญทางคลินิก จึงไม่เกิดปฏิกิริยาระหว่างกัน
🔍 ข้ออื่นผิดเพราะอะไร:
• ข้อ ก. (Ciprofloxacin): เป็น Fluoroquinolone เด่นต่อ Gram-negative รวมทั้ง Pseudomonas aeruginosa แต่มี black box warning เรื่อง tendon rupture, QT prolongation, aortic aneurysm และ dysglycemia
• ข้อ ข. (Fluvoxamine): ข้อนี้ไม่ใช่คำตอบที่ถูกต้องสำหรับภาวะ Asthma เนื่องจากกลไกการออกฤทธิ์, efficacy หรือข้อบ่งใช้ไม่ตรงกับโจทย์ที่กำหนด
• ข้อ ค. (Cimetidine): ข้อนี้ไม่ใช่คำตอบที่ถูกต้องสำหรับภาวะ Asthma เนื่องจากกลไกการออกฤทธิ์, efficacy หรือข้อบ่งใช้ไม่ตรงกับโจทย์ที่กำหนด
• ข้อ จ.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 s="18" t="inlineStr"/>
      <c r="L10" s="18" t="inlineStr">
        <is>
          <t>Asthma</t>
        </is>
      </c>
      <c r="M10" s="18" t="inlineStr">
        <is>
          <t>Clinic</t>
        </is>
      </c>
      <c r="N10" s="18" t="inlineStr">
        <is>
          <t>ข้อ 7 ชุด 1 (เฉลยข้อ ง)</t>
        </is>
      </c>
      <c r="O10" s="18" t="inlineStr">
        <is>
          <t>Mock</t>
        </is>
      </c>
      <c r="P10" s="18" t="inlineStr">
        <is>
          <t>ชุด 1</t>
        </is>
      </c>
    </row>
    <row r="11">
      <c r="A11" s="15" t="inlineStr">
        <is>
          <t>8</t>
        </is>
      </c>
      <c r="B11" s="18"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18" t="inlineStr"/>
      <c r="D11" s="18" t="inlineStr">
        <is>
          <t>ความเย็น</t>
        </is>
      </c>
      <c r="E11" s="18" t="inlineStr">
        <is>
          <t>ควันบุหรี่</t>
        </is>
      </c>
      <c r="F11" s="18" t="inlineStr">
        <is>
          <t>การออกกำลังกาย</t>
        </is>
      </c>
      <c r="G11" s="18" t="inlineStr">
        <is>
          <t>กรรมพันธุ์</t>
        </is>
      </c>
      <c r="H11" s="18" t="inlineStr">
        <is>
          <t>ถูกทุกข้อ</t>
        </is>
      </c>
      <c r="I11" s="15" t="inlineStr">
        <is>
          <t>5</t>
        </is>
      </c>
      <c r="J11" s="18" t="inlineStr">
        <is>
          <t>✅ คำตอบที่ถูกต้อง: ข้อ จ. ถูกทุกข้อ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ถูกทุกข้อ ปัจจัยกระตุ้นอาการหอบหืด (Asthma triggers) มีหลากหลาย รวมถึงความเย็น ควันบุหรี่ การออกกำลังกาย และปัจจัยทางพันธุกรรมที่เป็นพื้นฐานของความไวของหลอดลม (Airway hyperresponsiveness)
🔍 ข้ออื่นผิดเพราะอะไร:
• ข้อ ก. (ความเย็น): ข้อนี้ไม่ใช่คำตอบที่ถูกต้องสำหรับภาวะ Asthma เนื่องจากกลไกการออกฤทธิ์, efficacy หรือข้อบ่งใช้ไม่ตรงกับโจทย์ที่กำหนด
• ข้อ ข. (ควันบุหรี่): ข้อนี้ไม่ใช่คำตอบที่ถูกต้องสำหรับภาวะ Asthma เนื่องจากกลไกการออกฤทธิ์, efficacy หรือข้อบ่งใช้ไม่ตรงกับโจทย์ที่กำหนด
• ข้อ ค.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ข้อ ง. (กรรมพันธุ์):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 s="18" t="inlineStr"/>
      <c r="L11" s="18" t="inlineStr">
        <is>
          <t>Asthma</t>
        </is>
      </c>
      <c r="M11" s="18" t="inlineStr">
        <is>
          <t>Clinic</t>
        </is>
      </c>
      <c r="N11" s="18" t="inlineStr">
        <is>
          <t>ข้อ 8 ชุด 1 (เฉลยข้อ จ)</t>
        </is>
      </c>
      <c r="O11" s="18" t="inlineStr">
        <is>
          <t>Mock</t>
        </is>
      </c>
      <c r="P11" s="18" t="inlineStr">
        <is>
          <t>ชุด 1</t>
        </is>
      </c>
    </row>
    <row r="12">
      <c r="A12" s="15" t="inlineStr">
        <is>
          <t>9</t>
        </is>
      </c>
      <c r="B12" s="18" t="inlineStr">
        <is>
          <t>ลักษณะอาการของผู้ที่เป็นโรคหอบหืด คือ</t>
        </is>
      </c>
      <c r="C12" s="18" t="inlineStr"/>
      <c r="D12" s="18" t="inlineStr">
        <is>
          <t>หายใจมีเสียงหวีด, หายใจขัด, ไอ</t>
        </is>
      </c>
      <c r="E12" s="18" t="inlineStr">
        <is>
          <t>แน่นจมูก, ไอมีเสมหะ, มีน้ำมูกใส</t>
        </is>
      </c>
      <c r="F12" s="18" t="inlineStr">
        <is>
          <t>หายใจถี่, ไอมีเสียงก้อง, หายใจขัด</t>
        </is>
      </c>
      <c r="G12" s="18" t="inlineStr">
        <is>
          <t>ไอแห้งๆ, เจ็บหน้าอก, หายใจขัด</t>
        </is>
      </c>
      <c r="H12" s="18" t="inlineStr">
        <is>
          <t>ไอแห้งๆ, หายใจไม่ออก, มีน้ำมูกข้น</t>
        </is>
      </c>
      <c r="I12" s="15" t="inlineStr">
        <is>
          <t>1</t>
        </is>
      </c>
      <c r="J12" s="18" t="inlineStr">
        <is>
          <t>✅ คำตอบที่ถูกต้อง: ข้อ ก. หายใจมีเสียงหวีด, หายใจขัด, ไอ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หายใจมีเสียงหวีด, หายใจขัด, ไอ อาการคลาสสิกของโรคหืด (Asthma) ประกอบด้วย การหายใจมีเสียงหวีด (wheezing), หายใจลำบาก/หายใจขัด (dyspnea), แน่นหน้าอก (chest tightness) และอาการไอ (cough) ซึ่งมักเป็นมากในช่วงเวลากลางคืนหรือเช้ามืด
🔍 ข้ออื่นผิดเพราะอะไร:
• ข้อ ข. (แน่นจมูก, ไอมีเสมหะ, มีน้ำมูกใส): ข้อนี้ไม่ใช่คำตอบที่ถูกต้องสำหรับภาวะ Asthma เนื่องจากกลไกการออกฤทธิ์, efficacy หรือข้อบ่งใช้ไม่ตรงกับโจทย์ที่กำหนด
• ข้อ ค. (หายใจถี่, ไอมีเสียงก้อง, หายใจขัด): ข้อนี้ไม่ใช่คำตอบที่ถูกต้องสำหรับภาวะ Asthma เนื่องจากกลไกการออกฤทธิ์, efficacy หรือข้อบ่งใช้ไม่ตรงกับโจทย์ที่กำหนด
• ข้อ ง. (ไอแห้งๆ, เจ็บหน้าอก, หายใจขัด): ข้อนี้ไม่ใช่คำตอบที่ถูกต้องสำหรับภาวะ Asthma เนื่องจากกลไกการออกฤทธิ์, efficacy หรือข้อบ่งใช้ไม่ตรงกับโจทย์ที่กำหนด
• ข้อ จ. (ไอแห้งๆ, หายใจไม่ออก, มีน้ำมูกข้น):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 s="18" t="inlineStr"/>
      <c r="L12" s="18" t="inlineStr">
        <is>
          <t>Asthma</t>
        </is>
      </c>
      <c r="M12" s="18" t="inlineStr">
        <is>
          <t>Clinic</t>
        </is>
      </c>
      <c r="N12" s="18" t="inlineStr">
        <is>
          <t>ข้อ 9 ชุด 1 (เฉลยข้อ ก)</t>
        </is>
      </c>
      <c r="O12" s="18" t="inlineStr">
        <is>
          <t>Mock</t>
        </is>
      </c>
      <c r="P12" s="18" t="inlineStr">
        <is>
          <t>ชุด 1</t>
        </is>
      </c>
    </row>
    <row r="13">
      <c r="A13" s="15" t="inlineStr">
        <is>
          <t>10</t>
        </is>
      </c>
      <c r="B13" s="18" t="inlineStr">
        <is>
          <t>พยาธิสภาพของหลอดลมในผู้ป่วยที่เป็นโรคหอบหืด ได้แก่</t>
        </is>
      </c>
      <c r="C13" s="18" t="inlineStr"/>
      <c r="D13" s="18" t="inlineStr">
        <is>
          <t>มีการอักเสบเรื้อรังของถุงลมในปอด ทำให้ถุงลมไวต่อสิ่งกระตุ้นมากกว่าปกติ ซึ่งจะเป็นแบบ reversible</t>
        </is>
      </c>
      <c r="E13" s="18" t="inlineStr">
        <is>
          <t>มีการอักเสบเรื้อรังของถุงลมในปอด ทำให้ถุงลมไวต่อสิ่งกระตุ้นมากกว่าปกติ ซึ่งจะเป็นแบบ irreversible</t>
        </is>
      </c>
      <c r="F13" s="18" t="inlineStr">
        <is>
          <t>มีการอักเสบเรื้อรังของหลอดลม ทำให้หลอดลมไวต่อสิ่งกระตุ้นมากกว่าปกติ ซึ่งจะเป็นแบบ reversible</t>
        </is>
      </c>
      <c r="G13" s="18" t="inlineStr">
        <is>
          <t>มีการอักเสบเรื้อรังของหลอดลม ทำให้หลอดลมไวต่อสิ่งกระตุ้นมากกว่าปกติ ซึ่งจะเป็นแบบ irreversible</t>
        </is>
      </c>
      <c r="H13" s="18" t="inlineStr">
        <is>
          <t>มีการอักเสบแบบเฉียบพลันของหลอดลม ทำให้หลอดลมไวต่อสิ่งกระตุ้นมากกว่าปกติ ซึ่งจะเป็นแบบ irreversible</t>
        </is>
      </c>
      <c r="I13" s="15" t="inlineStr">
        <is>
          <t>3</t>
        </is>
      </c>
      <c r="J13" s="18" t="inlineStr">
        <is>
          <t>✅ คำตอบที่ถูกต้อง: ข้อ ค. มีการอักเสบเรื้อรังของหลอดลม ทำให้หลอดลมไวต่อสิ่งกระตุ้นมากกว่าปกติ ซึ่งจะเป็นแบบ reversible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มีการอักเสบเรื้อรังของหลอดลม ทำให้หลอดลมไวต่อสิ่งกระตุ้นมากกว่าปกติ ซึ่งจะเป็นแบบ reversible โรคหืดมีพยาธิสภาพหลักเป็นการอักเสบเรื้อรังของหลอดลม (Chronic airway inflammation) ทำให้เกิดภาวะหลอดลมไวเกิน (Airway hyperresponsiveness) และภาวะหลอดลมตีบที่สามารถกลับคืนสู่ปกติได้ (Reversible airflow limitation)
🔍 ข้ออื่นผิดเพราะอะไร:
• ข้อ ก. (มีการอักเสบเรื้อรังของถุงลมในปอด ทำให้ถุงลมไวต่อสิ่งกระตุ้นมากกว่าปกติ ซึ่งจะเป็นแบบ reversible): ข้อนี้ไม่ใช่คำตอบที่ถูกต้องสำหรับภาวะ Asthma เนื่องจากกลไกการออกฤทธิ์, efficacy หรือข้อบ่งใช้ไม่ตรงกับโจทย์ที่กำหนด
• ข้อ ข. (มีการอักเสบเรื้อรังของถุงลมในปอด ทำให้ถุงลมไวต่อสิ่งกระตุ้นมากกว่าปกติ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ง. (มีการอักเสบเรื้อรังของหลอดลม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จ. (มีการอักเสบแบบเฉียบพลันของหลอดลม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18" t="inlineStr"/>
      <c r="L13" s="18" t="inlineStr">
        <is>
          <t>Asthma</t>
        </is>
      </c>
      <c r="M13" s="18" t="inlineStr">
        <is>
          <t>Clinic</t>
        </is>
      </c>
      <c r="N13" s="18" t="inlineStr">
        <is>
          <t>ข้อ 10 ชุด 1 (เฉลยข้อ ค)</t>
        </is>
      </c>
      <c r="O13" s="18" t="inlineStr">
        <is>
          <t>Mock</t>
        </is>
      </c>
      <c r="P13" s="18" t="inlineStr">
        <is>
          <t>ชุด 1</t>
        </is>
      </c>
    </row>
    <row r="14">
      <c r="A14" s="15" t="inlineStr">
        <is>
          <t>11</t>
        </is>
      </c>
      <c r="B14" s="18" t="inlineStr">
        <is>
          <t>ข้อใดเป็นกลไกที่ถูกต้องของการเกิดโรคหอบหืด</t>
        </is>
      </c>
      <c r="C14" s="18" t="inlineStr"/>
      <c r="D14" s="18" t="inlineStr">
        <is>
          <t>Allergen กระตุ้นการสร้าง IgE ทำให้เกิด early-phaser allergic reaction</t>
        </is>
      </c>
      <c r="E14" s="18" t="inlineStr">
        <is>
          <t>Allergen กระตุ้นการหลั่ง IgE ทำให้เกิด late-phase allergic reaction</t>
        </is>
      </c>
      <c r="F14" s="18" t="inlineStr">
        <is>
          <t>Allergen จับกับ IgE บน mast cell ทำให้เกิดการหลั่ง mediators นำไปสู่ early-phase reaction</t>
        </is>
      </c>
      <c r="G14" s="18" t="inlineStr">
        <is>
          <t>Allergen จับกับ IgE บน mast cell ทำให้เกิดการหลั่ง mediators นำไปสู่ late-phase reaction</t>
        </is>
      </c>
      <c r="H14" s="18" t="inlineStr">
        <is>
          <t>Allergen form complex กับ IgE ฝังตัวบนเนื้อเยื่อของหลอดลม และกระตุ้นให้เกิดการอักเสบ</t>
        </is>
      </c>
      <c r="I14" s="15" t="inlineStr">
        <is>
          <t>3</t>
        </is>
      </c>
      <c r="J14" s="18" t="inlineStr">
        <is>
          <t>✅ คำตอบที่ถูกต้อง: ข้อ ค. Allergen จับกับ IgE บน mast cell ทำให้เกิดการหลั่ง mediators นำไปสู่ early-phase reaction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Allergen จับกับ IgE บน mast cell ทำให้เกิดการหลั่ง mediators นำไปสู่ early-phase reaction ในกระบวนการภูมิแพ้ของโรคหืด สารก่อภูมิแพ้ (Allergen) จะเข้าจับกับแอนติบอดี IgE ที่จำเพาะบนผิวของ Mast cells ทำให้เกิดการ degranulation และหลั่ง inflammatory mediators (เช่น histamine, leukotrienes) ซึ่งเป็นกลไกหลักในการเกิดปฏิกิริยาช่วงแรก (Early-phase allergic reaction)
🔍 ข้ออื่นผิดเพราะอะไร:
• ข้อ ก. (Allergen กระตุ้นการสร้าง IgE ทำให้เกิด early-phaser allergic reaction): ข้อนี้ไม่ใช่คำตอบที่ถูกต้องสำหรับภาวะ Asthma เนื่องจากกลไกการออกฤทธิ์, efficacy หรือข้อบ่งใช้ไม่ตรงกับโจทย์ที่กำหนด
• ข้อ ข. (Allergen กระตุ้นการหลั่ง IgE ทำให้เกิด late-phase allergic reaction): ข้อนี้ไม่ใช่คำตอบที่ถูกต้องสำหรับภาวะ Asthma เนื่องจากกลไกการออกฤทธิ์, efficacy หรือข้อบ่งใช้ไม่ตรงกับโจทย์ที่กำหนด
• ข้อ ง. (Allergen จับกับ IgE บน mast cell ทำให้เกิดการหลั่ง mediators นำไปสู่ late-phase reaction): ข้อนี้ไม่ใช่คำตอบที่ถูกต้องสำหรับภาวะ Asthma เนื่องจากกลไกการออกฤทธิ์, efficacy หรือข้อบ่งใช้ไม่ตรงกับโจทย์ที่กำหนด
• ข้อ จ. (Allergen form complex กับ IgE ฝังตัวบนเนื้อเยื่อของหลอดลม และกระตุ้นให้เกิดการอักเสบ):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4" s="18" t="inlineStr"/>
      <c r="L14" s="18" t="inlineStr">
        <is>
          <t>Asthma</t>
        </is>
      </c>
      <c r="M14" s="18" t="inlineStr">
        <is>
          <t>Clinic</t>
        </is>
      </c>
      <c r="N14" s="18" t="inlineStr">
        <is>
          <t>ข้อ 11 ชุด 1 (เฉลยข้อ ค)</t>
        </is>
      </c>
      <c r="O14" s="18" t="inlineStr">
        <is>
          <t>Mock</t>
        </is>
      </c>
      <c r="P14" s="18" t="inlineStr">
        <is>
          <t>ชุด 1</t>
        </is>
      </c>
    </row>
    <row r="15">
      <c r="A15" s="15" t="inlineStr">
        <is>
          <t>12</t>
        </is>
      </c>
      <c r="B15" s="18" t="inlineStr">
        <is>
          <t>ท่านจะแนะนำการใช้ยาพ่น beclomethasone inhaler ให้แก่ นาง ก อย่างไรบ้าง</t>
        </is>
      </c>
      <c r="C15" s="18" t="inlineStr"/>
      <c r="D15" s="18" t="inlineStr">
        <is>
          <t>หลังการพ่นยาควรบ้วนปากทุกครั้ง</t>
        </is>
      </c>
      <c r="E15" s="18" t="inlineStr">
        <is>
          <t>ไม่ควรใช้ยาร่วมกับ spacer</t>
        </is>
      </c>
      <c r="F15" s="18" t="inlineStr">
        <is>
          <t>ใช้เฉพาะเวลาที่มีการจับหืด</t>
        </is>
      </c>
      <c r="G15" s="18" t="inlineStr">
        <is>
          <t>ยาออกฤทธิ์โดยการขยายหลอดลม</t>
        </is>
      </c>
      <c r="H15" s="18" t="inlineStr">
        <is>
          <t>ถูกทุกข้อ</t>
        </is>
      </c>
      <c r="I15" s="15" t="inlineStr">
        <is>
          <t>1</t>
        </is>
      </c>
      <c r="J15" s="18" t="inlineStr">
        <is>
          <t>✅ คำตอบที่ถูกต้อง: ข้อ ก. หลังการพ่นยาควรบ้วนปากทุกครั้ง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หลังการพ่นยาควรบ้วนปากทุกครั้ง Beclomethasone เป็นยา corticosteroid ชนิดพ่นสูด (ICS) ซึ่งใช้สำหรับควบคุมอาการระยะยาว (controller) ไม่ใช่ยาขยายหลอดลมออกฤทธิ์เร็ว การใช้ต้องบ้วนปากและล้างหน้าหลังพ่นยาทุกครั้งเพื่อป้องกันอาการเสียงแหบและเชื้อราในช่องปาก (oral candidiasis) และมักแนะนำให้ใช้ร่วมกับ spacer ในผู้ป่วยบางรายเพื่อลดการตกค้างในช่องปาก
🔍 ข้ออื่นผิดเพราะอะไร:
• ข้อ ข. (ไม่ควรใช้ยาร่วมกับ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ค. (ใช้เฉพาะเวลาที่มีการจับหืด): ข้อนี้ไม่ใช่คำตอบที่ถูกต้องสำหรับภาวะ Asthma เนื่องจากกลไกการออกฤทธิ์, efficacy หรือข้อบ่งใช้ไม่ตรงกับโจทย์ที่กำหนด
• ข้อ ง.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5" s="18" t="inlineStr"/>
      <c r="L15" s="18" t="inlineStr">
        <is>
          <t>Asthma</t>
        </is>
      </c>
      <c r="M15" s="18" t="inlineStr">
        <is>
          <t>Clinic</t>
        </is>
      </c>
      <c r="N15" s="18" t="inlineStr">
        <is>
          <t>ข้อ 12 ชุด 1 (เฉลยข้อ ก)</t>
        </is>
      </c>
      <c r="O15" s="18" t="inlineStr">
        <is>
          <t>Mock</t>
        </is>
      </c>
      <c r="P15" s="18" t="inlineStr">
        <is>
          <t>ชุด 1</t>
        </is>
      </c>
    </row>
    <row r="16">
      <c r="A16" s="15" t="inlineStr">
        <is>
          <t>13</t>
        </is>
      </c>
      <c r="B16" s="18" t="inlineStr">
        <is>
          <t>อาการข้างเคียงที่อาจเกิดขึ้นจากการใช้ยาพ่น beclomethasone inhaler ได้แก่</t>
        </is>
      </c>
      <c r="C16" s="18" t="inlineStr"/>
      <c r="D16" s="18" t="inlineStr">
        <is>
          <t>เชื้อราในช่องปาก, เสียงแหบ</t>
        </is>
      </c>
      <c r="E16" s="18" t="inlineStr">
        <is>
          <t>คลื่นไส้, อาเจียน</t>
        </is>
      </c>
      <c r="F16" s="18" t="inlineStr">
        <is>
          <t>เวียนศีรษะ, ใจสั่น</t>
        </is>
      </c>
      <c r="G16" s="18" t="inlineStr">
        <is>
          <t>มือสั่น, นอนไม่หลับ</t>
        </is>
      </c>
      <c r="H16" s="18" t="inlineStr">
        <is>
          <t>ถูกทุกข้อ</t>
        </is>
      </c>
      <c r="I16" s="15" t="inlineStr">
        <is>
          <t>1</t>
        </is>
      </c>
      <c r="J16" s="18" t="inlineStr">
        <is>
          <t>✅ คำตอบที่ถูกต้อง: ข้อ ก. เชื้อราในช่องปาก, เสียงแหบ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เชื้อราในช่องปาก, เสียงแหบ อาการข้างเคียงเฉพาะที่ของยา inhaled corticosteroid (ICS) ได้แก่ เชื้อราในช่องปาก (oral candidiasis) และเสียงแหบ (dysphonia) ซึ่งเกิดจากการสะสมของยาบริเวณเยื่อบุช่องปากและกล่องเสียง การบ้วนปากหลังพ่นยาสามารถลดอุบัติการณ์นี้ได้
🔍 ข้ออื่นผิดเพราะอะไร:
• ข้อ ข.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ค. (เวียนศีรษะ, ใจสั่น): ข้อนี้ไม่ใช่คำตอบที่ถูกต้องสำหรับภาวะ Asthma เนื่องจากกลไกการออกฤทธิ์, efficacy หรือข้อบ่งใช้ไม่ตรงกับโจทย์ที่กำหนด
• ข้อ ง. (มือสั่น, นอนไม่หลับ):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6" s="18" t="inlineStr"/>
      <c r="L16" s="18" t="inlineStr">
        <is>
          <t>Asthma</t>
        </is>
      </c>
      <c r="M16" s="18" t="inlineStr">
        <is>
          <t>Clinic</t>
        </is>
      </c>
      <c r="N16" s="18" t="inlineStr">
        <is>
          <t>ข้อ 13 ชุด 1 (เฉลยข้อ ก)</t>
        </is>
      </c>
      <c r="O16" s="18" t="inlineStr">
        <is>
          <t>Mock</t>
        </is>
      </c>
      <c r="P16" s="18" t="inlineStr">
        <is>
          <t>ชุด 1</t>
        </is>
      </c>
    </row>
    <row r="17">
      <c r="A17" s="15" t="inlineStr">
        <is>
          <t>14</t>
        </is>
      </c>
      <c r="B17" s="18" t="inlineStr">
        <is>
          <t>ยาในกลุ่มใดต่อไปนี้ใช้เป็นยาสำหรับควบคุมอาการหอบหืด</t>
        </is>
      </c>
      <c r="C17" s="18" t="inlineStr"/>
      <c r="D17" s="18" t="inlineStr">
        <is>
          <t>Glucocorticoid, ketotifen, short-acting beta-2 agonists</t>
        </is>
      </c>
      <c r="E17" s="18" t="inlineStr">
        <is>
          <t>leukotriene antagonist, cromolyn, anticholinergic</t>
        </is>
      </c>
      <c r="F17" s="18" t="inlineStr">
        <is>
          <t>Cromolyn, glucocorticoid, leukotriene antagonist</t>
        </is>
      </c>
      <c r="G17" s="18" t="inlineStr">
        <is>
          <t>short-acting beta-2 agonist</t>
        </is>
      </c>
      <c r="H17" s="18" t="inlineStr">
        <is>
          <t>ถูกทุกข้อ</t>
        </is>
      </c>
      <c r="I17" s="15" t="inlineStr">
        <is>
          <t>2</t>
        </is>
      </c>
      <c r="J17" s="18" t="inlineStr">
        <is>
          <t>✅ คำตอบที่ถูกต้อง: ข้อ ข. leukotriene antagonist, cromolyn, anticholinergic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leukotriene antagonist, cromolyn, anticholinergic ยาควบคุมอาการหอบหืด (controller medications) ได้แก่ ยาสเตียรอยด์ชนิดสูด (ICS / glucocorticoid), leukotriene receptor antagonists (LTRA) และ mast cell stabilizers (cromolyn) ซึ่งใช้ลดการอักเสบเรื้อรังของหลอดลม ต่างจาก SABA ที่เป็นยาบรรเทาอาการ (reliever)
🔍 ข้ออื่นผิดเพราะอะไร:
• ข้อ ก. (Glucocorticoid, ketotifen, short-acting beta-2 agonists): ข้อนี้ไม่ใช่คำตอบที่ถูกต้องสำหรับภาวะ Asthma เนื่องจากกลไกการออกฤทธิ์, efficacy หรือข้อบ่งใช้ไม่ตรงกับโจทย์ที่กำหนด
• ข้อ ค. (Cromolyn, glucocorticoid, leukotriene antagonist): ข้อนี้ไม่ใช่คำตอบที่ถูกต้องสำหรับภาวะ Asthma เนื่องจากกลไกการออกฤทธิ์, efficacy หรือข้อบ่งใช้ไม่ตรงกับโจทย์ที่กำหนด
• ข้อ ง. (short-acting beta-2 agonist):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7" s="18" t="inlineStr"/>
      <c r="L17" s="18" t="inlineStr">
        <is>
          <t>Asthma</t>
        </is>
      </c>
      <c r="M17" s="18" t="inlineStr">
        <is>
          <t>Clinic</t>
        </is>
      </c>
      <c r="N17" s="18" t="inlineStr">
        <is>
          <t>ข้อ 14 ชุด 1 (เฉลยข้อ ข ค)</t>
        </is>
      </c>
      <c r="O17" s="18" t="inlineStr">
        <is>
          <t>Mock</t>
        </is>
      </c>
      <c r="P17" s="18" t="inlineStr">
        <is>
          <t>ชุด 1</t>
        </is>
      </c>
    </row>
    <row r="18">
      <c r="A18" s="15" t="inlineStr">
        <is>
          <t>15</t>
        </is>
      </c>
      <c r="B18" s="1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18" t="inlineStr"/>
      <c r="D18" s="18" t="inlineStr">
        <is>
          <t>สิ่งกระตุ้น (triggers) ต่าง ๆ เช่น เสียง แสง ความร้อน เป็นต้น</t>
        </is>
      </c>
      <c r="E18" s="18" t="inlineStr">
        <is>
          <t>การตอบสนองต่อสิ่งเร้าหรือระบบภูมิคุ้มกันร่างกายที่มากเกินไป</t>
        </is>
      </c>
      <c r="F18" s="18" t="inlineStr">
        <is>
          <t>เป็นอาการร่วมเมื่อผู้ป่วยเกิดอาการใช้</t>
        </is>
      </c>
      <c r="G18" s="18" t="inlineStr">
        <is>
          <t>ความผิดปกติของปอด</t>
        </is>
      </c>
      <c r="H18" s="18" t="inlineStr">
        <is>
          <t>การออกกำลังกาย</t>
        </is>
      </c>
      <c r="I18" s="15" t="inlineStr">
        <is>
          <t>2</t>
        </is>
      </c>
      <c r="J18" s="18" t="inlineStr">
        <is>
          <t>✅ คำตอบที่ถูกต้อง: ข้อ ข. การตอบสนองต่อสิ่งเร้าหรือระบบภูมิคุ้มกันร่างกายที่มากเกินไป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การตอบสนองต่อสิ่งเร้าหรือระบบภูมิคุ้มกันร่างกายที่มากเกินไป โรคหอบหืด (Asthma) มีพยาธิสภาพหลักจากการตอบสนองของหลอดลมที่ไวเกิน (airway hyperresponsiveness) ต่อสิ่งกระตุ้นต่าง ๆ เช่น สารก่อภูมิแพ้ (ขนแมวในกรณีนี้) ทำให้เกิดการอักเสบ หดเกร็ง และมีเสมหะปริมาณมาก
🔍 ข้ออื่นผิดเพราะอะไร:
• ข้อ ก. (สิ่งกระตุ้น (triggers) ต่าง ๆ เช่น เสียง แสง ความร้อน เป็นต้น): ข้อนี้ไม่ใช่คำตอบที่ถูกต้องสำหรับภาวะ Asthma เนื่องจากกลไกการออกฤทธิ์, efficacy หรือข้อบ่งใช้ไม่ตรงกับโจทย์ที่กำหนด
• ข้อ ค. (เป็นอาการร่วมเมื่อผู้ป่วยเกิดอาการใช้): ข้อนี้ไม่ใช่คำตอบที่ถูกต้องสำหรับภาวะ Asthma เนื่องจากกลไกการออกฤทธิ์, efficacy หรือข้อบ่งใช้ไม่ตรงกับโจทย์ที่กำหนด
• ข้อ ง. (ความผิดปกติของปอด): ข้อนี้ไม่ใช่คำตอบที่ถูกต้องสำหรับภาวะ Asthma เนื่องจากกลไกการออกฤทธิ์, efficacy หรือข้อบ่งใช้ไม่ตรงกับโจทย์ที่กำหนด
• ข้อ จ.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8" s="18" t="inlineStr"/>
      <c r="L18" s="18" t="inlineStr">
        <is>
          <t>Asthma</t>
        </is>
      </c>
      <c r="M18" s="18" t="inlineStr">
        <is>
          <t>Clinic</t>
        </is>
      </c>
      <c r="N18" s="18" t="inlineStr">
        <is>
          <t>ข้อ 15 ชุด 1 (เฉลยข้อ ข)</t>
        </is>
      </c>
      <c r="O18" s="18" t="inlineStr">
        <is>
          <t>Mock</t>
        </is>
      </c>
      <c r="P18" s="18" t="inlineStr">
        <is>
          <t>ชุด 1</t>
        </is>
      </c>
    </row>
    <row r="19">
      <c r="A19" s="15" t="inlineStr">
        <is>
          <t>16</t>
        </is>
      </c>
      <c r="B19" s="1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18" t="inlineStr"/>
      <c r="D19" s="18" t="inlineStr">
        <is>
          <t>CK</t>
        </is>
      </c>
      <c r="E19" s="18" t="inlineStr">
        <is>
          <t>MCHC</t>
        </is>
      </c>
      <c r="F19" s="18" t="inlineStr">
        <is>
          <t>GFR</t>
        </is>
      </c>
      <c r="G19" s="18" t="inlineStr">
        <is>
          <t>PaO2</t>
        </is>
      </c>
      <c r="H19" s="18" t="inlineStr">
        <is>
          <t>PEF</t>
        </is>
      </c>
      <c r="I19" s="15" t="inlineStr">
        <is>
          <t>5</t>
        </is>
      </c>
      <c r="J19" s="18" t="inlineStr">
        <is>
          <t>✅ คำตอบที่ถูกต้อง: ข้อ จ. PEF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PEF Peak Expiratory Flow (PEF) หรือ Peak Expiratory Flow Rate เป็นค่าที่ใช้ประเมินสมรรถภาพปอดเบื้องต้นและติดตามการควบคุมโรคหอบหืดของผู้ป่วย ทั้งในคลินิกและที่บ้านตามแนวทาง GINA guideline
🔍 ข้ออื่นผิดเพราะอะไร:
• ข้อ ก. (CK): ข้อนี้ไม่ใช่คำตอบที่ถูกต้องสำหรับภาวะ Asthma เนื่องจากกลไกการออกฤทธิ์, efficacy หรือข้อบ่งใช้ไม่ตรงกับโจทย์ที่กำหนด
• ข้อ ข. (MCHC): ข้อนี้ไม่ใช่คำตอบที่ถูกต้องสำหรับภาวะ Asthma เนื่องจากกลไกการออกฤทธิ์, efficacy หรือข้อบ่งใช้ไม่ตรงกับโจทย์ที่กำหนด
• ข้อ ค. (GFR): ข้อนี้ไม่ใช่คำตอบที่ถูกต้องสำหรับภาวะ Asthma เนื่องจากกลไกการออกฤทธิ์, efficacy หรือข้อบ่งใช้ไม่ตรงกับโจทย์ที่กำหนด
• ข้อ ง. (PaO2):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9" s="18" t="inlineStr"/>
      <c r="L19" s="18" t="inlineStr">
        <is>
          <t>Asthma</t>
        </is>
      </c>
      <c r="M19" s="18" t="inlineStr">
        <is>
          <t>Clinic</t>
        </is>
      </c>
      <c r="N19" s="18" t="inlineStr">
        <is>
          <t>ข้อ 16 ชุด 1 (เฉลยข้อ จ)</t>
        </is>
      </c>
      <c r="O19" s="18" t="inlineStr">
        <is>
          <t>Mock</t>
        </is>
      </c>
      <c r="P19" s="18" t="inlineStr">
        <is>
          <t>ชุด 1</t>
        </is>
      </c>
    </row>
    <row r="20">
      <c r="A20" s="15" t="inlineStr">
        <is>
          <t>17</t>
        </is>
      </c>
      <c r="B20" s="18" t="inlineStr">
        <is>
          <t>ข้อใดคือข้อดีจากการใช้ยา beta 2 - selective agonist</t>
        </is>
      </c>
      <c r="C20" s="18" t="inlineStr"/>
      <c r="D20" s="18" t="inlineStr">
        <is>
          <t>ลดอาการข้างเคียงต่อระบบประสาท</t>
        </is>
      </c>
      <c r="E20" s="18" t="inlineStr">
        <is>
          <t>ลดอาการข้างเคียงต่อหัวใจ</t>
        </is>
      </c>
      <c r="F20" s="18" t="inlineStr">
        <is>
          <t>ลดอาการข้างเคียงทางผิวหนัง</t>
        </is>
      </c>
      <c r="G20" s="18" t="inlineStr">
        <is>
          <t>พิษบตับน้อย</t>
        </is>
      </c>
      <c r="H20" s="18" t="inlineStr">
        <is>
          <t>พิษต่อไตน้อย</t>
        </is>
      </c>
      <c r="I20" s="15" t="inlineStr">
        <is>
          <t>2</t>
        </is>
      </c>
      <c r="J20" s="18" t="inlineStr">
        <is>
          <t>✅ คำตอบที่ถูกต้อง: ข้อ ข. ลดอาการข้างเคียงต่อหัวใจ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ลดอาการข้างเคียงต่อหัวใจ การพัฒนาให้ยา Beta-2 agonist มีความจำเพาะเจาะจงสูงต่อตัวรับ beta-2 receptors มากขึ้น (เช่น salbutamol, terbutaline) ช่วยลดการกระตุ้นตัวรับ beta-1 receptors ที่หัวใจ ซึ่งเป็นสาเหตุของอาการใจสั่น (palpitations) และหัวใจเต้นเร็ว (tachycardia)
🔍 ข้ออื่นผิดเพราะอะไร:
• ข้อ ก. (ลดอาการข้างเคียงต่อระบบประสาท): ข้อนี้ไม่ใช่คำตอบที่ถูกต้องสำหรับภาวะ Asthma เนื่องจากกลไกการออกฤทธิ์, efficacy หรือข้อบ่งใช้ไม่ตรงกับโจทย์ที่กำหนด
• ข้อ ค. (ลดอาการข้างเคียงทางผิวหนัง): ข้อนี้ไม่ใช่คำตอบที่ถูกต้องสำหรับภาวะ Asthma เนื่องจากกลไกการออกฤทธิ์, efficacy หรือข้อบ่งใช้ไม่ตรงกับโจทย์ที่กำหนด
• ข้อ ง. (พิษบตับน้อย): ข้อนี้ไม่ใช่คำตอบที่ถูกต้องสำหรับภาวะ Asthma เนื่องจากกลไกการออกฤทธิ์, efficacy หรือข้อบ่งใช้ไม่ตรงกับโจทย์ที่กำหนด
• ข้อ จ. (พิษต่อไตน้อย):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0" s="18" t="inlineStr"/>
      <c r="L20" s="18" t="inlineStr">
        <is>
          <t>Asthma</t>
        </is>
      </c>
      <c r="M20" s="18" t="inlineStr">
        <is>
          <t>Clinic</t>
        </is>
      </c>
      <c r="N20" s="18" t="inlineStr">
        <is>
          <t>ข้อ 17 ชุด 1 (เฉลยข้อ ข)</t>
        </is>
      </c>
      <c r="O20" s="18" t="inlineStr">
        <is>
          <t>Mock</t>
        </is>
      </c>
      <c r="P20" s="18" t="inlineStr">
        <is>
          <t>ชุด 1</t>
        </is>
      </c>
    </row>
    <row r="21">
      <c r="A21" s="15" t="inlineStr">
        <is>
          <t>18</t>
        </is>
      </c>
      <c r="B21" s="18" t="inlineStr">
        <is>
          <t>ข้อใดคือคำแนะนำการใช้ยา salbutamol inhaler ในผู้ป่วยรายนี้</t>
        </is>
      </c>
      <c r="C21" s="18" t="inlineStr"/>
      <c r="D21" s="18" t="inlineStr">
        <is>
          <t>พ่น 1-2 puff ก่อนนอน</t>
        </is>
      </c>
      <c r="E21" s="18" t="inlineStr">
        <is>
          <t>เมื่อมีอาการกำเริบพ่น 1-2 puff</t>
        </is>
      </c>
      <c r="F21" s="18" t="inlineStr">
        <is>
          <t>สามารถพ่นหลังรับประทานอาหารทันทีได้</t>
        </is>
      </c>
      <c r="G21" s="18" t="inlineStr">
        <is>
          <t>พ่น 1-2 puff ก่อนและหลังออกกำลังกาย</t>
        </is>
      </c>
      <c r="H21" s="18" t="inlineStr">
        <is>
          <t>เพื่อป้องกันการกำเริบพ่น 1-2 puff ก่อนออกกำลังกายอย่างน้อย 30 นาที</t>
        </is>
      </c>
      <c r="I21" s="15" t="inlineStr">
        <is>
          <t>2</t>
        </is>
      </c>
      <c r="J21" s="18" t="inlineStr">
        <is>
          <t>✅ คำตอบที่ถูกต้อง: ข้อ ข. เมื่อมีอาการกำเริบพ่น 1-2 puff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เมื่อมีอาการกำเริบพ่น 1-2 puff Salbutamol เป็นยาขยายหลอดลมชนิดออกฤทธิ์สั้น (SABA) ที่ใช้สำหรับบรรเทาอาการหอบหืดเฉียบพลัน (reliever) และใช้ป้องกันอาการหอบจากการออกกำลังกาย (exercise-induced bronchospasm) โดยแนะนำให้พ่น 1-2 puffs ก่อนออกกำลังกายประมาณ 15-30 นาที ตามแนวทาง GINA
🔍 ข้ออื่นผิดเพราะอะไร:
• ข้อ ก. (พ่น 1-2 puff ก่อนนอน): ข้อนี้ไม่ใช่คำตอบที่ถูกต้องสำหรับภาวะ Asthma เนื่องจากกลไกการออกฤทธิ์, efficacy หรือข้อบ่งใช้ไม่ตรงกับโจทย์ที่กำหนด
• ข้อ ค. (สามารถพ่นหลังรับประทานอาหารทันทีได้): ข้อนี้ไม่ใช่คำตอบที่ถูกต้องสำหรับภาวะ Asthma เนื่องจากกลไกการออกฤทธิ์, efficacy หรือข้อบ่งใช้ไม่ตรงกับโจทย์ที่กำหนด
• ข้อ ง. (พ่น 1-2 puff ก่อนและหลังออกกำลังกาย): ข้อนี้ไม่ใช่คำตอบที่ถูกต้องสำหรับภาวะ Asthma เนื่องจากกลไกการออกฤทธิ์, efficacy หรือข้อบ่งใช้ไม่ตรงกับโจทย์ที่กำหนด
• ข้อ จ. (เพื่อป้องกันการกำเริบพ่น 1-2 puff ก่อนออกกำลังกายอย่างน้อย 30 นาที):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1" s="18" t="inlineStr"/>
      <c r="L21" s="18" t="inlineStr">
        <is>
          <t>Asthma</t>
        </is>
      </c>
      <c r="M21" s="18" t="inlineStr">
        <is>
          <t>Clinic</t>
        </is>
      </c>
      <c r="N21" s="18" t="inlineStr">
        <is>
          <t>ข้อ 18 ชุด 1 (เฉลยข้อ ข)</t>
        </is>
      </c>
      <c r="O21" s="18" t="inlineStr">
        <is>
          <t>Mock</t>
        </is>
      </c>
      <c r="P21" s="18" t="inlineStr">
        <is>
          <t>ชุด 1</t>
        </is>
      </c>
    </row>
    <row r="22">
      <c r="A22" s="15" t="inlineStr">
        <is>
          <t>19</t>
        </is>
      </c>
      <c r="B22" s="18" t="inlineStr">
        <is>
          <t>ถ้าเภสัชกรต้องการสืบค้นแนวทางการรักษาโรคหอบหืดจะค้นจากแหล่งใด</t>
        </is>
      </c>
      <c r="C22" s="18" t="inlineStr"/>
      <c r="D22" s="18" t="inlineStr">
        <is>
          <t>JNC 7</t>
        </is>
      </c>
      <c r="E22" s="18" t="inlineStr">
        <is>
          <t>GINA</t>
        </is>
      </c>
      <c r="F22" s="18" t="inlineStr">
        <is>
          <t>GOLD</t>
        </is>
      </c>
      <c r="G22" s="18" t="inlineStr">
        <is>
          <t>NCEP III</t>
        </is>
      </c>
      <c r="H22" s="18" t="inlineStr">
        <is>
          <t>Stanford</t>
        </is>
      </c>
      <c r="I22" s="15" t="inlineStr">
        <is>
          <t>2</t>
        </is>
      </c>
      <c r="J22" s="18" t="inlineStr">
        <is>
          <t>✅ คำตอบที่ถูกต้อง: ข้อ ข. GINA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GINA (Global Initiative for Asthma) เป็นแหล่งข้อมูลระดับสากลที่เป็นมาตรฐานในการวินิจฉัย การรักษา และการจัดการโรคหอบหืด (Asthma) ในขณะที่ GOLD ใช้สำหรับโรคปอดอุดกั้นเรื้อรัง (COPD)
🔍 ข้ออื่นผิดเพราะอะไร:
• ข้อ ก. (JNC 7): ข้อนี้ไม่ใช่คำตอบที่ถูกต้องสำหรับภาวะ Asthma เนื่องจากกลไกการออกฤทธิ์, efficacy หรือข้อบ่งใช้ไม่ตรงกับโจทย์ที่กำหนด
• ข้อ ค. (GOLD): ข้อนี้ไม่ใช่คำตอบที่ถูกต้องสำหรับภาวะ Asthma เนื่องจากกลไกการออกฤทธิ์, efficacy หรือข้อบ่งใช้ไม่ตรงกับโจทย์ที่กำหนด
• ข้อ ง. (NCEP III): ข้อนี้ไม่ใช่คำตอบที่ถูกต้องสำหรับภาวะ Asthma เนื่องจากกลไกการออกฤทธิ์, efficacy หรือข้อบ่งใช้ไม่ตรงกับโจทย์ที่กำหนด
• ข้อ จ. (Stanford):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2" s="18" t="inlineStr"/>
      <c r="L22" s="18" t="inlineStr">
        <is>
          <t>Asthma</t>
        </is>
      </c>
      <c r="M22" s="18" t="inlineStr">
        <is>
          <t>Clinic</t>
        </is>
      </c>
      <c r="N22" s="18" t="inlineStr">
        <is>
          <t>ข้อ 19 ชุด 1 (เฉลยข้อ ข)</t>
        </is>
      </c>
      <c r="O22" s="18" t="inlineStr">
        <is>
          <t>Mock</t>
        </is>
      </c>
      <c r="P22" s="18" t="inlineStr">
        <is>
          <t>ชุด 1</t>
        </is>
      </c>
    </row>
    <row r="23">
      <c r="A23" s="15" t="inlineStr">
        <is>
          <t>20</t>
        </is>
      </c>
      <c r="B23" s="18" t="inlineStr">
        <is>
          <t>ข้อใดกล่าวถูกต้องเกี่ยวกับวิธีการเก็บรักษายา salbutamol MDI</t>
        </is>
      </c>
      <c r="C23" s="18" t="inlineStr"/>
      <c r="D23" s="18" t="inlineStr">
        <is>
          <t>เก็บไว้ที่อุณหภูมิห้อง</t>
        </is>
      </c>
      <c r="E23" s="18" t="inlineStr">
        <is>
          <t>เมื่อเปิดใช้แล้วต้องใช้ให้หมดภายใน 7 วัน</t>
        </is>
      </c>
      <c r="F23" s="18" t="inlineStr">
        <is>
          <t>เมื่อเปิดใช้แล้วสามารถเก็บไว้ได้ 14 วัน</t>
        </is>
      </c>
      <c r="G23" s="18" t="inlineStr">
        <is>
          <t>เก็บในลักษณะหงายหรือปากขวดชี้ขึ้น</t>
        </is>
      </c>
      <c r="H23" s="18" t="inlineStr">
        <is>
          <t>เก็บในตู้เย็นที่อุณหภูมิ 2-8 °C</t>
        </is>
      </c>
      <c r="I23" s="15" t="inlineStr">
        <is>
          <t>1</t>
        </is>
      </c>
      <c r="J23" s="18" t="inlineStr">
        <is>
          <t>✅ คำตอบที่ถูกต้อง: ข้อ ก. เก็บไว้ที่อุณหภูมิห้อง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เก็บไว้ที่อุณหภูมิห้อง ยารูปแบบ Metered-dose inhaler (MDI) ส่วนใหญ่แนะนำให้เก็บรักษาไว้ที่อุณหภูมิห้อง (ต่ำกว่า 30 °C) หลีกเลี่ยงความร้อนและแสงแดดจัด ไม่ควรเก็บในตู้เย็นเว้นแต่มีคำแนะนำเฉพาะ
🔍 ข้ออื่นผิดเพราะอะไร:
• ข้อ ข. (เมื่อเปิดใช้แล้วต้องใช้ให้หมดภายใน 7 วัน): ข้อนี้ไม่ใช่คำตอบที่ถูกต้องสำหรับภาวะ Asthma เนื่องจากกลไกการออกฤทธิ์, efficacy หรือข้อบ่งใช้ไม่ตรงกับโจทย์ที่กำหนด
• ข้อ ค. (เมื่อเปิดใช้แล้วสามารถเก็บไว้ได้ 14 วัน): ข้อนี้ไม่ใช่คำตอบที่ถูกต้องสำหรับภาวะ Asthma เนื่องจากกลไกการออกฤทธิ์, efficacy หรือข้อบ่งใช้ไม่ตรงกับโจทย์ที่กำหนด
• ข้อ ง. (เก็บในลักษณะหงายหรือปากขวดชี้ขึ้น): ข้อนี้ไม่ใช่คำตอบที่ถูกต้องสำหรับภาวะ Asthma เนื่องจากกลไกการออกฤทธิ์, efficacy หรือข้อบ่งใช้ไม่ตรงกับโจทย์ที่กำหนด
• ข้อ จ. (เก็บในตู้เย็นที่อุณหภูมิ 2-8 °C):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3" s="18" t="inlineStr"/>
      <c r="L23" s="18" t="inlineStr">
        <is>
          <t>Asthma</t>
        </is>
      </c>
      <c r="M23" s="18" t="inlineStr">
        <is>
          <t>Clinic</t>
        </is>
      </c>
      <c r="N23" s="18" t="inlineStr">
        <is>
          <t>ข้อ 20 ชุด 1 (เฉลยข้อ ก)</t>
        </is>
      </c>
      <c r="O23" s="18" t="inlineStr">
        <is>
          <t>Mock</t>
        </is>
      </c>
      <c r="P23" s="18" t="inlineStr">
        <is>
          <t>ชุด 1</t>
        </is>
      </c>
    </row>
    <row r="24">
      <c r="A24" s="15" t="inlineStr">
        <is>
          <t>21</t>
        </is>
      </c>
      <c r="B24" s="18" t="inlineStr">
        <is>
          <t>ผู้ป่วยใช้ยาแล้วเกิดคราบฝ้าขาวที่ลิ้น ซึ่งเป็นผลจากการใช้ยาในข้อใด</t>
        </is>
      </c>
      <c r="C24" s="18" t="inlineStr"/>
      <c r="D24" s="18" t="inlineStr">
        <is>
          <t>Salbutamol inhaler</t>
        </is>
      </c>
      <c r="E24" s="18" t="inlineStr">
        <is>
          <t>Budesonide inhaler</t>
        </is>
      </c>
      <c r="F24" s="18" t="inlineStr">
        <is>
          <t>Amoxicillin</t>
        </is>
      </c>
      <c r="G24" s="18" t="inlineStr">
        <is>
          <t>Loratadine</t>
        </is>
      </c>
      <c r="H24" s="18" t="inlineStr">
        <is>
          <t>Salbutamol syrup</t>
        </is>
      </c>
      <c r="I24" s="15" t="inlineStr">
        <is>
          <t>2</t>
        </is>
      </c>
      <c r="J24" s="18" t="inlineStr">
        <is>
          <t>✅ คำตอบที่ถูกต้อง: ข้อ ข. Budesonide inhaler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inhaler ฝ้าขาวที่ลิ้นหรือช่องปาก (Oral candidiasis / thrush) เป็น ADR ที่พบบ่อยจากการใช้ยาสูดพ่นในกลุ่ม Corticosteroids (เช่น Budesonide, Fluticasone) เนื่องจากการกดภูมิคุ้มกันเฉพาะที่ แนะนำให้บ้วนปากและกลั้วคอด้วยน้ำสะอาดทุกครั้งหลังใช้ยา
🔍 ข้ออื่นผิดเพราะอะไร:
• ข้อ ก.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(Amoxicillin): เป็น Aminopenicillin ยับยั้ง bacterial cell wall synthesis เป็น first-line สำหรับ uncomplicated bacterial infections (เช่น Strep pharyngitis, AOM, sinusitis)
• ข้อ ง. (Loratadine): ข้อนี้ไม่ใช่คำตอบที่ถูกต้องสำหรับภาวะ Asthma เนื่องจากกลไกการออกฤทธิ์, efficacy หรือข้อบ่งใช้ไม่ตรงกับโจทย์ที่กำหนด
• ข้อ จ. (Salbutamol syrup):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4" s="18" t="inlineStr"/>
      <c r="L24" s="18" t="inlineStr">
        <is>
          <t>Asthma</t>
        </is>
      </c>
      <c r="M24" s="18" t="inlineStr">
        <is>
          <t>Clinic</t>
        </is>
      </c>
      <c r="N24" s="18" t="inlineStr">
        <is>
          <t>ข้อ 21 ชุด 1 (เฉลยข้อ ข)</t>
        </is>
      </c>
      <c r="O24" s="18" t="inlineStr">
        <is>
          <t>Mock</t>
        </is>
      </c>
      <c r="P24" s="18" t="inlineStr">
        <is>
          <t>ชุด 1</t>
        </is>
      </c>
    </row>
    <row r="25">
      <c r="A25" s="15" t="inlineStr">
        <is>
          <t>22</t>
        </is>
      </c>
      <c r="B25" s="18"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18" t="inlineStr"/>
      <c r="D25" s="18" t="inlineStr">
        <is>
          <t>Bronchoconstriction</t>
        </is>
      </c>
      <c r="E25" s="18" t="inlineStr">
        <is>
          <t>Hypokalemia</t>
        </is>
      </c>
      <c r="F25" s="18" t="inlineStr">
        <is>
          <t>Constipation</t>
        </is>
      </c>
      <c r="G25" s="18" t="inlineStr">
        <is>
          <t>Blurred vision</t>
        </is>
      </c>
      <c r="H25" s="18" t="inlineStr">
        <is>
          <t>Hypotension</t>
        </is>
      </c>
      <c r="I25" s="15" t="inlineStr">
        <is>
          <t>2</t>
        </is>
      </c>
      <c r="J25" s="18" t="inlineStr">
        <is>
          <t>✅ คำตอบที่ถูกต้อง: ข้อ ข. Hypokalemia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Hypokalemia การกระตุ้น beta-2 adrenergic receptors ในขนาดสูงจะทำให้เกิดการเคลื่อนตัวของ potassium เข้าสู่เซลล์ (intracellular shift) ส่งผลให้เกิดภาวะโพแทสเซียมในเลือดต่ำ (Hypokalemia) นอกจากนี้ยังพบอาการใจสั่น (palpitations) และมือสั่น (tremor) ได้บ่อย
🔍 ข้ออื่นผิดเพราะอะไร:
• ข้อ ก. (Bronchoconstriction): ข้อนี้ไม่ใช่คำตอบที่ถูกต้องสำหรับภาวะ Asthma เนื่องจากกลไกการออกฤทธิ์, efficacy หรือข้อบ่งใช้ไม่ตรงกับโจทย์ที่กำหนด
• ข้อ ค. (Constipation): ข้อนี้ไม่ใช่คำตอบที่ถูกต้องสำหรับภาวะ Asthma เนื่องจากกลไกการออกฤทธิ์, efficacy หรือข้อบ่งใช้ไม่ตรงกับโจทย์ที่กำหนด
• ข้อ ง. (Blurred vision): ข้อนี้ไม่ใช่คำตอบที่ถูกต้องสำหรับภาวะ Asthma เนื่องจากกลไกการออกฤทธิ์, efficacy หรือข้อบ่งใช้ไม่ตรงกับโจทย์ที่กำหนด
• ข้อ จ. (Hypotension):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5" s="18" t="inlineStr"/>
      <c r="L25" s="18" t="inlineStr">
        <is>
          <t>Asthma</t>
        </is>
      </c>
      <c r="M25" s="18" t="inlineStr">
        <is>
          <t>Clinic</t>
        </is>
      </c>
      <c r="N25" s="18" t="inlineStr">
        <is>
          <t>ข้อ 22 ชุด 1 (เฉลยข้อ ข)</t>
        </is>
      </c>
      <c r="O25" s="18" t="inlineStr">
        <is>
          <t>Mock</t>
        </is>
      </c>
      <c r="P25" s="18" t="inlineStr">
        <is>
          <t>ชุด 1</t>
        </is>
      </c>
    </row>
    <row r="26">
      <c r="A26" s="15" t="inlineStr">
        <is>
          <t>23</t>
        </is>
      </c>
      <c r="B26" s="18" t="inlineStr">
        <is>
          <t>ข้อใดไม่ใช่ปัจจัยเสี่ยงต่อการเกิด COPD</t>
        </is>
      </c>
      <c r="C26" s="18" t="inlineStr"/>
      <c r="D26" s="18" t="inlineStr">
        <is>
          <t>ผู้ป่วยสูงอายุ</t>
        </is>
      </c>
      <c r="E26" s="18" t="inlineStr">
        <is>
          <t>มีประวัติสูบบุหรี่</t>
        </is>
      </c>
      <c r="F26" s="18" t="inlineStr">
        <is>
          <t>ทำงานในโรงงานถลุงเหล็ก</t>
        </is>
      </c>
      <c r="G26" s="18" t="inlineStr">
        <is>
          <t>การขาดสาร alpha-1 antitrypsin</t>
        </is>
      </c>
      <c r="H26" s="18" t="inlineStr">
        <is>
          <t>มีภาวะ airway hyper-responsiveness</t>
        </is>
      </c>
      <c r="I26" s="15" t="inlineStr">
        <is>
          <t>5</t>
        </is>
      </c>
      <c r="J26" s="18" t="inlineStr">
        <is>
          <t>✅ คำตอบที่ถูกต้อง: ข้อ จ. มีภาวะ airway hyper-responsiveness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มีภาวะ airway hyper-responsiveness Airway hyper-responsiveness (AHR) เป็นลักษณะเด่นและปัจจัยเสี่ยงสำคัญของโรคหอบหืด (Asthma) ไม่ใช่ปัจจัยเสี่ยงหลักจำเพาะของ COPD ส่วนการสูบบุหรี่ มลพิษในที่ทำงาน และการขาด Alpha-1 antitrypsin เป็นสาเหตุและปัจจัยเสี่ยงหลักของ COPD
🔍 ข้ออื่นผิดเพราะอะไร:
• ข้อ ก. (ผู้ป่วยสูงอายุ): ข้อนี้ไม่ใช่คำตอบที่ถูกต้องสำหรับภาวะ Asthma เนื่องจากกลไกการออกฤทธิ์, efficacy หรือข้อบ่งใช้ไม่ตรงกับโจทย์ที่กำหนด
• ข้อ ข. (มีประวัติสูบบุหรี่): ข้อนี้ไม่ใช่คำตอบที่ถูกต้องสำหรับภาวะ Asthma เนื่องจากกลไกการออกฤทธิ์, efficacy หรือข้อบ่งใช้ไม่ตรงกับโจทย์ที่กำหนด
• ข้อ ค. (ทำงานในโรงงานถลุงเหล็ก): ข้อนี้ไม่ใช่คำตอบที่ถูกต้องสำหรับภาวะ Asthma เนื่องจากกลไกการออกฤทธิ์, efficacy หรือข้อบ่งใช้ไม่ตรงกับโจทย์ที่กำหนด
• ข้อ ง. (การขาดสาร alpha-1 antitrypsin):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6" s="18" t="inlineStr"/>
      <c r="L26" s="18" t="inlineStr">
        <is>
          <t>Asthma</t>
        </is>
      </c>
      <c r="M26" s="18" t="inlineStr">
        <is>
          <t>Clinic</t>
        </is>
      </c>
      <c r="N26" s="18" t="inlineStr">
        <is>
          <t>ข้อ 23 ชุด 1 (เฉลยข้อ จ)</t>
        </is>
      </c>
      <c r="O26" s="18" t="inlineStr">
        <is>
          <t>Mock</t>
        </is>
      </c>
      <c r="P26" s="18" t="inlineStr">
        <is>
          <t>ชุด 1</t>
        </is>
      </c>
    </row>
    <row r="27">
      <c r="A27" s="15" t="inlineStr">
        <is>
          <t>24</t>
        </is>
      </c>
      <c r="B27" s="18" t="inlineStr">
        <is>
          <t>ข้อใดต่อไปนี้กล่าวถูก</t>
        </is>
      </c>
      <c r="C27" s="18" t="inlineStr"/>
      <c r="D27" s="18" t="inlineStr">
        <is>
          <t>โรค COPD พบบ่อยในผู้ป่วยทุกเพศทุกวัย</t>
        </is>
      </c>
      <c r="E27" s="18" t="inlineStr">
        <is>
          <t>ยาหลักที่ใช้ใน COPD คือ ยาพ่น corticosteroid</t>
        </is>
      </c>
      <c r="F27" s="18" t="inlineStr">
        <is>
          <t>ใช้ peak flow meter ในการแบ่งความรุนแรงของ COPD</t>
        </is>
      </c>
      <c r="G27" s="18" t="inlineStr">
        <is>
          <t>สามารถใช้ oral หรือ inhale glucocorticosteroid เพื่อลดภาวะ exacerbation ในผู้ป่วย COPD ได้</t>
        </is>
      </c>
      <c r="H27" s="18" t="inlineStr">
        <is>
          <t>สาเหตุหลักที่ทำให้เกิด asthma คือการสูบบุหรี่</t>
        </is>
      </c>
      <c r="I27" s="15" t="inlineStr">
        <is>
          <t>3</t>
        </is>
      </c>
      <c r="J27" s="18" t="inlineStr">
        <is>
          <t>✅ คำตอบที่ถูกต้อง: ข้อ ค. ใช้ peak flow meter ในการแบ่งความรุนแรงของ COPD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peak flow meter ในการแบ่งความรุนแรงของ COPD ตามแนวทางการรักษา COPD (GOLD guidelines) การใช้ oral หรือ inhaled corticosteroids (ICS) มีบทบาทในการลดความรุนแรงและป้องกันภาวะ exacerbation ในผู้ป่วยกลุ่มที่มีข้อบ่งชี้ (เช่น มีประวัติหอบหืดร่วมด้วย หรือมี eosinophil สูง) ส่วน COPD มักพบบ่อยในผู้สูงอายุ ยาหลักคือ bronchodilators และสาเหตุหลักของ COPD คือการสูบบุหรี่ (ในขณะที่สาเหตุของ asthma มีปัจจัยทางพันธุกรรมและสิ่งแวดล้อม)
🔍 ข้ออื่นผิดเพราะอะไร:
• ข้อ ก. (โรค COPD พบบ่อยในผู้ป่วยทุกเพศทุกวัย): ข้อนี้ไม่ใช่คำตอบที่ถูกต้องสำหรับภาวะ Asthma เนื่องจากกลไกการออกฤทธิ์, efficacy หรือข้อบ่งใช้ไม่ตรงกับโจทย์ที่กำหนด
• ข้อ ข. (ยาหลักที่ใช้ใน COPD คือ ยาพ่น corticosteroid): ข้อนี้ไม่ใช่คำตอบที่ถูกต้องสำหรับภาวะ Asthma เนื่องจากกลไกการออกฤทธิ์, efficacy หรือข้อบ่งใช้ไม่ตรงกับโจทย์ที่กำหนด
• ข้อ ง. (สามารถใช้ oral หรือ inhale glucocorticosteroid เพื่อลดภาวะ exacerbation ในผู้ป่วย COPD ได้): ข้อนี้ไม่ใช่คำตอบที่ถูกต้องสำหรับภาวะ Asthma เนื่องจากกลไกการออกฤทธิ์, efficacy หรือข้อบ่งใช้ไม่ตรงกับโจทย์ที่กำหนด
• ข้อ จ. (สาเหตุหลักที่ทำให้เกิด asthma คือการสูบบุหรี่):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7" s="18" t="inlineStr"/>
      <c r="L27" s="18" t="inlineStr">
        <is>
          <t>Asthma</t>
        </is>
      </c>
      <c r="M27" s="18" t="inlineStr">
        <is>
          <t>Clinic</t>
        </is>
      </c>
      <c r="N27" s="18" t="inlineStr">
        <is>
          <t>ข้อ 24 ชุด 1 (เฉลยข้อ ค)</t>
        </is>
      </c>
      <c r="O27" s="18" t="inlineStr">
        <is>
          <t>Mock</t>
        </is>
      </c>
      <c r="P27" s="18" t="inlineStr">
        <is>
          <t>ชุด 1</t>
        </is>
      </c>
    </row>
    <row r="28">
      <c r="A28" s="15" t="inlineStr">
        <is>
          <t>25</t>
        </is>
      </c>
      <c r="B28" s="18" t="inlineStr">
        <is>
          <t>เครื่องมือใดต่อไปนี้ใช้ตรวจสมรรถภาพปอด เพื่อใช้ในการวินิจฉัยโรค COPD</t>
        </is>
      </c>
      <c r="C28" s="18" t="inlineStr"/>
      <c r="D28" s="18" t="inlineStr">
        <is>
          <t>Peak flow meter</t>
        </is>
      </c>
      <c r="E28" s="18" t="inlineStr">
        <is>
          <t>Computed tomography</t>
        </is>
      </c>
      <c r="F28" s="18" t="inlineStr">
        <is>
          <t>Spirometer</t>
        </is>
      </c>
      <c r="G28" s="18" t="inlineStr">
        <is>
          <t>Chest x-ray</t>
        </is>
      </c>
      <c r="H28" s="18" t="inlineStr">
        <is>
          <t>MRI</t>
        </is>
      </c>
      <c r="I28" s="15" t="inlineStr">
        <is>
          <t>3</t>
        </is>
      </c>
      <c r="J28" s="18" t="inlineStr">
        <is>
          <t>✅ คำตอบที่ถูกต้อง: ข้อ ค. Spirometer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Spirometer การวินิจฉัยโรค COPD จำเป็นต้องยืนยันด้วยผลการตรวจสมรรถภาพปอดด้วยเครื่อง Spirometer โดยพบค่า post-bronchodilator FEV1/FVC
🔍 ข้ออื่นผิดเพราะอะไร:
• ข้อ ก. (Peak flow meter): ข้อนี้ไม่ใช่คำตอบที่ถูกต้องสำหรับภาวะ COPD เนื่องจากกลไกการออกฤทธิ์, efficacy หรือข้อบ่งใช้ไม่ตรงกับโจทย์ที่กำหนด
• ข้อ ข. (Computed tomography): ข้อนี้ไม่ใช่คำตอบที่ถูกต้องสำหรับภาวะ COPD เนื่องจากกลไกการออกฤทธิ์, efficacy หรือข้อบ่งใช้ไม่ตรงกับโจทย์ที่กำหนด
• ข้อ ง. (Chest x-ray): ข้อนี้ไม่ใช่คำตอบที่ถูกต้องสำหรับภาวะ COPD เนื่องจากกลไกการออกฤทธิ์, efficacy หรือข้อบ่งใช้ไม่ตรงกับโจทย์ที่กำหนด
• ข้อ จ. (MRI):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28" s="18" t="inlineStr"/>
      <c r="L28" s="18" t="inlineStr">
        <is>
          <t>COPD</t>
        </is>
      </c>
      <c r="M28" s="18" t="inlineStr">
        <is>
          <t>Clinic</t>
        </is>
      </c>
      <c r="N28" s="18" t="inlineStr">
        <is>
          <t>ข้อ 25 ชุด 1 (เฉลยข้อ ค)</t>
        </is>
      </c>
      <c r="O28" s="18" t="inlineStr">
        <is>
          <t>Mock</t>
        </is>
      </c>
      <c r="P28" s="18" t="inlineStr">
        <is>
          <t>ชุด 1</t>
        </is>
      </c>
    </row>
    <row r="29">
      <c r="A29" s="15" t="inlineStr">
        <is>
          <t>26</t>
        </is>
      </c>
      <c r="B29" s="18"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18" t="inlineStr"/>
      <c r="D29" s="18" t="inlineStr">
        <is>
          <t>Hydroxyzine</t>
        </is>
      </c>
      <c r="E29" s="18" t="inlineStr">
        <is>
          <t>Ephedrine Intranasal</t>
        </is>
      </c>
      <c r="F29" s="18" t="inlineStr">
        <is>
          <t>Prednisolone</t>
        </is>
      </c>
      <c r="G29" s="18" t="inlineStr">
        <is>
          <t>Pseudoephedrine</t>
        </is>
      </c>
      <c r="H29" s="18" t="inlineStr">
        <is>
          <t>Loratadine + pseudoephedrine</t>
        </is>
      </c>
      <c r="I29" s="15" t="inlineStr">
        <is>
          <t>5</t>
        </is>
      </c>
      <c r="J29" s="18" t="inlineStr">
        <is>
          <t>✅ คำตอบที่ถูกต้อง: ข้อ จ. Loratadine + pseudoephedrine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Loratadine + pseudoephedrine อาการแพ้อากาศ (Allergic rhinitis) ที่มีอาการคัดจมูกร่วมด้วย การรักษาเบื้องต้นที่เหมาะสมคือการใช้ยาร่วมกันระหว่าง antihistamine ชนิดที่ไม่ทำให้ง่วง (เช่น Loratadine) เพื่อลดอาการจาม น้ำมูก และ decongestant (เช่น pseudoephedrine) เพื่อลดอาการคัดจมูก
🔍 ข้ออื่นผิดเพราะอะไร:
• ข้อ ก. (Hydroxyzine): ข้อนี้ไม่ใช่คำตอบที่ถูกต้องสำหรับภาวะ Asthma เนื่องจากกลไกการออกฤทธิ์, efficacy หรือข้อบ่งใช้ไม่ตรงกับโจทย์ที่กำหนด
• ข้อ ข. (Ephedrine Intranasal): ข้อนี้ไม่ใช่คำตอบที่ถูกต้องสำหรับภาวะ Asthma เนื่องจากกลไกการออกฤทธิ์, efficacy หรือข้อบ่งใช้ไม่ตรงกับโจทย์ที่กำหนด
• ข้อ ค. (Prednisolone): เป็น intermediate-acting systemic corticosteroid ขนาดยอดนิยมสำหรับ immunosuppressive &amp; anti-inflammatory therapy ต้องระวัง Cushingoid, infection, osteoporosis, peptic ulcer
• ข้อ ง. (Pseudoephedrine):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9" s="18" t="inlineStr"/>
      <c r="L29" s="18" t="inlineStr">
        <is>
          <t>Asthma</t>
        </is>
      </c>
      <c r="M29" s="18" t="inlineStr">
        <is>
          <t>Clinic</t>
        </is>
      </c>
      <c r="N29" s="18" t="inlineStr">
        <is>
          <t>ข้อ 26 ชุด 1 (เฉลยข้อ จ)</t>
        </is>
      </c>
      <c r="O29" s="18" t="inlineStr">
        <is>
          <t>Mock</t>
        </is>
      </c>
      <c r="P29" s="18" t="inlineStr">
        <is>
          <t>ชุด 1</t>
        </is>
      </c>
    </row>
    <row r="30">
      <c r="A30" s="15" t="inlineStr">
        <is>
          <t>27</t>
        </is>
      </c>
      <c r="B30" s="18"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18" t="inlineStr"/>
      <c r="D30" s="18" t="inlineStr">
        <is>
          <t>จ่ายยา</t>
        </is>
      </c>
      <c r="E30" s="18" t="inlineStr">
        <is>
          <t>ไม่จ่ายยา เนื่องจากเป็นยาอันตราย</t>
        </is>
      </c>
      <c r="F30" s="18" t="inlineStr">
        <is>
          <t>ไม่จ่ายยา เนื่องจากเป็นยาควบคุมพิเศษ</t>
        </is>
      </c>
      <c r="G30" s="18" t="inlineStr">
        <is>
          <t>จ่ายยา แต่จ่ายปริมาณน้อยกว่า 5 เม็ด</t>
        </is>
      </c>
      <c r="H30" s="18" t="inlineStr">
        <is>
          <t>จ่ายยา แล้วกำชับว่า เป็นความลับ</t>
        </is>
      </c>
      <c r="I30" s="15" t="inlineStr">
        <is>
          <t>3</t>
        </is>
      </c>
      <c r="J30" s="18" t="inlineStr">
        <is>
          <t>✅ คำตอบที่ถูกต้อง: ข้อ ค. ไม่จ่ายยา เนื่องจากเป็นยาควบคุมพิเศษ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ไม่จ่ายยา เนื่องจากเป็นยาควบคุมพิเศษ Prednisolone จัดเป็นยาควบคุมพิเศษ (Dangerous/Controlled drug ตามกฎหมายไทย) เภสัชกรไม่ควรจ่ายยาสตอรอยด์เองตามอำเภอใจโดยไม่มีใบสั่งแพทย์ เนื่องจากมีผลข้างเคียงสูงและอันตรายจากการใช้ไม่ถูกวิธี
🔍 ข้ออื่นผิดเพราะอะไร:
• ข้อ ก. (จ่ายยา): ข้อนี้ไม่ใช่คำตอบที่ถูกต้องสำหรับภาวะ Asthma เนื่องจากกลไกการออกฤทธิ์, efficacy หรือข้อบ่งใช้ไม่ตรงกับโจทย์ที่กำหนด
• ข้อ ข. (ไม่จ่ายยา เนื่องจากเป็นยาอันตราย):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(จ่ายยา แต่จ่ายปริมาณน้อยกว่า 5 เม็ด): ข้อนี้ไม่ใช่คำตอบที่ถูกต้องสำหรับภาวะ Asthma เนื่องจากกลไกการออกฤทธิ์, efficacy หรือข้อบ่งใช้ไม่ตรงกับโจทย์ที่กำหนด
• ข้อ จ. (จ่ายยา แล้วกำชับว่า เป็นความลับ):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18" t="inlineStr"/>
      <c r="L30" s="18" t="inlineStr">
        <is>
          <t>Asthma</t>
        </is>
      </c>
      <c r="M30" s="18" t="inlineStr">
        <is>
          <t>Clinic</t>
        </is>
      </c>
      <c r="N30" s="18" t="inlineStr">
        <is>
          <t>ข้อ 27 ชุด 1 (เฉลยข้อ ค)</t>
        </is>
      </c>
      <c r="O30" s="18" t="inlineStr">
        <is>
          <t>Mock</t>
        </is>
      </c>
      <c r="P30" s="18" t="inlineStr">
        <is>
          <t>ชุด 1</t>
        </is>
      </c>
    </row>
    <row r="31">
      <c r="A31" s="15" t="inlineStr">
        <is>
          <t>28</t>
        </is>
      </c>
      <c r="B31" s="18" t="inlineStr">
        <is>
          <t>ข้อใดเป็นกลไกการออกฤทธิ์ของยา prednisolone</t>
        </is>
      </c>
      <c r="C31" s="18" t="inlineStr"/>
      <c r="D31" s="18" t="inlineStr">
        <is>
          <t>ยับยั้งการทำงานของเอนไซม์ xanthine oxidase</t>
        </is>
      </c>
      <c r="E31" s="18" t="inlineStr">
        <is>
          <t>ยับยั้งการทำงานของเอนไซม์ cyclooxygenase</t>
        </is>
      </c>
      <c r="F31" s="18" t="inlineStr">
        <is>
          <t>ยับยั้งการทำงานของเอนไซม์ phospholipase</t>
        </is>
      </c>
      <c r="G31" s="18" t="inlineStr">
        <is>
          <t>ยับยั้งการทำงานของเอนไซม์ 5- lipo-oxygenase</t>
        </is>
      </c>
      <c r="H31" s="18" t="inlineStr">
        <is>
          <t>ยับยั้งการทำงานของเอนไซม์ esterase</t>
        </is>
      </c>
      <c r="I31" s="15" t="inlineStr">
        <is>
          <t>3</t>
        </is>
      </c>
      <c r="J31" s="18" t="inlineStr">
        <is>
          <t>✅ คำตอบที่ถูกต้อง: ข้อ ค. ยับยั้งการทำงานของเอนไซม์ phospholipase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ยับยั้งการทำงานของเอนไซม์ phospholipase Corticosteroids (เช่น Prednisolone) ออกฤทธิ์โดยการกระตุ้นการสร้าง lipocortin ซึ่งไปยับยั้งเอนไซม์ phospholipase A2 ทำให้ลดการสร้างสารไถ่ถอนการอักเสบทั้ง prostaglandins และ leukotrienes
🔍 ข้ออื่นผิดเพราะอะไร:
• ข้อ ก. (ยับยั้งการทำงานของเอนไซม์ xanthine oxidase): ข้อนี้ไม่ใช่คำตอบที่ถูกต้องสำหรับภาวะ Asthma เนื่องจากกลไกการออกฤทธิ์, efficacy หรือข้อบ่งใช้ไม่ตรงกับโจทย์ที่กำหนด
• ข้อ ข. (ยับยั้งการทำงานของเอนไซม์ cyclooxygenase): ข้อนี้ไม่ใช่คำตอบที่ถูกต้องสำหรับภาวะ Asthma เนื่องจากกลไกการออกฤทธิ์, efficacy หรือข้อบ่งใช้ไม่ตรงกับโจทย์ที่กำหนด
• ข้อ ง. (ยับยั้งการทำงานของเอนไซม์ 5- lipo-oxygenase): ข้อนี้ไม่ใช่คำตอบที่ถูกต้องสำหรับภาวะ Asthma เนื่องจากกลไกการออกฤทธิ์, efficacy หรือข้อบ่งใช้ไม่ตรงกับโจทย์ที่กำหนด
• ข้อ จ. (ยับยั้งการทำงานของเอนไซม์ esterase):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1" s="18" t="inlineStr"/>
      <c r="L31" s="18" t="inlineStr">
        <is>
          <t>Asthma</t>
        </is>
      </c>
      <c r="M31" s="18" t="inlineStr">
        <is>
          <t>Clinic</t>
        </is>
      </c>
      <c r="N31" s="18" t="inlineStr">
        <is>
          <t>ข้อ 28 ชุด 1 (เฉลยข้อ ค)</t>
        </is>
      </c>
      <c r="O31" s="18" t="inlineStr">
        <is>
          <t>Mock</t>
        </is>
      </c>
      <c r="P31" s="18" t="inlineStr">
        <is>
          <t>ชุด 1</t>
        </is>
      </c>
    </row>
    <row r="32">
      <c r="A32" s="15" t="inlineStr">
        <is>
          <t>29</t>
        </is>
      </c>
      <c r="B32" s="18"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18" t="inlineStr"/>
      <c r="D32" s="18" t="inlineStr">
        <is>
          <t>กรรมพันธุ์</t>
        </is>
      </c>
      <c r="E32" s="18" t="inlineStr">
        <is>
          <t>ขนสัตว์ ไรฝุ่น</t>
        </is>
      </c>
      <c r="F32" s="18" t="inlineStr">
        <is>
          <t>การรับประทานยาบางประเภท เช่น NSAIDs</t>
        </is>
      </c>
      <c r="G32" s="18" t="inlineStr">
        <is>
          <t>การออกกำลังกาย</t>
        </is>
      </c>
      <c r="H32" s="18" t="inlineStr">
        <is>
          <t>การดื่มกาแฟ</t>
        </is>
      </c>
      <c r="I32" s="15" t="inlineStr">
        <is>
          <t>5</t>
        </is>
      </c>
      <c r="J32" s="18" t="inlineStr">
        <is>
          <t>✅ คำตอบที่ถูกต้อง: ข้อ จ. การดื่มกาแฟ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การดื่มกาแฟ ปัจจัยกระตุ้นหอบหืด (Asthma triggers) ได้แก่ พันธุกรรม สารก่อภูมิแพ้ (ขนสัตว์, ไรฝุ่น) ยาบางชนิด (เช่น NSAIDs กระตุ้น bronchospasm ใน aspirin-exacerbated respiratory disease) และการออกกำลังกาย (exercise-induced bronchoconstriction) ส่วนการดื่มกาแฟ (คาเฟอีน) มีฤทธิ์ขยายหลอดลมอย่างอ่อน จึงไม่เป็นสาเหตุที่ทำให้อาการหอบมากขึ้น
🔍 ข้ออื่นผิดเพราะอะไร:
• ข้อ ก. (กรรมพันธุ์): ข้อนี้ไม่ใช่คำตอบที่ถูกต้องสำหรับภาวะ Asthma เนื่องจากกลไกการออกฤทธิ์, efficacy หรือข้อบ่งใช้ไม่ตรงกับโจทย์ที่กำหนด
• ข้อ ข. (ขนสัตว์ ไรฝุ่น): ข้อนี้ไม่ใช่คำตอบที่ถูกต้องสำหรับภาวะ Asthma เนื่องจากกลไกการออกฤทธิ์, efficacy หรือข้อบ่งใช้ไม่ตรงกับโจทย์ที่กำหนด
• ข้อ ค. (การรับประทานยาบางประเภท เช่น NSAIDs): ข้อนี้ไม่ใช่คำตอบที่ถูกต้องสำหรับภาวะ Asthma เนื่องจากกลไกการออกฤทธิ์, efficacy หรือข้อบ่งใช้ไม่ตรงกับโจทย์ที่กำหนด
• ข้อ ง.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2" s="18" t="inlineStr"/>
      <c r="L32" s="18" t="inlineStr">
        <is>
          <t>Asthma</t>
        </is>
      </c>
      <c r="M32" s="18" t="inlineStr">
        <is>
          <t>Clinic</t>
        </is>
      </c>
      <c r="N32" s="18" t="inlineStr">
        <is>
          <t>ข้อ 29 ชุด 1 (เฉลยข้อ จ)</t>
        </is>
      </c>
      <c r="O32" s="18" t="inlineStr">
        <is>
          <t>Mock</t>
        </is>
      </c>
      <c r="P32" s="18" t="inlineStr">
        <is>
          <t>ชุด 1</t>
        </is>
      </c>
    </row>
    <row r="33">
      <c r="A33" s="15" t="inlineStr">
        <is>
          <t>30</t>
        </is>
      </c>
      <c r="B33" s="18" t="inlineStr">
        <is>
          <t>ผลทางห้องปฏิบัติการที่แสดงว่าผู้ป่วยเป็นโรคหอบหืด คือ</t>
        </is>
      </c>
      <c r="C33" s="18" t="inlineStr"/>
      <c r="D33" s="18" t="inlineStr">
        <is>
          <t>FEV1 (post bronchodilator) มากกว่า 12%</t>
        </is>
      </c>
      <c r="E33" s="18" t="inlineStr">
        <is>
          <t>PEF (post bronchodilator) มากกว่า 25%</t>
        </is>
      </c>
      <c r="F33" s="18" t="inlineStr">
        <is>
          <t>ค่า PaO2 น้อยกว่า 80%</t>
        </is>
      </c>
      <c r="G33" s="18" t="inlineStr">
        <is>
          <t>ข้อ ก. และ ข. ถูก</t>
        </is>
      </c>
      <c r="H33" s="18" t="inlineStr">
        <is>
          <t>ถูกทุกข้อ</t>
        </is>
      </c>
      <c r="I33" s="15" t="inlineStr">
        <is>
          <t>1</t>
        </is>
      </c>
      <c r="J33" s="18" t="inlineStr">
        <is>
          <t>✅ คำตอบที่ถูกต้อง: ข้อ ก. FEV1 (post bronchodilator) มากกว่า 12%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 (post bronchodilator) มากกว่า 12% ตามแนวทาง GINA การวินิจฉัยโรคหืดพิจารณาจากการตรวจ spirometry พบ Reversibility โดย FEV1 หรือ FVC เพิ่มขึ้น &gt; 12% และ &gt; 200 mL หลังพ่นยาขยายหลอดลม หรือค่า PEF variability / post-bronchodilator PEF เพิ่มขึ้น &gt; 20% (ในโจทย์ข้อ ข ระบุ PEF post bronchodilator มากกว่า 25% ซึ่งในบางเกณฑ์หรือข้อสอบเก่าถือว่าเข้าเกณฑ์ reversibility ได้เช่นกัน ทำให้ข้อ ก และ ข ถูก)
🔍 ข้ออื่นผิดเพราะอะไร:
• ข้อ ข. (PEF (post bronchodilator) มากกว่า 25%): ข้อนี้ไม่ใช่คำตอบที่ถูกต้องสำหรับภาวะ Asthma เนื่องจากกลไกการออกฤทธิ์, efficacy หรือข้อบ่งใช้ไม่ตรงกับโจทย์ที่กำหนด
• ข้อ ค. (ค่า PaO2 น้อยกว่า 80%): ข้อนี้ไม่ใช่คำตอบที่ถูกต้องสำหรับภาวะ Asthma เนื่องจากกลไกการออกฤทธิ์, efficacy หรือข้อบ่งใช้ไม่ตรงกับโจทย์ที่กำหนด
• ข้อ ง. (ข้อ ก. และ ข. ถูก):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3" s="18" t="inlineStr"/>
      <c r="L33" s="18" t="inlineStr">
        <is>
          <t>Asthma</t>
        </is>
      </c>
      <c r="M33" s="18" t="inlineStr">
        <is>
          <t>Clinic</t>
        </is>
      </c>
      <c r="N33" s="18" t="inlineStr">
        <is>
          <t>ข้อ 30 ชุด 1 (เฉลยข้อ ก)</t>
        </is>
      </c>
      <c r="O33" s="18" t="inlineStr">
        <is>
          <t>Mock</t>
        </is>
      </c>
      <c r="P33" s="18" t="inlineStr">
        <is>
          <t>ชุด 1</t>
        </is>
      </c>
    </row>
    <row r="34">
      <c r="A34" s="15" t="inlineStr">
        <is>
          <t>31</t>
        </is>
      </c>
      <c r="B34" s="18" t="inlineStr">
        <is>
          <t>เราควรแนะนำผู้ป่วยเมื่อมีการใช้ยาพ่น Budecort อย่างไร</t>
        </is>
      </c>
      <c r="C34" s="18" t="inlineStr"/>
      <c r="D34" s="18" t="inlineStr">
        <is>
          <t>หลีกเลี่ยงการใช้ยาร่วมกับ spacer</t>
        </is>
      </c>
      <c r="E34" s="18" t="inlineStr">
        <is>
          <t>หากมีการใช้ยาพร้อมกันกับยาพ่น Ventolin ให้พ่นยาตัวนี้ก่อนพ่น Ventolin</t>
        </is>
      </c>
      <c r="F34" s="18" t="inlineStr">
        <is>
          <t>ยาออกฤทธิ์โดยการขยายหลอดลม</t>
        </is>
      </c>
      <c r="G34" s="18" t="inlineStr">
        <is>
          <t>ให้บ้วนปาก กลั้วคอทุกครั้งหลังจากใช้ยา</t>
        </is>
      </c>
      <c r="H34" s="18" t="inlineStr">
        <is>
          <t>เก็บหลอดยาไว้ในตู้เย็น</t>
        </is>
      </c>
      <c r="I34" s="15" t="inlineStr">
        <is>
          <t>4</t>
        </is>
      </c>
      <c r="J34" s="18" t="inlineStr">
        <is>
          <t>✅ คำตอบที่ถูกต้อง: ข้อ ง. ให้บ้วนปาก กลั้วคอทุกครั้งหลังจากใช้ยา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ให้บ้วนปาก กลั้วคอทุกครั้งหลังจากใช้ยา Budesonide เป็นยาสูดสเตียรอยด์ (ICS) ผลข้างเคียงเฉพาะที่ที่สำคัญคือเกิดเชื้อราในปาก (oral candidiasis) และเสียงแหบ จึงต้องแนะนำให้ผู้ป่วยบ้วนปาก กลั้วคอ และบ้วนน้ำทิ้งทุกครั้งหลังใช้ยาเสมอ และควรใช้ยาขยายหลอดลม (Ventolin) ก่อนเพื่อให้หลอดลมขยายและยา ICS เข้าสู่ปอดได้ดีขึ้น
🔍 ข้ออื่นผิดเพราะอะไร:
• ข้อ ก. (หลีกเลี่ยงการใช้ยาร่วมกับ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ข. (หากมีการใช้ยาพร้อมกันกับยาพ่น Ventolin ให้พ่นยาตัวนี้ก่อนพ่น Ventolin): ข้อนี้ไม่ใช่คำตอบที่ถูกต้องสำหรับภาวะ Asthma เนื่องจากกลไกการออกฤทธิ์, efficacy หรือข้อบ่งใช้ไม่ตรงกับโจทย์ที่กำหนด
• ข้อ ค.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(เก็บหลอดยาไว้ในตู้เย็น):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4" s="18" t="inlineStr"/>
      <c r="L34" s="18" t="inlineStr">
        <is>
          <t>Asthma</t>
        </is>
      </c>
      <c r="M34" s="18" t="inlineStr">
        <is>
          <t>Clinic</t>
        </is>
      </c>
      <c r="N34" s="18" t="inlineStr">
        <is>
          <t>ข้อ 31 ชุด 1 (เฉลยข้อ ง)</t>
        </is>
      </c>
      <c r="O34" s="18" t="inlineStr">
        <is>
          <t>Mock</t>
        </is>
      </c>
      <c r="P34" s="18" t="inlineStr">
        <is>
          <t>ชุด 1</t>
        </is>
      </c>
    </row>
    <row r="35">
      <c r="A35" s="15" t="inlineStr">
        <is>
          <t>32</t>
        </is>
      </c>
      <c r="B35" s="18" t="inlineStr">
        <is>
          <t>เกี่ยวกับ Ventolin ข้อใดผิด</t>
        </is>
      </c>
      <c r="C35" s="18" t="inlineStr"/>
      <c r="D35" s="18" t="inlineStr">
        <is>
          <t>ประกอบด้วยยา albuterol ซึ่งเป็น beta2 agonist ชนิดออกฤทธิ์สั้น</t>
        </is>
      </c>
      <c r="E35" s="18" t="inlineStr">
        <is>
          <t>ในผู้ป่วยรายนี้ใช้เพื่อบรรเทาอาการหอบหืดที่เกิดขึ้นเป็นครั้งคราวเท่านั้น</t>
        </is>
      </c>
      <c r="F35" s="18" t="inlineStr">
        <is>
          <t>อาการข้างเคียงที่อาจพบ คือ มือสั่น ปากแห้ง เหนื่อย หัวใจเต้นช้า</t>
        </is>
      </c>
      <c r="G35" s="18" t="inlineStr">
        <is>
          <t>กลไกของยาคือ กระตุ้นการสร้าง adenylate cyclase เพิ่มการสร้าง cyclic AMP</t>
        </is>
      </c>
      <c r="H35" s="18" t="inlineStr">
        <is>
          <t>Tiotropium Respimat 2.5 mcg 2 puffs OD</t>
        </is>
      </c>
      <c r="I35" s="15" t="inlineStr">
        <is>
          <t>3</t>
        </is>
      </c>
      <c r="J35" s="18" t="inlineStr">
        <is>
          <t>✅ คำตอบที่ถูกต้อง: ข้อ ค. อาการข้างเคียงที่อาจพบ คือ มือสั่น ปากแห้ง เหนื่อย หัวใจเต้นช้า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อาการข้างเคียงที่อาจพบ คือ มือสั่น ปากแห้ง เหนื่อย หัวใจเต้นช้า Ventolin (albuterol/salbutamol) เป็น SABA มีอาการข้างเคียงที่สำคัญคือหัวใจเต้นเร็ว (tachycardia) ไม่ใช่หัวใจเต้นช้า (bradycardia) เนื่องจากกระตุ้น beta1 receptors ที่หัวใจร่วมด้วยเมื่อใช้ขนาดสูง และทำให้เกิดอาการมือสั่น ประหม่าได้
🔍 ข้ออื่นผิดเพราะอะไร:
• ข้อ ก. (ประกอบด้วยยา albuterol ซึ่งเป็น beta2 agonist ชนิดออกฤทธิ์สั้น): ข้อนี้ไม่ใช่คำตอบที่ถูกต้องสำหรับภาวะ Asthma เนื่องจากกลไกการออกฤทธิ์, efficacy หรือข้อบ่งใช้ไม่ตรงกับโจทย์ที่กำหนด
• ข้อ ข. (ในผู้ป่วยรายนี้ใช้เพื่อบรรเทาอาการหอบหืดที่เกิดขึ้นเป็นครั้งคราวเท่านั้น): ข้อนี้ไม่ใช่คำตอบที่ถูกต้องสำหรับภาวะ Asthma เนื่องจากกลไกการออกฤทธิ์, efficacy หรือข้อบ่งใช้ไม่ตรงกับโจทย์ที่กำหนด
• ข้อ ง. (กลไกของยาคือ กระตุ้นการสร้าง adenylate cyclase เพิ่มการสร้าง cyclic AMP): ข้อนี้ไม่ใช่คำตอบที่ถูกต้องสำหรับภาวะ Asthma เนื่องจากกลไกการออกฤทธิ์, efficacy หรือข้อบ่งใช้ไม่ตรงกับโจทย์ที่กำหนด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5" s="18" t="inlineStr"/>
      <c r="L35" s="18" t="inlineStr">
        <is>
          <t>Asthma</t>
        </is>
      </c>
      <c r="M35" s="18" t="inlineStr">
        <is>
          <t>Clinic</t>
        </is>
      </c>
      <c r="N35" s="18" t="inlineStr">
        <is>
          <t>ข้อ 32 ชุด 1 (เฉลยข้อ ค)</t>
        </is>
      </c>
      <c r="O35" s="18" t="inlineStr">
        <is>
          <t>Mock</t>
        </is>
      </c>
      <c r="P35" s="18" t="inlineStr">
        <is>
          <t>ชุด 1</t>
        </is>
      </c>
    </row>
    <row r="36">
      <c r="A36" s="15" t="inlineStr">
        <is>
          <t>33</t>
        </is>
      </c>
      <c r="B36" s="18"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18" t="inlineStr"/>
      <c r="D36" s="18" t="inlineStr">
        <is>
          <t>Inhaled ipratropium MDI</t>
        </is>
      </c>
      <c r="E36" s="18" t="inlineStr">
        <is>
          <t>Inhaled cromolin MDI</t>
        </is>
      </c>
      <c r="F36" s="18" t="inlineStr">
        <is>
          <t>Oral glucocorticosteroid</t>
        </is>
      </c>
      <c r="G36" s="18" t="inlineStr">
        <is>
          <t>Inhaled salmeterol MDI</t>
        </is>
      </c>
      <c r="H36" s="18" t="inlineStr">
        <is>
          <t>Symbicort turbuhaler</t>
        </is>
      </c>
      <c r="I36" s="15" t="inlineStr">
        <is>
          <t>4</t>
        </is>
      </c>
      <c r="J36" s="18" t="inlineStr">
        <is>
          <t>✅ คำตอบที่ถูกต้อง: ข้อ ง. Inhaled salmeterol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salmeterol MDI ตามแนวทาง GINA เมื่อผู้ป่วยใช้ยาควบคุมอาการ (controller) ขนาดต่ำแล้วยังควบคุมอาการไม่ได้ (Step 2 to Step 3) ทางเลือกที่แนะนำและมี efficacy สูงคือการเพิ่มยา Long-acting beta2 agonist (LABA) ร่วมกับ Inhaled corticosteroid (ICS) เช่น Symbicort (budesonide/formoterol) หรือการใช้ ICS ขนาดปานกลาง
 เป็น LABA ที่มี onset ช้า (10-20 นาที) จึงใช้เป็น maintenance bronchodilator เท่านั้น ห้ามใช้เป็น reliever เด็ดขาด
🔍 ข้ออื่นผิดเพราะอะไร:
• ข้อ ก. (Inhaled ipratropium MDI): เป็น SAMA ออกฤทธิ์ยับยั้ง cholinergic tone มักใช้ร่วมกับ SABA ใน acute moderate-to-severe asthma/COPD exacerbation
• ข้อ ข. (Inhaled cromolin MDI): ข้อนี้ไม่ใช่คำตอบที่ถูกต้องสำหรับภาวะ Asthma เนื่องจากกลไกการออกฤทธิ์, efficacy หรือข้อบ่งใช้ไม่ตรงกับโจทย์ที่กำหนด
• ข้อ ค. (Oral glucocorticosteroid): ข้อนี้ไม่ใช่คำตอบที่ถูกต้องสำหรับภาวะ Asthma เนื่องจากกลไกการออกฤทธิ์, efficacy หรือข้อบ่งใช้ไม่ตรงกับโจทย์ที่กำหนด
• ข้อ จ. (Symbicort turbuhaler):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6" s="18" t="inlineStr"/>
      <c r="L36" s="18" t="inlineStr">
        <is>
          <t>Asthma</t>
        </is>
      </c>
      <c r="M36" s="18" t="inlineStr">
        <is>
          <t>Clinic</t>
        </is>
      </c>
      <c r="N36" s="18" t="inlineStr">
        <is>
          <t>ข้อ 33 ชุด 1 (เฉลยข้อ ง)</t>
        </is>
      </c>
      <c r="O36" s="18" t="inlineStr">
        <is>
          <t>Mock</t>
        </is>
      </c>
      <c r="P36" s="18" t="inlineStr">
        <is>
          <t>ชุด 1</t>
        </is>
      </c>
    </row>
    <row r="37">
      <c r="A37" s="15" t="inlineStr">
        <is>
          <t>34</t>
        </is>
      </c>
      <c r="B37" s="18" t="inlineStr">
        <is>
          <t>เกี่ยวกับยา theophylline ข้อใดไม่ถูกต้อง</t>
        </is>
      </c>
      <c r="C37" s="18" t="inlineStr"/>
      <c r="D37" s="18" t="inlineStr">
        <is>
          <t>มีฤทธิ์ขยายหลอดลมและยังแก้อักเสบได้ด้วย</t>
        </is>
      </c>
      <c r="E37" s="18" t="inlineStr">
        <is>
          <t>มีช่วงการรักษาที่แคบ (therapeutic range = 5-20 mg/L)</t>
        </is>
      </c>
      <c r="F37" s="18" t="inlineStr">
        <is>
          <t>อาการไม่พึงประสงค์ที่พบได้คือ ไม่สบายท้อง คลื่นไส้ อาเจียน และอาจเกิด arrhythmia ได้</t>
        </is>
      </c>
      <c r="G37" s="18" t="inlineStr">
        <is>
          <t>ระดับยา theophylline อาจเพิ่มสูงได้หากใช้ร่วมกับยากันชักพวก phenytoin, phenobarbital, carbamazepine</t>
        </is>
      </c>
      <c r="H37" s="18" t="inlineStr">
        <is>
          <t>Oral contraceptive สามารถเพิ่ม level ของยา Theophylline ในเลือดได้</t>
        </is>
      </c>
      <c r="I37" s="15" t="inlineStr">
        <is>
          <t>4</t>
        </is>
      </c>
      <c r="J37" s="18" t="inlineStr">
        <is>
          <t>✅ คำตอบที่ถูกต้อง: ข้อ ง. ระดับยา theophylline อาจเพิ่มสูงได้หากใช้ร่วมกับยากันชักพวก phenytoin, phenobarbital, carbamazepine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ระดับยา theophylline อาจเพิ่มสูงได้หากใช้ร่วมกับยากันชักพวก phenytoin, phenobarbital, carbamazepine ยากันชักกลุ่ม enzyme inducers ได้แก่ phenytoin, phenobarbital, carbamazepine รวมถึง rifampin และการสูบบุหรี่ จะช่วยเพิ่มการเผาผลาญ (induce CYP1A2) ของ theophylline ทำให้ระดับยาในเลือดลดลง ไม่ใช่เพิ่มขึ้น ส่วนยาคุมกำเนิด (oral contraceptives) จะยับยั้งการเผาผลาญทำให้ระดับยา theophylline สูงขึ้นได้
🔍 ข้ออื่นผิดเพราะอะไร:
• ข้อ ก. (มีฤทธิ์ขยายหลอดลมและยังแก้อักเสบได้ด้วย): ข้อนี้ไม่ใช่คำตอบที่ถูกต้องสำหรับภาวะ Asthma เนื่องจากกลไกการออกฤทธิ์, efficacy หรือข้อบ่งใช้ไม่ตรงกับโจทย์ที่กำหนด
• ข้อ ข. (มีช่วงการรักษาที่แคบ (therapeutic range = 5-20 mg/L)): ข้อนี้ไม่ใช่คำตอบที่ถูกต้องสำหรับภาวะ Asthma เนื่องจากกลไกการออกฤทธิ์, efficacy หรือข้อบ่งใช้ไม่ตรงกับโจทย์ที่กำหนด
• ข้อ ค. (อาการไม่พึงประสงค์ที่พบได้คือ ไม่สบายท้อง คลื่นไส้ อาเจียน และอาจเกิด arrhythmia ได้): ข้อนี้ไม่ใช่คำตอบที่ถูกต้องสำหรับภาวะ Asthma เนื่องจากกลไกการออกฤทธิ์, efficacy หรือข้อบ่งใช้ไม่ตรงกับโจทย์ที่กำหนด
• ข้อ จ. (Oral contraceptive สามารถเพิ่ม level ของยา Theophylline ในเลือดได้):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7" s="18" t="inlineStr"/>
      <c r="L37" s="18" t="inlineStr">
        <is>
          <t>Asthma</t>
        </is>
      </c>
      <c r="M37" s="18" t="inlineStr">
        <is>
          <t>Clinic</t>
        </is>
      </c>
      <c r="N37" s="18" t="inlineStr">
        <is>
          <t>ข้อ 34 ชุด 1 (เฉลยข้อ ง)</t>
        </is>
      </c>
      <c r="O37" s="18" t="inlineStr">
        <is>
          <t>Mock</t>
        </is>
      </c>
      <c r="P37" s="18" t="inlineStr">
        <is>
          <t>ชุด 1</t>
        </is>
      </c>
    </row>
    <row r="38">
      <c r="A38" s="15" t="inlineStr">
        <is>
          <t>35</t>
        </is>
      </c>
      <c r="B38" s="18" t="inlineStr">
        <is>
          <t>ยาเหล่านี้มีข้อบ่งใช้สำหรับควบคุมอาการของโรคหอบหืด ยกเว้น</t>
        </is>
      </c>
      <c r="C38" s="18" t="inlineStr"/>
      <c r="D38" s="18" t="inlineStr">
        <is>
          <t>Systemic glucocorticosteroid</t>
        </is>
      </c>
      <c r="E38" s="18" t="inlineStr">
        <is>
          <t>Long acting anticholinergics</t>
        </is>
      </c>
      <c r="F38" s="18" t="inlineStr">
        <is>
          <t>Methyl xanthine</t>
        </is>
      </c>
      <c r="G38" s="18" t="inlineStr">
        <is>
          <t>Long acting inhaled beta2 agonist</t>
        </is>
      </c>
      <c r="H38" s="18" t="inlineStr">
        <is>
          <t>Short acting beta2 agonist</t>
        </is>
      </c>
      <c r="I38" s="15" t="inlineStr">
        <is>
          <t>5</t>
        </is>
      </c>
      <c r="J38" s="18" t="inlineStr">
        <is>
          <t>✅ คำตอบที่ถูกต้อง: ข้อ จ. Short acting beta2 agonist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Short acting beta2 agonist (SABA) เช่น salbutamol เป็นยาบรรเทาอาการ (reliever medication) ใช้ตัดเฉียบพลันเมื่อมีอาการหอบ ไม่จัดเป็นยาควบคุมอาการระยะยาว (controller medication) เหมือนกลุ่มอื่นๆ ในตัวเลือกที่ใช้สำหรับป้องกันและควบคุมอาการหอบหืด
🔍 ข้ออื่นผิดเพราะอะไร:
• ข้อ ก. (Systemic glucocorticosteroid): ข้อนี้ไม่ใช่คำตอบที่ถูกต้องสำหรับภาวะ Asthma เนื่องจากกลไกการออกฤทธิ์, efficacy หรือข้อบ่งใช้ไม่ตรงกับโจทย์ที่กำหนด
• ข้อ ข. (Long acting anticholinergics): ข้อนี้ไม่ใช่คำตอบที่ถูกต้องสำหรับภาวะ Asthma เนื่องจากกลไกการออกฤทธิ์, efficacy หรือข้อบ่งใช้ไม่ตรงกับโจทย์ที่กำหนด
• ข้อ ค. (Methyl xanthine): ข้อนี้ไม่ใช่คำตอบที่ถูกต้องสำหรับภาวะ Asthma เนื่องจากกลไกการออกฤทธิ์, efficacy หรือข้อบ่งใช้ไม่ตรงกับโจทย์ที่กำหนด
• ข้อ ง. (Long acting inhaled beta2 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8" s="18" t="inlineStr"/>
      <c r="L38" s="18" t="inlineStr">
        <is>
          <t>Asthma</t>
        </is>
      </c>
      <c r="M38" s="18" t="inlineStr">
        <is>
          <t>Clinic</t>
        </is>
      </c>
      <c r="N38" s="18" t="inlineStr">
        <is>
          <t>ข้อ 35 ชุด 1 (เฉลยข้อ จ)</t>
        </is>
      </c>
      <c r="O38" s="18" t="inlineStr">
        <is>
          <t>Mock</t>
        </is>
      </c>
      <c r="P38" s="18" t="inlineStr">
        <is>
          <t>ชุด 1</t>
        </is>
      </c>
    </row>
    <row r="39">
      <c r="A39" s="15" t="inlineStr">
        <is>
          <t>36</t>
        </is>
      </c>
      <c r="B39" s="1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18" t="inlineStr"/>
      <c r="D39" s="18" t="inlineStr">
        <is>
          <t>ความคลาดเคลื่อนที่เกิดจากการไม่ระบุวิธีใช้ให้ชัดเจน</t>
        </is>
      </c>
      <c r="E39" s="18" t="inlineStr">
        <is>
          <t>ความคลาดเคลื่อนจากการจ่ายยาผิดชนิด</t>
        </is>
      </c>
      <c r="F39" s="18" t="inlineStr">
        <is>
          <t>ความคลาดเคลื่อนที่เกิดจากไม่มียาในบัญชียาของโรงพยาบาล</t>
        </is>
      </c>
      <c r="G39" s="18" t="inlineStr">
        <is>
          <t>ความคลาดเคลื่อนจากการจ่ายยาผิดความแรง</t>
        </is>
      </c>
      <c r="H39" s="18" t="inlineStr">
        <is>
          <t>ความคลาดเคลื่อนจากการจ่ายยา ผิดความแรง และผิดวิธีใช้</t>
        </is>
      </c>
      <c r="I39" s="15" t="inlineStr">
        <is>
          <t>2</t>
        </is>
      </c>
      <c r="J39" s="18" t="inlineStr">
        <is>
          <t>✅ คำตอบที่ถูกต้อง: ข้อ ข. ความคลาดเคลื่อนจากการจ่ายยาผิดชนิด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ความคลาดเคลื่อนจากการจ่ายยาผิดชนิด ใบสั่งยาแพทย์ระบุ Salmeterol แต่ผู้ป่วยได้รับยากลับบ้านเป็น Salbutamol ซึ่งเป็นตัวยาคนละชนิดกัน ถือเป็น Medication error ประเภทจ่ายยาผิดชนิด (Wrong drug)
🔍 ข้ออื่นผิดเพราะอะไร:
• ข้อ ก. (ความคลาดเคลื่อนที่เกิดจากการไม่ระบุวิธีใช้ให้ชัดเจน): ข้อนี้ไม่ใช่คำตอบที่ถูกต้องสำหรับภาวะ Asthma เนื่องจากกลไกการออกฤทธิ์, efficacy หรือข้อบ่งใช้ไม่ตรงกับโจทย์ที่กำหนด
• ข้อ ค. (ความคลาดเคลื่อนที่เกิดจากไม่มียาในบัญชียาของโรงพยาบาล): ข้อนี้ไม่ใช่คำตอบที่ถูกต้องสำหรับภาวะ Asthma เนื่องจากกลไกการออกฤทธิ์, efficacy หรือข้อบ่งใช้ไม่ตรงกับโจทย์ที่กำหนด
• ข้อ ง. (ความคลาดเคลื่อนจากการจ่ายยาผิดความแรง): ข้อนี้ไม่ใช่คำตอบที่ถูกต้องสำหรับภาวะ Asthma เนื่องจากกลไกการออกฤทธิ์, efficacy หรือข้อบ่งใช้ไม่ตรงกับโจทย์ที่กำหนด
• ข้อ จ. (ความคลาดเคลื่อนจากการจ่ายยา ผิดความแรง และผิดวิธีใช้):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9" s="18" t="inlineStr"/>
      <c r="L39" s="18" t="inlineStr">
        <is>
          <t>Asthma</t>
        </is>
      </c>
      <c r="M39" s="18" t="inlineStr">
        <is>
          <t>Clinic</t>
        </is>
      </c>
      <c r="N39" s="18" t="inlineStr">
        <is>
          <t>ข้อ 36 ชุด 1 (เฉลยข้อ ข)</t>
        </is>
      </c>
      <c r="O39" s="18" t="inlineStr">
        <is>
          <t>Mock</t>
        </is>
      </c>
      <c r="P39" s="18" t="inlineStr">
        <is>
          <t>ชุด 1</t>
        </is>
      </c>
    </row>
    <row r="40">
      <c r="A40" s="15" t="inlineStr">
        <is>
          <t>37</t>
        </is>
      </c>
      <c r="B40" s="1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18" t="inlineStr"/>
      <c r="D40" s="18" t="inlineStr">
        <is>
          <t>ให้พ่นยาเข้าทางจมูก</t>
        </is>
      </c>
      <c r="E40" s="18" t="inlineStr">
        <is>
          <t>ยานี้เหมาะสำหรับรักษาอาการเฉียบพลัน</t>
        </is>
      </c>
      <c r="F40" s="18" t="inlineStr">
        <is>
          <t>หลังจากพ่นครั้งแรก ต้องรออย่างน้อย 10 นาที ก่อนที่จะพ่นครั้งที่สอง</t>
        </is>
      </c>
      <c r="G40" s="18" t="inlineStr">
        <is>
          <t>เนื่องจากยา-1 ขวด สามารถพ่นได้ 200 ครั้ง จึงสามารถใช้ยานี้ได้นานประมาณ 25 วัน</t>
        </is>
      </c>
      <c r="H40" s="18" t="inlineStr">
        <is>
          <t>ยานี้เป็นยารักษาอาการอักเสบของหลอดลม จึงควรใช้เป็นประจำติดต่อกัน</t>
        </is>
      </c>
      <c r="I40" s="15" t="inlineStr">
        <is>
          <t>4</t>
        </is>
      </c>
      <c r="J40" s="18" t="inlineStr">
        <is>
          <t>✅ คำตอบที่ถูกต้อง: ข้อ ง. เนื่องจากยา-1 ขวด สามารถพ่นได้ 200 ครั้ง จึงสามารถใช้ยานี้ได้นานประมาณ 25 วัน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เนื่องจากยา-1 ขวด สามารถพ่นได้ 200 ครั้ง จึงสามารถใช้ยานี้ได้นานประมาณ 25 วัน Ipratropium MDI ขนาดบรรจุทั่วไป 200 ครั้ง/ขวด ขนาดใช้วันละ 4 ครั้ง ครั้งละ 2 พัฟฟ์ (รวม 8 พัฟฟ์/วัน) จะใช้ได้ประมาณ 25 วัน (200/8 = 25) และการพ่นซ้ำควรรอห่างกันประมาณ 1 นาที ไม่ใช่ 10 นาที
🔍 ข้ออื่นผิดเพราะอะไร:
• ข้อ ก. (ให้พ่นยาเข้าทางจมูก): ข้อนี้ไม่ใช่คำตอบที่ถูกต้องสำหรับภาวะ Asthma เนื่องจากกลไกการออกฤทธิ์, efficacy หรือข้อบ่งใช้ไม่ตรงกับโจทย์ที่กำหนด
• ข้อ ข. (ยานี้เหมาะสำหรับรักษาอาการเฉียบพลัน): ข้อนี้ไม่ใช่คำตอบที่ถูกต้องสำหรับภาวะ Asthma เนื่องจากกลไกการออกฤทธิ์, efficacy หรือข้อบ่งใช้ไม่ตรงกับโจทย์ที่กำหนด
• ข้อ ค. (หลังจากพ่นครั้งแรก ต้องรออย่างน้อย 10 นาที ก่อนที่จะพ่นครั้งที่สอง): ข้อนี้ไม่ใช่คำตอบที่ถูกต้องสำหรับภาวะ Asthma เนื่องจากกลไกการออกฤทธิ์, efficacy หรือข้อบ่งใช้ไม่ตรงกับโจทย์ที่กำหนด
• ข้อ จ. (ยานี้เป็นยารักษาอาการอักเสบของหลอดลม จึงควรใช้เป็นประจำติดต่อกัน):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18" t="inlineStr"/>
      <c r="L40" s="18" t="inlineStr">
        <is>
          <t>Asthma</t>
        </is>
      </c>
      <c r="M40" s="18" t="inlineStr">
        <is>
          <t>Clinic</t>
        </is>
      </c>
      <c r="N40" s="18" t="inlineStr">
        <is>
          <t>ข้อ 37 ชุด 1 (เฉลยข้อ ง)</t>
        </is>
      </c>
      <c r="O40" s="18" t="inlineStr">
        <is>
          <t>Mock</t>
        </is>
      </c>
      <c r="P40" s="18" t="inlineStr">
        <is>
          <t>ชุด 1</t>
        </is>
      </c>
    </row>
    <row r="41">
      <c r="A41" s="15" t="inlineStr">
        <is>
          <t>38</t>
        </is>
      </c>
      <c r="B41" s="1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18" t="inlineStr"/>
      <c r="D41" s="18" t="inlineStr">
        <is>
          <t>ป้องกันเชื้อราในช่องปาก</t>
        </is>
      </c>
      <c r="E41" s="18" t="inlineStr">
        <is>
          <t>ลดความเสี่ยงของการเกิดเสียงแหบแห้ง</t>
        </is>
      </c>
      <c r="F41" s="18" t="inlineStr">
        <is>
          <t>ลดโอกาสการเกิดความดันในลูกตาสูง</t>
        </is>
      </c>
      <c r="G41" s="18" t="inlineStr">
        <is>
          <t>ลดโอกาสการเกิดหัวใจเต้นเร็ว</t>
        </is>
      </c>
      <c r="H41" s="18" t="inlineStr">
        <is>
          <t>ลดโอกาสการเกิดอาการมือสั่น</t>
        </is>
      </c>
      <c r="I41" s="15" t="inlineStr">
        <is>
          <t>1</t>
        </is>
      </c>
      <c r="J41" s="18" t="inlineStr">
        <is>
          <t>✅ คำตอบที่ถูกต้อง: ข้อ ก. ป้องกันเชื้อราในช่องปาก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ป้องกันเชื้อราในช่องปาก การกลั้วคอและบ้วนน้ำทิ้งหลังพ่นยา (โดยเฉพาะกลุ่ม Corticosteroid) ช่วยลดการเกิด oral candidiasis และเสียงแหบ แต่สำหรับ LABA/SABA อาการข้างเคียงเช่นหัวใจเต้นเร็วหรือมือสั่นเกิดจากการดูดซึมเข้าสู่กระแสเลือด การกลั้วคอไม่ได้ช่วยลดผลข้างเคียงนี้โดยตรง
🔍 ข้ออื่นผิดเพราะอะไร:
• ข้อ ข. (ลดความเสี่ยงของการเกิดเสียงแหบแห้ง): ข้อนี้ไม่ใช่คำตอบที่ถูกต้องสำหรับภาวะ Asthma เนื่องจากกลไกการออกฤทธิ์, efficacy หรือข้อบ่งใช้ไม่ตรงกับโจทย์ที่กำหนด
• ข้อ ค. (ลดโอกาสการเกิดความดันในลูกตาสูง): ข้อนี้ไม่ใช่คำตอบที่ถูกต้องสำหรับภาวะ Asthma เนื่องจากกลไกการออกฤทธิ์, efficacy หรือข้อบ่งใช้ไม่ตรงกับโจทย์ที่กำหนด
• ข้อ ง. (ลดโอกาสการเกิดหัวใจเต้นเร็ว): ข้อนี้ไม่ใช่คำตอบที่ถูกต้องสำหรับภาวะ Asthma เนื่องจากกลไกการออกฤทธิ์, efficacy หรือข้อบ่งใช้ไม่ตรงกับโจทย์ที่กำหนด
• ข้อ จ. (ลดโอกาสการเกิดอาการมือสั่น):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1" s="18" t="inlineStr"/>
      <c r="L41" s="18" t="inlineStr">
        <is>
          <t>Asthma</t>
        </is>
      </c>
      <c r="M41" s="18" t="inlineStr">
        <is>
          <t>Clinic</t>
        </is>
      </c>
      <c r="N41" s="18" t="inlineStr">
        <is>
          <t>ข้อ 38 ชุด 1 (เฉลยข้อ ก ค ง จ)</t>
        </is>
      </c>
      <c r="O41" s="18" t="inlineStr">
        <is>
          <t>Mock</t>
        </is>
      </c>
      <c r="P41" s="18" t="inlineStr">
        <is>
          <t>ชุด 1</t>
        </is>
      </c>
    </row>
    <row r="42">
      <c r="A42" s="15" t="inlineStr">
        <is>
          <t>39</t>
        </is>
      </c>
      <c r="B42" s="1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18" t="inlineStr"/>
      <c r="D42" s="18" t="inlineStr">
        <is>
          <t>ควรเริ่มการรักษาด้วยยาสเตียรอยด์ชนิดพ่น</t>
        </is>
      </c>
      <c r="E42" s="18" t="inlineStr">
        <is>
          <t>ควรเริ่มการรักษาด้วยยาขยายหลอดลมชนิด beta-agonist</t>
        </is>
      </c>
      <c r="F42" s="18" t="inlineStr">
        <is>
          <t>ควรเริ่มการรักษาด้วยยาขยายหลอดลมชนิด anticholinergic</t>
        </is>
      </c>
      <c r="G42" s="18" t="inlineStr">
        <is>
          <t>ผู้ป่วยทุกรายควรได้รับยาสเตียรอยด์ชนิดพ่น สำหรับควบคุมอาการ</t>
        </is>
      </c>
      <c r="H42" s="18" t="inlineStr">
        <is>
          <t>ผู้ป่วยทุกคนต้องได้รับยาสเตียรอยด์ชนิดกิน</t>
        </is>
      </c>
      <c r="I42" s="15" t="inlineStr">
        <is>
          <t>1</t>
        </is>
      </c>
      <c r="J42" s="18" t="inlineStr">
        <is>
          <t>✅ คำตอบที่ถูกต้อง: ข้อ ก. ควรเริ่มการรักษาด้วยยาสเตียรอยด์ชนิดพ่น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ควรเริ่มการรักษาด้วยยาสเตียรอยด์ชนิดพ่น ตามแนวทาง GOLD guideline สำหรับการรักษา COPD (Chronic Obstructive Pulmonary Disease) ยาหลักในการรักษาคือ Bronchodilators (เช่น LAMA หรือ LABA) โดย LAMA (anticholinergic) หรือ LABA เป็นยาเริ่มต้นที่แนะนำ
🔍 ข้ออื่นผิดเพราะอะไร:
• ข้อ ข. (ควรเริ่มการรักษาด้วยยาขยายหลอดลมชนิด beta-agonist): ข้อนี้ไม่ใช่คำตอบที่ถูกต้องสำหรับภาวะ Asthma เนื่องจากกลไกการออกฤทธิ์, efficacy หรือข้อบ่งใช้ไม่ตรงกับโจทย์ที่กำหนด
• ข้อ ค. (ควรเริ่มการรักษาด้วยยาขยายหลอดลมชนิด anticholinergic): ข้อนี้ไม่ใช่คำตอบที่ถูกต้องสำหรับภาวะ Asthma เนื่องจากกลไกการออกฤทธิ์, efficacy หรือข้อบ่งใช้ไม่ตรงกับโจทย์ที่กำหนด
• ข้อ ง. (ผู้ป่วยทุกรายควรได้รับยาสเตียรอยด์ชนิดพ่น สำหรับควบคุมอาการ): ข้อนี้ไม่ใช่คำตอบที่ถูกต้องสำหรับภาวะ Asthma เนื่องจากกลไกการออกฤทธิ์, efficacy หรือข้อบ่งใช้ไม่ตรงกับโจทย์ที่กำหนด
• ข้อ จ. (ผู้ป่วยทุกคนต้องได้รับยาสเตียรอยด์ชนิดกิน):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2" s="18" t="inlineStr"/>
      <c r="L42" s="18" t="inlineStr">
        <is>
          <t>Asthma</t>
        </is>
      </c>
      <c r="M42" s="18" t="inlineStr">
        <is>
          <t>Clinic</t>
        </is>
      </c>
      <c r="N42" s="18" t="inlineStr">
        <is>
          <t>ข้อ 39 ชุด 1 (เฉลยข้อ )</t>
        </is>
      </c>
      <c r="O42" s="18" t="inlineStr">
        <is>
          <t>Mock</t>
        </is>
      </c>
      <c r="P42" s="18" t="inlineStr">
        <is>
          <t>ชุด 1</t>
        </is>
      </c>
    </row>
    <row r="43">
      <c r="A43" s="15" t="inlineStr">
        <is>
          <t>40</t>
        </is>
      </c>
      <c r="B43" s="18" t="inlineStr">
        <is>
          <t>ข้อใดกล่าวผิดเกี่ยวกับ salmeterol</t>
        </is>
      </c>
      <c r="C43" s="18" t="inlineStr"/>
      <c r="D43" s="18" t="inlineStr">
        <is>
          <t>Salmeterol มีข้อบ่งใช้ในการจับหืดที่เกิดขึ้นเฉียบพลัน</t>
        </is>
      </c>
      <c r="E43" s="18" t="inlineStr">
        <is>
          <t>กลไกการออกฤทธิ์คือกระตุ้นเอนไซม์ adenylate cyclase</t>
        </is>
      </c>
      <c r="F43" s="18" t="inlineStr">
        <is>
          <t>สามารถใช้กับผู้ป่วยที่มีอาการ nocturnal asthma มากกว่า 1 ครั้ง/สัปดาห์</t>
        </is>
      </c>
      <c r="G43" s="18" t="inlineStr">
        <is>
          <t>การใช้ยานี้นาน ๆ ทำให้การตอบสนองต่อยาลดลง (tachyphylaxis)</t>
        </is>
      </c>
      <c r="H43" s="18" t="inlineStr">
        <is>
          <t>หากไม่มี salmeterol สามารถใช้ albuterol แทนได้</t>
        </is>
      </c>
      <c r="I43" s="15" t="inlineStr">
        <is>
          <t>1</t>
        </is>
      </c>
      <c r="J43" s="18" t="inlineStr">
        <is>
          <t>✅ คำตอบที่ถูกต้อง: ข้อ ก. Salmeterol มีข้อบ่งใช้ในการจับหืดที่เกิดขึ้นเฉียบพลัน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มีข้อบ่งใช้ในการจับหืดที่เกิดขึ้นเฉียบพลัน Salmeterol เป็น Long-acting beta-2 agonist (LABA) ซึ่งมี onset ช้า จึงไม่มีข้อบ่งใช้ในการรักษาอาการหืดกำเริบเฉียบพลัน (Rescue) ต้องใช้เป็นยาควบคุมอาการระยะยาว (Controller) เท่านั้น
🔍 ข้ออื่นผิดเพราะอะไร:
• ข้อ ข. (กลไกการออกฤทธิ์คือกระตุ้นเอนไซม์ adenylate cyclase): ข้อนี้ไม่ใช่คำตอบที่ถูกต้องสำหรับภาวะ Asthma เนื่องจากกลไกการออกฤทธิ์, efficacy หรือข้อบ่งใช้ไม่ตรงกับโจทย์ที่กำหนด
• ข้อ ค. (สามารถใช้กับผู้ป่วยที่มีอาการ nocturnal asthma มากกว่า 1 ครั้ง/สัปดาห์): ข้อนี้ไม่ใช่คำตอบที่ถูกต้องสำหรับภาวะ Asthma เนื่องจากกลไกการออกฤทธิ์, efficacy หรือข้อบ่งใช้ไม่ตรงกับโจทย์ที่กำหนด
• ข้อ ง. (การใช้ยานี้นาน ๆ ทำให้การตอบสนองต่อยาลดลง (tachyphylaxis)): ข้อนี้ไม่ใช่คำตอบที่ถูกต้องสำหรับภาวะ Asthma เนื่องจากกลไกการออกฤทธิ์, efficacy หรือข้อบ่งใช้ไม่ตรงกับโจทย์ที่กำหนด
• ข้อ จ. (หากไม่มี salmeterol สามารถใช้ albuterol แทนได้): เป็น LABA ที่มี onset ช้า (10-20 นาที) จึงใช้เป็น maintenance bronchodilator เท่านั้น ห้ามใช้เป็น reliever เด็ดขาด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3" s="18" t="inlineStr"/>
      <c r="L43" s="18" t="inlineStr">
        <is>
          <t>Asthma</t>
        </is>
      </c>
      <c r="M43" s="18" t="inlineStr">
        <is>
          <t>Clinic</t>
        </is>
      </c>
      <c r="N43" s="18" t="inlineStr">
        <is>
          <t>ข้อ 40 ชุด 1 (เฉลยข้อ ก ง จ)</t>
        </is>
      </c>
      <c r="O43" s="18" t="inlineStr">
        <is>
          <t>Mock</t>
        </is>
      </c>
      <c r="P43" s="18" t="inlineStr">
        <is>
          <t>ชุด 1</t>
        </is>
      </c>
    </row>
    <row r="44">
      <c r="A44" s="15" t="inlineStr">
        <is>
          <t>41</t>
        </is>
      </c>
      <c r="B44" s="18" t="inlineStr">
        <is>
          <t>ข้อใดคือกลไกการออกฤทธิ์ของ ipratropium MDI</t>
        </is>
      </c>
      <c r="C44" s="18" t="inlineStr"/>
      <c r="D44" s="18" t="inlineStr">
        <is>
          <t>Selective beta2 - adrenergic receptor agonist</t>
        </is>
      </c>
      <c r="E44" s="18" t="inlineStr">
        <is>
          <t>Phosphodiesterase enzyme inhibitor</t>
        </is>
      </c>
      <c r="F44" s="18" t="inlineStr">
        <is>
          <t>Muscarinic cholinergic receptor antagonist</t>
        </is>
      </c>
      <c r="G44" s="18" t="inlineStr">
        <is>
          <t>Immunosuppressive agent</t>
        </is>
      </c>
      <c r="H44" s="18" t="inlineStr">
        <is>
          <t>Lipoxygenase enzyme inhibitor</t>
        </is>
      </c>
      <c r="I44" s="15" t="inlineStr">
        <is>
          <t>3</t>
        </is>
      </c>
      <c r="J44" s="18" t="inlineStr">
        <is>
          <t>✅ คำตอบที่ถูกต้อง: ข้อ ค. Muscarinic cholinergic receptor antagonist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Muscarinic cholinergic receptor antagonist Ipratropium เป็นยาในกลุ่ม Short-acting muscarinic antagonist (SAMA) หรือ anticholinergic agent ซึ่งออกฤทธิ์บล็อก muscarinic receptors (M3) ที่ทางเดินหายใจ ทำให้เกิดการขยายหลอดลมและลดการหลั่งเสมหะ
🔍 ข้ออื่นผิดเพราะอะไร:
• ข้อ ก. (Selective beta2 - adrenergic receptor agonist): ข้อนี้ไม่ใช่คำตอบที่ถูกต้องสำหรับภาวะ COPD เนื่องจากกลไกการออกฤทธิ์, efficacy หรือข้อบ่งใช้ไม่ตรงกับโจทย์ที่กำหนด
• ข้อ ข. (Phosphodiesterase enzyme inhibitor): ข้อนี้ไม่ใช่คำตอบที่ถูกต้องสำหรับภาวะ COPD เนื่องจากกลไกการออกฤทธิ์, efficacy หรือข้อบ่งใช้ไม่ตรงกับโจทย์ที่กำหนด
• ข้อ ง. (Immunosuppressive agent): ข้อนี้ไม่ใช่คำตอบที่ถูกต้องสำหรับภาวะ COPD เนื่องจากกลไกการออกฤทธิ์, efficacy หรือข้อบ่งใช้ไม่ตรงกับโจทย์ที่กำหนด
• ข้อ จ. (Lipoxygenase enzyme inhibitor):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44" s="18" t="inlineStr"/>
      <c r="L44" s="18" t="inlineStr">
        <is>
          <t>COPD</t>
        </is>
      </c>
      <c r="M44" s="18" t="inlineStr">
        <is>
          <t>Clinic</t>
        </is>
      </c>
      <c r="N44" s="18" t="inlineStr">
        <is>
          <t>ข้อ 41 ชุด 1 (เฉลยข้อ ค)</t>
        </is>
      </c>
      <c r="O44" s="18" t="inlineStr">
        <is>
          <t>Mock</t>
        </is>
      </c>
      <c r="P44" s="18" t="inlineStr">
        <is>
          <t>ชุด 1</t>
        </is>
      </c>
    </row>
    <row r="45">
      <c r="A45" s="15" t="inlineStr">
        <is>
          <t>42</t>
        </is>
      </c>
      <c r="B45" s="18"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18" t="inlineStr"/>
      <c r="D45" s="18" t="inlineStr">
        <is>
          <t>Sinusitis</t>
        </is>
      </c>
      <c r="E45" s="18" t="inlineStr">
        <is>
          <t>Allergic rhinitis</t>
        </is>
      </c>
      <c r="F45" s="18" t="inlineStr">
        <is>
          <t>Cystitis</t>
        </is>
      </c>
      <c r="G45" s="18" t="inlineStr">
        <is>
          <t>Common cold</t>
        </is>
      </c>
      <c r="H45" s="18" t="inlineStr">
        <is>
          <t>Bronchitis</t>
        </is>
      </c>
      <c r="I45" s="15" t="inlineStr">
        <is>
          <t>2</t>
        </is>
      </c>
      <c r="J45" s="18" t="inlineStr">
        <is>
          <t>✅ คำตอบที่ถูกต้อง: ข้อ ข. Allergic rhinitis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Allergic rhinitis อาการคันจมูก จาม และน้ำมูกใสที่เป็นเรื้อรังหรือเป็นๆ หายๆ นานถึง 5 วัน โดยไม่มีไข้หรืออาการปวดเมื่อยตามตัวเด่นชัด บ่งบอกถึงโรคภูมิแพ้จมูก (Allergic rhinitis) มากกว่าไข้หวัดธรรมดา (Common cold) ที่มักหายได้เองภายใน 3-7 วันและมักมีอาการเจ็บคอหรือไข้ร่วมด้วยในระยะแรก
🔍 ข้ออื่นผิดเพราะอะไร:
• ข้อ ก. (Sinusitis): ข้อนี้ไม่ใช่คำตอบที่ถูกต้องสำหรับภาวะ Asthma เนื่องจากกลไกการออกฤทธิ์, efficacy หรือข้อบ่งใช้ไม่ตรงกับโจทย์ที่กำหนด
• ข้อ ค. (Cystitis): ข้อนี้ไม่ใช่คำตอบที่ถูกต้องสำหรับภาวะ Asthma เนื่องจากกลไกการออกฤทธิ์, efficacy หรือข้อบ่งใช้ไม่ตรงกับโจทย์ที่กำหนด
• ข้อ ง. (Common cold): ข้อนี้ไม่ใช่คำตอบที่ถูกต้องสำหรับภาวะ Asthma เนื่องจากกลไกการออกฤทธิ์, efficacy หรือข้อบ่งใช้ไม่ตรงกับโจทย์ที่กำหนด
• ข้อ จ. (Bronchitis):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5" s="18" t="inlineStr"/>
      <c r="L45" s="18" t="inlineStr">
        <is>
          <t>Asthma</t>
        </is>
      </c>
      <c r="M45" s="18" t="inlineStr">
        <is>
          <t>Clinic</t>
        </is>
      </c>
      <c r="N45" s="18" t="inlineStr">
        <is>
          <t>ข้อ 42 ชุด 1 (เฉลยข้อ ข)</t>
        </is>
      </c>
      <c r="O45" s="18" t="inlineStr">
        <is>
          <t>Mock</t>
        </is>
      </c>
      <c r="P45" s="18" t="inlineStr">
        <is>
          <t>ชุด 1</t>
        </is>
      </c>
    </row>
    <row r="46">
      <c r="A46" s="15" t="inlineStr">
        <is>
          <t>43</t>
        </is>
      </c>
      <c r="B46" s="18"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18" t="inlineStr"/>
      <c r="D46" s="18" t="inlineStr">
        <is>
          <t>เนื่องจากจัดเป็นยาควบคุมพิเศษ</t>
        </is>
      </c>
      <c r="E46" s="18" t="inlineStr">
        <is>
          <t>เนื่องจากจัดเป็นยาที่ลงทะเบียนแบบมีเงื่อนไขต้องติดตามการใช้ในโรงพยาบาล</t>
        </is>
      </c>
      <c r="F46" s="18" t="inlineStr">
        <is>
          <t>เนื่องจากจัดเป็นยาเสพติดให้โทษ ประเภท 2</t>
        </is>
      </c>
      <c r="G46" s="18" t="inlineStr">
        <is>
          <t>เนื่องจากจัดเป็นวัตถุออกฤทธิ์ต่อจิตประสาท</t>
        </is>
      </c>
      <c r="H46" s="18" t="inlineStr">
        <is>
          <t>เนื่องจากจัดเป็นยาอันตราย</t>
        </is>
      </c>
      <c r="I46" s="15" t="inlineStr">
        <is>
          <t>4</t>
        </is>
      </c>
      <c r="J46" s="18" t="inlineStr">
        <is>
          <t>✅ คำตอบที่ถูกต้อง: ข้อ ง. เนื่องจากจัดเป็นวัตถุออกฤทธิ์ต่อจิตประสาท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เนื่องจากจัดเป็นวัตถุออกฤทธิ์ต่อจิตประสาท ยา Pseudoephedrine ถูกยกระดับทางกฎหมายในประเทศไทยให้เป็น 'วัตถุออกฤทธิ์ต่อจิตและประสาทในประเภท 2' (ตามประกาศกระทรวงสาธารณสุข) เนื่องจากเป็นสารตั้งต้นในการผลิตยาเสพติดให้โทษ (ยาบ้า) ทำให้ร้านขายยาทั่วไปไม่สามารถมีไว้ในครอบครองหรือจำหน่ายได้ ต้องจ่ายผ่านสถานพยาบาลภายใต้การควบคุมอย่างเข้มงวดเท่านั้น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Asthma เนื่องจากกลไกการออกฤทธิ์, efficacy หรือข้อบ่งใช้ไม่ตรงกับโจทย์ที่กำหนด
• ข้อ ค. (เนื่องจากจัดเป็นยาเสพติดให้โทษ ประเภท 2): ข้อนี้ไม่ใช่คำตอบที่ถูกต้องสำหรับภาวะ Asthma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6" s="18" t="inlineStr"/>
      <c r="L46" s="18" t="inlineStr">
        <is>
          <t>Asthma</t>
        </is>
      </c>
      <c r="M46" s="18" t="inlineStr">
        <is>
          <t>Clinic</t>
        </is>
      </c>
      <c r="N46" s="18" t="inlineStr">
        <is>
          <t>ข้อ 43 ชุด 1 (เฉลยข้อ ง)</t>
        </is>
      </c>
      <c r="O46" s="18" t="inlineStr">
        <is>
          <t>Mock</t>
        </is>
      </c>
      <c r="P46" s="18" t="inlineStr">
        <is>
          <t>ชุด 1</t>
        </is>
      </c>
    </row>
    <row r="47">
      <c r="A47" s="15" t="inlineStr">
        <is>
          <t>44</t>
        </is>
      </c>
      <c r="B47" s="18"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18" t="inlineStr"/>
      <c r="D47" s="18" t="inlineStr">
        <is>
          <t>เพื่อป้องกันปัญหาการดื้อยา</t>
        </is>
      </c>
      <c r="E47" s="18" t="inlineStr">
        <is>
          <t>เพื่อป้องกันการเกิด hypertension</t>
        </is>
      </c>
      <c r="F47" s="18" t="inlineStr">
        <is>
          <t>เพื่อป้องกันการเกิด hyperglycemia</t>
        </is>
      </c>
      <c r="G47" s="18" t="inlineStr">
        <is>
          <t>เพื่อป้องกันการเกิด rebound congestion</t>
        </is>
      </c>
      <c r="H47" s="18" t="inlineStr">
        <is>
          <t>เพื่อไม่ให้เกิดปัญหา insomnia</t>
        </is>
      </c>
      <c r="I47" s="15" t="inlineStr">
        <is>
          <t>4</t>
        </is>
      </c>
      <c r="J47" s="18" t="inlineStr">
        <is>
          <t>✅ คำตอบที่ถูกต้อง: ข้อ ง. เพื่อป้องกันการเกิด rebound congestion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เพื่อป้องกันการเกิด rebound congestion การใช้ยาลดน้ำมูกกลุ่ม Sympathomimetics (โดยเฉพาะยาพ่นจมูก) ติดต่อกันนานเกิน 5-7 วัน จะทำให้เกิดภาวะเยื่อบุจมูกบวมแดงซ้ำ (Rhinitis medicamentosa หรือ rebound congestion) ซึ่งทำให้ผู้ป่วยต้องใช้ยาบ่อยขึ้นและถี่ขึ้นจนเกิดการติดยา
🔍 ข้ออื่นผิดเพราะอะไร:
• ข้อ ก. (เพื่อป้องกันปัญหาการดื้อยา): ข้อนี้ไม่ใช่คำตอบที่ถูกต้องสำหรับภาวะ Asthma เนื่องจากกลไกการออกฤทธิ์, efficacy หรือข้อบ่งใช้ไม่ตรงกับโจทย์ที่กำหนด
• ข้อ ข. (เพื่อป้องกันการเกิด hypertension): ข้อนี้ไม่ใช่คำตอบที่ถูกต้องสำหรับภาวะ Asthma เนื่องจากกลไกการออกฤทธิ์, efficacy หรือข้อบ่งใช้ไม่ตรงกับโจทย์ที่กำหนด
• ข้อ ค. (เพื่อป้องกันการเกิด hyperglycemia): ข้อนี้ไม่ใช่คำตอบที่ถูกต้องสำหรับภาวะ Asthma เนื่องจากกลไกการออกฤทธิ์, efficacy หรือข้อบ่งใช้ไม่ตรงกับโจทย์ที่กำหนด
• ข้อ จ. (เพื่อไม่ให้เกิดปัญหา insomnia):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7" s="18" t="inlineStr"/>
      <c r="L47" s="18" t="inlineStr">
        <is>
          <t>Asthma</t>
        </is>
      </c>
      <c r="M47" s="18" t="inlineStr">
        <is>
          <t>Clinic</t>
        </is>
      </c>
      <c r="N47" s="18" t="inlineStr">
        <is>
          <t>ข้อ 44 ชุด 1 (เฉลยข้อ ง)</t>
        </is>
      </c>
      <c r="O47" s="18" t="inlineStr">
        <is>
          <t>Mock</t>
        </is>
      </c>
      <c r="P47" s="18" t="inlineStr">
        <is>
          <t>ชุด 1</t>
        </is>
      </c>
    </row>
    <row r="48">
      <c r="A48" s="15" t="inlineStr">
        <is>
          <t>45</t>
        </is>
      </c>
      <c r="B48" s="18"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18" t="inlineStr"/>
      <c r="D48" s="18" t="inlineStr">
        <is>
          <t>ฟ้าทลายโจร</t>
        </is>
      </c>
      <c r="E48" s="18" t="inlineStr">
        <is>
          <t>ไพล</t>
        </is>
      </c>
      <c r="F48" s="18" t="inlineStr">
        <is>
          <t>ขิง</t>
        </is>
      </c>
      <c r="G48" s="18" t="inlineStr">
        <is>
          <t>ชุมเห็ดเทศ</t>
        </is>
      </c>
      <c r="H48" s="18" t="inlineStr">
        <is>
          <t>เสลดพังพอน</t>
        </is>
      </c>
      <c r="I48" s="15" t="inlineStr">
        <is>
          <t>3</t>
        </is>
      </c>
      <c r="J48" s="18" t="inlineStr">
        <is>
          <t>✅ คำตอบที่ถูกต้อง: ข้อ ค. ขิง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ขิง จากตัวเลือกดังกล่าว มะขามป้อมหรือฟ้าทลายโจร (ตามบริบทมักใช้ฟ้าทลายโจรแก้เจ็บคอ หรือสมุนไพรแก้ไอในบัญชียาหลักฯ เช่น มะแว้งเครือ/มะแว้งต้น ขิง) แต่ในที่นี้ตามแนวทางสมุนไพรแก้ไอเด่นๆ ตามโจทย์มักพิจารณาตามบัญชียาหลักแห่งชาติ (เช่น มะขามป้อม หรือ ฟ้าทลายโจรแก้เจ็บคอ แต่ถ้าเน้นแก้ไอขับเสมหะ มะแว้ง/เพชรหึง ในข้อนี้ข้อสอบมักเฉลยสมุนไพรที่มีฤทธิ์ขับเสมหะตามประกาศ)
🔍 ข้ออื่นผิดเพราะอะไร:
• ข้อ ก. (ฟ้าทลายโจร): ข้อนี้ไม่ใช่คำตอบที่ถูกต้องสำหรับภาวะ Asthma เนื่องจากกลไกการออกฤทธิ์, efficacy หรือข้อบ่งใช้ไม่ตรงกับโจทย์ที่กำหนด
• ข้อ ข. (ไพล): ข้อนี้ไม่ใช่คำตอบที่ถูกต้องสำหรับภาวะ Asthma เนื่องจากกลไกการออกฤทธิ์, efficacy หรือข้อบ่งใช้ไม่ตรงกับโจทย์ที่กำหนด
• ข้อ ง. (ชุมเห็ดเทศ): ข้อนี้ไม่ใช่คำตอบที่ถูกต้องสำหรับภาวะ Asthma เนื่องจากกลไกการออกฤทธิ์, efficacy หรือข้อบ่งใช้ไม่ตรงกับโจทย์ที่กำหนด
• ข้อ จ. (เสลดพังพอน):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8" s="18" t="inlineStr"/>
      <c r="L48" s="18" t="inlineStr">
        <is>
          <t>Asthma</t>
        </is>
      </c>
      <c r="M48" s="18" t="inlineStr">
        <is>
          <t>Clinic</t>
        </is>
      </c>
      <c r="N48" s="18" t="inlineStr">
        <is>
          <t>ข้อ 45 ชุด 1 (เฉลยข้อ ค)</t>
        </is>
      </c>
      <c r="O48" s="18" t="inlineStr">
        <is>
          <t>Mock</t>
        </is>
      </c>
      <c r="P48" s="18" t="inlineStr">
        <is>
          <t>ชุด 1</t>
        </is>
      </c>
    </row>
    <row r="49">
      <c r="A49" s="15" t="inlineStr">
        <is>
          <t>46</t>
        </is>
      </c>
      <c r="B49" s="18" t="inlineStr">
        <is>
          <t>สมุนไพรแก้ไออื่นๆ นอกจากสมุนไพรข้อข้างต้น
สมุนไพรข้อใดที่มีสรรพคุณช่วยบรรเทาอาการไอ ขับเสมหะ</t>
        </is>
      </c>
      <c r="C49" s="18" t="inlineStr"/>
      <c r="D49" s="18" t="inlineStr">
        <is>
          <t>ข่า</t>
        </is>
      </c>
      <c r="E49" s="18" t="inlineStr">
        <is>
          <t>ตะไคร้</t>
        </is>
      </c>
      <c r="F49" s="18" t="inlineStr">
        <is>
          <t>ดีปลี</t>
        </is>
      </c>
      <c r="G49" s="18" t="inlineStr">
        <is>
          <t>กระเทียม</t>
        </is>
      </c>
      <c r="H49" s="18" t="inlineStr">
        <is>
          <t>กะเพรา</t>
        </is>
      </c>
      <c r="I49" s="15" t="inlineStr">
        <is>
          <t>3</t>
        </is>
      </c>
      <c r="J49" s="18" t="inlineStr">
        <is>
          <t>✅ คำตอบที่ถูกต้อง: ข้อ ค. ดีปลี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ดีปลี (Piper retrofractum) มีรสเผ็ดร้อน มีสรรพคุณช่วยขับเสมหะ บรรเทาอาการไอ และเป็นส่วนประกอบในตำรับยาแผนไทยหลายตำรับที่ใช้รักษาโรคระบบทางเดินหายใจ เช่น ยาประสะไพล หรือยาแก้ไอผสมดีปลี
🔍 ข้ออื่นผิดเพราะอะไร:
• ข้อ ก. (ข่า): ข้อนี้ไม่ใช่คำตอบที่ถูกต้องสำหรับภาวะ Asthma เนื่องจากกลไกการออกฤทธิ์, efficacy หรือข้อบ่งใช้ไม่ตรงกับโจทย์ที่กำหนด
• ข้อ ข. (ตะไคร้): ข้อนี้ไม่ใช่คำตอบที่ถูกต้องสำหรับภาวะ Asthma เนื่องจากกลไกการออกฤทธิ์, efficacy หรือข้อบ่งใช้ไม่ตรงกับโจทย์ที่กำหนด
• ข้อ ง. (กระเทียม): ข้อนี้ไม่ใช่คำตอบที่ถูกต้องสำหรับภาวะ Asthma เนื่องจากกลไกการออกฤทธิ์, efficacy หรือข้อบ่งใช้ไม่ตรงกับโจทย์ที่กำหนด
• ข้อ จ. (กะเพรา):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9" s="18" t="inlineStr"/>
      <c r="L49" s="18" t="inlineStr">
        <is>
          <t>Asthma</t>
        </is>
      </c>
      <c r="M49" s="18" t="inlineStr">
        <is>
          <t>Clinic</t>
        </is>
      </c>
      <c r="N49" s="18" t="inlineStr">
        <is>
          <t>ข้อ 46 ชุด 1 (เฉลยข้อ ค)</t>
        </is>
      </c>
      <c r="O49" s="18" t="inlineStr">
        <is>
          <t>Mock</t>
        </is>
      </c>
      <c r="P49" s="18" t="inlineStr">
        <is>
          <t>ชุด 1</t>
        </is>
      </c>
    </row>
    <row r="50">
      <c r="A50" s="15" t="inlineStr">
        <is>
          <t>47</t>
        </is>
      </c>
      <c r="B50" s="18" t="inlineStr">
        <is>
          <t>ข้อใดไม่ใช่อาการข้างเคียงของการใช้ยา salbutamol</t>
        </is>
      </c>
      <c r="C50" s="18" t="inlineStr"/>
      <c r="D50" s="18" t="inlineStr">
        <is>
          <t>ใจสั่น</t>
        </is>
      </c>
      <c r="E50" s="18" t="inlineStr">
        <is>
          <t>ปัสสาวะคั่ง</t>
        </is>
      </c>
      <c r="F50" s="18" t="inlineStr">
        <is>
          <t>ปากแห้ง</t>
        </is>
      </c>
      <c r="G50" s="18" t="inlineStr">
        <is>
          <t>รับรสผิดปกติ</t>
        </is>
      </c>
      <c r="H50" s="18" t="inlineStr">
        <is>
          <t>ปวดศีรษะ</t>
        </is>
      </c>
      <c r="I50" s="15" t="inlineStr">
        <is>
          <t>2</t>
        </is>
      </c>
      <c r="J50" s="18" t="inlineStr">
        <is>
          <t>✅ คำตอบที่ถูกต้อง: ข้อ ข. ปัสสาวะคั่ง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ปัสสาวะคั่ง Salbutamol เป็นยา beta-2 adrenergic agonist ออกฤทธิ์กระตุ้นระบบประสาทซิมพาเทติก ทำให้เกิดอาการข้างเคียง เช่น ใจสั่น มือสั่น ปวดศีรษะ ประสาทตื่นตัว และอาจทำให้ปากแห้งได้จากผลของยาบางส่วน แต่ภาวะปัสสาวะคั่ง (urinary retention) มักเกิดจากยาที่มีฤทธิ์ anticholinergic (เช่น ipratropium) ไม่ใช่ beta-2 agonist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(ปากแห้ง): ข้อนี้ไม่ใช่คำตอบที่ถูกต้องสำหรับภาวะ Asthma เนื่องจากกลไกการออกฤทธิ์, efficacy หรือข้อบ่งใช้ไม่ตรงกับโจทย์ที่กำหนด
• ข้อ ง. (รับรสผิดปกติ): ข้อนี้ไม่ใช่คำตอบที่ถูกต้องสำหรับภาวะ Asthma เนื่องจากกลไกการออกฤทธิ์, efficacy หรือข้อบ่งใช้ไม่ตรงกับโจทย์ที่กำหนด
• ข้อ จ. (ปวดศีรษะ):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0" s="18" t="inlineStr"/>
      <c r="L50" s="18" t="inlineStr">
        <is>
          <t>Asthma</t>
        </is>
      </c>
      <c r="M50" s="18" t="inlineStr">
        <is>
          <t>Clinic</t>
        </is>
      </c>
      <c r="N50" s="18" t="inlineStr">
        <is>
          <t>ข้อ 47 ชุด 1 (เฉลยข้อ ข ง)</t>
        </is>
      </c>
      <c r="O50" s="18" t="inlineStr">
        <is>
          <t>Mock</t>
        </is>
      </c>
      <c r="P50" s="18" t="inlineStr">
        <is>
          <t>ชุด 1</t>
        </is>
      </c>
    </row>
    <row r="51">
      <c r="A51" s="15" t="inlineStr">
        <is>
          <t>48</t>
        </is>
      </c>
      <c r="B51" s="18" t="inlineStr">
        <is>
          <t>การใช้ salbutamol ข้อใดถูกต้อง</t>
        </is>
      </c>
      <c r="C51" s="18" t="inlineStr"/>
      <c r="D51" s="18" t="inlineStr">
        <is>
          <t>ใช้ปากอมให้สนิท</t>
        </is>
      </c>
      <c r="E51" s="18" t="inlineStr">
        <is>
          <t>หายใจเข้าทางจมูก</t>
        </is>
      </c>
      <c r="F51" s="18" t="inlineStr">
        <is>
          <t>หายใจออกทันที</t>
        </is>
      </c>
      <c r="G51" s="18" t="inlineStr">
        <is>
          <t>บ้วนปากทันที</t>
        </is>
      </c>
      <c r="H51" s="18" t="inlineStr">
        <is>
          <t>ไม่ต้องเขย่าขวด</t>
        </is>
      </c>
      <c r="I51" s="15" t="inlineStr">
        <is>
          <t>1</t>
        </is>
      </c>
      <c r="J51" s="18" t="inlineStr">
        <is>
          <t>✅ คำตอบที่ถูกต้อง: ข้อ ก. ใช้ปากอมให้สนิท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ใช้ปากอมให้สนิท การใช้ยาดมชนิด MDI (Metered Dose Inhaler) เช่น Salbutamol ต้องอมปากกระบอกสูบให้สนิท (Closed-mouth technique) หายใจเข้าทางปากช้าๆ ลึกๆ กลั้นหายใจไว้ 10 วินาที และควรบ้วนปากหลังใช้ยาชนิด corticosteroid แต่สำหรับ SABA อาจไม่จำเป็นเคร่งครัดเท่า ICS แต่ข้ออื่นผิดชัดเจน (เช่น ต้องเขย่าขวดก่อนใช้เสมอ และห้ามหายใจออกทันที)
🔍 ข้ออื่นผิดเพราะอะไร:
• ข้อ ข. (หายใจเข้าทางจมูก): ข้อนี้ไม่ใช่คำตอบที่ถูกต้องสำหรับภาวะ Asthma เนื่องจากกลไกการออกฤทธิ์, efficacy หรือข้อบ่งใช้ไม่ตรงกับโจทย์ที่กำหนด
• ข้อ ค. (หายใจออกทันที): ข้อนี้ไม่ใช่คำตอบที่ถูกต้องสำหรับภาวะ Asthma เนื่องจากกลไกการออกฤทธิ์, efficacy หรือข้อบ่งใช้ไม่ตรงกับโจทย์ที่กำหนด
• ข้อ ง. (บ้วนปากทันที): ข้อนี้ไม่ใช่คำตอบที่ถูกต้องสำหรับภาวะ Asthma เนื่องจากกลไกการออกฤทธิ์, efficacy หรือข้อบ่งใช้ไม่ตรงกับโจทย์ที่กำหนด
• ข้อ จ. (ไม่ต้องเขย่าขวด):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1" s="18" t="inlineStr"/>
      <c r="L51" s="18" t="inlineStr">
        <is>
          <t>Asthma</t>
        </is>
      </c>
      <c r="M51" s="18" t="inlineStr">
        <is>
          <t>Clinic</t>
        </is>
      </c>
      <c r="N51" s="18" t="inlineStr">
        <is>
          <t>ข้อ 48 ชุด 1 (เฉลยข้อ ก)</t>
        </is>
      </c>
      <c r="O51" s="18" t="inlineStr">
        <is>
          <t>Mock</t>
        </is>
      </c>
      <c r="P51" s="18" t="inlineStr">
        <is>
          <t>ชุด 1</t>
        </is>
      </c>
    </row>
    <row r="52">
      <c r="A52" s="15" t="inlineStr">
        <is>
          <t>49</t>
        </is>
      </c>
      <c r="B52" s="18" t="inlineStr">
        <is>
          <t>ข้อใดไม่ถูกต้องเกี่ยวกับ seretide accuhaler</t>
        </is>
      </c>
      <c r="C52" s="18" t="inlineStr"/>
      <c r="D52" s="18" t="inlineStr">
        <is>
          <t>พกพาสะดวก</t>
        </is>
      </c>
      <c r="E52" s="18" t="inlineStr">
        <is>
          <t>ไม่มี propellant</t>
        </is>
      </c>
      <c r="F52" s="18" t="inlineStr">
        <is>
          <t>ปล่อย 1 dose สูดได้หลายที</t>
        </is>
      </c>
      <c r="G52" s="18" t="inlineStr">
        <is>
          <t>ไม่อาศัยความสัมพันธ์ระหว่างแรงกดและการหายใจ</t>
        </is>
      </c>
      <c r="H52" s="18" t="inlineStr">
        <is>
          <t>ใช้ meter dose valve ในการปล่อยตัวยา</t>
        </is>
      </c>
      <c r="I52" s="15" t="inlineStr">
        <is>
          <t>5</t>
        </is>
      </c>
      <c r="J52" s="18" t="inlineStr">
        <is>
          <t>✅ คำตอบที่ถูกต้อง: ข้อ จ. ใช้ meter dose valve ในการปล่อยตัวยา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meter dose valve ในการปล่อยตัวยา Seretide Accuhaler เป็นยากลุ่ม DPI (Dry Powder Inhaler) ซึ่งใช้ผงยาแห้ง ไม่มีสารขับดัน (propellant) และอาศัยแรงสูดของผู้ป่วยเอง (breath-actuated) ทำให้ไม่ต้องประสานเวลากลืนหรือกดกับจังหวะหายใจ ตัวเครื่องเตรียมยาไว้ครั้งละ 1 dose ต่อการเลื่อนคันโยก (ไม่ใช่ปล่อย 1 dose แล้วสูดได้หลายทีจากหลอดเดียวแบบ MDI)
🔍 ข้ออื่นผิดเพราะอะไร:
• ข้อ ก. (พกพาสะดวก): ข้อนี้ไม่ใช่คำตอบที่ถูกต้องสำหรับภาวะ Asthma เนื่องจากกลไกการออกฤทธิ์, efficacy หรือข้อบ่งใช้ไม่ตรงกับโจทย์ที่กำหนด
• ข้อ ข. (ไม่มี propellant): ข้อนี้ไม่ใช่คำตอบที่ถูกต้องสำหรับภาวะ Asthma เนื่องจากกลไกการออกฤทธิ์, efficacy หรือข้อบ่งใช้ไม่ตรงกับโจทย์ที่กำหนด
• ข้อ ค. (ปล่อย 1 dose สูดได้หลายที): ข้อนี้ไม่ใช่คำตอบที่ถูกต้องสำหรับภาวะ Asthma เนื่องจากกลไกการออกฤทธิ์, efficacy หรือข้อบ่งใช้ไม่ตรงกับโจทย์ที่กำหนด
• ข้อ ง. (ไม่อาศัยความสัมพันธ์ระหว่างแรงกดและการหายใจ):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2" s="18" t="inlineStr"/>
      <c r="L52" s="18" t="inlineStr">
        <is>
          <t>Asthma</t>
        </is>
      </c>
      <c r="M52" s="18" t="inlineStr">
        <is>
          <t>Clinic</t>
        </is>
      </c>
      <c r="N52" s="18" t="inlineStr">
        <is>
          <t>ข้อ 49 ชุด 1 (เฉลยข้อ จ)</t>
        </is>
      </c>
      <c r="O52" s="18" t="inlineStr">
        <is>
          <t>Mock</t>
        </is>
      </c>
      <c r="P52" s="18" t="inlineStr">
        <is>
          <t>ชุด 1</t>
        </is>
      </c>
    </row>
    <row r="53">
      <c r="A53" s="15" t="inlineStr">
        <is>
          <t>50</t>
        </is>
      </c>
      <c r="B53" s="18" t="inlineStr">
        <is>
          <t>เมื่อใดที่ต้องหยุดใช้ seretide accuhaler ชั่วคราว</t>
        </is>
      </c>
      <c r="C53" s="18" t="inlineStr"/>
      <c r="D53" s="18" t="inlineStr">
        <is>
          <t>อายุมากกว่า 65 ปี</t>
        </is>
      </c>
      <c r="E53" s="18" t="inlineStr">
        <is>
          <t>ไตผิดปกติ</t>
        </is>
      </c>
      <c r="F53" s="18" t="inlineStr">
        <is>
          <t>ตับผิดปกติ</t>
        </is>
      </c>
      <c r="G53" s="18" t="inlineStr">
        <is>
          <t>ปอดติดเชื้อ</t>
        </is>
      </c>
      <c r="H53" s="18" t="inlineStr">
        <is>
          <t>ระคายเคืองปาก</t>
        </is>
      </c>
      <c r="I53" s="15" t="inlineStr">
        <is>
          <t>4</t>
        </is>
      </c>
      <c r="J53" s="18" t="inlineStr">
        <is>
          <t>✅ คำตอบที่ถูกต้อง: ข้อ ง. ปอดติดเชื้อ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ปอดติดเชื้อ Seretide ประกอบด้วย Fluticasone (ICS) และ Salbutamol/Salmeterol (LABA) การใช้ยาสเตียรอยด์พ่นคออาจเพิ่มความเสี่ยงต่อการติดเชื้อราในช่องปากหรือการติดเชื้อทางเดินหายใจส่วนล่าง หากผู้ป่วยเกิดภาวะปอดติดเชื้อ (pneumonia หรือ acute pulmonary infection) ควรพิจารณาหยุดยาหรือรักษาการติดเชื้อร่วมด้วยตามดุลยพินิจของแพทย์
🔍 ข้ออื่นผิดเพราะอะไร:
• ข้อ ก. (อายุมากกว่า 65 ปี): ข้อนี้ไม่ใช่คำตอบที่ถูกต้องสำหรับภาวะ Asthma เนื่องจากกลไกการออกฤทธิ์, efficacy หรือข้อบ่งใช้ไม่ตรงกับโจทย์ที่กำหนด
• ข้อ ข. (ไตผิดปกติ): ข้อนี้ไม่ใช่คำตอบที่ถูกต้องสำหรับภาวะ Asthma เนื่องจากกลไกการออกฤทธิ์, efficacy หรือข้อบ่งใช้ไม่ตรงกับโจทย์ที่กำหนด
• ข้อ ค. (ตับผิดปกติ): ข้อนี้ไม่ใช่คำตอบที่ถูกต้องสำหรับภาวะ Asthma เนื่องจากกลไกการออกฤทธิ์, efficacy หรือข้อบ่งใช้ไม่ตรงกับโจทย์ที่กำหนด
• ข้อ จ. (ระคายเคืองปาก):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3" s="18" t="inlineStr"/>
      <c r="L53" s="18" t="inlineStr">
        <is>
          <t>Asthma</t>
        </is>
      </c>
      <c r="M53" s="18" t="inlineStr">
        <is>
          <t>Clinic</t>
        </is>
      </c>
      <c r="N53" s="18" t="inlineStr">
        <is>
          <t>ข้อ 50 ชุด 1 (เฉลยข้อ ง)</t>
        </is>
      </c>
      <c r="O53" s="18" t="inlineStr">
        <is>
          <t>Mock</t>
        </is>
      </c>
      <c r="P53" s="18" t="inlineStr">
        <is>
          <t>ชุด 1</t>
        </is>
      </c>
    </row>
    <row r="54">
      <c r="A54" s="15" t="inlineStr">
        <is>
          <t>51</t>
        </is>
      </c>
      <c r="B54" s="18"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18" t="inlineStr"/>
      <c r="D54" s="18" t="inlineStr">
        <is>
          <t>ใจสั่น</t>
        </is>
      </c>
      <c r="E54" s="18" t="inlineStr">
        <is>
          <t>ปวดท้อง</t>
        </is>
      </c>
      <c r="F54" s="18" t="inlineStr">
        <is>
          <t>ชัก</t>
        </is>
      </c>
      <c r="G54" s="18" t="inlineStr">
        <is>
          <t>คลื่นไส้ อาเจียน</t>
        </is>
      </c>
      <c r="H54" s="18" t="inlineStr">
        <is>
          <t>มองเห็นภาพซ้อน</t>
        </is>
      </c>
      <c r="I54" s="15" t="inlineStr">
        <is>
          <t>2</t>
        </is>
      </c>
      <c r="J54" s="18" t="inlineStr">
        <is>
          <t>✅ คำตอบที่ถูกต้อง: ข้อ ข. ปวดท้อง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ปวดท้อง Theophylline มี therapeutic index แคบ พิษจากยา (Toxicity) มักพบบ่อยเมื่อระดับยาในเลือดสูง &gt; 20 mcg/mL ได้แก่ คลื่นไส้ อาเจียน ปวดท้อง หัวใจเต้นผิดจังหวะ/ใจสั่น และอาการทางระบบประสาทเช่น ชัก (seizures) ส่วนอาการมองเห็นภาพซ้อนไม่ใช่พิษจำเพาะที่พบบ่อยของ theophylline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(ชัก): ข้อนี้ไม่ใช่คำตอบที่ถูกต้องสำหรับภาวะ Asthma เนื่องจากกลไกการออกฤทธิ์, efficacy หรือข้อบ่งใช้ไม่ตรงกับโจทย์ที่กำหนด
• ข้อ ง.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จ. (มองเห็นภาพซ้อน):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4" s="18" t="inlineStr"/>
      <c r="L54" s="18" t="inlineStr">
        <is>
          <t>Asthma</t>
        </is>
      </c>
      <c r="M54" s="18" t="inlineStr">
        <is>
          <t>Clinic</t>
        </is>
      </c>
      <c r="N54" s="18" t="inlineStr">
        <is>
          <t>ข้อ 51 ชุด 1 (เฉลยข้อ ข)</t>
        </is>
      </c>
      <c r="O54" s="18" t="inlineStr">
        <is>
          <t>Mock</t>
        </is>
      </c>
      <c r="P54" s="18" t="inlineStr">
        <is>
          <t>ชุด 1</t>
        </is>
      </c>
    </row>
    <row r="55">
      <c r="A55" s="15" t="inlineStr">
        <is>
          <t>52</t>
        </is>
      </c>
      <c r="B55" s="18"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18" t="inlineStr"/>
      <c r="D55" s="18" t="inlineStr">
        <is>
          <t>Clarithromycin</t>
        </is>
      </c>
      <c r="E55" s="18" t="inlineStr">
        <is>
          <t>Carbocysteine</t>
        </is>
      </c>
      <c r="F55" s="18" t="inlineStr">
        <is>
          <t>Ipratropium</t>
        </is>
      </c>
      <c r="G55" s="18" t="inlineStr">
        <is>
          <t>Montelukast</t>
        </is>
      </c>
      <c r="H55" s="18" t="inlineStr">
        <is>
          <t>Prednisolone</t>
        </is>
      </c>
      <c r="I55" s="15" t="inlineStr">
        <is>
          <t>1</t>
        </is>
      </c>
      <c r="J55" s="18" t="inlineStr">
        <is>
          <t>✅ คำตอบที่ถูกต้อง: ข้อ ก. Clarithromycin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Clarithromycin เป็นยาปฏิชีวนะกลุ่ม Macrolide ซึ่งเป็น potent CYP3A4 และ CYP1A2 inhibitor จะยับยั้งการเมแทบอลิซึมของ Theophylline ส่งผลให้ระดับยา Theophylline ในเลือดสูงขึ้นและเกิดพิษได้ง่าย ส่วนยาตัวอื่นไม่มีผลยับยั้งเอนไซม์กลุ่มดังกล่าวที่มีนัยสำคัญต่อ Theophylline
🔍 ข้ออื่นผิดเพราะอะไร:
• ข้อ ข. (Carbocysteine): ข้อนี้ไม่ใช่คำตอบที่ถูกต้องสำหรับภาวะ Asthma เนื่องจากกลไกการออกฤทธิ์, efficacy หรือข้อบ่งใช้ไม่ตรงกับโจทย์ที่กำหนด
• ข้อ ค. (Ipratropium): เป็น SAMA ออกฤทธิ์ยับยั้ง cholinergic tone มักใช้ร่วมกับ SABA ใน acute moderate-to-severe asthma/COPD exacerbation
• ข้อ ง.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5" s="18" t="inlineStr"/>
      <c r="L55" s="18" t="inlineStr">
        <is>
          <t>Asthma</t>
        </is>
      </c>
      <c r="M55" s="18" t="inlineStr">
        <is>
          <t>Clinic</t>
        </is>
      </c>
      <c r="N55" s="18" t="inlineStr">
        <is>
          <t>ข้อ 52 ชุด 1 (เฉลยข้อ ก)</t>
        </is>
      </c>
      <c r="O55" s="18" t="inlineStr">
        <is>
          <t>Mock</t>
        </is>
      </c>
      <c r="P55" s="18" t="inlineStr">
        <is>
          <t>ชุด 1</t>
        </is>
      </c>
    </row>
    <row r="56">
      <c r="A56" s="15" t="inlineStr">
        <is>
          <t>55</t>
        </is>
      </c>
      <c r="B56" s="18"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18" t="inlineStr"/>
      <c r="D56" s="18" t="inlineStr">
        <is>
          <t>High dose ICS และ as needed SABA</t>
        </is>
      </c>
      <c r="E56" s="18" t="inlineStr">
        <is>
          <t>Low dose ICS+ LABA และ as need SABA</t>
        </is>
      </c>
      <c r="F56" s="18" t="inlineStr">
        <is>
          <t>Medium dose ICS-formoterol maintenance and reliever</t>
        </is>
      </c>
      <c r="G56" s="18" t="inlineStr">
        <is>
          <t>Low dose ICS-formoterol maintenance and reliever</t>
        </is>
      </c>
      <c r="H56" s="18"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15" t="inlineStr">
        <is>
          <t>1</t>
        </is>
      </c>
      <c r="J56" s="18" t="inlineStr">
        <is>
          <t>✅ คำตอบที่ถูกต้อง: ข้อ ก. High dose ICS และ as needed SABA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(High dose ICS และ as needed SABA): ข้อนี้ไม่ใช่คำตอบที่ถูกต้องสำหรับภาวะ Asthma เนื่องจากกลไกการออกฤทธิ์, efficacy หรือข้อบ่งใช้ไม่ตรงกับโจทย์ที่กำหนด
• ข้อ ค. (Low dose ICS+ LABA และ as need SABA): ข้อนี้ไม่ใช่คำตอบที่ถูกต้องสำหรับภาวะ Asthma เนื่องจากกลไกการออกฤทธิ์, efficacy หรือข้อบ่งใช้ไม่ตรงกับโจทย์ที่กำหนด
• ข้อ ง. (Medium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ข้อ จ. (Low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6" s="18" t="inlineStr"/>
      <c r="L56" s="18" t="inlineStr">
        <is>
          <t>Asthma</t>
        </is>
      </c>
      <c r="M56" s="18" t="inlineStr">
        <is>
          <t>COPD / Asthma</t>
        </is>
      </c>
      <c r="N56" s="18" t="inlineStr">
        <is>
          <t>PLE_CC1_2567_Key ข้อ 25</t>
        </is>
      </c>
      <c r="O56" s="18" t="inlineStr">
        <is>
          <t>ข้อสอบจริง</t>
        </is>
      </c>
      <c r="P56" s="18" t="inlineStr">
        <is>
          <t>ปี 2567</t>
        </is>
      </c>
      <c r="Q56" s="18" t="inlineStr"/>
    </row>
    <row r="57">
      <c r="A57" s="15" t="inlineStr">
        <is>
          <t>56</t>
        </is>
      </c>
      <c r="B57" s="18" t="inlineStr">
        <is>
          <t>การใช้ LAMA ในคนไข้ asthma มีประโยชน์อย่างไร</t>
        </is>
      </c>
      <c r="C57" s="18" t="inlineStr"/>
      <c r="D57" s="18" t="inlineStr">
        <is>
          <t>เพิ่ม compliance</t>
        </is>
      </c>
      <c r="E57" s="18" t="inlineStr">
        <is>
          <t>ลดสารคัดหลั่ง</t>
        </is>
      </c>
      <c r="F57" s="18" t="inlineStr">
        <is>
          <t>เพิ่ม lung function</t>
        </is>
      </c>
      <c r="G57" s="18" t="inlineStr">
        <is>
          <t>ลด asthma symptoms</t>
        </is>
      </c>
      <c r="H57" s="18" t="inlineStr">
        <is>
          <t>ลดการใช้ SABA</t>
        </is>
      </c>
      <c r="I57" s="15" t="inlineStr">
        <is>
          <t>1</t>
        </is>
      </c>
      <c r="J57" s="18" t="inlineStr">
        <is>
          <t>✅ คำตอบที่ถูกต้อง: ข้อ ก. เพิ่ม compliance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(เพิ่ม compliance): ข้อนี้ไม่ใช่คำตอบที่ถูกต้องสำหรับภาวะ Asthma เนื่องจากกลไกการออกฤทธิ์, efficacy หรือข้อบ่งใช้ไม่ตรงกับโจทย์ที่กำหนด
• ข้อ ค. (ลดสารคัดหลั่ง): ข้อนี้ไม่ใช่คำตอบที่ถูกต้องสำหรับภาวะ Asthma เนื่องจากกลไกการออกฤทธิ์, efficacy หรือข้อบ่งใช้ไม่ตรงกับโจทย์ที่กำหนด
• ข้อ ง. (เพิ่ม lung function): ข้อนี้ไม่ใช่คำตอบที่ถูกต้องสำหรับภาวะ Asthma เนื่องจากกลไกการออกฤทธิ์, efficacy หรือข้อบ่งใช้ไม่ตรงกับโจทย์ที่กำหนด
• ข้อ จ. (ลด asthma symptoms):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7" s="18" t="inlineStr"/>
      <c r="L57" s="18" t="inlineStr">
        <is>
          <t>Asthma</t>
        </is>
      </c>
      <c r="M57" s="18" t="inlineStr">
        <is>
          <t>COPD / Asthma</t>
        </is>
      </c>
      <c r="N57" s="18" t="inlineStr">
        <is>
          <t>PLE_CC1_2567_Key ข้อ 26</t>
        </is>
      </c>
      <c r="O57" s="18" t="inlineStr">
        <is>
          <t>ข้อสอบจริง</t>
        </is>
      </c>
      <c r="P57" s="18" t="inlineStr">
        <is>
          <t>ปี 2567</t>
        </is>
      </c>
      <c r="Q57" s="18" t="inlineStr"/>
    </row>
    <row r="58">
      <c r="A58" s="15" t="inlineStr">
        <is>
          <t>57</t>
        </is>
      </c>
      <c r="B58" s="18"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18" t="inlineStr"/>
      <c r="D58" s="18" t="inlineStr">
        <is>
          <t>COPD / Asthma</t>
        </is>
      </c>
      <c r="E58" s="18" t="inlineStr">
        <is>
          <t>Well control</t>
        </is>
      </c>
      <c r="F58" s="18" t="inlineStr">
        <is>
          <t>Partial control</t>
        </is>
      </c>
      <c r="G58" s="18" t="inlineStr">
        <is>
          <t>uncontroll</t>
        </is>
      </c>
      <c r="H58" s="18" t="inlineStr">
        <is>
          <t>Fluticasone/Salmeterol 250/50 mcg DPI BID</t>
        </is>
      </c>
      <c r="I58" s="15" t="inlineStr">
        <is>
          <t>1</t>
        </is>
      </c>
      <c r="J58" s="18"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(Well control): ข้อนี้ไม่ใช่คำตอบที่ถูกต้องสำหรับภาวะ Asthma เนื่องจากกลไกการออกฤทธิ์, efficacy หรือข้อบ่งใช้ไม่ตรงกับโจทย์ที่กำหนด
• ข้อ ค. (Partial control): ข้อนี้ไม่ใช่คำตอบที่ถูกต้องสำหรับภาวะ Asthma เนื่องจากกลไกการออกฤทธิ์, efficacy หรือข้อบ่งใช้ไม่ตรงกับโจทย์ที่กำหนด
• ข้อ ง. (uncontroll): ข้อนี้ไม่ใช่คำตอบที่ถูกต้องสำหรับภาวะ Asthma เนื่องจากกลไกการออกฤทธิ์, efficacy หรือข้อบ่งใช้ไม่ตรงกับโจทย์ที่กำหนด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8" s="18" t="inlineStr"/>
      <c r="L58" s="18" t="inlineStr">
        <is>
          <t>Asthma</t>
        </is>
      </c>
      <c r="M58" s="18" t="inlineStr">
        <is>
          <t>COPD / Asthma</t>
        </is>
      </c>
      <c r="N58" s="18" t="inlineStr">
        <is>
          <t>PLE-CC1 ปี 2566 Day 1 ข้อ 55</t>
        </is>
      </c>
      <c r="O58" s="18" t="inlineStr">
        <is>
          <t>ข้อสอบจริง</t>
        </is>
      </c>
      <c r="P58" s="18" t="inlineStr">
        <is>
          <t>ปี 2566</t>
        </is>
      </c>
    </row>
    <row r="59">
      <c r="A59" s="15" t="inlineStr">
        <is>
          <t>58</t>
        </is>
      </c>
      <c r="B59" s="18" t="inlineStr">
        <is>
          <t>ต่อจาก56 non pharmaco asthma ตัวเลือก</t>
        </is>
      </c>
      <c r="C59" s="18" t="inlineStr"/>
      <c r="D59" s="18" t="inlineStr">
        <is>
          <t>COPD / Asthma</t>
        </is>
      </c>
      <c r="E59" s="18" t="inlineStr">
        <is>
          <t>หลีกเลี่ยงสิ่งที่ทำให้แพ้</t>
        </is>
      </c>
      <c r="F59" s="18" t="inlineStr">
        <is>
          <t>Tiotropium Respimat 2.5 mcg 2 puffs OD</t>
        </is>
      </c>
      <c r="G59" s="18" t="inlineStr">
        <is>
          <t>Ipratropium/Fenoterol MDI PRN</t>
        </is>
      </c>
      <c r="H59" s="18" t="inlineStr">
        <is>
          <t>Montelukast 10 mg HS</t>
        </is>
      </c>
      <c r="I59" s="15" t="inlineStr">
        <is>
          <t>1</t>
        </is>
      </c>
      <c r="J59" s="18"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(หลีกเลี่ยงสิ่งที่ทำให้แพ้):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9" s="18" t="inlineStr"/>
      <c r="L59" s="18" t="inlineStr">
        <is>
          <t>Asthma</t>
        </is>
      </c>
      <c r="M59" s="18" t="inlineStr">
        <is>
          <t>COPD / Asthma</t>
        </is>
      </c>
      <c r="N59" s="18" t="inlineStr">
        <is>
          <t>PLE-CC1 ปี 2566 Day 1 ข้อ 57</t>
        </is>
      </c>
      <c r="O59" s="18" t="inlineStr">
        <is>
          <t>ข้อสอบจริง</t>
        </is>
      </c>
      <c r="P59" s="18" t="inlineStr">
        <is>
          <t>ปี 2566</t>
        </is>
      </c>
    </row>
    <row r="60">
      <c r="A60" s="15" t="inlineStr">
        <is>
          <t>59</t>
        </is>
      </c>
      <c r="B60" s="18" t="inlineStr">
        <is>
          <t>Copd ออกstage กับgrade FEV = 35 FEV/FVC = 65% ตัวเลือก</t>
        </is>
      </c>
      <c r="C60" s="18" t="inlineStr"/>
      <c r="D60" s="18" t="inlineStr">
        <is>
          <t>COPD / Asthma</t>
        </is>
      </c>
      <c r="E60" s="18" t="inlineStr">
        <is>
          <t>Montelukast 10 mg HS</t>
        </is>
      </c>
      <c r="F60" s="18" t="inlineStr">
        <is>
          <t>Theophylline 200 mg BID</t>
        </is>
      </c>
      <c r="G60" s="18" t="inlineStr">
        <is>
          <t>Prednisolone 40 mg OD x 5 days</t>
        </is>
      </c>
      <c r="H60" s="18" t="inlineStr">
        <is>
          <t>N-acetylcysteine 600 mg OD</t>
        </is>
      </c>
      <c r="I60" s="15" t="inlineStr">
        <is>
          <t>1</t>
        </is>
      </c>
      <c r="J60" s="18"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0" s="18" t="inlineStr"/>
      <c r="L60" s="18" t="inlineStr">
        <is>
          <t>COPD</t>
        </is>
      </c>
      <c r="M60" s="18" t="inlineStr">
        <is>
          <t>COPD / Asthma</t>
        </is>
      </c>
      <c r="N60" s="18" t="inlineStr">
        <is>
          <t>PLE-CC1 ปี 2566 Day 2 ข้อ 9</t>
        </is>
      </c>
      <c r="O60" s="18" t="inlineStr">
        <is>
          <t>ข้อสอบจริง</t>
        </is>
      </c>
      <c r="P60" s="18" t="inlineStr">
        <is>
          <t>ปี 2566</t>
        </is>
      </c>
    </row>
    <row r="61">
      <c r="A61" s="15" t="inlineStr">
        <is>
          <t>60</t>
        </is>
      </c>
      <c r="B61" s="18" t="inlineStr">
        <is>
          <t>ผูป%วยอาการไม;ดีขึ้น แพทยçพิจารณาจ;าย antibiotic เพิ่ม ควรใหตัวไหน ตามเกณฑçโรคปอดอุดกั้นเรื้อรัง 2560 (เปลี่ยน Guideline ในปh 2568 : Guideline GINA 2024)</t>
        </is>
      </c>
      <c r="C61" s="18" t="inlineStr"/>
      <c r="D61" s="18" t="inlineStr">
        <is>
          <t>Azithromycin</t>
        </is>
      </c>
      <c r="E61" s="18" t="inlineStr">
        <is>
          <t>Ciprofloxacin</t>
        </is>
      </c>
      <c r="F61" s="18" t="inlineStr">
        <is>
          <t>Doxycycline</t>
        </is>
      </c>
      <c r="G61" s="18" t="inlineStr">
        <is>
          <t>จำ choice ไม;ได</t>
        </is>
      </c>
      <c r="H61" s="18" t="inlineStr">
        <is>
          <t>* จำ choice ไม;ได# * อาย antibiotic เ¢อ</t>
        </is>
      </c>
      <c r="I61" s="15" t="inlineStr">
        <is>
          <t>1</t>
        </is>
      </c>
      <c r="J61" s="18" t="inlineStr">
        <is>
          <t>✅ คำตอบที่ถูกต้อง: ข้อ ก. Azithromycin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(Ciprofloxacin): เป็น Fluoroquinolone เด่นต่อ Gram-negative รวมทั้ง Pseudomonas aeruginosa แต่มี black box warning เรื่อง tendon rupture, QT prolongation, aortic aneurysm และ dysglycemia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(จำ choice ไม;ได):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1" s="18" t="inlineStr"/>
      <c r="L61" s="18" t="inlineStr">
        <is>
          <t>COPD</t>
        </is>
      </c>
      <c r="M61" s="18" t="inlineStr">
        <is>
          <t>COPD / Asthma</t>
        </is>
      </c>
      <c r="N61" s="18" t="inlineStr">
        <is>
          <t>PLE_CC1_2565_Day1_Key ข้อ 62</t>
        </is>
      </c>
      <c r="O61" s="18" t="inlineStr">
        <is>
          <t>ข้อสอบจริง</t>
        </is>
      </c>
      <c r="P61" s="18" t="inlineStr">
        <is>
          <t>ปี 2565</t>
        </is>
      </c>
      <c r="Q61" s="18" t="inlineStr"/>
    </row>
    <row r="62">
      <c r="A62" s="15" t="inlineStr">
        <is>
          <t>61</t>
        </is>
      </c>
      <c r="B62" s="18" t="inlineStr">
        <is>
          <t>สารช;วยในขอใดช;วยใหผงยา tiotropium bromide เปhยกง;ายเมื่อผงยาสัมผัสกับของเหลวในทางเดิน หายใจ</t>
        </is>
      </c>
      <c r="C62" s="18" t="inlineStr"/>
      <c r="D62" s="18" t="inlineStr">
        <is>
          <t>Lecithin</t>
        </is>
      </c>
      <c r="E62" s="18" t="inlineStr">
        <is>
          <t>citric acid</t>
        </is>
      </c>
      <c r="F62" s="18" t="inlineStr">
        <is>
          <t>Alginic acid</t>
        </is>
      </c>
      <c r="G62" s="18" t="inlineStr">
        <is>
          <t>Calcium stearate</t>
        </is>
      </c>
      <c r="H62" s="18" t="inlineStr">
        <is>
          <t>titanium oxide Citric acid pH adjustment Alginic acid wetting agent Calcium stearate hydrophobic lubricant Titanium oxide opaciﬁer UV UV blocker</t>
        </is>
      </c>
      <c r="I62" s="15" t="inlineStr">
        <is>
          <t>4</t>
        </is>
      </c>
      <c r="J62" s="18" t="inlineStr">
        <is>
          <t>✅ คำตอบที่ถูกต้อง: ข้อ ง. Calcium stearate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Calcium stearate การเลือก Calcium stearate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ก. (COPD / Asthma): ข้อนี้ไม่ใช่คำตอบที่ถูกต้องสำหรับภาวะ COPD เนื่องจากกลไกการออกฤทธิ์, efficacy หรือข้อบ่งใช้ไม่ตรงกับโจทย์ที่กำหนด
• ข้อ ข. (Lecithin): ข้อนี้ไม่ใช่คำตอบที่ถูกต้องสำหรับภาวะ COPD เนื่องจากกลไกการออกฤทธิ์, efficacy หรือข้อบ่งใช้ไม่ตรงกับโจทย์ที่กำหนด
• ข้อ ค. (citric acid): ข้อนี้ไม่ใช่คำตอบที่ถูกต้องสำหรับภาวะ COPD เนื่องจากกลไกการออกฤทธิ์, efficacy หรือข้อบ่งใช้ไม่ตรงกับโจทย์ที่กำหนด
• ข้อ ง. (Alginic acid):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62" s="18" t="inlineStr"/>
      <c r="L62" s="18" t="inlineStr">
        <is>
          <t>COPD</t>
        </is>
      </c>
      <c r="M62" s="18" t="inlineStr">
        <is>
          <t>COPD / Asthma</t>
        </is>
      </c>
      <c r="N62" s="18" t="inlineStr">
        <is>
          <t>PLE_CC1_2565_Day1_Key ข้อ 63</t>
        </is>
      </c>
      <c r="O62" s="18" t="inlineStr">
        <is>
          <t>ข้อสอบจริง</t>
        </is>
      </c>
      <c r="P62" s="18" t="inlineStr">
        <is>
          <t>ปี 2565</t>
        </is>
      </c>
      <c r="Q62" s="18" t="inlineStr"/>
    </row>
    <row r="63">
      <c r="A63" s="15" t="inlineStr">
        <is>
          <t>62</t>
        </is>
      </c>
      <c r="B63" s="18" t="inlineStr">
        <is>
          <t>Chronic obstructive pulmonary disease (COPD)</t>
        </is>
      </c>
      <c r="C63" s="18" t="inlineStr"/>
      <c r="D63" s="18" t="inlineStr">
        <is>
          <t>COPD / Asthma</t>
        </is>
      </c>
      <c r="E63" s="18" t="inlineStr">
        <is>
          <t>Ipratropium/Fenoterol MDI PRN</t>
        </is>
      </c>
      <c r="F63" s="18" t="inlineStr">
        <is>
          <t>Montelukast 10 mg HS</t>
        </is>
      </c>
      <c r="G63" s="18" t="inlineStr">
        <is>
          <t>Theophylline 200 mg BID</t>
        </is>
      </c>
      <c r="H63" s="18" t="inlineStr">
        <is>
          <t>Prednisolone 40 mg OD x 5 days</t>
        </is>
      </c>
      <c r="I63" s="15" t="inlineStr">
        <is>
          <t>1</t>
        </is>
      </c>
      <c r="J63" s="18"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3" s="18" t="inlineStr"/>
      <c r="L63" s="18" t="inlineStr">
        <is>
          <t>COPD</t>
        </is>
      </c>
      <c r="M63" s="18" t="inlineStr">
        <is>
          <t>COPD / Asthma</t>
        </is>
      </c>
      <c r="N63" s="18" t="inlineStr">
        <is>
          <t>PLE_CC1_2565_Day1_Key ข้อ 15</t>
        </is>
      </c>
      <c r="O63" s="18" t="inlineStr">
        <is>
          <t>ข้อสอบจริง</t>
        </is>
      </c>
      <c r="P63" s="18" t="inlineStr">
        <is>
          <t>ปี 2565</t>
        </is>
      </c>
    </row>
    <row r="64">
      <c r="A64" s="15" t="inlineStr">
        <is>
          <t>63</t>
        </is>
      </c>
      <c r="B64" s="18" t="inlineStr">
        <is>
          <t>การแพ$ยาแบบใดไม-ควร rechallenge ยาอง&amp;นไมเกรน -องใ/เวลา 8–12 2ปดา5 ก6าจะเ9นผล;ดเจน ~ Cross-reactivity between sulfonamide antibiotics and non-antibiotic sulfonamides is unlikely because their antigenic determinants are different. Ref: American Academy of Allergy, Asthma &amp; Immunology (AAAAI) FDA Topamaxห Label Migraine: 100 mg/day Epilepsy: 200–400 mg/day การเ&lt;มยาอง&amp;นไมเกรน-อง “ประเ=นผลห?ง 2–3 เ@อน” หากไAผลBCอยDจารณาใ/ “6–12 เ@อน” เFอควบIมระยะยาว แK ไLใMNอOงPบQหRบ initial trial</t>
        </is>
      </c>
      <c r="C64" s="18" t="inlineStr"/>
      <c r="D64" s="18" t="inlineStr">
        <is>
          <t>Maculopapular rash</t>
        </is>
      </c>
      <c r="E64" s="18" t="inlineStr">
        <is>
          <t>Macular rash</t>
        </is>
      </c>
      <c r="F64" s="18" t="inlineStr">
        <is>
          <t>Toxic epidermal necrolysis</t>
        </is>
      </c>
      <c r="G64" s="18" t="inlineStr">
        <is>
          <t>Acneiform drug eruption</t>
        </is>
      </c>
      <c r="H64" s="18" t="inlineStr">
        <is>
          <t>* จำ choice ไม-ได$ * กรณีศึกษา 8 (TEN) : Life threatening allergic reaction dงไWควร rechallenge ผู$ป&amp;วยปวดข$อฉับพลัน ระดับ uric acid = 9 รับวินิจฉัยเปQน acute gout attack</t>
        </is>
      </c>
      <c r="I64" s="15" t="inlineStr">
        <is>
          <t>1</t>
        </is>
      </c>
      <c r="J64" s="18" t="inlineStr">
        <is>
          <t>✅ คำตอบที่ถูกต้อง: ข้อ ก. Maculopapular rash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(Maculopapular rash): ข้อนี้ไม่ใช่คำตอบที่ถูกต้องสำหรับภาวะ Asthma เนื่องจากกลไกการออกฤทธิ์, efficacy หรือข้อบ่งใช้ไม่ตรงกับโจทย์ที่กำหนด
• ข้อ ค. (Macular rash): ข้อนี้ไม่ใช่คำตอบที่ถูกต้องสำหรับภาวะ Asthma เนื่องจากกลไกการออกฤทธิ์, efficacy หรือข้อบ่งใช้ไม่ตรงกับโจทย์ที่กำหนด
• ข้อ ง. (Toxic epidermal necrolysis): ข้อนี้ไม่ใช่คำตอบที่ถูกต้องสำหรับภาวะ Asthma เนื่องจากกลไกการออกฤทธิ์, efficacy หรือข้อบ่งใช้ไม่ตรงกับโจทย์ที่กำหนด
• ข้อ จ. (Acneiform drug eruption):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4" s="18" t="inlineStr"/>
      <c r="L64" s="18" t="inlineStr">
        <is>
          <t>Asthma</t>
        </is>
      </c>
      <c r="M64" s="18" t="inlineStr">
        <is>
          <t>COPD / Asthma</t>
        </is>
      </c>
      <c r="N64" s="18" t="inlineStr">
        <is>
          <t>PLE_CC1_2565_Day2_Key ข้อ 20</t>
        </is>
      </c>
      <c r="O64" s="18" t="inlineStr">
        <is>
          <t>ข้อสอบจริง</t>
        </is>
      </c>
      <c r="P64" s="18" t="inlineStr">
        <is>
          <t>ปี 2565</t>
        </is>
      </c>
      <c r="Q64" s="18" t="inlineStr"/>
    </row>
    <row r="65">
      <c r="A65" s="15" t="inlineStr">
        <is>
          <t>64</t>
        </is>
      </c>
      <c r="B65" s="18" t="inlineStr">
        <is>
          <t>ข$อใดคืออาการไม-พึงประสงค6ที่พบบ-อย หากผู$ป&amp;วยใช$ salbutamol MDI บ-อยหรือเกินปริมาณที่แนะนำ Phytoestrogen Isoﬂavone Phytoestrogen</t>
        </is>
      </c>
      <c r="C65" s="18" t="inlineStr"/>
      <c r="D65" s="18" t="inlineStr">
        <is>
          <t>metabolic alkalosis</t>
        </is>
      </c>
      <c r="E65" s="18" t="inlineStr">
        <is>
          <t>drowsiness</t>
        </is>
      </c>
      <c r="F65" s="18" t="inlineStr">
        <is>
          <t>hyper Mg</t>
        </is>
      </c>
      <c r="G65" s="18" t="inlineStr">
        <is>
          <t>hyperkalemia</t>
        </is>
      </c>
      <c r="H65" s="18" t="inlineStr">
        <is>
          <t>tachycardia</t>
        </is>
      </c>
      <c r="I65" s="15" t="inlineStr">
        <is>
          <t>1</t>
        </is>
      </c>
      <c r="J65" s="18" t="inlineStr">
        <is>
          <t>✅ คำตอบที่ถูกต้อง: ข้อ ก. metabolic alkalosis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(metabolic alkalosis): ข้อนี้ไม่ใช่คำตอบที่ถูกต้องสำหรับภาวะ Asthma เนื่องจากกลไกการออกฤทธิ์, efficacy หรือข้อบ่งใช้ไม่ตรงกับโจทย์ที่กำหนด
• ข้อ ค. (drowsiness): ข้อนี้ไม่ใช่คำตอบที่ถูกต้องสำหรับภาวะ Asthma เนื่องจากกลไกการออกฤทธิ์, efficacy หรือข้อบ่งใช้ไม่ตรงกับโจทย์ที่กำหนด
• ข้อ ง. (hyper Mg): ข้อนี้ไม่ใช่คำตอบที่ถูกต้องสำหรับภาวะ Asthma เนื่องจากกลไกการออกฤทธิ์, efficacy หรือข้อบ่งใช้ไม่ตรงกับโจทย์ที่กำหนด
• ข้อ จ. (hyperkalemia):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5" s="18" t="inlineStr"/>
      <c r="L65" s="18" t="inlineStr">
        <is>
          <t>Asthma</t>
        </is>
      </c>
      <c r="M65" s="18" t="inlineStr">
        <is>
          <t>COPD / Asthma</t>
        </is>
      </c>
      <c r="N65" s="18" t="inlineStr">
        <is>
          <t>PLE_CC1_2565_Day2_Key ข้อ 46</t>
        </is>
      </c>
      <c r="O65" s="18" t="inlineStr">
        <is>
          <t>ข้อสอบจริง</t>
        </is>
      </c>
      <c r="P65" s="18" t="inlineStr">
        <is>
          <t>ปี 2565</t>
        </is>
      </c>
      <c r="Q65" s="18" t="inlineStr"/>
    </row>
    <row r="66">
      <c r="A66" s="15" t="inlineStr">
        <is>
          <t>65</t>
        </is>
      </c>
      <c r="B66" s="18" t="inlineStr">
        <is>
          <t>พบว-า salbutamol เปQน chiral molecule จึงมีทั้ง (R)-salbutamol และ (S)-salbutamol ข$อใดกล-าว ถูกต$องเกี่ยวกับสารผสม 50:50 ระหว-าง (R)-salbutamol และ (S)-salbutamol</t>
        </is>
      </c>
      <c r="C66" s="18" t="inlineStr"/>
      <c r="D66" s="18" t="inlineStr">
        <is>
          <t>Cis/Trans mixture</t>
        </is>
      </c>
      <c r="E66" s="18" t="inlineStr">
        <is>
          <t>Chiral mixture</t>
        </is>
      </c>
      <c r="F66" s="18" t="inlineStr">
        <is>
          <t>Racemic mixture</t>
        </is>
      </c>
      <c r="G66" s="18" t="inlineStr">
        <is>
          <t>Conformational mixture</t>
        </is>
      </c>
      <c r="H66" s="18" t="inlineStr">
        <is>
          <t>Mixed form mixture กรณีศึกษา 16 ผู$ป&amp;วยมีอาการคลื่นไส$อาเจียน เบื่ออาหาร นำหนักลด 5 กิโลในสองสัปดาห6 ได$รับการวินิจฉัยว-าเปQน วัณโรคครั้งแรก ไม-เคยได$รับยามาก-อน ปฏิเสธโรคประจำตัว ไม-มีประวัติแพ$ยา PLE-CC1 Preparation 2565 !อ ข. - จ. %ก'วสามารถ.น01บยาลดกรดไ7 8งจะ;จารณาตาม &gt;ณสม?@การแBอาเDยนจากภาวะ'บFกเสบ Diazepam ใHในการIกษา CINV เKาLน, ระMงการใHในNOวยโรค'บ เพราะSาน CYP 2c19 และ CYP 3A4 ไ7 active metabolites 8งไTเUอกใHในกรVW Olanzapine ใHในการIกษา CINV, ระMงการใHในNOวยโรค'บ 8งไTเUอกใHในกรVW Dimenhydrinate ไTX!อYามใH1บNOวย'บ ZาจะใYไ7ในNOวยรายW Pyridoxine Xฤท]ในการแB N/V (ปก@ใHในคน_อง) และ X indication ใน poisoning with isoniazid และ Adverse reaction จากยา 8งเหมาะ1บNOวยรายW</t>
        </is>
      </c>
      <c r="I66" s="15" t="inlineStr">
        <is>
          <t>1</t>
        </is>
      </c>
      <c r="J66" s="18" t="inlineStr">
        <is>
          <t>✅ คำตอบที่ถูกต้อง: ข้อ ก. Cis/Trans mixture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(Cis/Trans mixture): ข้อนี้ไม่ใช่คำตอบที่ถูกต้องสำหรับภาวะ Asthma เนื่องจากกลไกการออกฤทธิ์, efficacy หรือข้อบ่งใช้ไม่ตรงกับโจทย์ที่กำหนด
• ข้อ ค. (Chiral mixture): ข้อนี้ไม่ใช่คำตอบที่ถูกต้องสำหรับภาวะ Asthma เนื่องจากกลไกการออกฤทธิ์, efficacy หรือข้อบ่งใช้ไม่ตรงกับโจทย์ที่กำหนด
• ข้อ ง. (Racemic mixture): ข้อนี้ไม่ใช่คำตอบที่ถูกต้องสำหรับภาวะ Asthma เนื่องจากกลไกการออกฤทธิ์, efficacy หรือข้อบ่งใช้ไม่ตรงกับโจทย์ที่กำหนด
• ข้อ จ. (Conformational mixture):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6" s="18" t="inlineStr"/>
      <c r="L66" s="18" t="inlineStr">
        <is>
          <t>Asthma</t>
        </is>
      </c>
      <c r="M66" s="18" t="inlineStr">
        <is>
          <t>COPD / Asthma</t>
        </is>
      </c>
      <c r="N66" s="18" t="inlineStr">
        <is>
          <t>PLE_CC1_2565_Day2_Key ข้อ 47</t>
        </is>
      </c>
      <c r="O66" s="18" t="inlineStr">
        <is>
          <t>ข้อสอบจริง</t>
        </is>
      </c>
      <c r="P66" s="18" t="inlineStr">
        <is>
          <t>ปี 2565</t>
        </is>
      </c>
      <c r="Q66" s="18" t="inlineStr"/>
    </row>
    <row r="67">
      <c r="A67" s="15" t="inlineStr">
        <is>
          <t>66</t>
        </is>
      </c>
      <c r="B67" s="18" t="inlineStr">
        <is>
          <t>COPD ข้อใดไม่ใช่สาเหตุ เฉลยข้อสอบ PLE-CC1 ครั้งที่12/2564 วันที่ 1-2 : MUPY 50 เฉลยข้อสอบ PLE-CC1 ครั้งที่12/2564 วันที่ 1-2 : MUPY 50</t>
        </is>
      </c>
      <c r="C67" s="18" t="inlineStr"/>
      <c r="D67" s="18" t="inlineStr">
        <is>
          <t>COPD / Asthma</t>
        </is>
      </c>
      <c r="E67" s="18" t="inlineStr">
        <is>
          <t>Theophylline 200 mg BID</t>
        </is>
      </c>
      <c r="F67" s="18" t="inlineStr">
        <is>
          <t>Prednisolone 40 mg OD x 5 days</t>
        </is>
      </c>
      <c r="G67" s="18" t="inlineStr">
        <is>
          <t>N-acetylcysteine 600 mg OD</t>
        </is>
      </c>
      <c r="H67" s="18" t="inlineStr">
        <is>
          <t>Beclomethasone MDI 100 mcg BID</t>
        </is>
      </c>
      <c r="I67" s="15" t="inlineStr">
        <is>
          <t>1</t>
        </is>
      </c>
      <c r="J67" s="18"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COPD เนื่องจากกลไกการออกฤทธิ์, efficacy หรือข้อบ่งใช้ไม่ตรงกับโจทย์ที่กำหนด
• ข้อ จ. (Beclomethasone MDI 100 mcg BID):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7" s="18" t="inlineStr"/>
      <c r="L67" s="18" t="inlineStr">
        <is>
          <t>COPD</t>
        </is>
      </c>
      <c r="M67" s="18" t="inlineStr">
        <is>
          <t>COPD / Asthma</t>
        </is>
      </c>
      <c r="N67" s="18" t="inlineStr">
        <is>
          <t>PLE_CC1_2564_All_Key ข้อ 1</t>
        </is>
      </c>
      <c r="O67" s="18" t="inlineStr">
        <is>
          <t>ข้อสอบจริง</t>
        </is>
      </c>
      <c r="P67" s="18" t="inlineStr">
        <is>
          <t>ปี 2564</t>
        </is>
      </c>
    </row>
    <row r="68">
      <c r="A68" s="15" t="inlineStr">
        <is>
          <t>67</t>
        </is>
      </c>
      <c r="B68" s="18" t="inlineStr">
        <is>
          <t>ข้อไม่ใช่ปัจจัยเสี่ยงกำเริบของ COPD</t>
        </is>
      </c>
      <c r="C68" s="18" t="inlineStr"/>
      <c r="D68" s="18" t="inlineStr">
        <is>
          <t>COPD / Asthma</t>
        </is>
      </c>
      <c r="E68" s="18" t="inlineStr">
        <is>
          <t>การใช้ยาพ่นจมูกแก้แพ้</t>
        </is>
      </c>
      <c r="F68" s="18" t="inlineStr">
        <is>
          <t>Salbutamol MDI 2 puffs PRN</t>
        </is>
      </c>
      <c r="G68" s="18" t="inlineStr">
        <is>
          <t>Budesonide/Formoterol 160/4.5 mcg DPI BID</t>
        </is>
      </c>
      <c r="H68" s="18" t="inlineStr">
        <is>
          <t>Fluticasone/Salmeterol 250/50 mcg DPI BID</t>
        </is>
      </c>
      <c r="I68" s="15" t="inlineStr">
        <is>
          <t>1</t>
        </is>
      </c>
      <c r="J68" s="18"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
🔍 ข้ออื่นผิดเพราะอะไร:
• ข้อ ข. (การใช้ยาพ่นจมูกแก้แพ้): ข้อนี้ไม่ใช่คำตอบที่ถูกต้องสำหรับภาวะ COPD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8" s="18" t="inlineStr"/>
      <c r="L68" s="18" t="inlineStr">
        <is>
          <t>COPD</t>
        </is>
      </c>
      <c r="M68" s="18" t="inlineStr">
        <is>
          <t>COPD / Asthma</t>
        </is>
      </c>
      <c r="N68" s="18" t="inlineStr">
        <is>
          <t>PLE_CC1_2564_All_Key ข้อ 2</t>
        </is>
      </c>
      <c r="O68" s="18" t="inlineStr">
        <is>
          <t>ข้อสอบจริง</t>
        </is>
      </c>
      <c r="P68" s="18" t="inlineStr">
        <is>
          <t>ปี 2564</t>
        </is>
      </c>
    </row>
    <row r="69">
      <c r="A69" s="15" t="inlineStr">
        <is>
          <t>68</t>
        </is>
      </c>
      <c r="B69" s="18" t="inlineStr">
        <is>
          <t>ข้อใดเป็นผลข้างเคียงของ salbutamol</t>
        </is>
      </c>
      <c r="C69" s="18" t="inlineStr"/>
      <c r="D69" s="18" t="inlineStr">
        <is>
          <t>COPD / Asthma</t>
        </is>
      </c>
      <c r="E69" s="18" t="inlineStr">
        <is>
          <t>Tremor / b. Bradycardia / c. Diarrhea</t>
        </is>
      </c>
      <c r="F69" s="18" t="inlineStr">
        <is>
          <t>Tiotropium Respimat 2.5 mcg 2 puffs OD</t>
        </is>
      </c>
      <c r="G69" s="18" t="inlineStr">
        <is>
          <t>Ipratropium/Fenoterol MDI PRN</t>
        </is>
      </c>
      <c r="H69" s="18" t="inlineStr">
        <is>
          <t>Montelukast 10 mg HS</t>
        </is>
      </c>
      <c r="I69" s="15" t="inlineStr">
        <is>
          <t>1</t>
        </is>
      </c>
      <c r="J69" s="18"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com.ejournal.mahidol.ac.th/micromedex2/librarian/CS/9E4E87/ND_PR/evidencexpert/ND_P/evidencexpert/DUPLICATIONSHIELDSYNC/94B994 /ND_PG/evidencexpert/ND_B/evidencexpert/ND_AppProduct/evidencexpert/ND_T/evidencexpert/PFActionId/evidencexpert.DoIntegratedSea
🔍 ข้ออื่นผิดเพราะอะไร:
• ข้อ ข. (Tremor / b. Bradycardia / c. Diarrhea):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9" s="18" t="inlineStr"/>
      <c r="L69" s="18" t="inlineStr">
        <is>
          <t>Asthma</t>
        </is>
      </c>
      <c r="M69" s="18" t="inlineStr">
        <is>
          <t>COPD / Asthma</t>
        </is>
      </c>
      <c r="N69" s="18" t="inlineStr">
        <is>
          <t>PLE_CC1_2564_All_Key ข้อ 3</t>
        </is>
      </c>
      <c r="O69" s="18" t="inlineStr">
        <is>
          <t>ข้อสอบจริง</t>
        </is>
      </c>
      <c r="P69" s="18" t="inlineStr">
        <is>
          <t>ปี 2564</t>
        </is>
      </c>
    </row>
    <row r="70">
      <c r="A70" s="15" t="inlineStr">
        <is>
          <t>68</t>
        </is>
      </c>
      <c r="B70" s="18" t="inlineStr">
        <is>
          <t>ข้อใดเป็นส่วนที่สำคัญที่สุดของ aerosol inhalations X non-selective B-blocker unwise active asthma (equomotair ~</t>
        </is>
      </c>
      <c r="C70" s="18" t="inlineStr"/>
      <c r="D70" s="18" t="inlineStr">
        <is>
          <t>Propellant</t>
        </is>
      </c>
      <c r="E70" s="18" t="inlineStr">
        <is>
          <t>Glidant</t>
        </is>
      </c>
      <c r="F70" s="18" t="inlineStr">
        <is>
          <t>Cosolvent</t>
        </is>
      </c>
      <c r="G70" s="18" t="inlineStr">
        <is>
          <t>Antioxidant</t>
        </is>
      </c>
      <c r="H70" s="18" t="inlineStr">
        <is>
          <t>Wetting agent</t>
        </is>
      </c>
      <c r="I70" s="15" t="inlineStr">
        <is>
          <t>1</t>
        </is>
      </c>
      <c r="J70" s="18" t="inlineStr">
        <is>
          <t>✅ คำตอบที่ถูกต้อง: ข้อ ก. Propellant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Propellant การเลือก Propellant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(Glidant): ข้อนี้ไม่ใช่คำตอบที่ถูกต้องสำหรับภาวะ Asthma เนื่องจากกลไกการออกฤทธิ์, efficacy หรือข้อบ่งใช้ไม่ตรงกับโจทย์ที่กำหนด
• ข้อ ค. (Cosolvent): ข้อนี้ไม่ใช่คำตอบที่ถูกต้องสำหรับภาวะ Asthma เนื่องจากกลไกการออกฤทธิ์, efficacy หรือข้อบ่งใช้ไม่ตรงกับโจทย์ที่กำหนด
• ข้อ ง. (Antioxidant): ข้อนี้ไม่ใช่คำตอบที่ถูกต้องสำหรับภาวะ Asthma เนื่องจากกลไกการออกฤทธิ์, efficacy หรือข้อบ่งใช้ไม่ตรงกับโจทย์ที่กำหนด
• ข้อ จ. (Wetting agent):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0" s="18" t="inlineStr"/>
      <c r="L70" s="18" t="inlineStr">
        <is>
          <t>Asthma</t>
        </is>
      </c>
      <c r="M70" s="18" t="inlineStr">
        <is>
          <t>Clinic</t>
        </is>
      </c>
      <c r="N70" s="18" t="inlineStr">
        <is>
          <t>ข้อ 67 (PLE_CC1_2562_Key.md)</t>
        </is>
      </c>
      <c r="O70" s="18" t="inlineStr">
        <is>
          <t>ข้อสอบจริง</t>
        </is>
      </c>
      <c r="P70" s="18" t="inlineStr">
        <is>
          <t>ปี 2562</t>
        </is>
      </c>
    </row>
    <row r="71">
      <c r="A71" s="15" t="inlineStr">
        <is>
          <t>69</t>
        </is>
      </c>
      <c r="B71" s="18" t="inlineStr">
        <is>
          <t>ขนาดยา aerosol evohaler ดูดซึมเข้าปอดได้ดีที่สุด X X - X ~ -</t>
        </is>
      </c>
      <c r="C71" s="18" t="inlineStr"/>
      <c r="D71" s="18" t="inlineStr">
        <is>
          <t>&gt; 100 ไมโครเมตร</t>
        </is>
      </c>
      <c r="E71" s="18" t="inlineStr">
        <is>
          <t>50-100 ไมโครเมตร</t>
        </is>
      </c>
      <c r="F71" s="18" t="inlineStr">
        <is>
          <t>31-49 ไมโครเมตร</t>
        </is>
      </c>
      <c r="G71" s="18" t="inlineStr">
        <is>
          <t>5-30 ไมโครเมตร</t>
        </is>
      </c>
      <c r="H71" s="18" t="inlineStr">
        <is>
          <t>&lt;5 ไมโครเมตร</t>
        </is>
      </c>
      <c r="I71" s="15" t="inlineStr">
        <is>
          <t>1</t>
        </is>
      </c>
      <c r="J71" s="18" t="inlineStr">
        <is>
          <t>✅ คำตอบที่ถูกต้อง: ข้อ ก. &gt; 100 ไมโครเมตร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&gt; 100 ไมโครเมตร การเลือก &gt; 100 ไมโครเมตร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(50-100 ไมโครเมตร): ข้อนี้ไม่ใช่คำตอบที่ถูกต้องสำหรับภาวะ Asthma เนื่องจากกลไกการออกฤทธิ์, efficacy หรือข้อบ่งใช้ไม่ตรงกับโจทย์ที่กำหนด
• ข้อ ค. (31-49 ไมโครเมตร): ข้อนี้ไม่ใช่คำตอบที่ถูกต้องสำหรับภาวะ Asthma เนื่องจากกลไกการออกฤทธิ์, efficacy หรือข้อบ่งใช้ไม่ตรงกับโจทย์ที่กำหนด
• ข้อ ง. (5-30 ไมโครเมตร): ข้อนี้ไม่ใช่คำตอบที่ถูกต้องสำหรับภาวะ Asthma เนื่องจากกลไกการออกฤทธิ์, efficacy หรือข้อบ่งใช้ไม่ตรงกับโจทย์ที่กำหนด
• ข้อ จ. (&lt;5 ไมโครเมตร):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1" s="18" t="inlineStr"/>
      <c r="L71" s="18" t="inlineStr">
        <is>
          <t>Asthma</t>
        </is>
      </c>
      <c r="M71" s="18" t="inlineStr">
        <is>
          <t>Clinic</t>
        </is>
      </c>
      <c r="N71" s="18" t="inlineStr">
        <is>
          <t>ข้อ 69 (PLE_CC1_2562_Key.md)</t>
        </is>
      </c>
      <c r="O71" s="18" t="inlineStr">
        <is>
          <t>ข้อสอบจริง</t>
        </is>
      </c>
      <c r="P71" s="18" t="inlineStr">
        <is>
          <t>ปี 2562</t>
        </is>
      </c>
    </row>
    <row r="72">
      <c r="A72" s="15" t="inlineStr">
        <is>
          <t>70</t>
        </is>
      </c>
      <c r="B72" s="18" t="inlineStr">
        <is>
          <t>2 เดือนต่อมาผู้ป่วยยังคงต้องใช้ salbutamol บ่อย ๆ ยาใดไม่ควรให้เสริมในผู้ป่วยรายนี้</t>
        </is>
      </c>
      <c r="C72" s="18" t="inlineStr"/>
      <c r="D72" s="18" t="inlineStr">
        <is>
          <t>Salmeterol</t>
        </is>
      </c>
      <c r="E72" s="18" t="inlineStr">
        <is>
          <t>Formoterol</t>
        </is>
      </c>
      <c r="F72" s="18" t="inlineStr">
        <is>
          <t>Prednisolone</t>
        </is>
      </c>
      <c r="G72" s="18" t="inlineStr">
        <is>
          <t>Bambuterol</t>
        </is>
      </c>
      <c r="H72" s="18" t="inlineStr">
        <is>
          <t>Theophylline ห้ามนำไปทำซ้ำทุกกรณี เว้นแต่จะได้รับอนุญาต</t>
        </is>
      </c>
      <c r="I72" s="15" t="inlineStr">
        <is>
          <t>1</t>
        </is>
      </c>
      <c r="J72" s="18" t="inlineStr">
        <is>
          <t>✅ คำตอบที่ถูกต้อง: ข้อ ก. Salmeterol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การเลือก Salmeterol เป็นคำตอบที่ถูกต้องตามแนวทางการรักษามาตรฐาน เนื่องจาก เป็น LABA ที่มี onset ช้า (10-20 นาที) จึงใช้เป็น maintenance bronchodilator เท่านั้น ห้ามใช้เป็น reliever เด็ดขาด
🔍 ข้ออื่นผิดเพราะอะไร:
• ข้อ ข. (Formoterol): เป็น LABA ที่มี onset รวดเร็ว (1-3 นาที) และออกฤทธิ์นาน 12 ชม. สามารถใช้ร่วมกับ ICS (ICS-formoterol) เป็นได้ทั้ง maintenance และ reliever (MART / AIR strategy)
• ข้อ ค. (Prednisolone): เป็น intermediate-acting systemic corticosteroid ขนาดยอดนิยมสำหรับ immunosuppressive &amp; anti-inflammatory therapy ต้องระวัง Cushingoid, infection, osteoporosis, peptic ulcer
• ข้อ ง. (Bambuterol): ข้อนี้ไม่ใช่คำตอบที่ถูกต้องสำหรับภาวะ Asthma เนื่องจากกลไกการออกฤทธิ์, efficacy หรือข้อบ่งใช้ไม่ตรงกับโจทย์ที่กำหนด
• ข้อ จ. (Theophylline ห้ามนำไปทำซ้ำทุกกรณี เว้นแต่จะได้รับอนุญาต):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2" s="18" t="inlineStr"/>
      <c r="L72" s="18" t="inlineStr">
        <is>
          <t>Asthma</t>
        </is>
      </c>
      <c r="M72" s="18" t="inlineStr">
        <is>
          <t>Clinic</t>
        </is>
      </c>
      <c r="N72" s="18" t="inlineStr">
        <is>
          <t>ข้อ 29 (PLE_CC1_2558_Key.md)</t>
        </is>
      </c>
      <c r="O72" s="18" t="inlineStr">
        <is>
          <t>ข้อสอบจริง</t>
        </is>
      </c>
      <c r="P72" s="18" t="inlineStr">
        <is>
          <t>ปี 2558</t>
        </is>
      </c>
    </row>
    <row r="73">
      <c r="A73" s="15" t="inlineStr">
        <is>
          <t>71</t>
        </is>
      </c>
      <c r="B73" s="18" t="inlineStr">
        <is>
          <t>ยา tiotropium 18 mcg มี half-life 120 hr, BA 20%, volume of distribution 36 L/kg pt. หนัก 50 kg สมมุติว่ายากิน equivalent กับยาฉีด ยานี้ มีระดับยาในเลือดสูงสุดเท่าไหร่</t>
        </is>
      </c>
      <c r="C73" s="18" t="inlineStr"/>
      <c r="D73" s="18" t="inlineStr">
        <is>
          <t>2 ng/L</t>
        </is>
      </c>
      <c r="E73" s="18" t="inlineStr">
        <is>
          <t>0.2 ng/L</t>
        </is>
      </c>
      <c r="F73" s="18" t="inlineStr">
        <is>
          <t>10 ng/L</t>
        </is>
      </c>
      <c r="G73" s="18" t="inlineStr">
        <is>
          <t>18 ng/L</t>
        </is>
      </c>
      <c r="H73" s="18" t="inlineStr">
        <is>
          <t>20 ng/L กรณีศึกษา 7 คนไข้อ้วน ชอบกินมื้อเย็นแล้วนอนเลย ชอบดื่มนม สูบบุหรี่ แสบยอดอก ชอบกินอาหารเผ็ดๆ มียาหลายตัว</t>
        </is>
      </c>
      <c r="I73" s="15" t="inlineStr">
        <is>
          <t>1</t>
        </is>
      </c>
      <c r="J73" s="18" t="inlineStr">
        <is>
          <t>✅ คำตอบที่ถูกต้อง: ข้อ ก. 2 ng/L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2 ng/L การเลือก 2 ng/L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(0.2 ng/L): ข้อนี้ไม่ใช่คำตอบที่ถูกต้องสำหรับภาวะ Asthma เนื่องจากกลไกการออกฤทธิ์, efficacy หรือข้อบ่งใช้ไม่ตรงกับโจทย์ที่กำหนด
• ข้อ ค. (10 ng/L): ข้อนี้ไม่ใช่คำตอบที่ถูกต้องสำหรับภาวะ Asthma เนื่องจากกลไกการออกฤทธิ์, efficacy หรือข้อบ่งใช้ไม่ตรงกับโจทย์ที่กำหนด
• ข้อ ง. (18 ng/L): ข้อนี้ไม่ใช่คำตอบที่ถูกต้องสำหรับภาวะ Asthma เนื่องจากกลไกการออกฤทธิ์, efficacy หรือข้อบ่งใช้ไม่ตรงกับโจทย์ที่กำหนด
• ข้อ จ. (20 ng/L กรณีศึกษา 7 คนไข้อ้วน ชอบกินมื้อเย็นแล้วนอนเลย ชอบดื่มนม สูบบุหรี่ แสบยอดอก ชอบกินอาหารเผ็ดๆ มียาหลายตัว):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73" s="18" t="inlineStr"/>
      <c r="L73" s="18" t="inlineStr">
        <is>
          <t>Asthma</t>
        </is>
      </c>
      <c r="M73" s="18" t="inlineStr">
        <is>
          <t>Clinic</t>
        </is>
      </c>
      <c r="N73" s="18" t="inlineStr">
        <is>
          <t>ข้อ 46 (PLE_CC1_2558_Key.md)</t>
        </is>
      </c>
      <c r="O73" s="18" t="inlineStr">
        <is>
          <t>ข้อสอบจริง</t>
        </is>
      </c>
      <c r="P73" s="18" t="inlineStr">
        <is>
          <t>ปี 2558</t>
        </is>
      </c>
    </row>
    <row r="74">
      <c r="A74" s="15" t="inlineStr">
        <is>
          <t>72</t>
        </is>
      </c>
      <c r="B74" s="18"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18" t="inlineStr"/>
      <c r="D74" s="18" t="inlineStr">
        <is>
          <t>Sputum culture</t>
        </is>
      </c>
      <c r="E74" s="18" t="inlineStr">
        <is>
          <t>Physical Examination</t>
        </is>
      </c>
      <c r="F74" s="18" t="inlineStr">
        <is>
          <t>Complete blood count</t>
        </is>
      </c>
      <c r="G74" s="18" t="inlineStr">
        <is>
          <t>Peak flow meter</t>
        </is>
      </c>
      <c r="H74" s="18" t="inlineStr">
        <is>
          <t>Lung function Spirometry</t>
        </is>
      </c>
      <c r="I74" s="15" t="inlineStr">
        <is>
          <t>1</t>
        </is>
      </c>
      <c r="J74" s="18" t="inlineStr">
        <is>
          <t>✅ คำตอบที่ถูกต้อง: ข้อ ก. Sputum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Sputum culture การเลือก Sputum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(Physical Examination): ข้อนี้ไม่ใช่คำตอบที่ถูกต้องสำหรับภาวะ Asthma เนื่องจากกลไกการออกฤทธิ์, efficacy หรือข้อบ่งใช้ไม่ตรงกับโจทย์ที่กำหนด
• ข้อ ค. (Complete blood count): ข้อนี้ไม่ใช่คำตอบที่ถูกต้องสำหรับภาวะ Asthma เนื่องจากกลไกการออกฤทธิ์, efficacy หรือข้อบ่งใช้ไม่ตรงกับโจทย์ที่กำหนด
• ข้อ ง. (Peak flow meter): ข้อนี้ไม่ใช่คำตอบที่ถูกต้องสำหรับภาวะ Asthma เนื่องจากกลไกการออกฤทธิ์, efficacy หรือข้อบ่งใช้ไม่ตรงกับโจทย์ที่กำหนด
• ข้อ จ. (Lung function Spirometry):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18" t="inlineStr"/>
      <c r="L74" s="18" t="inlineStr">
        <is>
          <t>Asthma</t>
        </is>
      </c>
      <c r="M74" s="18" t="inlineStr">
        <is>
          <t>Clinic</t>
        </is>
      </c>
      <c r="N74" s="18" t="inlineStr">
        <is>
          <t>ข้อ 60 (Pharmtutor_2024_Set1.md)</t>
        </is>
      </c>
      <c r="O74" s="18" t="inlineStr">
        <is>
          <t>Mock</t>
        </is>
      </c>
      <c r="P74" s="18" t="inlineStr">
        <is>
          <t>Mock Pharmtutor 2024</t>
        </is>
      </c>
    </row>
    <row r="75">
      <c r="A75" s="15" t="inlineStr">
        <is>
          <t>73</t>
        </is>
      </c>
      <c r="B75" s="18" t="inlineStr">
        <is>
          <t>ข้อใดคือเกณฑ์ในการวินิจฉัยที่จำเป็นที่สุดในการแยกโรคของผู้ป่วยปอดอักเสบ</t>
        </is>
      </c>
      <c r="C75" s="18" t="inlineStr"/>
      <c r="D75" s="18" t="inlineStr">
        <is>
          <t>Blood Culture</t>
        </is>
      </c>
      <c r="E75" s="18" t="inlineStr">
        <is>
          <t>Sputum Culture</t>
        </is>
      </c>
      <c r="F75" s="18" t="inlineStr">
        <is>
          <t>Chest-X Ray</t>
        </is>
      </c>
      <c r="G75" s="18" t="inlineStr">
        <is>
          <t>Serology</t>
        </is>
      </c>
      <c r="H75" s="18" t="inlineStr">
        <is>
          <t>Arterial blood gas</t>
        </is>
      </c>
      <c r="I75" s="15" t="inlineStr">
        <is>
          <t>1</t>
        </is>
      </c>
      <c r="J75" s="18" t="inlineStr">
        <is>
          <t>✅ คำตอบที่ถูกต้อง: ข้อ ก. Blood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Blood Culture การเลือก Blood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(Sputum Culture): ข้อนี้ไม่ใช่คำตอบที่ถูกต้องสำหรับภาวะ Asthma เนื่องจากกลไกการออกฤทธิ์, efficacy หรือข้อบ่งใช้ไม่ตรงกับโจทย์ที่กำหนด
• ข้อ ค. (Chest-X Ray): ข้อนี้ไม่ใช่คำตอบที่ถูกต้องสำหรับภาวะ Asthma เนื่องจากกลไกการออกฤทธิ์, efficacy หรือข้อบ่งใช้ไม่ตรงกับโจทย์ที่กำหนด
• ข้อ ง. (Serology): ข้อนี้ไม่ใช่คำตอบที่ถูกต้องสำหรับภาวะ Asthma เนื่องจากกลไกการออกฤทธิ์, efficacy หรือข้อบ่งใช้ไม่ตรงกับโจทย์ที่กำหนด
• ข้อ จ. (Arterial blood gas):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5" s="18" t="inlineStr"/>
      <c r="L75" s="18" t="inlineStr">
        <is>
          <t>Asthma</t>
        </is>
      </c>
      <c r="M75" s="18" t="inlineStr">
        <is>
          <t>Clinic</t>
        </is>
      </c>
      <c r="N75" s="18" t="inlineStr">
        <is>
          <t>ข้อ 45 (Pharmtutor_2024_Set2.md)</t>
        </is>
      </c>
      <c r="O75" s="18" t="inlineStr">
        <is>
          <t>Mock</t>
        </is>
      </c>
      <c r="P75" s="18" t="inlineStr">
        <is>
          <t>Mock Pharmtutor 2024</t>
        </is>
      </c>
    </row>
    <row r="76">
      <c r="A76" s="15" t="inlineStr">
        <is>
          <t>74</t>
        </is>
      </c>
      <c r="B76" s="18" t="inlineStr">
        <is>
          <t>จากโครงสร้างของ salbutamol ที่กำหนดให้ หมู่ฟังก์ชั่นใดที่ทำให้ salbutamol ออกฤทธิ์จำเพาะต่อ β receptor</t>
        </is>
      </c>
      <c r="C76" s="18" t="inlineStr"/>
      <c r="D76" s="18" t="inlineStr">
        <is>
          <t>A – hydroxyl group</t>
        </is>
      </c>
      <c r="E76" s="18" t="inlineStr">
        <is>
          <t>B – methanol group</t>
        </is>
      </c>
      <c r="F76" s="18" t="inlineStr">
        <is>
          <t>C – aromatic ring</t>
        </is>
      </c>
      <c r="G76" s="18" t="inlineStr">
        <is>
          <t>D – hydroxyl group</t>
        </is>
      </c>
      <c r="H76" s="18" t="inlineStr">
        <is>
          <t>E – tert-butyl group</t>
        </is>
      </c>
      <c r="I76" s="15" t="inlineStr">
        <is>
          <t>1</t>
        </is>
      </c>
      <c r="J76" s="18" t="inlineStr">
        <is>
          <t>✅ คำตอบที่ถูกต้อง: ข้อ ก. A – hydroxyl group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 – hydroxyl group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 – methanol group): ข้อนี้ไม่ใช่คำตอบที่ถูกต้องสำหรับภาวะ Asthma เนื่องจากกลไกการออกฤทธิ์, efficacy หรือข้อบ่งใช้ไม่ตรงกับโจทย์ที่กำหนด
• ข้อ ค. (C – aromatic ring): ข้อนี้ไม่ใช่คำตอบที่ถูกต้องสำหรับภาวะ Asthma เนื่องจากกลไกการออกฤทธิ์, efficacy หรือข้อบ่งใช้ไม่ตรงกับโจทย์ที่กำหนด
• ข้อ ง. (D – hydroxyl group): ข้อนี้ไม่ใช่คำตอบที่ถูกต้องสำหรับภาวะ Asthma เนื่องจากกลไกการออกฤทธิ์, efficacy หรือข้อบ่งใช้ไม่ตรงกับโจทย์ที่กำหนด
• ข้อ จ. (E – tert-butyl group):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6" s="18" t="inlineStr"/>
      <c r="L76" s="18" t="inlineStr">
        <is>
          <t>Asthma</t>
        </is>
      </c>
      <c r="M76" s="18" t="inlineStr">
        <is>
          <t>Clinic</t>
        </is>
      </c>
      <c r="N76" s="18" t="inlineStr">
        <is>
          <t>ข้อ 60 (Pharmtutor_2024_Set2.md)</t>
        </is>
      </c>
      <c r="O76" s="18" t="inlineStr">
        <is>
          <t>Mock</t>
        </is>
      </c>
      <c r="P76" s="18" t="inlineStr">
        <is>
          <t>Mock Pharmtutor 2024</t>
        </is>
      </c>
    </row>
    <row r="77">
      <c r="A77" s="15" t="inlineStr">
        <is>
          <t>75</t>
        </is>
      </c>
      <c r="B77" s="18" t="inlineStr">
        <is>
          <t>ยาพ่นสูด ในรูปแบบ β2-selective adrenergic receptor agonists MDI (metered dose inhalers) ควรมีลักษณะ แบบใด</t>
        </is>
      </c>
      <c r="C77" s="18" t="inlineStr"/>
      <c r="D77" s="18" t="inlineStr">
        <is>
          <t>ขนาดอนุภาคของตัวยาควรอยู่ระหว่าง 1-3 μm</t>
        </is>
      </c>
      <c r="E77" s="18" t="inlineStr">
        <is>
          <t>ขนาดอนุภาคอยู่ระหว่าง 5-10 μm</t>
        </is>
      </c>
      <c r="F77" s="18" t="inlineStr">
        <is>
          <t>ตัวยาหวังผลให้ไปจับกับ receptor ที่ทางเดินหายใจส่วนปลาย</t>
        </is>
      </c>
      <c r="G77" s="18" t="inlineStr">
        <is>
          <t>ใช้ lactose เพื่อปรับปรุงรสชาติ</t>
        </is>
      </c>
      <c r="H77" s="18" t="inlineStr">
        <is>
          <t>นิยมใช้ chlorofluorocarbon เป็นตัวสารขับดัน</t>
        </is>
      </c>
      <c r="I77" s="15" t="inlineStr">
        <is>
          <t>1</t>
        </is>
      </c>
      <c r="J77" s="18" t="inlineStr">
        <is>
          <t>✅ คำตอบที่ถูกต้อง: ข้อ ก. ขนาดอนุภาคของตัวยาควรอยู่ระหว่าง 1-3 μm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ขนาดอนุภาคของตัวยาควรอยู่ระหว่าง 1-3 μm การเลือก ขนาดอนุภาคของตัวยาควรอยู่ระหว่าง 1-3 μm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(ขนาดอนุภาคอยู่ระหว่าง 5-10 μm): ข้อนี้ไม่ใช่คำตอบที่ถูกต้องสำหรับภาวะ Asthma เนื่องจากกลไกการออกฤทธิ์, efficacy หรือข้อบ่งใช้ไม่ตรงกับโจทย์ที่กำหนด
• ข้อ ค. (ตัวยาหวังผลให้ไปจับกับ receptor ที่ทางเดินหายใจส่วนปลาย): ข้อนี้ไม่ใช่คำตอบที่ถูกต้องสำหรับภาวะ Asthma เนื่องจากกลไกการออกฤทธิ์, efficacy หรือข้อบ่งใช้ไม่ตรงกับโจทย์ที่กำหนด
• ข้อ ง. (ใช้ lactose เพื่อปรับปรุงรสชาติ): เป็น Diluent / Filler ยอดนิยม ละลายน้ำได้ดี ให้ mouthfeel ที่ดี แต่เกิด Maillard reaction (เม็ดยาเปลี่ยนเป็นสีน้ำตาล) เมื่อผสมกับ primary amine drugs
• ข้อ จ. (นิยมใช้ chlorofluorocarbon เป็นตัวสารขับดัน):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7" s="18" t="inlineStr"/>
      <c r="L77" s="18" t="inlineStr">
        <is>
          <t>Asthma</t>
        </is>
      </c>
      <c r="M77" s="18" t="inlineStr">
        <is>
          <t>Clinic</t>
        </is>
      </c>
      <c r="N77" s="18" t="inlineStr">
        <is>
          <t>ข้อ 61 (Pharmtutor_2024_Set2.md)</t>
        </is>
      </c>
      <c r="O77" s="18" t="inlineStr">
        <is>
          <t>Mock</t>
        </is>
      </c>
      <c r="P77" s="18" t="inlineStr">
        <is>
          <t>Mock Pharmtutor 2024</t>
        </is>
      </c>
    </row>
    <row r="78">
      <c r="A78" s="15" t="inlineStr">
        <is>
          <t>76</t>
        </is>
      </c>
      <c r="B78" s="18" t="inlineStr">
        <is>
          <t>ข้อใดคือข้อแนะนำของการใช้ Salbutamol MDI</t>
        </is>
      </c>
      <c r="C78" s="18" t="inlineStr"/>
      <c r="D78" s="18" t="inlineStr">
        <is>
          <t>หายใจออกทางปาก ช้า ลึก</t>
        </is>
      </c>
      <c r="E78" s="18" t="inlineStr">
        <is>
          <t>หายใจออกทางปาก เร็ว ลึก</t>
        </is>
      </c>
      <c r="F78" s="18" t="inlineStr">
        <is>
          <t>หายใจเข้าทางปาก ช้า ลึก</t>
        </is>
      </c>
      <c r="G78" s="18" t="inlineStr">
        <is>
          <t>หายใจเข้าทางปาก เร็ว ลึก</t>
        </is>
      </c>
      <c r="H78" s="18" t="inlineStr">
        <is>
          <t>หายใจเข้าทางปาก เร็ว แรง ลึก</t>
        </is>
      </c>
      <c r="I78" s="15" t="inlineStr">
        <is>
          <t>1</t>
        </is>
      </c>
      <c r="J78" s="18" t="inlineStr">
        <is>
          <t>✅ คำตอบที่ถูกต้อง: ข้อ ก. หายใจออกทางปาก ช้า ลึก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หายใจออกทางปาก ช้า ลึก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(หายใจออกทางปาก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ค. (หายใจเข้าทางปาก ช้า ลึก): ข้อนี้ไม่ใช่คำตอบที่ถูกต้องสำหรับภาวะ Asthma เนื่องจากกลไกการออกฤทธิ์, efficacy หรือข้อบ่งใช้ไม่ตรงกับโจทย์ที่กำหนด
• ข้อ ง. (หายใจเข้าทางปาก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จ. (หายใจเข้าทางปาก เร็ว แรง ลึก):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8" s="18" t="inlineStr"/>
      <c r="L78" s="18" t="inlineStr">
        <is>
          <t>Asthma</t>
        </is>
      </c>
      <c r="M78" s="18" t="inlineStr">
        <is>
          <t>Clinic</t>
        </is>
      </c>
      <c r="N78" s="18" t="inlineStr">
        <is>
          <t>ข้อ 63 (Pharmtutor_2024_Set2.md)</t>
        </is>
      </c>
      <c r="O78" s="18" t="inlineStr">
        <is>
          <t>Mock</t>
        </is>
      </c>
      <c r="P78" s="18" t="inlineStr">
        <is>
          <t>Mock Pharmtutor 2024</t>
        </is>
      </c>
    </row>
    <row r="79">
      <c r="A79" s="15" t="inlineStr">
        <is>
          <t>77</t>
        </is>
      </c>
      <c r="B79" s="18" t="inlineStr">
        <is>
          <t>ในการตั้งตำหรับ Dry powder inhaler (DPI) ข้อใดต่อไปนี้ไม่ถูกต้อง</t>
        </is>
      </c>
      <c r="C79" s="18" t="inlineStr"/>
      <c r="D79" s="18" t="inlineStr">
        <is>
          <t>ขนาดอนุภาคตัวยาอยู่ระหว่าง 1-5 ไมครอน</t>
        </is>
      </c>
      <c r="E79" s="18" t="inlineStr">
        <is>
          <t>รูปแบบยาเป็นสารละลาย หรือ ยาแขวนตะกอน</t>
        </is>
      </c>
      <c r="F79" s="18" t="inlineStr">
        <is>
          <t>ไม่จำเป็นต้องใช้สารขับดัน</t>
        </is>
      </c>
      <c r="G79" s="18" t="inlineStr">
        <is>
          <t>ตัวยาเป็นลักษณะผงแห้ง</t>
        </is>
      </c>
      <c r="H79" s="18" t="inlineStr">
        <is>
          <t>ตัวยาสำคัญมีสมบัติละลายน้ำหรือไม่ละลายน้ำก็ได้</t>
        </is>
      </c>
      <c r="I79" s="15" t="inlineStr">
        <is>
          <t>1</t>
        </is>
      </c>
      <c r="J79" s="18" t="inlineStr">
        <is>
          <t>✅ คำตอบที่ถูกต้อง: ข้อ ก. ขนาดอนุภาคตัวยาอยู่ระหว่าง 1-5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ขนาดอนุภาคตัวยาอยู่ระหว่าง 1-5 ไมครอน การเลือก ขนาดอนุภาคตัวยาอยู่ระหว่าง 1-5 ไมครอน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(รูปแบบยาเป็นสารละลาย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ค. (ไม่จำเป็นต้องใช้สารขับดัน): ข้อนี้ไม่ใช่คำตอบที่ถูกต้องสำหรับภาวะ Asthma เนื่องจากกลไกการออกฤทธิ์, efficacy หรือข้อบ่งใช้ไม่ตรงกับโจทย์ที่กำหนด
• ข้อ ง. (ตัวยาเป็นลักษณะผงแห้ง): ข้อนี้ไม่ใช่คำตอบที่ถูกต้องสำหรับภาวะ Asthma เนื่องจากกลไกการออกฤทธิ์, efficacy หรือข้อบ่งใช้ไม่ตรงกับโจทย์ที่กำหนด
• ข้อ จ. (ตัวยาสำคัญมีสมบัติละลายน้ำหรือไม่ละลายน้ำก็ได้):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9" s="18" t="inlineStr"/>
      <c r="L79" s="18" t="inlineStr">
        <is>
          <t>Asthma</t>
        </is>
      </c>
      <c r="M79" s="18" t="inlineStr">
        <is>
          <t>Clinic</t>
        </is>
      </c>
      <c r="N79" s="18" t="inlineStr">
        <is>
          <t>ข้อ 103 (Pharmtutor_2024_Set2.md)</t>
        </is>
      </c>
      <c r="O79" s="18" t="inlineStr">
        <is>
          <t>Mock</t>
        </is>
      </c>
      <c r="P79" s="18" t="inlineStr">
        <is>
          <t>Mock Pharmtutor 2024</t>
        </is>
      </c>
    </row>
    <row r="80">
      <c r="A80" s="15" t="inlineStr">
        <is>
          <t>78</t>
        </is>
      </c>
      <c r="B80" s="18" t="inlineStr">
        <is>
          <t>ข้อใดกล่าวถึงลักษณะของ Metered dose inhaler (MDI) ได้ถูกต้อง</t>
        </is>
      </c>
      <c r="C80" s="18" t="inlineStr"/>
      <c r="D80" s="18" t="inlineStr">
        <is>
          <t>ขนาดอนุภาคที่เหมาะสมคือ 1-10 ไมครอน</t>
        </is>
      </c>
      <c r="E80" s="18" t="inlineStr">
        <is>
          <t>นิยมใช้สารขับดันเป็น Chloroflurocarbon (CFC)</t>
        </is>
      </c>
      <c r="F80" s="18" t="inlineStr">
        <is>
          <t>ยาจะผสมกับแก๊สเหลวในลักษณะเป็นสารละลาย หรือ ยาแขวนตะกอน</t>
        </is>
      </c>
      <c r="G80" s="18" t="inlineStr">
        <is>
          <t>นิยมเติม Lactose เข้าไปเพื่อปรับปรุงรสชาติขณะพ่นสูด</t>
        </is>
      </c>
      <c r="H80" s="18" t="inlineStr">
        <is>
          <t>ยาจะถูกฉีดพ่นออกทาง mouthpiece</t>
        </is>
      </c>
      <c r="I80" s="15" t="inlineStr">
        <is>
          <t>1</t>
        </is>
      </c>
      <c r="J80" s="18" t="inlineStr">
        <is>
          <t>✅ คำตอบที่ถูกต้อง: ข้อ ก. ขนาดอนุภาคที่เหมาะสมคือ 1-10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ขนาดอนุภาคที่เหมาะสมคือ 1-10 ไมครอน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(นิยมใช้สารขับดันเป็น Chloroflurocarbon (CFC)): ข้อนี้ไม่ใช่คำตอบที่ถูกต้องสำหรับภาวะ Asthma เนื่องจากกลไกการออกฤทธิ์, efficacy หรือข้อบ่งใช้ไม่ตรงกับโจทย์ที่กำหนด
• ข้อ ค. (ยาจะผสมกับแก๊สเหลวในลักษณะเป็นสารละลาย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ง. (นิยมเติม Lactose เข้าไปเพื่อปรับปรุงรสชาติขณะพ่นสูด): เป็น Diluent / Filler ยอดนิยม ละลายน้ำได้ดี ให้ mouthfeel ที่ดี แต่เกิด Maillard reaction (เม็ดยาเปลี่ยนเป็นสีน้ำตาล) เมื่อผสมกับ primary amine drugs
• ข้อ จ. (ยาจะถูกฉีดพ่นออกทาง mouthpiece):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18" t="inlineStr"/>
      <c r="L80" s="18" t="inlineStr">
        <is>
          <t>Asthma</t>
        </is>
      </c>
      <c r="M80" s="18" t="inlineStr">
        <is>
          <t>Clinic</t>
        </is>
      </c>
      <c r="N80" s="18" t="inlineStr">
        <is>
          <t>ข้อ 104 (Pharmtutor_2024_Set2.md)</t>
        </is>
      </c>
      <c r="O80" s="18" t="inlineStr">
        <is>
          <t>Mock</t>
        </is>
      </c>
      <c r="P80" s="18" t="inlineStr">
        <is>
          <t>Mock Pharmtutor 2024</t>
        </is>
      </c>
    </row>
    <row r="81">
      <c r="A81" s="15" t="inlineStr">
        <is>
          <t>79</t>
        </is>
      </c>
      <c r="B81" s="18" t="inlineStr">
        <is>
          <t>หัวข้อใดกล่าวถูกต้องเกี่ยวกับการนำส่งยาทางปอด</t>
        </is>
      </c>
      <c r="C81" s="18" t="inlineStr"/>
      <c r="D81" s="18" t="inlineStr">
        <is>
          <t>ขนาดยาที่ใช้ต่ำว่าขนาดรับประทาน</t>
        </is>
      </c>
      <c r="E81" s="18" t="inlineStr">
        <is>
          <t>ยาบางส่วนถูก first pass-metabolism</t>
        </is>
      </c>
      <c r="F81" s="18" t="inlineStr">
        <is>
          <t>อาจทำให้เกิดผลข้างเคียง หรืออาการไม่พึงประสงค์จากการใช้ยา เพราะตัวยาเกาะที่เนื้อเยื่อโดยตรง</t>
        </is>
      </c>
      <c r="G81" s="18" t="inlineStr">
        <is>
          <t>ยาพ่นสูดแบบ DPI จำเป็นต้องกลั้นหายใจขณะใช้ยา เพราะใช้หลักการ Inspiratory flow rate</t>
        </is>
      </c>
      <c r="H81" s="18" t="inlineStr">
        <is>
          <t>ถูกทุกข้อ</t>
        </is>
      </c>
      <c r="I81" s="15" t="inlineStr">
        <is>
          <t>1</t>
        </is>
      </c>
      <c r="J81" s="18" t="inlineStr">
        <is>
          <t>✅ คำตอบที่ถูกต้อง: ข้อ ก. ขนาดยาที่ใช้ต่ำว่าขนาดรับประทาน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ขนาดยาที่ใช้ต่ำว่าขนาดรับประทาน การเลือก ขนาดยาที่ใช้ต่ำว่าขนาดรับประทาน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(ยาบางส่วนถูก first pass-metabolism): ข้อนี้ไม่ใช่คำตอบที่ถูกต้องสำหรับภาวะ Asthma เนื่องจากกลไกการออกฤทธิ์, efficacy หรือข้อบ่งใช้ไม่ตรงกับโจทย์ที่กำหนด
• ข้อ ค. (อาจทำให้เกิดผลข้างเคียง หรืออาการไม่พึงประสงค์จากการใช้ยา เพราะตัวยาเกาะที่เนื้อเยื่อโดยตรง): ข้อนี้ไม่ใช่คำตอบที่ถูกต้องสำหรับภาวะ Asthma เนื่องจากกลไกการออกฤทธิ์, efficacy หรือข้อบ่งใช้ไม่ตรงกับโจทย์ที่กำหนด
• ข้อ ง. (ยาพ่นสูดแบบ DPI จำเป็นต้องกลั้นหายใจขณะใช้ยา เพราะใช้หลักการ Inspiratory flow rate):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1" s="18" t="inlineStr"/>
      <c r="L81" s="18" t="inlineStr">
        <is>
          <t>Asthma</t>
        </is>
      </c>
      <c r="M81" s="18" t="inlineStr">
        <is>
          <t>Clinic</t>
        </is>
      </c>
      <c r="N81" s="18" t="inlineStr">
        <is>
          <t>ข้อ 105 (Pharmtutor_2024_Set2.md)</t>
        </is>
      </c>
      <c r="O81" s="18" t="inlineStr">
        <is>
          <t>Mock</t>
        </is>
      </c>
      <c r="P81" s="18" t="inlineStr">
        <is>
          <t>Mock Pharmtutor 2024</t>
        </is>
      </c>
    </row>
    <row r="82">
      <c r="A82" s="15" t="inlineStr">
        <is>
          <t>80</t>
        </is>
      </c>
      <c r="B82" s="18" t="inlineStr">
        <is>
          <t>ข้อใดเป็นผลข้างเคียงของยาพ่น salbutamol</t>
        </is>
      </c>
      <c r="C82" s="18" t="inlineStr"/>
      <c r="D82" s="18" t="inlineStr">
        <is>
          <t>ใจสั่น</t>
        </is>
      </c>
      <c r="E82" s="18" t="inlineStr">
        <is>
          <t>hyperkalemia</t>
        </is>
      </c>
      <c r="F82" s="18" t="inlineStr">
        <is>
          <t>bradycardia</t>
        </is>
      </c>
      <c r="G82" s="18" t="inlineStr">
        <is>
          <t>oraltrush</t>
        </is>
      </c>
      <c r="H82" s="18" t="inlineStr">
        <is>
          <t>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t>
        </is>
      </c>
      <c r="I82" s="15" t="inlineStr">
        <is>
          <t>1</t>
        </is>
      </c>
      <c r="J82" s="18"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(oraltrush): ข้อนี้ไม่ใช่คำตอบที่ถูกต้องสำหรับภาวะ Asthma เนื่องจากกลไกการออกฤทธิ์, efficacy หรือข้อบ่งใช้ไม่ตรงกับโจทย์ที่กำหนด
• ข้อ จ. (osteoporosis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2" s="18" t="inlineStr"/>
      <c r="L82" s="18" t="inlineStr">
        <is>
          <t>Asthma</t>
        </is>
      </c>
      <c r="M82" s="18" t="inlineStr">
        <is>
          <t>Clinic</t>
        </is>
      </c>
      <c r="N82" s="18" t="inlineStr">
        <is>
          <t>ข้อ 12 (PLE_CC1_2554 SET2.md)</t>
        </is>
      </c>
      <c r="O82" s="18" t="inlineStr">
        <is>
          <t>ข้อสอบจริง</t>
        </is>
      </c>
      <c r="P82" s="18" t="inlineStr">
        <is>
          <t>ปี 2554</t>
        </is>
      </c>
    </row>
    <row r="83">
      <c r="A83" s="15" t="inlineStr">
        <is>
          <t>81</t>
        </is>
      </c>
      <c r="B83" s="18" t="inlineStr">
        <is>
          <t>ต่อมาผู้ป่วยอาการไม่ดีขึ้น โดยแพทย์ประเมินว่า อยู่ใน stage2 COPD ยาในข้อใดต่อไปนี้ที่ควรได้รับเพิ่มเติมจาก salbutamol prn</t>
        </is>
      </c>
      <c r="C83" s="18" t="inlineStr"/>
      <c r="D83" s="18" t="inlineStr">
        <is>
          <t>Formoterol</t>
        </is>
      </c>
      <c r="E83" s="18" t="inlineStr">
        <is>
          <t>Ipratropium Br</t>
        </is>
      </c>
      <c r="F83" s="18" t="inlineStr">
        <is>
          <t>Tiotropium Br</t>
        </is>
      </c>
      <c r="G83" s="18" t="inlineStr">
        <is>
          <t>Budesonide</t>
        </is>
      </c>
      <c r="H83" s="18" t="inlineStr">
        <is>
          <t>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t>
        </is>
      </c>
      <c r="I83" s="15" t="inlineStr">
        <is>
          <t>1</t>
        </is>
      </c>
      <c r="J83" s="18" t="inlineStr">
        <is>
          <t>✅ คำตอบที่ถูกต้อง: ข้อ ก. Formoterol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3" s="18" t="inlineStr"/>
      <c r="L83" s="18" t="inlineStr">
        <is>
          <t>Asthma</t>
        </is>
      </c>
      <c r="M83" s="18" t="inlineStr">
        <is>
          <t>Clinic</t>
        </is>
      </c>
      <c r="N83" s="18" t="inlineStr">
        <is>
          <t>ข้อ 13 (PLE_CC1_2554 SET2.md)</t>
        </is>
      </c>
      <c r="O83" s="18" t="inlineStr">
        <is>
          <t>ข้อสอบจริง</t>
        </is>
      </c>
      <c r="P83" s="18" t="inlineStr">
        <is>
          <t>ปี 2554</t>
        </is>
      </c>
    </row>
    <row r="84">
      <c r="A84" s="15" t="inlineStr">
        <is>
          <t>82</t>
        </is>
      </c>
      <c r="B84" s="18" t="inlineStr">
        <is>
          <t>จากการศึกษาปัจจัยการสูบบุหรี่และการเกิดโรคมะเร็งปอด ดังตารางข้างล่างให้คำนวนหาความสัมพันธ์ระหว่างปัจจัยการสูบ บุหรี่และการเกิดโรคมะเร็งปอด สูบบุหรี่ ไม่สูบบุหรี่ เป็นมะเร็ง 200 300 500 ไม่เป็นมะเร็ง 50 450 500 รวม 250 750 1,000</t>
        </is>
      </c>
      <c r="C84" s="18" t="inlineStr"/>
      <c r="D84" s="18" t="inlineStr">
        <is>
          <t>Theophylline 200 mg BID</t>
        </is>
      </c>
      <c r="E84" s="18" t="inlineStr">
        <is>
          <t>Prednisolone 40 mg OD x 5 days</t>
        </is>
      </c>
      <c r="F84" s="18" t="inlineStr">
        <is>
          <t>N-acetylcysteine 600 mg OD</t>
        </is>
      </c>
      <c r="G84" s="18" t="inlineStr">
        <is>
          <t>Beclomethasone MDI 100 mcg BID</t>
        </is>
      </c>
      <c r="H84" s="18" t="inlineStr">
        <is>
          <t>Salbutamol MDI 2 puffs PRN</t>
        </is>
      </c>
      <c r="I84" s="15" t="inlineStr">
        <is>
          <t>1</t>
        </is>
      </c>
      <c r="J84" s="18"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4" s="18" t="inlineStr"/>
      <c r="L84" s="18" t="inlineStr">
        <is>
          <t>Asthma</t>
        </is>
      </c>
      <c r="M84" s="18" t="inlineStr">
        <is>
          <t>Clinic</t>
        </is>
      </c>
      <c r="N84" s="18" t="inlineStr">
        <is>
          <t>ข้อ 7 (PLE_CC1_2533.md)</t>
        </is>
      </c>
      <c r="O84" s="18" t="inlineStr">
        <is>
          <t>ข้อสอบจริง</t>
        </is>
      </c>
      <c r="P84" s="18" t="inlineStr">
        <is>
          <t>ปี 2533</t>
        </is>
      </c>
    </row>
    <row r="85">
      <c r="A85" s="15" t="inlineStr">
        <is>
          <t>83</t>
        </is>
      </c>
      <c r="B85" s="18" t="inlineStr">
        <is>
          <t>การตรวจร่างกายในผู้ป่วย chronic obstructive pulmonary disease (COPD) จะพบผลตรวจดังนี้ ยกเว้น</t>
        </is>
      </c>
      <c r="C85" s="18" t="inlineStr"/>
      <c r="D85" s="18" t="inlineStr">
        <is>
          <t>หายใจเหนื่อยอย่างเรื้อรังและความรุนแรงของอาการเหนื่อยมากขึ้นเรื่อยๆ</t>
        </is>
      </c>
      <c r="E85" s="18" t="inlineStr">
        <is>
          <t>มีอาการไอแบบเรื้อรัง</t>
        </is>
      </c>
      <c r="F85" s="18" t="inlineStr">
        <is>
          <t>ค่า FEV1/FVC เพิ่มขึ้น</t>
        </is>
      </c>
      <c r="G85" s="18" t="inlineStr">
        <is>
          <t>ค่า FEV1/FVC ลดลง</t>
        </is>
      </c>
      <c r="H85" s="18" t="inlineStr">
        <is>
          <t>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5" s="15" t="inlineStr">
        <is>
          <t>1</t>
        </is>
      </c>
      <c r="J85" s="18" t="inlineStr">
        <is>
          <t>✅ คำตอบที่ถูกต้อง: ข้อ ก. หายใจเหนื่อยอย่างเรื้อรังและความรุนแรงของอาการเหนื่อยมากขึ้นเรื่อยๆ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หายใจเหนื่อยอย่างเรื้อรังและความรุนแรงของอาการเหนื่อยมากขึ้นเรื่อยๆ การเลือก หายใจเหนื่อยอย่างเรื้อรังและความรุนแรงของอาการเหนื่อยมากขึ้นเรื่อยๆ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(มีอาการไอแบบเรื้อรัง): ข้อนี้ไม่ใช่คำตอบที่ถูกต้องสำหรับภาวะ Asthma เนื่องจากกลไกการออกฤทธิ์, efficacy หรือข้อบ่งใช้ไม่ตรงกับโจทย์ที่กำหนด
• ข้อ ค. (ค่า FEV1/FVC เพิ่มขึ้น): ข้อนี้ไม่ใช่คำตอบที่ถูกต้องสำหรับภาวะ Asthma เนื่องจากกลไกการออกฤทธิ์, efficacy หรือข้อบ่งใช้ไม่ตรงกับโจทย์ที่กำหนด
• ข้อ ง. (ค่า FEV1/FVC ลดลง): ข้อนี้ไม่ใช่คำตอบที่ถูกต้องสำหรับภาวะ Asthma เนื่องจากกลไกการออกฤทธิ์, efficacy หรือข้อบ่งใช้ไม่ตรงกับโจทย์ที่กำหนด
• ข้อ จ. (ค่า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5" s="18" t="inlineStr"/>
      <c r="L85" s="18" t="inlineStr">
        <is>
          <t>Asthma</t>
        </is>
      </c>
      <c r="M85" s="18" t="inlineStr">
        <is>
          <t>Clinic</t>
        </is>
      </c>
      <c r="N85" s="18" t="inlineStr">
        <is>
          <t>ข้อ 15 (PLE_CC1_Practice_Exam.md)</t>
        </is>
      </c>
      <c r="O85" s="18" t="inlineStr">
        <is>
          <t>Mock</t>
        </is>
      </c>
      <c r="P85" s="18" t="inlineStr">
        <is>
          <t>Mock สภาเภสัชฯ Practice</t>
        </is>
      </c>
    </row>
    <row r="86">
      <c r="A86" s="15" t="inlineStr">
        <is>
          <t>84</t>
        </is>
      </c>
      <c r="B86" s="18" t="inlineStr">
        <is>
          <t>ผู้ป่วยในข้อใดต่อไปนี้ที่มีโอกาสเป็น chronic obstructive pulmonary disease (COPD)</t>
        </is>
      </c>
      <c r="C86" s="18" t="inlineStr"/>
      <c r="D86" s="18" t="inlineStr">
        <is>
          <t>นาย ก สูบบุหรี่วันละ 25 มวน เป็นเวลา 7 ปี</t>
        </is>
      </c>
      <c r="E86" s="18" t="inlineStr">
        <is>
          <t>นาย ข สูบบุหรี่วันละ 2 ซอง เป็นเวลา 15 ปี</t>
        </is>
      </c>
      <c r="F86" s="18" t="inlineStr">
        <is>
          <t>นาย ค สูบบุหรี่วันละ 1 ซอง เป็นเวลา 10 ปี</t>
        </is>
      </c>
      <c r="G86" s="18" t="inlineStr">
        <is>
          <t>นาย ง สูบบุหรี่วันละ 15 มวน เป็นเวลา 5 ปี</t>
        </is>
      </c>
      <c r="H86" s="18"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t>
        </is>
      </c>
      <c r="I86" s="15" t="inlineStr">
        <is>
          <t>1</t>
        </is>
      </c>
      <c r="J86" s="18" t="inlineStr">
        <is>
          <t>✅ คำตอบที่ถูกต้อง: ข้อ ก. นาย ก สูบบุหรี่วันละ 25 มวน เป็นเวลา 7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นาย ก สูบบุหรี่วันละ 25 มวน เป็นเวลา 7 ปี การเลือก นาย ก สูบบุหรี่วันละ 25 มวน เป็นเวลา 7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(นาย ข สูบบุหรี่วันละ 2 ซอง เป็นเวลา 15 ปี): ข้อนี้ไม่ใช่คำตอบที่ถูกต้องสำหรับภาวะ Asthma เนื่องจากกลไกการออกฤทธิ์, efficacy หรือข้อบ่งใช้ไม่ตรงกับโจทย์ที่กำหนด
• ข้อ ค. (นาย ค สูบบุหรี่วันละ 1 ซอง เป็นเวลา 10 ปี): ข้อนี้ไม่ใช่คำตอบที่ถูกต้องสำหรับภาวะ Asthma เนื่องจากกลไกการออกฤทธิ์, efficacy หรือข้อบ่งใช้ไม่ตรงกับโจทย์ที่กำหนด
• ข้อ ง. (นาย ง สูบบุหรี่วันละ 15 มวน เป็นเวลา 5 ปี): ข้อนี้ไม่ใช่คำตอบที่ถูกต้องสำหรับภาวะ Asthma เนื่องจากกลไกการออกฤทธิ์, efficacy หรือข้อบ่งใช้ไม่ตรงกับโจทย์ที่กำหนด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 เป็น hydrophilic cardioselective beta-1 blocker ขับออกทางไตเป็นหลัก แต่ evidence ในการลด stroke และ cardiovascular events ด้อยกว่า antihypertensive อื่นๆ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6" s="18" t="inlineStr"/>
      <c r="L86" s="18" t="inlineStr">
        <is>
          <t>Asthma</t>
        </is>
      </c>
      <c r="M86" s="18" t="inlineStr">
        <is>
          <t>Clinic</t>
        </is>
      </c>
      <c r="N86" s="18" t="inlineStr">
        <is>
          <t>ข้อ 16 (PLE_CC1_Practice_Exam.md)</t>
        </is>
      </c>
      <c r="O86" s="18" t="inlineStr">
        <is>
          <t>Mock</t>
        </is>
      </c>
      <c r="P86" s="18" t="inlineStr">
        <is>
          <t>Mock สภาเภสัชฯ Practice</t>
        </is>
      </c>
    </row>
    <row r="87">
      <c r="A87" s="15" t="inlineStr">
        <is>
          <t>85</t>
        </is>
      </c>
      <c r="B87" s="18" t="inlineStr">
        <is>
          <t>เบื้องต้นสันนิษฐานว่าผู้ป่วยเป็น COPD จากสาเหตุต่อไปนี้ ยกเว้น</t>
        </is>
      </c>
      <c r="C87" s="18" t="inlineStr"/>
      <c r="D87" s="18" t="inlineStr">
        <is>
          <t>สูบบุหรี่วันละ 25 มวน ตั้งแต่อายุ 35 ปี</t>
        </is>
      </c>
      <c r="E87" s="18" t="inlineStr">
        <is>
          <t>ภรรยาสูบบุหรี่ด้วย</t>
        </is>
      </c>
      <c r="F87" s="18" t="inlineStr">
        <is>
          <t>ดื่มสุรา</t>
        </is>
      </c>
      <c r="G87" s="18" t="inlineStr">
        <is>
          <t>เป็นโรคความดันโลหิตสูง</t>
        </is>
      </c>
      <c r="H87" s="18" t="inlineStr">
        <is>
          <t>ค และ ง</t>
        </is>
      </c>
      <c r="I87" s="15" t="inlineStr">
        <is>
          <t>1</t>
        </is>
      </c>
      <c r="J87" s="18" t="inlineStr">
        <is>
          <t>✅ คำตอบที่ถูกต้อง: ข้อ ก. สูบบุหรี่วันละ 25 มวน ตั้งแต่อายุ 35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สูบบุหรี่วันละ 25 มวน ตั้งแต่อายุ 35 ปี การเลือก สูบบุหรี่วันละ 25 มวน ตั้งแต่อายุ 35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(ภรรยาสูบบุหรี่ด้วย): ข้อนี้ไม่ใช่คำตอบที่ถูกต้องสำหรับภาวะ Asthma เนื่องจากกลไกการออกฤทธิ์, efficacy หรือข้อบ่งใช้ไม่ตรงกับโจทย์ที่กำหนด
• ข้อ ค. (ดื่มสุรา): ข้อนี้ไม่ใช่คำตอบที่ถูกต้องสำหรับภาวะ Asthma เนื่องจากกลไกการออกฤทธิ์, efficacy หรือข้อบ่งใช้ไม่ตรงกับโจทย์ที่กำหนด
• ข้อ ง. (เป็นโรคความดันโลหิตสูง): ข้อนี้ไม่ใช่คำตอบที่ถูกต้องสำหรับภาวะ Asthma เนื่องจากกลไกการออกฤทธิ์, efficacy หรือข้อบ่งใช้ไม่ตรงกับโจทย์ที่กำหนด
• ข้อ จ. (ค และ 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7" s="18" t="inlineStr"/>
      <c r="L87" s="18" t="inlineStr">
        <is>
          <t>Asthma</t>
        </is>
      </c>
      <c r="M87" s="18" t="inlineStr">
        <is>
          <t>Clinic</t>
        </is>
      </c>
      <c r="N87" s="18" t="inlineStr">
        <is>
          <t>ข้อ 17 (PLE_CC1_Practice_Exam.md)</t>
        </is>
      </c>
      <c r="O87" s="18" t="inlineStr">
        <is>
          <t>Mock</t>
        </is>
      </c>
      <c r="P87" s="18" t="inlineStr">
        <is>
          <t>Mock สภาเภสัชฯ Practice</t>
        </is>
      </c>
    </row>
    <row r="88">
      <c r="A88" s="15" t="inlineStr">
        <is>
          <t>86</t>
        </is>
      </c>
      <c r="B88" s="18" t="inlineStr">
        <is>
          <t>ข้อใดเป็นผลข้างเคียงของยาพ่น salbutamol</t>
        </is>
      </c>
      <c r="C88" s="18" t="inlineStr"/>
      <c r="D88" s="18" t="inlineStr">
        <is>
          <t>ใจสั่น</t>
        </is>
      </c>
      <c r="E88" s="18" t="inlineStr">
        <is>
          <t>Hyperkalemia</t>
        </is>
      </c>
      <c r="F88" s="18" t="inlineStr">
        <is>
          <t>Bradycardia</t>
        </is>
      </c>
      <c r="G88" s="18" t="inlineStr">
        <is>
          <t>Oral trush</t>
        </is>
      </c>
      <c r="H88" s="18" t="inlineStr">
        <is>
          <t>Osteoporosis</t>
        </is>
      </c>
      <c r="I88" s="15" t="inlineStr">
        <is>
          <t>1</t>
        </is>
      </c>
      <c r="J88" s="18"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 trush): ข้อนี้ไม่ใช่คำตอบที่ถูกต้องสำหรับภาวะ Asthma เนื่องจากกลไกการออกฤทธิ์, efficacy หรือข้อบ่งใช้ไม่ตรงกับโจทย์ที่กำหนด
• ข้อ จ. (Osteoporosis):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8" s="18" t="inlineStr"/>
      <c r="L88" s="18" t="inlineStr">
        <is>
          <t>Asthma</t>
        </is>
      </c>
      <c r="M88" s="18" t="inlineStr">
        <is>
          <t>Clinic</t>
        </is>
      </c>
      <c r="N88" s="18" t="inlineStr">
        <is>
          <t>ข้อ 25 (PLE_CC1_Practice_Exam.md)</t>
        </is>
      </c>
      <c r="O88" s="18" t="inlineStr">
        <is>
          <t>Mock</t>
        </is>
      </c>
      <c r="P88" s="18" t="inlineStr">
        <is>
          <t>Mock สภาเภสัชฯ Practice</t>
        </is>
      </c>
    </row>
    <row r="89">
      <c r="A89" s="15" t="inlineStr">
        <is>
          <t>87</t>
        </is>
      </c>
      <c r="B89" s="18" t="inlineStr">
        <is>
          <t>ต่อมาผู้ป่วยอาการไม่ดีขึ้น โดยแพทย์ประเมินว่าอยู่ใน Group B COPD ยาในข้อใดต่อไปนี้ที่ควรได้รับ เพิ่มเติมจาก salbutamol prn</t>
        </is>
      </c>
      <c r="C89" s="18" t="inlineStr"/>
      <c r="D89" s="18" t="inlineStr">
        <is>
          <t>Fenoterol</t>
        </is>
      </c>
      <c r="E89" s="18" t="inlineStr">
        <is>
          <t>Ipratropium Br</t>
        </is>
      </c>
      <c r="F89" s="18" t="inlineStr">
        <is>
          <t>Tiotropium Br</t>
        </is>
      </c>
      <c r="G89" s="18" t="inlineStr">
        <is>
          <t>Budesonide</t>
        </is>
      </c>
      <c r="H89" s="18" t="inlineStr">
        <is>
          <t>Sodium cromoglycolate</t>
        </is>
      </c>
      <c r="I89" s="15" t="inlineStr">
        <is>
          <t>1</t>
        </is>
      </c>
      <c r="J89" s="18" t="inlineStr">
        <is>
          <t>✅ คำตอบที่ถูกต้อง: ข้อ ก. Fenoterol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Fenoterol การเลือก Fenoterol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9" s="18" t="inlineStr"/>
      <c r="L89" s="18" t="inlineStr">
        <is>
          <t>Asthma</t>
        </is>
      </c>
      <c r="M89" s="18" t="inlineStr">
        <is>
          <t>Clinic</t>
        </is>
      </c>
      <c r="N89" s="18" t="inlineStr">
        <is>
          <t>ข้อ 26 (PLE_CC1_Practice_Exam.md)</t>
        </is>
      </c>
      <c r="O89" s="18" t="inlineStr">
        <is>
          <t>Mock</t>
        </is>
      </c>
      <c r="P89" s="18" t="inlineStr">
        <is>
          <t>Mock สภาเภสัชฯ Practice</t>
        </is>
      </c>
    </row>
    <row r="90">
      <c r="A90" s="15" t="inlineStr">
        <is>
          <t>88</t>
        </is>
      </c>
      <c r="B90" s="18" t="inlineStr">
        <is>
          <t>ข้อใดถูกต้องเกี่ยวกับ ยา Seretideหaccuhaler (salmeterol + fluticasone)</t>
        </is>
      </c>
      <c r="C90" s="18" t="inlineStr"/>
      <c r="D90" s="18" t="inlineStr">
        <is>
          <t>ไม่จำเป็นต้องกลั้วปากและคอหลังพ่นยาเสร็จ</t>
        </is>
      </c>
      <c r="E90" s="18" t="inlineStr">
        <is>
          <t>แนะนำให้พ่นยาต่อเนื่องทุกวัน เพื่อควบคุมอาการ</t>
        </is>
      </c>
      <c r="F90" s="18" t="inlineStr">
        <is>
          <t>ควรเขย่าอุปกรณ์ก่อนพ่นยา เพื่อให้สารขับดันออกฤทธิ์ดีขึ้น</t>
        </is>
      </c>
      <c r="G90" s="18" t="inlineStr">
        <is>
          <t>สามารถใช้พ่นเมื่อเกิดอาการจับหืด เนื่องจากมีการผสมตัวยาแบบออกฤทธิ์เร็วไว้ด้วย</t>
        </is>
      </c>
      <c r="H90" s="18" t="inlineStr">
        <is>
          <t>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t>
        </is>
      </c>
      <c r="I90" s="15" t="inlineStr">
        <is>
          <t>1</t>
        </is>
      </c>
      <c r="J90" s="18" t="inlineStr">
        <is>
          <t>✅ คำตอบที่ถูกต้อง: ข้อ ก. ไม่จำเป็นต้องกลั้วปากและคอหลังพ่นยาเสร็จ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ไม่จำเป็นต้องกลั้วปากและคอหลังพ่นยาเสร็จ การเลือก ไม่จำเป็นต้องกลั้วปากและคอหลังพ่นยาเสร็จ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(แนะนำให้พ่นยาต่อเนื่องทุกวัน เพื่อควบคุมอาการ): ข้อนี้ไม่ใช่คำตอบที่ถูกต้องสำหรับภาวะ Asthma เนื่องจากกลไกการออกฤทธิ์, efficacy หรือข้อบ่งใช้ไม่ตรงกับโจทย์ที่กำหนด
• ข้อ ค. (ควรเขย่าอุปกรณ์ก่อนพ่นยา เพื่อให้สารขับดันออกฤทธิ์ดีขึ้น): ข้อนี้ไม่ใช่คำตอบที่ถูกต้องสำหรับภาวะ Asthma เนื่องจากกลไกการออกฤทธิ์, efficacy หรือข้อบ่งใช้ไม่ตรงกับโจทย์ที่กำหนด
• ข้อ ง. (สามารถใช้พ่นเมื่อเกิดอาการจับหืด เนื่องจากมีการผสมตัวยาแบบออกฤทธิ์เร็วไว้ด้วย): ข้อนี้ไม่ใช่คำตอบที่ถูกต้องสำหรับภาวะ Asthma เนื่องจากกลไกการออกฤทธิ์, efficacy หรือข้อบ่งใช้ไม่ตรงกับโจทย์ที่กำหนด
• ข้อ จ. (ขนาดอนุภาคควรเล็กกว่า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0" s="18" t="inlineStr"/>
      <c r="L90" s="18" t="inlineStr">
        <is>
          <t>Asthma</t>
        </is>
      </c>
      <c r="M90" s="18" t="inlineStr">
        <is>
          <t>Clinic</t>
        </is>
      </c>
      <c r="N90" s="18" t="inlineStr">
        <is>
          <t>ข้อ 28 (PLE_CC1_Practice_Exam.md)</t>
        </is>
      </c>
      <c r="O90" s="18" t="inlineStr">
        <is>
          <t>Mock</t>
        </is>
      </c>
      <c r="P90" s="18" t="inlineStr">
        <is>
          <t>Mock สภาเภสัชฯ Practice</t>
        </is>
      </c>
    </row>
    <row r="91">
      <c r="A91" s="15" t="inlineStr">
        <is>
          <t>89</t>
        </is>
      </c>
      <c r="B91" s="18" t="inlineStr">
        <is>
          <t>ข้อใดคือกลไกการออกฤทธิ์ของยา Theophylline ในการขยายหลอดลม</t>
        </is>
      </c>
      <c r="C91" s="18" t="inlineStr"/>
      <c r="D91" s="18" t="inlineStr">
        <is>
          <t>กระตุ้น β2-adrenergic receptor ที่กล้ามเนื้อเรียบของหลอดลม ทำให้ Adenylyl cyclase เพิ่มขึ้น</t>
        </is>
      </c>
      <c r="E91" s="18" t="inlineStr">
        <is>
          <t>ยับยั้งเอนไซม์ Phosphodiesterase</t>
        </is>
      </c>
      <c r="F91" s="18" t="inlineStr">
        <is>
          <t>จับกับ M3 receptor ที่กล้ามเนื้อเรียบของหลอดลม</t>
        </is>
      </c>
      <c r="G91" s="18" t="inlineStr">
        <is>
          <t>ยับยั้งเอนไซม์ 5-Lipoxygenase</t>
        </is>
      </c>
      <c r="H91" s="18" t="inlineStr">
        <is>
          <t>ออกฤทธิ์เป็น Leukotriene receptor antagonist</t>
        </is>
      </c>
      <c r="I91" s="15" t="inlineStr">
        <is>
          <t>1</t>
        </is>
      </c>
      <c r="J91" s="18" t="inlineStr">
        <is>
          <t>✅ คำตอบที่ถูกต้อง: ข้อ ก. กระตุ้น β2-adrenergic receptor ที่กล้ามเนื้อเรียบของหลอดลม ทำให้ Adenylyl cyclase เพิ่มขึ้น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กระตุ้น β2-adrenergic receptor ที่กล้ามเนื้อเรียบของหลอดลม ทำให้ Adenylyl cyclase เพิ่มขึ้น การเลือก กระตุ้น β2-adrenergic receptor ที่กล้ามเนื้อเรียบของหลอดลม ทำให้ Adenylyl cyclase เพิ่มขึ้น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(ยับยั้งเอนไซม์ Phosphodiesterase): ข้อนี้ไม่ใช่คำตอบที่ถูกต้องสำหรับภาวะ Asthma เนื่องจากกลไกการออกฤทธิ์, efficacy หรือข้อบ่งใช้ไม่ตรงกับโจทย์ที่กำหนด
• ข้อ ค. (จับกับ M3 receptor ที่กล้ามเนื้อเรียบของหลอดลม): ข้อนี้ไม่ใช่คำตอบที่ถูกต้องสำหรับภาวะ Asthma เนื่องจากกลไกการออกฤทธิ์, efficacy หรือข้อบ่งใช้ไม่ตรงกับโจทย์ที่กำหนด
• ข้อ ง. (ยับยั้งเอนไซม์ 5-Lipoxygenase): ข้อนี้ไม่ใช่คำตอบที่ถูกต้องสำหรับภาวะ Asthma เนื่องจากกลไกการออกฤทธิ์, efficacy หรือข้อบ่งใช้ไม่ตรงกับโจทย์ที่กำหนด
• ข้อ จ. (ออกฤทธิ์เป็น Leukotriene receptor antagonist):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1" s="18" t="inlineStr"/>
      <c r="L91" s="18" t="inlineStr">
        <is>
          <t>Asthma</t>
        </is>
      </c>
      <c r="M91" s="18" t="inlineStr">
        <is>
          <t>Clinic</t>
        </is>
      </c>
      <c r="N91" s="18" t="inlineStr">
        <is>
          <t>ข้อ 35 (PLE_CC1_Practice_Exam.md)</t>
        </is>
      </c>
      <c r="O91" s="18" t="inlineStr">
        <is>
          <t>Mock</t>
        </is>
      </c>
      <c r="P91" s="18" t="inlineStr">
        <is>
          <t>Mock สภาเภสัชฯ Practice</t>
        </is>
      </c>
    </row>
    <row r="92">
      <c r="A92" s="15" t="inlineStr">
        <is>
          <t>90</t>
        </is>
      </c>
      <c r="B92" s="18" t="inlineStr">
        <is>
          <t>มีประวัติโรคหอบหืด</t>
        </is>
      </c>
      <c r="C92" s="18" t="inlineStr"/>
      <c r="D92" s="18" t="inlineStr">
        <is>
          <t>Salbutamol MDI 2 puffs PRN</t>
        </is>
      </c>
      <c r="E92" s="18" t="inlineStr">
        <is>
          <t>Budesonide/Formoterol 160/4.5 mcg DPI BID</t>
        </is>
      </c>
      <c r="F92" s="18" t="inlineStr">
        <is>
          <t>Fluticasone/Salmeterol 250/50 mcg DPI BID</t>
        </is>
      </c>
      <c r="G92" s="18" t="inlineStr">
        <is>
          <t>Tiotropium Respimat 2.5 mcg 2 puffs OD</t>
        </is>
      </c>
      <c r="H92" s="18" t="inlineStr">
        <is>
          <t>Ipratropium/Fenoterol MDI PRN</t>
        </is>
      </c>
      <c r="I92" s="15" t="inlineStr">
        <is>
          <t>1</t>
        </is>
      </c>
      <c r="J92" s="18"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2" s="18" t="inlineStr"/>
      <c r="L92" s="18" t="inlineStr">
        <is>
          <t>Asthma</t>
        </is>
      </c>
      <c r="M92" s="18" t="inlineStr">
        <is>
          <t>Clinic</t>
        </is>
      </c>
      <c r="N92" s="18" t="inlineStr">
        <is>
          <t>ข้อ 3 (PLE_CC1_Practice_Exam.md)</t>
        </is>
      </c>
      <c r="O92" s="18" t="inlineStr">
        <is>
          <t>Mock</t>
        </is>
      </c>
      <c r="P92" s="18" t="inlineStr">
        <is>
          <t>Mock สภาเภสัชฯ Practice</t>
        </is>
      </c>
    </row>
    <row r="93">
      <c r="A93" s="15" t="inlineStr">
        <is>
          <t>91</t>
        </is>
      </c>
      <c r="B93" s="18" t="inlineStr">
        <is>
          <t>กานพลู กระเทียม เด่นเรื่องลดไขมัน Case 2: Asthma CASE 2 ผู้ป่วย Asthma มีค่า FEV1 = 70% มีอาการ Asthma Attack ตอนกลางคืนมากกว่า 3 ครั้ง ต่อเดือน, กลางวันมากกว่า 3 ครั้ง ต่อสัปดาห์ ยาที่ใช้คือ Salbutamol MDI 2 puff prn + Budesonide Inhaler</t>
        </is>
      </c>
      <c r="C93" s="18" t="inlineStr"/>
      <c r="D93" s="18" t="inlineStr">
        <is>
          <t>Tiotropium Respimat 2.5 mcg 2 puffs OD</t>
        </is>
      </c>
      <c r="E93" s="18" t="inlineStr">
        <is>
          <t>Ipratropium/Fenoterol MDI PRN</t>
        </is>
      </c>
      <c r="F93" s="18" t="inlineStr">
        <is>
          <t>Montelukast 10 mg HS</t>
        </is>
      </c>
      <c r="G93" s="18" t="inlineStr">
        <is>
          <t>Theophylline 200 mg BID</t>
        </is>
      </c>
      <c r="H93" s="18" t="inlineStr">
        <is>
          <t>Prednisolone 40 mg OD x 5 days</t>
        </is>
      </c>
      <c r="I93" s="15" t="inlineStr">
        <is>
          <t>1</t>
        </is>
      </c>
      <c r="J93" s="18"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3" s="18" t="inlineStr"/>
      <c r="L93" s="18" t="inlineStr">
        <is>
          <t>Asthma</t>
        </is>
      </c>
      <c r="M93" s="18" t="inlineStr">
        <is>
          <t>Clinic</t>
        </is>
      </c>
      <c r="N93" s="18" t="inlineStr">
        <is>
          <t>ข้อ 5 (PLE_CC1_Key_Rx20_UBU.md)</t>
        </is>
      </c>
      <c r="O93" s="18" t="inlineStr">
        <is>
          <t>Mock</t>
        </is>
      </c>
      <c r="P93" s="18" t="inlineStr">
        <is>
          <t>Mock Rx20 UBU</t>
        </is>
      </c>
    </row>
    <row r="94">
      <c r="A94" s="15" t="inlineStr">
        <is>
          <t>92</t>
        </is>
      </c>
      <c r="B94" s="18" t="inlineStr">
        <is>
          <t>ข้อใดไม่ใช่ปัจจัยกระตุ้นของโรคหอบหืด</t>
        </is>
      </c>
      <c r="C94" s="18" t="inlineStr"/>
      <c r="D94" s="18" t="inlineStr">
        <is>
          <t>Theophylline 200 mg BID</t>
        </is>
      </c>
      <c r="E94" s="18" t="inlineStr">
        <is>
          <t>Prednisolone 40 mg OD x 5 days</t>
        </is>
      </c>
      <c r="F94" s="18" t="inlineStr">
        <is>
          <t>N-acetylcysteine 600 mg OD</t>
        </is>
      </c>
      <c r="G94" s="18" t="inlineStr">
        <is>
          <t>Beclomethasone MDI 100 mcg BID</t>
        </is>
      </c>
      <c r="H94" s="18" t="inlineStr">
        <is>
          <t>Salbutamol MDI 2 puffs PRN</t>
        </is>
      </c>
      <c r="I94" s="15" t="inlineStr">
        <is>
          <t>1</t>
        </is>
      </c>
      <c r="J94" s="18"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4" s="18" t="inlineStr"/>
      <c r="L94" s="18" t="inlineStr">
        <is>
          <t>Asthma</t>
        </is>
      </c>
      <c r="M94" s="18" t="inlineStr">
        <is>
          <t>Clinic</t>
        </is>
      </c>
      <c r="N94" s="18" t="inlineStr">
        <is>
          <t>ข้อ 10 (PLE_CC1_Key_Rx20_UBU.md)</t>
        </is>
      </c>
      <c r="O94" s="18" t="inlineStr">
        <is>
          <t>Mock</t>
        </is>
      </c>
      <c r="P94" s="18" t="inlineStr">
        <is>
          <t>Mock Rx20 UBU</t>
        </is>
      </c>
    </row>
    <row r="95">
      <c r="A95" s="15" t="inlineStr">
        <is>
          <t>93</t>
        </is>
      </c>
      <c r="B95" s="18" t="inlineStr">
        <is>
          <t>ข้อใดคือความต่างของ Asthma กับ COPD</t>
        </is>
      </c>
      <c r="C95" s="18" t="inlineStr"/>
      <c r="D95" s="18" t="inlineStr">
        <is>
          <t>Beclomethasone MDI 100 mcg BID</t>
        </is>
      </c>
      <c r="E95" s="18" t="inlineStr">
        <is>
          <t>Salbutamol MDI 2 puffs PRN</t>
        </is>
      </c>
      <c r="F95" s="18" t="inlineStr">
        <is>
          <t>Budesonide/Formoterol 160/4.5 mcg DPI BID</t>
        </is>
      </c>
      <c r="G95" s="18" t="inlineStr">
        <is>
          <t>Fluticasone/Salmeterol 250/50 mcg DPI BID</t>
        </is>
      </c>
      <c r="H95" s="18" t="inlineStr">
        <is>
          <t>Tiotropium Respimat 2.5 mcg 2 puffs OD</t>
        </is>
      </c>
      <c r="I95" s="15" t="inlineStr">
        <is>
          <t>1</t>
        </is>
      </c>
      <c r="J95" s="18"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5" s="18" t="inlineStr"/>
      <c r="L95" s="18" t="inlineStr">
        <is>
          <t>Asthma</t>
        </is>
      </c>
      <c r="M95" s="18" t="inlineStr">
        <is>
          <t>Clinic</t>
        </is>
      </c>
      <c r="N95" s="18" t="inlineStr">
        <is>
          <t>ข้อ 11 (PLE_CC1_Key_Rx20_UBU.md)</t>
        </is>
      </c>
      <c r="O95" s="18" t="inlineStr">
        <is>
          <t>Mock</t>
        </is>
      </c>
      <c r="P95" s="18" t="inlineStr">
        <is>
          <t>Mock Rx20 UBU</t>
        </is>
      </c>
    </row>
    <row r="96">
      <c r="A96" s="15" t="inlineStr">
        <is>
          <t>94</t>
        </is>
      </c>
      <c r="B96" s="18" t="inlineStr">
        <is>
          <t>Asthma เกิดจากหลอดลมอักเสบเรื้อรัง</t>
        </is>
      </c>
      <c r="C96" s="18" t="inlineStr"/>
      <c r="D96" s="18" t="inlineStr">
        <is>
          <t>Fluticasone/Salmeterol 250/50 mcg DPI BID</t>
        </is>
      </c>
      <c r="E96" s="18" t="inlineStr">
        <is>
          <t>Tiotropium Respimat 2.5 mcg 2 puffs OD</t>
        </is>
      </c>
      <c r="F96" s="18" t="inlineStr">
        <is>
          <t>Ipratropium/Fenoterol MDI PRN</t>
        </is>
      </c>
      <c r="G96" s="18" t="inlineStr">
        <is>
          <t>Montelukast 10 mg HS</t>
        </is>
      </c>
      <c r="H96" s="18" t="inlineStr">
        <is>
          <t>Theophylline 200 mg BID</t>
        </is>
      </c>
      <c r="I96" s="15" t="inlineStr">
        <is>
          <t>1</t>
        </is>
      </c>
      <c r="J96" s="18"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6" s="18" t="inlineStr"/>
      <c r="L96" s="18" t="inlineStr">
        <is>
          <t>Asthma</t>
        </is>
      </c>
      <c r="M96" s="18" t="inlineStr">
        <is>
          <t>Clinic</t>
        </is>
      </c>
      <c r="N96" s="18" t="inlineStr">
        <is>
          <t>ข้อ 1 (PLE_CC1_Key_Rx20_UBU.md)</t>
        </is>
      </c>
      <c r="O96" s="18" t="inlineStr">
        <is>
          <t>Mock</t>
        </is>
      </c>
      <c r="P96" s="18" t="inlineStr">
        <is>
          <t>Mock Rx20 UBU</t>
        </is>
      </c>
    </row>
    <row r="97">
      <c r="A97" s="15" t="inlineStr">
        <is>
          <t>95</t>
        </is>
      </c>
      <c r="B97" s="18" t="inlineStr">
        <is>
          <t>Asthma reverse ได้</t>
        </is>
      </c>
      <c r="C97" s="18" t="inlineStr"/>
      <c r="D97" s="18" t="inlineStr">
        <is>
          <t>Montelukast 10 mg HS</t>
        </is>
      </c>
      <c r="E97" s="18" t="inlineStr">
        <is>
          <t>Theophylline 200 mg BID</t>
        </is>
      </c>
      <c r="F97" s="18" t="inlineStr">
        <is>
          <t>Prednisolone 40 mg OD x 5 days</t>
        </is>
      </c>
      <c r="G97" s="18" t="inlineStr">
        <is>
          <t>N-acetylcysteine 600 mg OD</t>
        </is>
      </c>
      <c r="H97" s="18" t="inlineStr">
        <is>
          <t>Beclomethasone MDI 100 mcg BID</t>
        </is>
      </c>
      <c r="I97" s="15" t="inlineStr">
        <is>
          <t>1</t>
        </is>
      </c>
      <c r="J97" s="18"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7" s="18" t="inlineStr"/>
      <c r="L97" s="18" t="inlineStr">
        <is>
          <t>Asthma</t>
        </is>
      </c>
      <c r="M97" s="18" t="inlineStr">
        <is>
          <t>Clinic</t>
        </is>
      </c>
      <c r="N97" s="18" t="inlineStr">
        <is>
          <t>ข้อ 2 (PLE_CC1_Key_Rx20_UBU.md)</t>
        </is>
      </c>
      <c r="O97" s="18" t="inlineStr">
        <is>
          <t>Mock</t>
        </is>
      </c>
      <c r="P97" s="18" t="inlineStr">
        <is>
          <t>Mock Rx20 UBU</t>
        </is>
      </c>
    </row>
    <row r="98">
      <c r="A98" s="15" t="inlineStr">
        <is>
          <t>96</t>
        </is>
      </c>
      <c r="B98" s="18" t="inlineStr">
        <is>
          <t>Asthma มีการหลั่ง สารอักเสบออกมามาก</t>
        </is>
      </c>
      <c r="C98" s="18" t="inlineStr"/>
      <c r="D98" s="18" t="inlineStr">
        <is>
          <t>N-acetylcysteine 600 mg OD</t>
        </is>
      </c>
      <c r="E98" s="18" t="inlineStr">
        <is>
          <t>Beclomethasone MDI 100 mcg BID</t>
        </is>
      </c>
      <c r="F98" s="18" t="inlineStr">
        <is>
          <t>Salbutamol MDI 2 puffs PRN</t>
        </is>
      </c>
      <c r="G98" s="18" t="inlineStr">
        <is>
          <t>Budesonide/Formoterol 160/4.5 mcg DPI BID</t>
        </is>
      </c>
      <c r="H98" s="18" t="inlineStr">
        <is>
          <t>Fluticasone/Salmeterol 250/50 mcg DPI BID</t>
        </is>
      </c>
      <c r="I98" s="15" t="inlineStr">
        <is>
          <t>1</t>
        </is>
      </c>
      <c r="J98" s="18"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 s="18" t="inlineStr"/>
      <c r="L98" s="18" t="inlineStr">
        <is>
          <t>Asthma</t>
        </is>
      </c>
      <c r="M98" s="18" t="inlineStr">
        <is>
          <t>Clinic</t>
        </is>
      </c>
      <c r="N98" s="18" t="inlineStr">
        <is>
          <t>ข้อ 3 (PLE_CC1_Key_Rx20_UBU.md)</t>
        </is>
      </c>
      <c r="O98" s="18" t="inlineStr">
        <is>
          <t>Mock</t>
        </is>
      </c>
      <c r="P98" s="18" t="inlineStr">
        <is>
          <t>Mock Rx20 UBU</t>
        </is>
      </c>
    </row>
    <row r="99">
      <c r="A99" s="15" t="inlineStr">
        <is>
          <t>97</t>
        </is>
      </c>
      <c r="B99" s="18" t="inlineStr">
        <is>
          <t>ไม่มีข้อใดถูก Asthma reverse COPD irreverse 12.ระบุ stage asthma โดยที่ผู้ป่วยหอบ 3 ครั้ง /เดือน มีอาการตอนกลางคืน 3 ครั้ง ต่อสัปดาห์</t>
        </is>
      </c>
      <c r="C99" s="18" t="inlineStr"/>
      <c r="D99" s="18" t="inlineStr">
        <is>
          <t>Budesonide/Formoterol 160/4.5 mcg DPI BID</t>
        </is>
      </c>
      <c r="E99" s="18" t="inlineStr">
        <is>
          <t>Fluticasone/Salmeterol 250/50 mcg DPI BID</t>
        </is>
      </c>
      <c r="F99" s="18" t="inlineStr">
        <is>
          <t>Tiotropium Respimat 2.5 mcg 2 puffs OD</t>
        </is>
      </c>
      <c r="G99" s="18" t="inlineStr">
        <is>
          <t>Ipratropium/Fenoterol MDI PRN</t>
        </is>
      </c>
      <c r="H99" s="18" t="inlineStr">
        <is>
          <t>Montelukast 10 mg HS</t>
        </is>
      </c>
      <c r="I99" s="15" t="inlineStr">
        <is>
          <t>1</t>
        </is>
      </c>
      <c r="J99" s="18"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9" s="18" t="inlineStr"/>
      <c r="L99" s="18" t="inlineStr">
        <is>
          <t>Asthma</t>
        </is>
      </c>
      <c r="M99" s="18" t="inlineStr">
        <is>
          <t>Clinic</t>
        </is>
      </c>
      <c r="N99" s="18" t="inlineStr">
        <is>
          <t>ข้อ 5 (PLE_CC1_Key_Rx20_UBU.md)</t>
        </is>
      </c>
      <c r="O99" s="18" t="inlineStr">
        <is>
          <t>Mock</t>
        </is>
      </c>
      <c r="P99" s="18" t="inlineStr">
        <is>
          <t>Mock Rx20 UBU</t>
        </is>
      </c>
    </row>
    <row r="100">
      <c r="A100" s="15" t="inlineStr">
        <is>
          <t>98</t>
        </is>
      </c>
      <c r="B100" s="18" t="inlineStr">
        <is>
          <t>ยาเข้าไปในปอดได้เร็วขึ้น</t>
        </is>
      </c>
      <c r="C100" s="18" t="inlineStr"/>
      <c r="D100" s="18" t="inlineStr">
        <is>
          <t>Ipratropium/Fenoterol MDI PRN</t>
        </is>
      </c>
      <c r="E100" s="18" t="inlineStr">
        <is>
          <t>Montelukast 10 mg HS</t>
        </is>
      </c>
      <c r="F100" s="18" t="inlineStr">
        <is>
          <t>Theophylline 200 mg BID</t>
        </is>
      </c>
      <c r="G100" s="18" t="inlineStr">
        <is>
          <t>Prednisolone 40 mg OD x 5 days</t>
        </is>
      </c>
      <c r="H100" s="18" t="inlineStr">
        <is>
          <t>N-acetylcysteine 600 mg OD</t>
        </is>
      </c>
      <c r="I100" s="15" t="inlineStr">
        <is>
          <t>1</t>
        </is>
      </c>
      <c r="J100" s="18"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0" s="18" t="inlineStr"/>
      <c r="L100" s="18" t="inlineStr">
        <is>
          <t>Asthma</t>
        </is>
      </c>
      <c r="M100" s="18" t="inlineStr">
        <is>
          <t>Clinic</t>
        </is>
      </c>
      <c r="N100" s="18" t="inlineStr">
        <is>
          <t>ข้อ 1 (PLE_CC1_Key_Rx20_UBU.md)</t>
        </is>
      </c>
      <c r="O100" s="18" t="inlineStr">
        <is>
          <t>Mock</t>
        </is>
      </c>
      <c r="P100" s="18" t="inlineStr">
        <is>
          <t>Mock Rx20 UBU</t>
        </is>
      </c>
    </row>
    <row r="101">
      <c r="A101" s="15" t="inlineStr">
        <is>
          <t>99</t>
        </is>
      </c>
      <c r="B101" s="18" t="inlineStr">
        <is>
          <t>ยาเข้าไปในปอดได้มากขึ้น</t>
        </is>
      </c>
      <c r="C101" s="18" t="inlineStr"/>
      <c r="D101" s="18" t="inlineStr">
        <is>
          <t>Prednisolone 40 mg OD x 5 days</t>
        </is>
      </c>
      <c r="E101" s="18" t="inlineStr">
        <is>
          <t>N-acetylcysteine 600 mg OD</t>
        </is>
      </c>
      <c r="F101" s="18" t="inlineStr">
        <is>
          <t>Beclomethasone MDI 100 mcg BID</t>
        </is>
      </c>
      <c r="G101" s="18" t="inlineStr">
        <is>
          <t>Salbutamol MDI 2 puffs PRN</t>
        </is>
      </c>
      <c r="H101" s="18" t="inlineStr">
        <is>
          <t>Budesonide/Formoterol 160/4.5 mcg DPI BID</t>
        </is>
      </c>
      <c r="I101" s="15" t="inlineStr">
        <is>
          <t>1</t>
        </is>
      </c>
      <c r="J101" s="18"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01" s="18" t="inlineStr"/>
      <c r="L101" s="18" t="inlineStr">
        <is>
          <t>Asthma</t>
        </is>
      </c>
      <c r="M101" s="18" t="inlineStr">
        <is>
          <t>Clinic</t>
        </is>
      </c>
      <c r="N101" s="18" t="inlineStr">
        <is>
          <t>ข้อ 2 (PLE_CC1_Key_Rx20_UBU.md)</t>
        </is>
      </c>
      <c r="O101" s="18" t="inlineStr">
        <is>
          <t>Mock</t>
        </is>
      </c>
      <c r="P101" s="18" t="inlineStr">
        <is>
          <t>Mock Rx20 UBU</t>
        </is>
      </c>
    </row>
    <row r="102">
      <c r="A102" s="15" t="inlineStr">
        <is>
          <t>100</t>
        </is>
      </c>
      <c r="B102" s="18" t="inlineStr">
        <is>
          <t>ยาเก็บได้นานขึ้น Spacer ช่วยให้ ยาเข้าไปในปอดได้มากขึ้น</t>
        </is>
      </c>
      <c r="C102" s="18" t="inlineStr"/>
      <c r="D102" s="18" t="inlineStr">
        <is>
          <t>Salbutamol MDI 2 puffs PRN</t>
        </is>
      </c>
      <c r="E102" s="18" t="inlineStr">
        <is>
          <t>Budesonide/Formoterol 160/4.5 mcg DPI BID</t>
        </is>
      </c>
      <c r="F102" s="18" t="inlineStr">
        <is>
          <t>Fluticasone/Salmeterol 250/50 mcg DPI BID</t>
        </is>
      </c>
      <c r="G102" s="18" t="inlineStr">
        <is>
          <t>Tiotropium Respimat 2.5 mcg 2 puffs OD</t>
        </is>
      </c>
      <c r="H102" s="18" t="inlineStr">
        <is>
          <t>Ipratropium/Fenoterol MDI PRN</t>
        </is>
      </c>
      <c r="I102" s="15" t="inlineStr">
        <is>
          <t>1</t>
        </is>
      </c>
      <c r="J102" s="18"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2" s="18" t="inlineStr"/>
      <c r="L102" s="18" t="inlineStr">
        <is>
          <t>Asthma</t>
        </is>
      </c>
      <c r="M102" s="18" t="inlineStr">
        <is>
          <t>Clinic</t>
        </is>
      </c>
      <c r="N102" s="18" t="inlineStr">
        <is>
          <t>ข้อ 5 (PLE_CC1_Key_Rx20_UBU.md)</t>
        </is>
      </c>
      <c r="O102" s="18" t="inlineStr">
        <is>
          <t>Mock</t>
        </is>
      </c>
      <c r="P102" s="18" t="inlineStr">
        <is>
          <t>Mock Rx20 UBU</t>
        </is>
      </c>
    </row>
    <row r="103">
      <c r="A103" s="15" t="inlineStr">
        <is>
          <t>101</t>
        </is>
      </c>
      <c r="B103" s="18" t="inlineStr">
        <is>
          <t>ยา Budesonide inhaler ของผู้ป่วยหมด จึงมาขอยาเพิ่มที่โรงพยาบาลสามารถจ่ายได้หรือไม่</t>
        </is>
      </c>
      <c r="C103" s="18" t="inlineStr"/>
      <c r="D103" s="18" t="inlineStr">
        <is>
          <t>Tiotropium Respimat 2.5 mcg 2 puffs OD</t>
        </is>
      </c>
      <c r="E103" s="18" t="inlineStr">
        <is>
          <t>Ipratropium/Fenoterol MDI PRN</t>
        </is>
      </c>
      <c r="F103" s="18" t="inlineStr">
        <is>
          <t>Montelukast 10 mg HS</t>
        </is>
      </c>
      <c r="G103" s="18" t="inlineStr">
        <is>
          <t>Theophylline 200 mg BID</t>
        </is>
      </c>
      <c r="H103" s="18" t="inlineStr">
        <is>
          <t>Prednisolone 40 mg OD x 5 days</t>
        </is>
      </c>
      <c r="I103" s="15" t="inlineStr">
        <is>
          <t>1</t>
        </is>
      </c>
      <c r="J103" s="18"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3" s="18" t="inlineStr"/>
      <c r="L103" s="18" t="inlineStr">
        <is>
          <t>Asthma</t>
        </is>
      </c>
      <c r="M103" s="18" t="inlineStr">
        <is>
          <t>Clinic</t>
        </is>
      </c>
      <c r="N103" s="18" t="inlineStr">
        <is>
          <t>ข้อ 19 (PLE_CC1_Key_Rx20_UBU.md)</t>
        </is>
      </c>
      <c r="O103" s="18" t="inlineStr">
        <is>
          <t>Mock</t>
        </is>
      </c>
      <c r="P103" s="18" t="inlineStr">
        <is>
          <t>Mock Rx20 UBU</t>
        </is>
      </c>
    </row>
    <row r="104">
      <c r="A104" s="15" t="inlineStr">
        <is>
          <t>102</t>
        </is>
      </c>
      <c r="B104" s="18" t="inlineStr">
        <is>
          <t>ญาติสายตรงเป็นมะเร็งปอด</t>
        </is>
      </c>
      <c r="C104" s="18" t="inlineStr"/>
      <c r="D104" s="18" t="inlineStr">
        <is>
          <t>Theophylline 200 mg BID</t>
        </is>
      </c>
      <c r="E104" s="18" t="inlineStr">
        <is>
          <t>Prednisolone 40 mg OD x 5 days</t>
        </is>
      </c>
      <c r="F104" s="18" t="inlineStr">
        <is>
          <t>N-acetylcysteine 600 mg OD</t>
        </is>
      </c>
      <c r="G104" s="18" t="inlineStr">
        <is>
          <t>Beclomethasone MDI 100 mcg BID</t>
        </is>
      </c>
      <c r="H104" s="18" t="inlineStr">
        <is>
          <t>Salbutamol MDI 2 puffs PRN</t>
        </is>
      </c>
      <c r="I104" s="15" t="inlineStr">
        <is>
          <t>1</t>
        </is>
      </c>
      <c r="J104" s="18"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4" s="18" t="inlineStr"/>
      <c r="L104" s="18" t="inlineStr">
        <is>
          <t>Asthma</t>
        </is>
      </c>
      <c r="M104" s="18" t="inlineStr">
        <is>
          <t>Clinic</t>
        </is>
      </c>
      <c r="N104" s="18" t="inlineStr">
        <is>
          <t>ข้อ 4 (PLE_CC1_Key_Rx20_UBU.md)</t>
        </is>
      </c>
      <c r="O104" s="18" t="inlineStr">
        <is>
          <t>Mock</t>
        </is>
      </c>
      <c r="P104" s="18" t="inlineStr">
        <is>
          <t>Mock Rx20 UBU</t>
        </is>
      </c>
    </row>
    <row r="105">
      <c r="A105" s="15" t="inlineStr">
        <is>
          <t>103</t>
        </is>
      </c>
      <c r="B105" s="18" t="inlineStr">
        <is>
          <t>เป็นเอดส์แน่นอน Acquired Immune Deficiency Syndrome : AIDS เป็นกลุ่มอาการเจ็บป่วยที่เกิดขึ้นเพราะร่างกายได้รับเชื้อไวรัสเอชไอวี (HIV) ซึ่งจะเข้าไปทำลายเม็ดเลือดขาว ที่เป็นแหล่งสร้างภูมิคุ้มกันโรค ทำให้ภูมิคุ้มกันโรคลดน้อยลง จึงทำให้ติดเชื้อโรคฉวยโอกาส แทรกซ้อนเข้าสู่ร่างกายได้ง่ายขึ้น เช่น วัณโรคในปอด หรือต่อมน้ำเหลือง เยื่อหุ้มสมองอักเสบจากเชื้อรา</t>
        </is>
      </c>
      <c r="C105" s="18" t="inlineStr"/>
      <c r="D105" s="18" t="inlineStr">
        <is>
          <t>Beclomethasone MDI 100 mcg BID</t>
        </is>
      </c>
      <c r="E105" s="18" t="inlineStr">
        <is>
          <t>Salbutamol MDI 2 puffs PRN</t>
        </is>
      </c>
      <c r="F105" s="18" t="inlineStr">
        <is>
          <t>Budesonide/Formoterol 160/4.5 mcg DPI BID</t>
        </is>
      </c>
      <c r="G105" s="18" t="inlineStr">
        <is>
          <t>Fluticasone/Salmeterol 250/50 mcg DPI BID</t>
        </is>
      </c>
      <c r="H105" s="18" t="inlineStr">
        <is>
          <t>Tiotropium Respimat 2.5 mcg 2 puffs OD</t>
        </is>
      </c>
      <c r="I105" s="15" t="inlineStr">
        <is>
          <t>1</t>
        </is>
      </c>
      <c r="J105" s="18"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18" t="inlineStr"/>
      <c r="L105" s="18" t="inlineStr">
        <is>
          <t>Asthma</t>
        </is>
      </c>
      <c r="M105" s="18" t="inlineStr">
        <is>
          <t>Clinic</t>
        </is>
      </c>
      <c r="N105" s="18" t="inlineStr">
        <is>
          <t>ข้อ 4 (PLE_CC1_Key_Rx20_UBU.md)</t>
        </is>
      </c>
      <c r="O105" s="18" t="inlineStr">
        <is>
          <t>Mock</t>
        </is>
      </c>
      <c r="P105" s="18" t="inlineStr">
        <is>
          <t>Mock Rx20 UBU</t>
        </is>
      </c>
    </row>
    <row r="106">
      <c r="A106" s="15" t="inlineStr">
        <is>
          <t>104</t>
        </is>
      </c>
      <c r="B106" s="18" t="inlineStr">
        <is>
          <t>ยาที่วิเคราะห์ได้ 85% จากเกณฑ์มาตรฐานต่ำสุดที่กำหนด เพลง ส่วนท้าย (102-120) กรณีศึกษาที่ 11 Asthma + Sinusitis ผู้ป่วยหญิง มีประวัติเป็นโรคหอบหืดมา 10 ปี มาพบแพทย์ ด้วยอาการของ acute sinusitis โดยเล่าด้วยว่ามีอาการหอบหืดกำเริบเดือนละ 5 ครั้ง และมีอาการหอบตอนกลางคืนบ่อยๆ มีการใช้ยาบรรเทาอาการอยู่เป็นประจำ โดยยาที่ผู้ป่วยได้รับคือ Salbutamol MDI prn, Budesonide inhaler 2 puff bid และ Theophylline 200 mg 1x1 hs</t>
        </is>
      </c>
      <c r="C106" s="18" t="inlineStr"/>
      <c r="D106" s="18" t="inlineStr">
        <is>
          <t>Fluticasone/Salmeterol 250/50 mcg DPI BID</t>
        </is>
      </c>
      <c r="E106" s="18" t="inlineStr">
        <is>
          <t>Tiotropium Respimat 2.5 mcg 2 puffs OD</t>
        </is>
      </c>
      <c r="F106" s="18" t="inlineStr">
        <is>
          <t>Ipratropium/Fenoterol MDI PRN</t>
        </is>
      </c>
      <c r="G106" s="18" t="inlineStr">
        <is>
          <t>Montelukast 10 mg HS</t>
        </is>
      </c>
      <c r="H106" s="18" t="inlineStr">
        <is>
          <t>Theophylline 200 mg BID</t>
        </is>
      </c>
      <c r="I106" s="15" t="inlineStr">
        <is>
          <t>2</t>
        </is>
      </c>
      <c r="J106" s="18" t="inlineStr">
        <is>
          <t>✅ คำตอบที่ถูกต้อง: ข้อ ข.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(Fluticasone/Salmeterol 250/50 mcg DPI BID): เป็น potent ICS มี high topical potency และ systemic bioavailability ต่ำ ใช้เป็น maintenance anti-inflammatory controller ใน moderate-to-severe asthma และ COPD with high eosinophils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6" s="18" t="inlineStr"/>
      <c r="L106" s="18" t="inlineStr">
        <is>
          <t>Asthma</t>
        </is>
      </c>
      <c r="M106" s="18" t="inlineStr">
        <is>
          <t>Clinic</t>
        </is>
      </c>
      <c r="N106" s="18" t="inlineStr">
        <is>
          <t>ข้อ 5 (PLE_CC1_Key_Rx20_UBU.md)</t>
        </is>
      </c>
      <c r="O106" s="18" t="inlineStr">
        <is>
          <t>Mock</t>
        </is>
      </c>
      <c r="P106" s="18" t="inlineStr">
        <is>
          <t>Mock Rx20 UBU</t>
        </is>
      </c>
    </row>
    <row r="107">
      <c r="A107" s="15" t="inlineStr">
        <is>
          <t>105</t>
        </is>
      </c>
      <c r="B107" s="18" t="inlineStr">
        <is>
          <t>เพิ่มขนาดยา Theophylline</t>
        </is>
      </c>
      <c r="C107" s="18" t="inlineStr"/>
      <c r="D107" s="18" t="inlineStr">
        <is>
          <t>Montelukast 10 mg HS</t>
        </is>
      </c>
      <c r="E107" s="18" t="inlineStr">
        <is>
          <t>Theophylline 200 mg BID</t>
        </is>
      </c>
      <c r="F107" s="18" t="inlineStr">
        <is>
          <t>Prednisolone 40 mg OD x 5 days</t>
        </is>
      </c>
      <c r="G107" s="18" t="inlineStr">
        <is>
          <t>N-acetylcysteine 600 mg OD</t>
        </is>
      </c>
      <c r="H107" s="18" t="inlineStr">
        <is>
          <t>Beclomethasone MDI 100 mcg BID</t>
        </is>
      </c>
      <c r="I107" s="15" t="inlineStr">
        <is>
          <t>1</t>
        </is>
      </c>
      <c r="J107" s="18"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7" s="18" t="inlineStr"/>
      <c r="L107" s="18" t="inlineStr">
        <is>
          <t>Asthma</t>
        </is>
      </c>
      <c r="M107" s="18" t="inlineStr">
        <is>
          <t>Clinic</t>
        </is>
      </c>
      <c r="N107" s="18" t="inlineStr">
        <is>
          <t>ข้อ 2 (PLE_CC1_Key_Rx20_UBU.md)</t>
        </is>
      </c>
      <c r="O107" s="18" t="inlineStr">
        <is>
          <t>Mock</t>
        </is>
      </c>
      <c r="P107" s="18" t="inlineStr">
        <is>
          <t>Mock Rx20 UBU</t>
        </is>
      </c>
    </row>
    <row r="108">
      <c r="A108" s="15" t="inlineStr">
        <is>
          <t>106</t>
        </is>
      </c>
      <c r="B108" s="18" t="inlineStr">
        <is>
          <t>เปลี่ยน Budesonide inhaler ไปเป็น Salmeterol + Fluticasone inhaler</t>
        </is>
      </c>
      <c r="C108" s="18" t="inlineStr"/>
      <c r="D108" s="18" t="inlineStr">
        <is>
          <t>N-acetylcysteine 600 mg OD</t>
        </is>
      </c>
      <c r="E108" s="18" t="inlineStr">
        <is>
          <t>Beclomethasone MDI 100 mcg BID</t>
        </is>
      </c>
      <c r="F108" s="18" t="inlineStr">
        <is>
          <t>Salbutamol MDI 2 puffs PRN</t>
        </is>
      </c>
      <c r="G108" s="18" t="inlineStr">
        <is>
          <t>Budesonide/Formoterol 160/4.5 mcg DPI BID</t>
        </is>
      </c>
      <c r="H108" s="18" t="inlineStr">
        <is>
          <t>Fluticasone/Salmeterol 250/50 mcg DPI BID</t>
        </is>
      </c>
      <c r="I108" s="15" t="inlineStr">
        <is>
          <t>2</t>
        </is>
      </c>
      <c r="J108" s="18" t="inlineStr">
        <is>
          <t>✅ คำตอบที่ถูกต้อง: ข้อ ข.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(N-acetylcysteine 600 mg OD):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8" s="18" t="inlineStr"/>
      <c r="L108" s="18" t="inlineStr">
        <is>
          <t>Asthma</t>
        </is>
      </c>
      <c r="M108" s="18" t="inlineStr">
        <is>
          <t>Clinic</t>
        </is>
      </c>
      <c r="N108" s="18" t="inlineStr">
        <is>
          <t>ข้อ 5 (PLE_CC1_Key_Rx20_UBU.md)</t>
        </is>
      </c>
      <c r="O108" s="18" t="inlineStr">
        <is>
          <t>Mock</t>
        </is>
      </c>
      <c r="P108" s="18" t="inlineStr">
        <is>
          <t>Mock Rx20 UBU</t>
        </is>
      </c>
    </row>
    <row r="109">
      <c r="A109" s="15" t="inlineStr">
        <is>
          <t>107</t>
        </is>
      </c>
      <c r="B109" s="18" t="inlineStr">
        <is>
          <t>Formoterol T - CY plnbibitw อบยาขยายหลอดลมหมด Cวยใ&lt; FประHทJภาพM ไป | Does https</t>
        </is>
      </c>
      <c r="C109" s="18" t="inlineStr"/>
      <c r="D109" s="18" t="inlineStr">
        <is>
          <t>Budesonide/Formoterol 160/4.5 mcg DPI BID</t>
        </is>
      </c>
      <c r="E109" s="18" t="inlineStr">
        <is>
          <t>Fluticasone/Salmeterol 250/50 mcg DPI BID</t>
        </is>
      </c>
      <c r="F109" s="18" t="inlineStr">
        <is>
          <t>Tiotropium Respimat 2.5 mcg 2 puffs OD</t>
        </is>
      </c>
      <c r="G109" s="18" t="inlineStr">
        <is>
          <t>Ipratropium/Fenoterol MDI PRN</t>
        </is>
      </c>
      <c r="H109" s="18" t="inlineStr">
        <is>
          <t>Montelukast 10 mg HS</t>
        </is>
      </c>
      <c r="I109" s="15" t="inlineStr">
        <is>
          <t>3</t>
        </is>
      </c>
      <c r="J109" s="18" t="inlineStr">
        <is>
          <t>✅ คำตอบที่ถูกต้อง: ข้อ ค.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ข. (Fluticasone/Salmeterol 250/50 mcg DPI BID): เป็น potent ICS มี high topical potency และ systemic bioavailability ต่ำ ใช้เป็น maintenance anti-inflammatory controller ใน moderate-to-severe asthma และ COPD with high eosinophils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9" s="18" t="inlineStr"/>
      <c r="L109" s="18" t="inlineStr">
        <is>
          <t>Asthma</t>
        </is>
      </c>
      <c r="M109" s="18" t="inlineStr">
        <is>
          <t>Clinic</t>
        </is>
      </c>
      <c r="N109" s="18" t="inlineStr">
        <is>
          <t>ข้อ 5 (PLE_CC1_Key_Rx20_UBU.md)</t>
        </is>
      </c>
      <c r="O109" s="18" t="inlineStr">
        <is>
          <t>Mock</t>
        </is>
      </c>
      <c r="P109" s="18" t="inlineStr">
        <is>
          <t>Mock Rx20 UBU</t>
        </is>
      </c>
    </row>
    <row r="110">
      <c r="A110" s="15" t="inlineStr">
        <is>
          <t>108</t>
        </is>
      </c>
      <c r="B110" s="18" t="inlineStr">
        <is>
          <t>Budesonide+Formoterol</t>
        </is>
      </c>
      <c r="C110" s="18" t="inlineStr"/>
      <c r="D110" s="18" t="inlineStr">
        <is>
          <t>Ipratropium/Fenoterol MDI PRN</t>
        </is>
      </c>
      <c r="E110" s="18" t="inlineStr">
        <is>
          <t>Montelukast 10 mg HS</t>
        </is>
      </c>
      <c r="F110" s="18" t="inlineStr">
        <is>
          <t>Theophylline 200 mg BID</t>
        </is>
      </c>
      <c r="G110" s="18" t="inlineStr">
        <is>
          <t>Prednisolone 40 mg OD x 5 days</t>
        </is>
      </c>
      <c r="H110" s="18" t="inlineStr">
        <is>
          <t>N-acetylcysteine 600 mg OD</t>
        </is>
      </c>
      <c r="I110" s="15" t="inlineStr">
        <is>
          <t>1</t>
        </is>
      </c>
      <c r="J110" s="18"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0" s="18" t="inlineStr"/>
      <c r="L110" s="18" t="inlineStr">
        <is>
          <t>Asthma</t>
        </is>
      </c>
      <c r="M110" s="18" t="inlineStr">
        <is>
          <t>Clinic</t>
        </is>
      </c>
      <c r="N110" s="18" t="inlineStr">
        <is>
          <t>ข้อ 1 (PLE_CC1_Key_Rx20_UBU.md)</t>
        </is>
      </c>
      <c r="O110" s="18" t="inlineStr">
        <is>
          <t>Mock</t>
        </is>
      </c>
      <c r="P110" s="18" t="inlineStr">
        <is>
          <t>Mock Rx20 UBU</t>
        </is>
      </c>
    </row>
    <row r="111">
      <c r="A111" s="15" t="inlineStr">
        <is>
          <t>109</t>
        </is>
      </c>
      <c r="B111" s="18" t="inlineStr">
        <is>
          <t>Formoterol inhaler</t>
        </is>
      </c>
      <c r="C111" s="18" t="inlineStr"/>
      <c r="D111" s="18" t="inlineStr">
        <is>
          <t>Prednisolone 40 mg OD x 5 days</t>
        </is>
      </c>
      <c r="E111" s="18" t="inlineStr">
        <is>
          <t>N-acetylcysteine 600 mg OD</t>
        </is>
      </c>
      <c r="F111" s="18" t="inlineStr">
        <is>
          <t>Beclomethasone MDI 100 mcg BID</t>
        </is>
      </c>
      <c r="G111" s="18" t="inlineStr">
        <is>
          <t>Salbutamol MDI 2 puffs PRN</t>
        </is>
      </c>
      <c r="H111" s="18" t="inlineStr">
        <is>
          <t>Budesonide/Formoterol 160/4.5 mcg DPI BID</t>
        </is>
      </c>
      <c r="I111" s="15" t="inlineStr">
        <is>
          <t>1</t>
        </is>
      </c>
      <c r="J111" s="18"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1" s="18" t="inlineStr"/>
      <c r="L111" s="18" t="inlineStr">
        <is>
          <t>Asthma</t>
        </is>
      </c>
      <c r="M111" s="18" t="inlineStr">
        <is>
          <t>Clinic</t>
        </is>
      </c>
      <c r="N111" s="18" t="inlineStr">
        <is>
          <t>ข้อ 2 (PLE_CC1_Key_Rx20_UBU.md)</t>
        </is>
      </c>
      <c r="O111" s="18" t="inlineStr">
        <is>
          <t>Mock</t>
        </is>
      </c>
      <c r="P111" s="18" t="inlineStr">
        <is>
          <t>Mock Rx20 UBU</t>
        </is>
      </c>
    </row>
    <row r="112">
      <c r="A112" s="15" t="inlineStr">
        <is>
          <t>110</t>
        </is>
      </c>
      <c r="B112" s="18" t="inlineStr">
        <is>
          <t>Salbutamol inhaler</t>
        </is>
      </c>
      <c r="C112" s="18" t="inlineStr"/>
      <c r="D112" s="18" t="inlineStr">
        <is>
          <t>Salbutamol MDI 2 puffs PRN</t>
        </is>
      </c>
      <c r="E112" s="18" t="inlineStr">
        <is>
          <t>Budesonide/Formoterol 160/4.5 mcg DPI BID</t>
        </is>
      </c>
      <c r="F112" s="18" t="inlineStr">
        <is>
          <t>Fluticasone/Salmeterol 250/50 mcg DPI BID</t>
        </is>
      </c>
      <c r="G112" s="18" t="inlineStr">
        <is>
          <t>Tiotropium Respimat 2.5 mcg 2 puffs OD</t>
        </is>
      </c>
      <c r="H112" s="18" t="inlineStr">
        <is>
          <t>Ipratropium/Fenoterol MDI PRN</t>
        </is>
      </c>
      <c r="I112" s="15" t="inlineStr">
        <is>
          <t>1</t>
        </is>
      </c>
      <c r="J112" s="18"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2" s="18" t="inlineStr"/>
      <c r="L112" s="18" t="inlineStr">
        <is>
          <t>Asthma</t>
        </is>
      </c>
      <c r="M112" s="18" t="inlineStr">
        <is>
          <t>Clinic</t>
        </is>
      </c>
      <c r="N112" s="18" t="inlineStr">
        <is>
          <t>ข้อ 3 (PLE_CC1_Key_Rx20_UBU.md)</t>
        </is>
      </c>
      <c r="O112" s="18" t="inlineStr">
        <is>
          <t>Mock</t>
        </is>
      </c>
      <c r="P112" s="18" t="inlineStr">
        <is>
          <t>Mock Rx20 UBU</t>
        </is>
      </c>
    </row>
    <row r="113">
      <c r="A113" s="15" t="inlineStr">
        <is>
          <t>111</t>
        </is>
      </c>
      <c r="B113" s="18" t="inlineStr">
        <is>
          <t>Salmeterol inhaler</t>
        </is>
      </c>
      <c r="C113" s="18" t="inlineStr"/>
      <c r="D113" s="18" t="inlineStr">
        <is>
          <t>Tiotropium Respimat 2.5 mcg 2 puffs OD</t>
        </is>
      </c>
      <c r="E113" s="18" t="inlineStr">
        <is>
          <t>Ipratropium/Fenoterol MDI PRN</t>
        </is>
      </c>
      <c r="F113" s="18" t="inlineStr">
        <is>
          <t>Montelukast 10 mg HS</t>
        </is>
      </c>
      <c r="G113" s="18" t="inlineStr">
        <is>
          <t>Theophylline 200 mg BID</t>
        </is>
      </c>
      <c r="H113" s="18" t="inlineStr">
        <is>
          <t>Prednisolone 40 mg OD x 5 days</t>
        </is>
      </c>
      <c r="I113" s="15" t="inlineStr">
        <is>
          <t>1</t>
        </is>
      </c>
      <c r="J113" s="18"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13" s="18" t="inlineStr"/>
      <c r="L113" s="18" t="inlineStr">
        <is>
          <t>Asthma</t>
        </is>
      </c>
      <c r="M113" s="18" t="inlineStr">
        <is>
          <t>Clinic</t>
        </is>
      </c>
      <c r="N113" s="18" t="inlineStr">
        <is>
          <t>ข้อ 4 (PLE_CC1_Key_Rx20_UBU.md)</t>
        </is>
      </c>
      <c r="O113" s="18" t="inlineStr">
        <is>
          <t>Mock</t>
        </is>
      </c>
      <c r="P113" s="18" t="inlineStr">
        <is>
          <t>Mock Rx20 UBU</t>
        </is>
      </c>
    </row>
    <row r="114">
      <c r="A114" s="15" t="inlineStr">
        <is>
          <t>112</t>
        </is>
      </c>
      <c r="B114" s="18" t="inlineStr">
        <is>
          <t>Momethasone inhaler</t>
        </is>
      </c>
      <c r="C114" s="18" t="inlineStr"/>
      <c r="D114" s="18" t="inlineStr">
        <is>
          <t>Theophylline 200 mg BID</t>
        </is>
      </c>
      <c r="E114" s="18" t="inlineStr">
        <is>
          <t>Prednisolone 40 mg OD x 5 days</t>
        </is>
      </c>
      <c r="F114" s="18" t="inlineStr">
        <is>
          <t>N-acetylcysteine 600 mg OD</t>
        </is>
      </c>
      <c r="G114" s="18" t="inlineStr">
        <is>
          <t>Beclomethasone MDI 100 mcg BID</t>
        </is>
      </c>
      <c r="H114" s="18" t="inlineStr">
        <is>
          <t>Salbutamol MDI 2 puffs PRN</t>
        </is>
      </c>
      <c r="I114" s="15" t="inlineStr">
        <is>
          <t>2</t>
        </is>
      </c>
      <c r="J114" s="18" t="inlineStr">
        <is>
          <t>✅ คำตอบที่ถูกต้อง: ข้อ ข.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(Theophylline 200 mg BID): มี narrow therapeutic window (target 5-15 mcg/mL) และ ADR สูง (ใจสั่น คลื่นไส้ ชัก หัวใจเต้นผิดจังหวะ) CPG จึงจัดเป็นเพียงทางเลือกท้ายๆ (alternative)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4" s="18" t="inlineStr"/>
      <c r="L114" s="18" t="inlineStr">
        <is>
          <t>Asthma</t>
        </is>
      </c>
      <c r="M114" s="18" t="inlineStr">
        <is>
          <t>Clinic</t>
        </is>
      </c>
      <c r="N114" s="18" t="inlineStr">
        <is>
          <t>ข้อ 5 (PLE_CC1_Key_Rx20_UBU.md)</t>
        </is>
      </c>
      <c r="O114" s="18" t="inlineStr">
        <is>
          <t>Mock</t>
        </is>
      </c>
      <c r="P114" s="18" t="inlineStr">
        <is>
          <t>Mock Rx20 UBU</t>
        </is>
      </c>
    </row>
    <row r="115">
      <c r="A115" s="15" t="inlineStr">
        <is>
          <t>113</t>
        </is>
      </c>
      <c r="B115" s="18" t="inlineStr">
        <is>
          <t>Budesonide inhaler</t>
        </is>
      </c>
      <c r="C115" s="18" t="inlineStr"/>
      <c r="D115" s="18" t="inlineStr">
        <is>
          <t>Beclomethasone MDI 100 mcg BID</t>
        </is>
      </c>
      <c r="E115" s="18" t="inlineStr">
        <is>
          <t>Salbutamol MDI 2 puffs PRN</t>
        </is>
      </c>
      <c r="F115" s="18" t="inlineStr">
        <is>
          <t>Budesonide/Formoterol 160/4.5 mcg DPI BID</t>
        </is>
      </c>
      <c r="G115" s="18" t="inlineStr">
        <is>
          <t>Fluticasone/Salmeterol 250/50 mcg DPI BID</t>
        </is>
      </c>
      <c r="H115" s="18" t="inlineStr">
        <is>
          <t>Tiotropium Respimat 2.5 mcg 2 puffs OD</t>
        </is>
      </c>
      <c r="I115" s="15" t="inlineStr">
        <is>
          <t>1</t>
        </is>
      </c>
      <c r="J115" s="18"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5" s="18" t="inlineStr"/>
      <c r="L115" s="18" t="inlineStr">
        <is>
          <t>Asthma</t>
        </is>
      </c>
      <c r="M115" s="18" t="inlineStr">
        <is>
          <t>Clinic</t>
        </is>
      </c>
      <c r="N115" s="18" t="inlineStr">
        <is>
          <t>ข้อ 1 (PLE_CC1_Key_Rx20_UBU.md)</t>
        </is>
      </c>
      <c r="O115" s="18" t="inlineStr">
        <is>
          <t>Mock</t>
        </is>
      </c>
      <c r="P115" s="18" t="inlineStr">
        <is>
          <t>Mock Rx20 UBU</t>
        </is>
      </c>
    </row>
    <row r="116">
      <c r="A116" s="15" t="inlineStr">
        <is>
          <t>114</t>
        </is>
      </c>
      <c r="B116" s="18" t="inlineStr">
        <is>
          <t>Formoterol/salmeterol inhaler</t>
        </is>
      </c>
      <c r="C116" s="18" t="inlineStr"/>
      <c r="D116" s="18" t="inlineStr">
        <is>
          <t>Fluticasone/Salmeterol 250/50 mcg DPI BID</t>
        </is>
      </c>
      <c r="E116" s="18" t="inlineStr">
        <is>
          <t>Tiotropium Respimat 2.5 mcg 2 puffs OD</t>
        </is>
      </c>
      <c r="F116" s="18" t="inlineStr">
        <is>
          <t>Ipratropium/Fenoterol MDI PRN</t>
        </is>
      </c>
      <c r="G116" s="18" t="inlineStr">
        <is>
          <t>Montelukast 10 mg HS</t>
        </is>
      </c>
      <c r="H116" s="18" t="inlineStr">
        <is>
          <t>Theophylline 200 mg BID</t>
        </is>
      </c>
      <c r="I116" s="15" t="inlineStr">
        <is>
          <t>1</t>
        </is>
      </c>
      <c r="J116" s="18"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6" s="18" t="inlineStr"/>
      <c r="L116" s="18" t="inlineStr">
        <is>
          <t>Asthma</t>
        </is>
      </c>
      <c r="M116" s="18" t="inlineStr">
        <is>
          <t>Clinic</t>
        </is>
      </c>
      <c r="N116" s="18" t="inlineStr">
        <is>
          <t>ข้อ 3 (PLE_CC1_Key_Rx20_UBU.md)</t>
        </is>
      </c>
      <c r="O116" s="18" t="inlineStr">
        <is>
          <t>Mock</t>
        </is>
      </c>
      <c r="P116" s="18" t="inlineStr">
        <is>
          <t>Mock Rx20 UBU</t>
        </is>
      </c>
    </row>
    <row r="117">
      <c r="A117" s="15" t="inlineStr">
        <is>
          <t>115</t>
        </is>
      </c>
      <c r="B117" s="18" t="inlineStr">
        <is>
          <t>Tiotopium dry powder for inhalation ครั้งต่อสัปดาห์และอาการช่วงกลางคืน 2 ครั้งต่อเดือน ระดับการควบคุมอาการอยู่ใน partly controlled และปัจจุบันได้เป็น Salbutamol เป็น As-needed SABA จึง step up ให้ได้ร่วมกับ low dose ICS</t>
        </is>
      </c>
      <c r="C117" s="18" t="inlineStr"/>
      <c r="D117" s="18" t="inlineStr">
        <is>
          <t>Montelukast 10 mg HS</t>
        </is>
      </c>
      <c r="E117" s="18" t="inlineStr">
        <is>
          <t>Theophylline 200 mg BID</t>
        </is>
      </c>
      <c r="F117" s="18" t="inlineStr">
        <is>
          <t>Prednisolone 40 mg OD x 5 days</t>
        </is>
      </c>
      <c r="G117" s="18" t="inlineStr">
        <is>
          <t>N-acetylcysteine 600 mg OD</t>
        </is>
      </c>
      <c r="H117" s="18" t="inlineStr">
        <is>
          <t>Beclomethasone MDI 100 mcg BID</t>
        </is>
      </c>
      <c r="I117" s="15" t="inlineStr">
        <is>
          <t>2</t>
        </is>
      </c>
      <c r="J117" s="18" t="inlineStr">
        <is>
          <t>✅ คำตอบที่ถูกต้อง: ข้อ ข.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 s="18" t="inlineStr"/>
      <c r="L117" s="18" t="inlineStr">
        <is>
          <t>Asthma</t>
        </is>
      </c>
      <c r="M117" s="18" t="inlineStr">
        <is>
          <t>Clinic</t>
        </is>
      </c>
      <c r="N117" s="18" t="inlineStr">
        <is>
          <t>ข้อ 5 (PLE_CC1_Key_Rx20_UBU.md)</t>
        </is>
      </c>
      <c r="O117" s="18" t="inlineStr">
        <is>
          <t>Mock</t>
        </is>
      </c>
      <c r="P117" s="18" t="inlineStr">
        <is>
          <t>Mock Rx20 UBU</t>
        </is>
      </c>
    </row>
    <row r="118">
      <c r="A118" s="15" t="inlineStr">
        <is>
          <t>116</t>
        </is>
      </c>
      <c r="B118" s="18" t="inlineStr">
        <is>
          <t>Theophylline half life = 8 ชั่วโมง ค่า ke = เท่าไร</t>
        </is>
      </c>
      <c r="C118" s="18" t="inlineStr"/>
      <c r="D118" s="18" t="inlineStr">
        <is>
          <t>N-acetylcysteine 600 mg OD</t>
        </is>
      </c>
      <c r="E118" s="18" t="inlineStr">
        <is>
          <t>Beclomethasone MDI 100 mcg BID</t>
        </is>
      </c>
      <c r="F118" s="18" t="inlineStr">
        <is>
          <t>Salbutamol MDI 2 puffs PRN</t>
        </is>
      </c>
      <c r="G118" s="18" t="inlineStr">
        <is>
          <t>Budesonide/Formoterol 160/4.5 mcg DPI BID</t>
        </is>
      </c>
      <c r="H118" s="18" t="inlineStr">
        <is>
          <t>Fluticasone/Salmeterol 250/50 mcg DPI BID</t>
        </is>
      </c>
      <c r="I118" s="15" t="inlineStr">
        <is>
          <t>1</t>
        </is>
      </c>
      <c r="J118" s="18"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8" s="18" t="inlineStr"/>
      <c r="L118" s="18" t="inlineStr">
        <is>
          <t>Asthma</t>
        </is>
      </c>
      <c r="M118" s="18" t="inlineStr">
        <is>
          <t>Clinic</t>
        </is>
      </c>
      <c r="N118" s="18" t="inlineStr">
        <is>
          <t>ข้อ 2 (PLE_CC1_Key_Rx20_UBU.md)</t>
        </is>
      </c>
      <c r="O118" s="18" t="inlineStr">
        <is>
          <t>Mock</t>
        </is>
      </c>
      <c r="P118" s="18" t="inlineStr">
        <is>
          <t>Mock Rx20 UBU</t>
        </is>
      </c>
    </row>
    <row r="119">
      <c r="A119" s="15" t="inlineStr">
        <is>
          <t>117</t>
        </is>
      </c>
      <c r="B119" s="18" t="inlineStr">
        <is>
          <t>NSAID ตัวใดทำให้อาการ asthma กำเริบได้</t>
        </is>
      </c>
      <c r="C119" s="18" t="inlineStr"/>
      <c r="D119" s="18" t="inlineStr">
        <is>
          <t>Budesonide/Formoterol 160/4.5 mcg DPI BID</t>
        </is>
      </c>
      <c r="E119" s="18" t="inlineStr">
        <is>
          <t>Fluticasone/Salmeterol 250/50 mcg DPI BID</t>
        </is>
      </c>
      <c r="F119" s="18" t="inlineStr">
        <is>
          <t>Tiotropium Respimat 2.5 mcg 2 puffs OD</t>
        </is>
      </c>
      <c r="G119" s="18" t="inlineStr">
        <is>
          <t>Ipratropium/Fenoterol MDI PRN</t>
        </is>
      </c>
      <c r="H119" s="18" t="inlineStr">
        <is>
          <t>Montelukast 10 mg HS</t>
        </is>
      </c>
      <c r="I119" s="15" t="inlineStr">
        <is>
          <t>1</t>
        </is>
      </c>
      <c r="J119" s="18"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19" s="18" t="inlineStr"/>
      <c r="L119" s="18" t="inlineStr">
        <is>
          <t>Asthma</t>
        </is>
      </c>
      <c r="M119" s="18" t="inlineStr">
        <is>
          <t>Clinic</t>
        </is>
      </c>
      <c r="N119" s="18" t="inlineStr">
        <is>
          <t>ข้อ 4 (PLE_CC1_Key_Rx20_UBU.md)</t>
        </is>
      </c>
      <c r="O119" s="18" t="inlineStr">
        <is>
          <t>Mock</t>
        </is>
      </c>
      <c r="P119" s="18" t="inlineStr">
        <is>
          <t>Mock Rx20 UBU</t>
        </is>
      </c>
    </row>
    <row r="120">
      <c r="A120" s="15" t="inlineStr">
        <is>
          <t>118</t>
        </is>
      </c>
      <c r="B120" s="18" t="inlineStr">
        <is>
          <t>Hyperinflation ไม่ได้สัมพันธ์กับ COPD</t>
        </is>
      </c>
      <c r="C120" s="18" t="inlineStr"/>
      <c r="D120" s="18" t="inlineStr">
        <is>
          <t>Pneumonia ทำให้เกิดexacerbation ได้</t>
        </is>
      </c>
      <c r="E120" s="18" t="inlineStr">
        <is>
          <t>FEV1 &lt; 40% แสดงถึงความรุนแรงของโรคระดับ Severe</t>
        </is>
      </c>
      <c r="F120" s="18" t="inlineStr">
        <is>
          <t>ผู้ป่วยไม่จำเป็นต้องตรวจ Methacholine test</t>
        </is>
      </c>
      <c r="G120" s="18" t="inlineStr">
        <is>
          <t>Prednisolone 40 mg OD x 5 days</t>
        </is>
      </c>
      <c r="H120" s="18" t="inlineStr">
        <is>
          <t>N-acetylcysteine 600 mg OD</t>
        </is>
      </c>
      <c r="I120" s="15" t="inlineStr">
        <is>
          <t>1</t>
        </is>
      </c>
      <c r="J120" s="18" t="inlineStr">
        <is>
          <t>✅ คำตอบที่ถูกต้อง: ข้อ ก. Pneumonia ทำให้เกิดexacerbation ได้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Pneumonia ทำให้เกิดexacerbation ได้ Pneumonia ทำให้เกิด exacerbation ได้ Pneumonia ทำให้เกิด exacerbation ได้ Pneumonia ทำให้เกิด exacerbation ได้ Pneumonia ทำให้เกิด exacerbation ได้ การเลือก Pneumonia ทำให้เกิด exacerbation ได้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(FEV1 &lt; 40% แสดงถึงความรุนแรงของโรคระดับ Severe): ข้อนี้ไม่ใช่คำตอบที่ถูกต้องสำหรับภาวะ Asthma เนื่องจากกลไกการออกฤทธิ์, efficacy หรือข้อบ่งใช้ไม่ตรงกับโจทย์ที่กำหนด
• ข้อ ค. (ผู้ป่วยไม่จำเป็นต้องตรวจ Methacholine test): ข้อนี้ไม่ใช่คำตอบที่ถูกต้องสำหรับภาวะ Asthma เนื่องจากกลไกการออกฤทธิ์, efficacy หรือข้อบ่งใช้ไม่ตรงกับโจทย์ที่กำหนด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0" s="18" t="inlineStr"/>
      <c r="L120" s="18" t="inlineStr">
        <is>
          <t>Asthma</t>
        </is>
      </c>
      <c r="M120" s="18" t="inlineStr">
        <is>
          <t>Clinic</t>
        </is>
      </c>
      <c r="N120" s="18" t="inlineStr">
        <is>
          <t>ข้อ 1 (PLE_CC1_Key_Rx20_UBU.md)</t>
        </is>
      </c>
      <c r="O120" s="18" t="inlineStr">
        <is>
          <t>Mock</t>
        </is>
      </c>
      <c r="P120" s="18" t="inlineStr">
        <is>
          <t>Mock Rx20 UBU</t>
        </is>
      </c>
    </row>
    <row r="121">
      <c r="A121" s="15" t="inlineStr">
        <is>
          <t>119</t>
        </is>
      </c>
      <c r="B121" s="18" t="inlineStr">
        <is>
          <t>Formoterol LABA</t>
        </is>
      </c>
      <c r="C121" s="18" t="inlineStr"/>
      <c r="D121" s="18" t="inlineStr">
        <is>
          <t>Prednisolone 40 mg OD x 5 days</t>
        </is>
      </c>
      <c r="E121" s="18" t="inlineStr">
        <is>
          <t>N-acetylcysteine 600 mg OD</t>
        </is>
      </c>
      <c r="F121" s="18" t="inlineStr">
        <is>
          <t>Beclomethasone MDI 100 mcg BID</t>
        </is>
      </c>
      <c r="G121" s="18" t="inlineStr">
        <is>
          <t>Salbutamol MDI 2 puffs PRN</t>
        </is>
      </c>
      <c r="H121" s="18" t="inlineStr">
        <is>
          <t>Budesonide/Formoterol 160/4.5 mcg DPI BID</t>
        </is>
      </c>
      <c r="I121" s="15" t="inlineStr">
        <is>
          <t>1</t>
        </is>
      </c>
      <c r="J121" s="18"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21" s="18" t="inlineStr"/>
      <c r="L121" s="18" t="inlineStr">
        <is>
          <t>Asthma</t>
        </is>
      </c>
      <c r="M121" s="18" t="inlineStr">
        <is>
          <t>Clinic</t>
        </is>
      </c>
      <c r="N121" s="18" t="inlineStr">
        <is>
          <t>ข้อ 2 (PLE_CC1_Key_Rx20_UBU.md)</t>
        </is>
      </c>
      <c r="O121" s="18" t="inlineStr">
        <is>
          <t>Mock</t>
        </is>
      </c>
      <c r="P121" s="18" t="inlineStr">
        <is>
          <t>Mock Rx20 UBU</t>
        </is>
      </c>
    </row>
    <row r="122">
      <c r="A122" s="15" t="inlineStr">
        <is>
          <t>120</t>
        </is>
      </c>
      <c r="B122" s="18" t="inlineStr">
        <is>
          <t>Salbutamol SABA</t>
        </is>
      </c>
      <c r="C122" s="18" t="inlineStr"/>
      <c r="D122" s="18" t="inlineStr">
        <is>
          <t>Tiotropium LAMA</t>
        </is>
      </c>
      <c r="E122" s="18" t="inlineStr">
        <is>
          <t>Budesonide ICS</t>
        </is>
      </c>
      <c r="F122" s="18" t="inlineStr">
        <is>
          <t>) ข้อใดไม่ได้เป็นเกณฑ์ในการให้ยาฆ่าเชื้อ</t>
        </is>
      </c>
      <c r="G122" s="18" t="inlineStr">
        <is>
          <t>Tiotropium Respimat 2.5 mcg 2 puffs OD</t>
        </is>
      </c>
      <c r="H122" s="18" t="inlineStr">
        <is>
          <t>Ipratropium/Fenoterol MDI PRN</t>
        </is>
      </c>
      <c r="I122" s="15" t="inlineStr">
        <is>
          <t>1</t>
        </is>
      </c>
      <c r="J122" s="18" t="inlineStr">
        <is>
          <t>✅ คำตอบที่ถูกต้อง: ข้อ ก. Tiotropium LAMA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LAMA การเลือก Tiotropium LAMA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(Budesonide ICS):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 ข้อใดไม่ได้เป็นเกณฑ์ในการให้ยาฆ่าเชื้อ): ข้อนี้ไม่ใช่คำตอบที่ถูกต้องสำหรับภาวะ Asthma เนื่องจากกลไกการออกฤทธิ์, efficacy หรือข้อบ่งใช้ไม่ตรงกับโจทย์ที่กำหนด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2" s="18" t="inlineStr"/>
      <c r="L122" s="18" t="inlineStr">
        <is>
          <t>Asthma</t>
        </is>
      </c>
      <c r="M122" s="18" t="inlineStr">
        <is>
          <t>Clinic</t>
        </is>
      </c>
      <c r="N122" s="18" t="inlineStr">
        <is>
          <t>ข้อ 3 (PLE_CC1_Key_Rx20_UBU.md)</t>
        </is>
      </c>
      <c r="O122" s="18" t="inlineStr">
        <is>
          <t>Mock</t>
        </is>
      </c>
      <c r="P122" s="18" t="inlineStr">
        <is>
          <t>Mock Rx20 UBU</t>
        </is>
      </c>
    </row>
    <row r="123">
      <c r="A123" s="15" t="inlineStr">
        <is>
          <t>121</t>
        </is>
      </c>
      <c r="B123" s="18" t="inlineStr">
        <is>
          <t>Nebulized Salbutamol</t>
        </is>
      </c>
      <c r="C123" s="18" t="inlineStr"/>
      <c r="D123" s="18" t="inlineStr">
        <is>
          <t>Tiotropium Respimat 2.5 mcg 2 puffs OD</t>
        </is>
      </c>
      <c r="E123" s="18" t="inlineStr">
        <is>
          <t>Ipratropium/Fenoterol MDI PRN</t>
        </is>
      </c>
      <c r="F123" s="18" t="inlineStr">
        <is>
          <t>Montelukast 10 mg HS</t>
        </is>
      </c>
      <c r="G123" s="18" t="inlineStr">
        <is>
          <t>Theophylline 200 mg BID</t>
        </is>
      </c>
      <c r="H123" s="18" t="inlineStr">
        <is>
          <t>Prednisolone 40 mg OD x 5 days</t>
        </is>
      </c>
      <c r="I123" s="15" t="inlineStr">
        <is>
          <t>1</t>
        </is>
      </c>
      <c r="J123" s="18"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18" t="inlineStr"/>
      <c r="L123" s="18" t="inlineStr">
        <is>
          <t>Asthma</t>
        </is>
      </c>
      <c r="M123" s="18" t="inlineStr">
        <is>
          <t>Clinic</t>
        </is>
      </c>
      <c r="N123" s="18" t="inlineStr">
        <is>
          <t>ข้อ 5 (PLE_CC1_Key_Rx20_UBU.md)</t>
        </is>
      </c>
      <c r="O123" s="18" t="inlineStr">
        <is>
          <t>Mock</t>
        </is>
      </c>
      <c r="P123" s="18" t="inlineStr">
        <is>
          <t>Mock Rx20 UBU</t>
        </is>
      </c>
    </row>
    <row r="124">
      <c r="A124" s="15" t="inlineStr">
        <is>
          <t>122</t>
        </is>
      </c>
      <c r="B124" s="18" t="inlineStr">
        <is>
          <t>Symbicortห turbuhaler (Budesonide 160 μg/formoterol 4.5 μg) 1 puff bid</t>
        </is>
      </c>
      <c r="C124" s="18" t="inlineStr"/>
      <c r="D124" s="18" t="inlineStr">
        <is>
          <t>Theophylline 200 mg BID</t>
        </is>
      </c>
      <c r="E124" s="18" t="inlineStr">
        <is>
          <t>Prednisolone 40 mg OD x 5 days</t>
        </is>
      </c>
      <c r="F124" s="18" t="inlineStr">
        <is>
          <t>N-acetylcysteine 600 mg OD</t>
        </is>
      </c>
      <c r="G124" s="18" t="inlineStr">
        <is>
          <t>Beclomethasone MDI 100 mcg BID</t>
        </is>
      </c>
      <c r="H124" s="18" t="inlineStr">
        <is>
          <t>Salbutamol MDI 2 puffs PRN</t>
        </is>
      </c>
      <c r="I124" s="15" t="inlineStr">
        <is>
          <t>1</t>
        </is>
      </c>
      <c r="J124" s="18"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4" s="18" t="inlineStr"/>
      <c r="L124" s="18" t="inlineStr">
        <is>
          <t>Asthma</t>
        </is>
      </c>
      <c r="M124" s="18" t="inlineStr">
        <is>
          <t>Clinic</t>
        </is>
      </c>
      <c r="N124" s="18" t="inlineStr">
        <is>
          <t>ข้อ 1 (PLE_CC1_Key_Rx20_UBU.md)</t>
        </is>
      </c>
      <c r="O124" s="18" t="inlineStr">
        <is>
          <t>Mock</t>
        </is>
      </c>
      <c r="P124" s="18" t="inlineStr">
        <is>
          <t>Mock Rx20 UBU</t>
        </is>
      </c>
    </row>
    <row r="125">
      <c r="A125" s="15" t="inlineStr">
        <is>
          <t>123</t>
        </is>
      </c>
      <c r="B125" s="18" t="inlineStr">
        <is>
          <t>จากโครงสร้าง salmeterolและ formoterol ซึ่งเป็นยากลุ่ม long acting beta 2 agonist ข้อใดถูกต้อง</t>
        </is>
      </c>
      <c r="C125" s="18" t="inlineStr"/>
      <c r="D125" s="18" t="inlineStr">
        <is>
          <t>Salmeterol ออกฤทธิ์เร็วกว่า formoterol เพราะ lipophilicity สูงกว่า</t>
        </is>
      </c>
      <c r="E125" s="18" t="inlineStr">
        <is>
          <t>Salmeterol ออกฤทธิ์เร็วกว่า formoterol เพราะ lipophilicity ต่ำกว่า</t>
        </is>
      </c>
      <c r="F125" s="18" t="inlineStr">
        <is>
          <t>Formoterol ออกฤทธิ์เร็วกว่า salmeterol เพราะ lipophilicity สูงกว่า</t>
        </is>
      </c>
      <c r="G125" s="18" t="inlineStr">
        <is>
          <t>Formoterol ออกฤทธิ์เร็วกว่า salmeterol เพราะ lipophilicity ต่ำกว่า</t>
        </is>
      </c>
      <c r="H125" s="18" t="inlineStr">
        <is>
          <t>การออกฤทธิ์เร็วหรือช้าไม่เกี่ยวข้องกับ lipophilicity เรื่องที่ 2. Tinea versicolor</t>
        </is>
      </c>
      <c r="I125" s="15" t="inlineStr">
        <is>
          <t>4</t>
        </is>
      </c>
      <c r="J125" s="18" t="inlineStr">
        <is>
          <t>✅ คำตอบที่ถูกต้อง: ข้อ ง. Formoterol ออกฤทธิ์เร็วกว่า salmeterol เพราะ lipophilicity ต่ำกว่า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เพราะ lipophilicity ต่ำกว่า ผู้ป่วยมีอาการผิวหนังเป็นปื้นสีขาว ที่แก้มซ้าย ได้รับการวินิจฉัยว่าเป็นเกลื้อน ได้รับยา Clotrimazole cream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ก. (Salmeterol ออกฤทธิ์เร็วกว่า formoterol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ข. (Salmeterol ออกฤทธิ์เร็วกว่า formoterol เพราะ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ออกฤทธิ์เร็วกว่า salmeterol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จ. (การออกฤทธิ์เร็วหรือช้าไม่เกี่ยวข้องกับ lipophilicity เรื่องที่ 2. Tinea versicolor):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5" s="18" t="inlineStr"/>
      <c r="L125" s="18" t="inlineStr">
        <is>
          <t>Asthma</t>
        </is>
      </c>
      <c r="M125" s="18" t="inlineStr">
        <is>
          <t>Clinic</t>
        </is>
      </c>
      <c r="N125" s="18" t="inlineStr">
        <is>
          <t>ข้อ 10 (PLE_CC1_Key_Rx20_UBU.md)</t>
        </is>
      </c>
      <c r="O125" s="18" t="inlineStr">
        <is>
          <t>Mock</t>
        </is>
      </c>
      <c r="P125" s="18" t="inlineStr">
        <is>
          <t>Mock Rx20 UBU</t>
        </is>
      </c>
    </row>
    <row r="126">
      <c r="A126" s="15" t="inlineStr">
        <is>
          <t>124</t>
        </is>
      </c>
      <c r="B126" s="18" t="inlineStr">
        <is>
          <t>ผลตรวจทางห้องปฏิบัติการในข้อใดบ่งชี้ว่าผู้ป่วยไม่ได้เป็น โรคปอดอุดกั้นเรื้อรัง</t>
        </is>
      </c>
      <c r="C126" s="18" t="inlineStr"/>
      <c r="D126" s="18" t="inlineStr">
        <is>
          <t>FEV1/FVC &gt; 0.7</t>
        </is>
      </c>
      <c r="E126" s="18" t="inlineStr">
        <is>
          <t>มีค่า FEV1 = 60%</t>
        </is>
      </c>
      <c r="F126" s="18" t="inlineStr">
        <is>
          <t>มีค่า Eosinophil สูง ในสารคัดหลั่ง</t>
        </is>
      </c>
      <c r="G126" s="18" t="inlineStr">
        <is>
          <t>มีโรคประจำตัวเป็น Allergic rhinitis</t>
        </is>
      </c>
      <c r="H126" s="18" t="inlineStr">
        <is>
          <t>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t>
        </is>
      </c>
      <c r="I126" s="15" t="inlineStr">
        <is>
          <t>1</t>
        </is>
      </c>
      <c r="J126" s="18" t="inlineStr">
        <is>
          <t>✅ คำตอบที่ถูกต้อง: ข้อ ก. FEV1/FVC &gt; 0.7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FEV1/FVC &gt; 0.7 การเลือก FEV1/FVC &gt; 0.7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(มีค่า FEV1 = 60%): ข้อนี้ไม่ใช่คำตอบที่ถูกต้องสำหรับภาวะ Asthma เนื่องจากกลไกการออกฤทธิ์, efficacy หรือข้อบ่งใช้ไม่ตรงกับโจทย์ที่กำหนด
• ข้อ ค. (มีค่า Eosinophil สูง ในสารคัดหลั่ง): ข้อนี้ไม่ใช่คำตอบที่ถูกต้องสำหรับภาวะ Asthma เนื่องจากกลไกการออกฤทธิ์, efficacy หรือข้อบ่งใช้ไม่ตรงกับโจทย์ที่กำหนด
• ข้อ ง. (มีโรคประจำตัวเป็น Allergic rhinitis): ข้อนี้ไม่ใช่คำตอบที่ถูกต้องสำหรับภาวะ Asthma เนื่องจากกลไกการออกฤทธิ์, efficacy หรือข้อบ่งใช้ไม่ตรงกับโจทย์ที่กำหนด
• ข้อ จ. (อาการไอ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6" s="18" t="inlineStr"/>
      <c r="L126" s="18" t="inlineStr">
        <is>
          <t>Asthma</t>
        </is>
      </c>
      <c r="M126" s="18" t="inlineStr">
        <is>
          <t>Clinic</t>
        </is>
      </c>
      <c r="N126" s="18" t="inlineStr">
        <is>
          <t>ข้อ 55 (PLE_CC1_Key_Rx20_UBU.md)</t>
        </is>
      </c>
      <c r="O126" s="18" t="inlineStr">
        <is>
          <t>Mock</t>
        </is>
      </c>
      <c r="P126" s="18" t="inlineStr">
        <is>
          <t>Mock Rx20 UBU</t>
        </is>
      </c>
    </row>
    <row r="127">
      <c r="A127" s="15" t="inlineStr">
        <is>
          <t>125</t>
        </is>
      </c>
      <c r="B127" s="18" t="inlineStr">
        <is>
          <t>ข้อใดไม่ใช่ผลข้างเคียงของยา Inhaled Salmeterol + Inhaled Fluticasone</t>
        </is>
      </c>
      <c r="C127" s="18" t="inlineStr"/>
      <c r="D127" s="18" t="inlineStr">
        <is>
          <t>ใจสั่น</t>
        </is>
      </c>
      <c r="E127" s="18" t="inlineStr">
        <is>
          <t>มือสั่น</t>
        </is>
      </c>
      <c r="F127" s="18" t="inlineStr">
        <is>
          <t>ติดเชื้อราในช่องปาก</t>
        </is>
      </c>
      <c r="G127" s="18" t="inlineStr">
        <is>
          <t>เสียงแหบ</t>
        </is>
      </c>
      <c r="H127" s="18" t="inlineStr">
        <is>
          <t>ปากแห้ง คอแห้ง</t>
        </is>
      </c>
      <c r="I127" s="15" t="inlineStr">
        <is>
          <t>5</t>
        </is>
      </c>
      <c r="J127" s="18" t="inlineStr">
        <is>
          <t>✅ คำตอบที่ถูกต้อง: ข้อ จ. ปากแห้ง คอแห้ง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ปากแห้ง คอแห้ง การเลือก ปากแห้ง คอแห้ง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ข. (มือสั่น): ข้อนี้ไม่ใช่คำตอบที่ถูกต้องสำหรับภาวะ Asthma เนื่องจากกลไกการออกฤทธิ์, efficacy หรือข้อบ่งใช้ไม่ตรงกับโจทย์ที่กำหนด
• ข้อ ค. (ติดเชื้อราในช่องปาก): ข้อนี้ไม่ใช่คำตอบที่ถูกต้องสำหรับภาวะ Asthma เนื่องจากกลไกการออกฤทธิ์, efficacy หรือข้อบ่งใช้ไม่ตรงกับโจทย์ที่กำหนด
• ข้อ ง. (เสียงแหบ):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7" s="18" t="inlineStr"/>
      <c r="L127" s="18" t="inlineStr">
        <is>
          <t>Asthma</t>
        </is>
      </c>
      <c r="M127" s="18" t="inlineStr">
        <is>
          <t>Clinic</t>
        </is>
      </c>
      <c r="N127" s="18" t="inlineStr">
        <is>
          <t>ข้อ 58 (PLE_CC1_Key_Rx20_UBU.md)</t>
        </is>
      </c>
      <c r="O127" s="18" t="inlineStr">
        <is>
          <t>Mock</t>
        </is>
      </c>
      <c r="P127" s="18" t="inlineStr">
        <is>
          <t>Mock Rx20 UBU</t>
        </is>
      </c>
    </row>
    <row r="128">
      <c r="A128" s="15" t="inlineStr">
        <is>
          <t>126</t>
        </is>
      </c>
      <c r="B128" s="18" t="inlineStr">
        <is>
          <t>จากโครงสร้าง Formoterol และ Salmeterol ที่เป็น Long-acting beta-2 agonists Formoterol Salmeterol ข้อใดต่อไปนี้ถูกต้อง</t>
        </is>
      </c>
      <c r="C128" s="18" t="inlineStr"/>
      <c r="D128" s="18" t="inlineStr">
        <is>
          <t>Formoterol ออกฤทธิ์เร็วกว่า Salmeterol เนื่องจาก Lipophilicity สูงกว่า</t>
        </is>
      </c>
      <c r="E128" s="18" t="inlineStr">
        <is>
          <t>Formoterol ออกฤทธิ์เร็วกว่า Salmeterol เนื่องจาก Lipophilicity ต่ำกว่า</t>
        </is>
      </c>
      <c r="F128" s="18" t="inlineStr">
        <is>
          <t>Formoterol ออกฤทธิ์ช้ากว่า Salmeterol เนื่องจาก Lipophilicity สูงกว่า</t>
        </is>
      </c>
      <c r="G128" s="18" t="inlineStr">
        <is>
          <t>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t>
        </is>
      </c>
      <c r="H128" s="18" t="inlineStr">
        <is>
          <t>Fluticasone/Salmeterol 250/50 mcg DPI BID</t>
        </is>
      </c>
      <c r="I128" s="15" t="inlineStr">
        <is>
          <t>1</t>
        </is>
      </c>
      <c r="J128" s="18" t="inlineStr">
        <is>
          <t>✅ คำตอบที่ถูกต้อง: ข้อ ก. Formoterol ออกฤทธิ์เร็วกว่า Salmeterol เนื่องจาก Lipophilicity สูงกว่า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เนื่องจาก Lipophilicity สูงกว่า การเลือก Formoterol ออกฤทธิ์เร็วกว่า Salmeterol เนื่องจาก Lipophilicity สูงกว่า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(Formoterol ออกฤทธิ์เร็วกว่า Salmeterol เนื่องจาก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ออกฤทธิ์ช้ากว่า Salmeterol เนื่องจาก Lipophilicity สูงกว่า): เป็น LABA ที่มี onset รวดเร็ว (1-3 นาที) และออกฤทธิ์นาน 12 ชม. สามารถใช้ร่วมกับ ICS (ICS-formoterol) เป็นได้ทั้ง maintenance และ reliever (MART / AIR strategy)
• ข้อ ง. (Formoterol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 เป็น LABA ที่มี onset รวดเร็ว (1-3 นาที) และออกฤทธิ์นาน 12 ชม. สามารถใช้ร่วมกับ ICS (ICS-formoterol) เป็นได้ทั้ง maintenance และ reliever (MART / AIR strategy)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8" s="18" t="inlineStr"/>
      <c r="L128" s="18" t="inlineStr">
        <is>
          <t>Asthma</t>
        </is>
      </c>
      <c r="M128" s="18" t="inlineStr">
        <is>
          <t>Clinic</t>
        </is>
      </c>
      <c r="N128" s="18" t="inlineStr">
        <is>
          <t>ข้อ 59 (PLE_CC1_Key_Rx20_UBU.md)</t>
        </is>
      </c>
      <c r="O128" s="18" t="inlineStr">
        <is>
          <t>Mock</t>
        </is>
      </c>
      <c r="P128" s="18" t="inlineStr">
        <is>
          <t>Mock Rx20 UBU</t>
        </is>
      </c>
    </row>
    <row r="129">
      <c r="A129" s="18" t="n">
        <v>127</v>
      </c>
      <c r="B129" s="18" t="inlineStr">
        <is>
          <t>▶ [กรณีศึกษา: หญิงไทย 50 ปี น้ำหนัก 45 กก. ส่วนสูง 157 ซม. อาชีพเย็บผ้าในโรงงาน มาด้วยอาการหายใจหอบเหนื่อยโดยเฉพาะตอนกลางคืน มีน้ำมูกใส ไม่เคยนอน รพ. ปัจจุบันใช้ยา Seretide (fluticasone/salmeterol) 1 puff BID, Ventolin PRN และ Avamys พ่นจมูก ตรวจสมรรถภาพปอด FEV1 ก่อนพ่นยา 1.65 L หลังพ่น 2.1 L แพทย์วินิจฉัยว่าเป็น Uncontrolled Asthma ประวัติเดิม: เลิกสูบบุหรี่มาแล้ว 10 ปี]
📌 คำถาม: ข้อใดเป็น “ปัจจัยเสี่ยงที่สามารถปรับเปลี่ยนได้ (Modifiable risk factor)” ที่มีผลต่อการลดความเสี่ยงในการเกิดโรคหืดกำเริบ (Asthma exacerbation) มากที่สุดในผู้ป่วยรายนี้</t>
        </is>
      </c>
      <c r="C129" s="18" t="inlineStr"/>
      <c r="D129" s="18" t="inlineStr">
        <is>
          <t>สภาพภูมิอากาศและมลพิษทางอากาศภายนอกโรงงาน</t>
        </is>
      </c>
      <c r="E129" s="18" t="inlineStr">
        <is>
          <t>ประวัติการเคยสูบบุหรี่ในอดีตที่เลิกไปแล้ว 10 ปี</t>
        </is>
      </c>
      <c r="F129" s="18" t="inlineStr">
        <is>
          <t>ภาวะโรคอ้วนและดัชนีมวลกายที่สูงเกินเกณฑ์</t>
        </is>
      </c>
      <c r="G129" s="18" t="inlineStr">
        <is>
          <t>ขนาดยาควบคุมอาการ Inhaled Corticosteroid (ICS) ที่ไม่เหมาะสมและยังคุมโรคไม่ได้</t>
        </is>
      </c>
      <c r="H129" s="18" t="inlineStr">
        <is>
          <t>เพศหญิงและอายุที่เข้าสู่วัยทอง</t>
        </is>
      </c>
      <c r="I129" s="15" t="inlineStr">
        <is>
          <t>4</t>
        </is>
      </c>
      <c r="J129" s="18" t="inlineStr">
        <is>
          <t>✅ คำตอบที่ถูกต้อง: ข้อ ง. ขนาดยา ICS ที่ไม่เหมาะสมและการใช้ยาพ่นไม่สม่ำเสมอ
💡 Background:
ในผู้ป่วยโรคหืด (Asthma) ปัจจัยเสี่ยงต่อการเกิดโรคกำเริบเฉียบพลัน (Exacerbation risk factors) แบ่งเป็น: 
1. ปัจจัยที่ไม่สามารถปรับเปลี่ยนได้ (Non-modifiable): เช่น พันธุกรรม ประวัติการเกิดหอบกำเริบรุนแรงในอดีต (History of severe exacerbation) 
2. ปัจจัยที่สามารถปรับเปลี่ยนได้ (Modifiable risk factors): ได้แก่ การไม่ได้รับยาหรือได้รับยา Inhaled Corticosteroid (ICS) ในขนาดที่ไม่เพียงพอ, เทคนิคการใช้ยาพ่นสูดไม่ถูกต้อง (Poor inhaler technique), ความร่วมมือในการใช้ยาต่ำ (Poor adherence), การสูบบุหรี่, โรคร่วมที่ยังควบคุมไม่ได้ (เช่น Allergic rhinitis, GERD, Obesity), และการสัมผัสมลพิษ/สารก่อภูมิแพ้ในที่ทำงาน
🎯 ทำไมข้อนี้ถึงถูก:
การได้รับยา Inhaled Corticosteroid (ICS) ในขนาดที่ไม่เหมาะสม และการใช้ยาควบคุมอาการไม่สม่ำเสมอ ถือเป็น "ปัจจัยเสี่ยงที่สามารถปรับเปลี่ยนได้ (Modifiable risk factor)" ที่สำคัญที่สุดในการป้องกันการเกิด Asthma exacerbation ตามแนวทางสากล GINA ซึ่งแพทย์และเภสัชกรสามารถประเมินและปรับขนาดยา (Step-up) ได้ทันที
🔍 ข้ออื่นผิดเพราะอะไร:
• ข้อ ก. (มลพิษทางอากาศทั่วไป): มักเป็นปัจจัยภายนอกเชิงสิ่งแวดล้อมที่ผู้ป่วยควบคุมได้ยากเมื่อเทียบกับการปรับยาของตนเอง
• ข้อ ข. (ประวัติเคยสูบบุหรี่ในอดีต): ผู้ป่วยเลิกสูบบุหรี่ไปแล้ว 10 ปี จึงถือเป็นประวัติเดิม (Past history) ไม่ใช่ปัจจัยที่เข้าไปปรับเปลี่ยนได้ในปัจจุบัน
• ข้อ ค. (โรคอ้วน): ผู้ป่วยมีน้ำหนัก 45 กก. สูง 157 ซม. (BMI ประมาณ 18.25 kg/m2) อยู่ในเกณฑ์ผอม ไม่ได้มีภาวะโรคอ้วน
• ข้อ จ. (อายุและเพศ): เป็นปัจจัยทางชีววิทยาที่ไม่สามารถเปลี่ยนแปลงได้
📖 Guideline อ้างอิง:
Global Initiative for Asthma (GINA 2023/2024 Guidelines) &amp; แนวทางการวินิจฉัยและรักษาโรคหืดในประเทศไทยสำหรับผู้ใหญ่ พ.ศ. 2566
📌 จุดจำก่อนสอบ:
• Core Modifiable Risk in Asthma: ปัจจัยปรับเปลี่ยนได้อันดับ 1 ที่นำไปสู่ Asthma Exacerbation คือ "การไม่ได้รับยา ICS หรือใช้ยา ICS ขนาดต่ำเกินไป"
• Inhaler Technique: ก่อนการ Step-up ขนาดยา ต้องตรวจสอบ Inhaler technique และ Adherence ของผู้ป่วยเสมอ</t>
        </is>
      </c>
      <c r="K129" s="18" t="inlineStr"/>
      <c r="L129" s="18" t="inlineStr">
        <is>
          <t>Pulmonary</t>
        </is>
      </c>
      <c r="M129" s="18" t="inlineStr">
        <is>
          <t>Clinic</t>
        </is>
      </c>
      <c r="N129" s="18" t="inlineStr">
        <is>
          <t>PLE_CC1_2567_Key ข้อ 27</t>
        </is>
      </c>
      <c r="O129" s="18" t="inlineStr">
        <is>
          <t>ข้อสอบจริง</t>
        </is>
      </c>
      <c r="P129" s="18" t="inlineStr">
        <is>
          <t>ปี 2567</t>
        </is>
      </c>
    </row>
    <row r="130">
      <c r="A130" s="18" t="n">
        <v>128</v>
      </c>
      <c r="B130" s="18" t="inlineStr">
        <is>
          <t>ข้อใดอธิบายกลไกการออกฤทธิ์ระดับเซลล์ของยา Salmeterol ซึ่งเป็นส่วนประกอบในยาพ่น Seretide ได้อย่างถูกต้อง</t>
        </is>
      </c>
      <c r="C130" s="18" t="inlineStr"/>
      <c r="D130" s="18" t="inlineStr">
        <is>
          <t>กระตุ้น Phospholipase C เพิ่มการหลั่ง intracellular Calcium</t>
        </is>
      </c>
      <c r="E130" s="18" t="inlineStr">
        <is>
          <t>กระตุ้น Adenylyl cyclase เพิ่มระดับ cyclic AMP (cAMP) ในเซลล์กล้ามเนื้อเรียบหลอดลม</t>
        </is>
      </c>
      <c r="F130" s="18" t="inlineStr">
        <is>
          <t>ยับยั้งเอนไซม์ Phosphodiesterase (PDE) ลดการสร้าง cyclic GMP</t>
        </is>
      </c>
      <c r="G130" s="18" t="inlineStr">
        <is>
          <t>ปิดกั้นตัวรับ Muscarinic M3 receptor ยับยั้งการหดเกร็งของหลอดลม</t>
        </is>
      </c>
      <c r="H130" s="18" t="inlineStr">
        <is>
          <t>กระตุ้นการเปิด Calcium channels เพิ่มการหดตัวของกล้ามเนื้อเรียบ</t>
        </is>
      </c>
      <c r="I130" s="15" t="inlineStr">
        <is>
          <t>2</t>
        </is>
      </c>
      <c r="J130" s="18" t="inlineStr">
        <is>
          <t>✅ คำตอบที่ถูกต้อง: ข้อ ข. Salmeterol กระตุ้น Beta-2 receptor เพิ่มระดับ intracellular cAMP ทำให้กล้ามเนื้อเรียบหลอดลมคลายตัว
💡 Background:
Seretide เป็นยาพ่นควบคุมอาการโรคหืดสูตรผสมระหว่าง Fluticasone propionate (Inhaled Corticosteroid: ICS) และ Salmeterol xinafoate (Long-Acting Beta-2 Agonist: LABA) กลไกการออกฤทธิ์เสริมกันคือ:
1. Salmeterol: จับและกระตุ้น Beta-2 adrenergic receptor ที่กล้ามเนื้อเรียบหลอดลม ส่งสัญญาณผ่าน Gs protein ไปกระตุ้นเอนไซม์ Adenylyl cyclase เปลี่ยน ATP เป็น cyclic AMP (cAMP) ที่เพิ่มขึ้น ส่งผลลด intracellular calcium ทำให้เกิดการคลายตัวของหลอดลม (Bronchodilation)
2. Fluticasone: ผ่านเข้าสู่เซลล์จับกับ Glucocorticoid receptor ยับยั้งสารสื่อการอักเสบ (IL, TNF, Leukotrienes) และเพิ่มการแสดงออกของ Beta-2 receptor
🎯 ทำไมข้อนี้ถึงถูก:
กลไกของยาขยายหลอดลมกลุ่ม Beta-2 agonist (Salmeterol) คือการกระตุ้น Adenylyl cyclase ส่งผลให้ระดับ intracellular cAMP ภายในเซลล์กล้ามเนื้อเรียบหลอดลม "เพิ่มขึ้น (Increase cAMP)" นำไปสู่การขยายตัวของหลอดลมอย่างมีประสิทธิภาพ
🔍 ข้ออื่นผิดเพราะอะไร:
• ข้อ ก. (กระตุ้น phospholipase C): เป็นกลไกของ Gq-coupled receptor (เช่น Alpha-1, Muscarinic M3) ซึ่งกระตุ้นการหลั่ง Calcium ทำให้หลอดลมหดเกร็ง ไม่ใช่กลไกของ Beta-2 agonist
• ข้อ ค. (ลด IP3): IP3 pathway เกิดจากการทำงานของ PLC ไม่ใช่ pathway หลักของการคลายตัวของกล้ามเนื้อเรียบผ่าน Beta-2 receptor
• ข้อ ง. (ยับยั้งเอนไซม์ PDE4): เป็นกลไกของยากลุ่ม Methylxanthines (Theophylline) หรือ Roflumilast ไม่ใช่ Salmeterol
• ข้อ จ. (ปิดกั้น Muscarinic receptor): เป็นกลไกของยากลุ่ม Anticholinergics (SAMA/LAMA เช่น Ipratropium, Tiotropium)
📖 Guideline อ้างอิง:
Goodman &amp; Gilman's: The Pharmacological Basis of Therapeutics (Chapter: Drugs Used in the Treatment of Asthma and COPD) &amp; GINA 2024 Guidelines
📌 จุดจำก่อนสอบ:
• Beta-2 Agonist Signal Transduction: Beta-2 receptor -&gt; กระตุ้น Gs protein -&gt; กระตุ้น Adenylyl cyclase -&gt; เพิ่ม intracellular cAMP -&gt; Bronchodilation
• Synergy of ICS + LABA: ICS ช่วยเพิ่มการสร้าง Beta-2 receptor บนเยื่อบุหลอดลม ส่วน LABA ช่วยเพิ่มการเคลื่อนย้ายของ Glucocorticoid receptor เข้าสู่นิวเคลียส</t>
        </is>
      </c>
      <c r="K130" s="18" t="inlineStr"/>
      <c r="L130" s="18" t="inlineStr">
        <is>
          <t>Pulmonary</t>
        </is>
      </c>
      <c r="M130" s="18" t="inlineStr">
        <is>
          <t>Clinic</t>
        </is>
      </c>
      <c r="N130" s="18" t="inlineStr">
        <is>
          <t>PLE_CC1_2567_Key ข้อ 28</t>
        </is>
      </c>
      <c r="O130" s="18" t="inlineStr">
        <is>
          <t>ข้อสอบจริง</t>
        </is>
      </c>
      <c r="P130" s="18" t="inlineStr">
        <is>
          <t>ปี 2567</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1</t>
        </is>
      </c>
      <c r="B3" s="18"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8" t="inlineStr"/>
      <c r="D3" s="18" t="inlineStr">
        <is>
          <t>Lynestrenol</t>
        </is>
      </c>
      <c r="E3" s="18" t="inlineStr">
        <is>
          <t>Levonorgestrel</t>
        </is>
      </c>
      <c r="F3" s="18" t="inlineStr">
        <is>
          <t>Ethinyl estradiol + levonorgestrel</t>
        </is>
      </c>
      <c r="G3" s="18" t="inlineStr">
        <is>
          <t>Ethinyl estradiol + desogestrel</t>
        </is>
      </c>
      <c r="H3" s="18" t="inlineStr">
        <is>
          <t>Ethinyl estradiol + gestodene</t>
        </is>
      </c>
      <c r="I3" s="15" t="inlineStr">
        <is>
          <t>1</t>
        </is>
      </c>
      <c r="J3" s="18"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18" t="inlineStr"/>
      <c r="L3" s="18" t="inlineStr">
        <is>
          <t>Oral contraceptive</t>
        </is>
      </c>
      <c r="M3" s="18" t="inlineStr">
        <is>
          <t>Clinic</t>
        </is>
      </c>
      <c r="N3" s="18" t="inlineStr">
        <is>
          <t>ข้อ 1 ชุด 1 (เฉลยข้อ ก)</t>
        </is>
      </c>
      <c r="O3" s="18" t="inlineStr">
        <is>
          <t>Mock</t>
        </is>
      </c>
      <c r="P3" s="18" t="inlineStr">
        <is>
          <t>ชุด 1</t>
        </is>
      </c>
    </row>
    <row r="4">
      <c r="A4" s="15" t="inlineStr">
        <is>
          <t>2</t>
        </is>
      </c>
      <c r="B4" s="18"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18" t="inlineStr"/>
      <c r="D4" s="18" t="inlineStr">
        <is>
          <t>ไม่จำเป็นต้องคุมกำเนิดฉุกเฉิน เพราะช่วงเวลาที่มีเพศสัมพันธ์นั้นอยู่ในระยะปลอดภัย</t>
        </is>
      </c>
      <c r="E4" s="18" t="inlineStr">
        <is>
          <t>ให้รอดทดสอบการตั้งครรภ์ เพราะเลยระยะเวลาที่ยาคุมกำเนิดฉุกเฉินจะมีประสิทธิภาพ</t>
        </is>
      </c>
      <c r="F4" s="18" t="inlineStr">
        <is>
          <t>Ethinyl estradiol 2.5 mg วันละ 2 ครั้งเป็นเวลา 3 วัน</t>
        </is>
      </c>
      <c r="G4" s="18" t="inlineStr">
        <is>
          <t>Levonorgestrel 0.75 mg 2 เม็ด 2 ครั้งห่างกันไม่เกิน 12 ชม.</t>
        </is>
      </c>
      <c r="H4" s="18" t="inlineStr">
        <is>
          <t>ยาคุมที่มี ethinyl estradiol 50 mcg + levonorgestrel 0.25 mg 1 เม็ด 2 ครั้งห่างกันไม่เกิน 12 ชม.</t>
        </is>
      </c>
      <c r="I4" s="15" t="inlineStr">
        <is>
          <t>1</t>
        </is>
      </c>
      <c r="J4" s="18" t="inlineStr">
        <is>
          <t>✅ คำตอบที่ถูกต้อง: ข้อ ก. ไม่จำเป็นต้องคุมกำเนิดฉุกเฉิน เพราะช่วงเวลาที่มีเพศสัมพันธ์นั้นอยู่ในระยะปลอดภัย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ไม่จำเป็นต้องคุมกำเนิดฉุกเฉิน เพราะช่วงเวลาที่มีเพศสัมพันธ์นั้นอยู่ในระยะปลอดภัย การใช้ยาคุมกำเนิดฉุกเฉิน (Emergency Contraceptive Pills - ECPs) สูตร Levonorgestrel แนะนำให้รับประทานขนาด 1.5 mg ครั้งเดียว หรือแบ่งเป็น 0.75 mg จำนวน 2 เม็ด ห่างกัน 12 ชั่วโมง โดยควรใช้ภายใน 72 ชั่วโมง (หรือสูงสุดไม่เกิน 120 ชั่วโมง แต่ efficacy จะลดลง) หลังจากมีเพศสัมพันธ์ที่ไม่ป้องกัน
🔍 ข้ออื่นผิดเพราะอะไร:
• ข้อ ข. (ให้รอดทดสอบการตั้งครรภ์ เพราะเลยระยะเวลาที่ยาคุมกำเนิดฉุกเฉินจะมีประสิทธิภาพ):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2.5 mg วันละ 2 ครั้งเป็นเวลา 3 วัน): ข้อนี้ไม่ใช่คำตอบที่ถูกต้องสำหรับภาวะ Oral contraceptive เนื่องจากกลไกการออกฤทธิ์, efficacy หรือข้อบ่งใช้ไม่ตรงกับโจทย์ที่กำหนด
• ข้อ ง. (Levonorgestrel 0.75 mg 2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ข้อ จ. (ยาคุมที่มี ethinyl estradiol 50 mcg + levonorgestrel 0.25 mg 1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 s="18" t="inlineStr"/>
      <c r="L4" s="18" t="inlineStr">
        <is>
          <t>Oral contraceptive</t>
        </is>
      </c>
      <c r="M4" s="18" t="inlineStr">
        <is>
          <t>Clinic</t>
        </is>
      </c>
      <c r="N4" s="18" t="inlineStr">
        <is>
          <t>ข้อ 2 ชุด 1 (เฉลยข้อ )</t>
        </is>
      </c>
      <c r="O4" s="18" t="inlineStr">
        <is>
          <t>Mock</t>
        </is>
      </c>
      <c r="P4" s="18" t="inlineStr">
        <is>
          <t>ชุด 1</t>
        </is>
      </c>
    </row>
    <row r="5">
      <c r="A5" s="15" t="inlineStr">
        <is>
          <t>3</t>
        </is>
      </c>
      <c r="B5" s="18" t="inlineStr">
        <is>
          <t>ใช้ยาคุมที่มี ethinyl estradiol ไม่มีปัญหาในการเกิดปฏิกิริยาระหว่างยากรณีใดบ้าง</t>
        </is>
      </c>
      <c r="C5" s="18" t="inlineStr"/>
      <c r="D5" s="18" t="inlineStr">
        <is>
          <t>ในผู้ป่วยวัณโรคที่ใช้ rifampin อย่างต่อเนื่อง</t>
        </is>
      </c>
      <c r="E5" s="18" t="inlineStr">
        <is>
          <t>ในผู้ป่วยที่ได้รับ corticosteroid เป็นเวลาหลายเดือน</t>
        </is>
      </c>
      <c r="F5" s="18" t="inlineStr">
        <is>
          <t>ในผู้ป่วยที่ได้รับ barbiturate อย่างต่อเนื่อง</t>
        </is>
      </c>
      <c r="G5" s="18" t="inlineStr">
        <is>
          <t>ในผู้ป่วยที่ใช้ยา phenytoin ป้องกันการชัก</t>
        </is>
      </c>
      <c r="H5" s="18" t="inlineStr">
        <is>
          <t>ในผู้ป่วยที่ได้รับ aspirin อย่างต่อเนื่อง</t>
        </is>
      </c>
      <c r="I5" s="15" t="inlineStr">
        <is>
          <t>5</t>
        </is>
      </c>
      <c r="J5" s="18"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ข. (ในผู้ป่วยที่ได้รับ corticosteroid เป็นเวลาหลายเดือน): ข้อนี้ไม่ใช่คำตอบที่ถูกต้องสำหรับภาวะ Oral contraceptive เนื่องจากกลไกการออกฤทธิ์, efficacy หรือข้อบ่งใช้ไม่ตรงกับโจทย์ที่กำหนด
• ข้อ ค. (ในผู้ป่วยที่ได้รับ barbiturate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18" t="inlineStr"/>
      <c r="L5" s="18" t="inlineStr">
        <is>
          <t>Oral contraceptive</t>
        </is>
      </c>
      <c r="M5" s="18" t="inlineStr">
        <is>
          <t>Clinic</t>
        </is>
      </c>
      <c r="N5" s="18" t="inlineStr">
        <is>
          <t>ข้อ 3 ชุด 1 (เฉลยข้อ จ)</t>
        </is>
      </c>
      <c r="O5" s="18" t="inlineStr">
        <is>
          <t>Mock</t>
        </is>
      </c>
      <c r="P5" s="18" t="inlineStr">
        <is>
          <t>ชุด 1</t>
        </is>
      </c>
    </row>
    <row r="6">
      <c r="A6" s="15" t="inlineStr">
        <is>
          <t>4</t>
        </is>
      </c>
      <c r="B6" s="18" t="inlineStr">
        <is>
          <t>ข้อใดไม่ถูกต้องเกี่ยวกับ ethinyl estradiol + levonorgestrel</t>
        </is>
      </c>
      <c r="C6" s="18" t="inlineStr"/>
      <c r="D6" s="18" t="inlineStr">
        <is>
          <t>Ethinyl estradiol เป็นยาในกลุ่ม estrogen</t>
        </is>
      </c>
      <c r="E6" s="18" t="inlineStr">
        <is>
          <t>Levonorgestrel เป็นยาในกลุ่ม progestins</t>
        </is>
      </c>
      <c r="F6" s="18" t="inlineStr">
        <is>
          <t>การให้ ethinyl estradiol 0.03 mg + levonorgestrel 0.15 mg ในทุกเม็ดของการให้แบบ biphasic combination โดยมียา 2 ชนิดในแผง</t>
        </is>
      </c>
      <c r="G6" s="18" t="inlineStr">
        <is>
          <t>Levonorgestrel 1.5 mg stat (Emergency)</t>
        </is>
      </c>
      <c r="H6" s="18" t="inlineStr">
        <is>
          <t>Levonorgestrel เป็น isomer หนึ่งของ norgestrel</t>
        </is>
      </c>
      <c r="I6" s="15" t="inlineStr">
        <is>
          <t>3</t>
        </is>
      </c>
      <c r="J6" s="18"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ข้อนี้ไม่ใช่คำตอบที่ถูกต้องสำหรับภาวะ Oral contraceptive เนื่องจากกลไกการออกฤทธิ์, efficacy หรือข้อบ่งใช้ไม่ตรงกับโจทย์ที่กำหนด
• ข้อ ข. (Levonorgestrel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(Levonorgestrel เป็น isomer หนึ่งของ 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18" t="inlineStr"/>
      <c r="L6" s="18" t="inlineStr">
        <is>
          <t>Oral contraceptive</t>
        </is>
      </c>
      <c r="M6" s="18" t="inlineStr">
        <is>
          <t>Clinic</t>
        </is>
      </c>
      <c r="N6" s="18" t="inlineStr">
        <is>
          <t>ข้อ 4 ชุด 1 (เฉลยข้อ ค)</t>
        </is>
      </c>
      <c r="O6" s="18" t="inlineStr">
        <is>
          <t>Mock</t>
        </is>
      </c>
      <c r="P6" s="18" t="inlineStr">
        <is>
          <t>ชุด 1</t>
        </is>
      </c>
    </row>
    <row r="7">
      <c r="A7" s="15" t="inlineStr">
        <is>
          <t>5</t>
        </is>
      </c>
      <c r="B7" s="18" t="inlineStr">
        <is>
          <t>ข้อใดผิดเกี่ยวกับยาคุมกำเนิด 2 ชนิดนี้
- Lynestrenol
- Norethindrone
ข้อใดผิดเกี่ยวกับยาคุมกำเนิด 2 ชนิดนี้</t>
        </is>
      </c>
      <c r="C7" s="18" t="inlineStr"/>
      <c r="D7" s="18" t="inlineStr">
        <is>
          <t>Lynestrenol เป็นยาในกลุ่ม estrogen</t>
        </is>
      </c>
      <c r="E7" s="18" t="inlineStr">
        <is>
          <t>Norethindrone เป็นยาในกลุ่ม progestins</t>
        </is>
      </c>
      <c r="F7" s="18" t="inlineStr">
        <is>
          <t>Norethindrone มีผล androgenic effect เพราะมีโครงสร้างคล้ายกับ testosterone</t>
        </is>
      </c>
      <c r="G7" s="18" t="inlineStr">
        <is>
          <t>Lynestrenol มีผล androgenic effect ต่ำกว่า norethindrone</t>
        </is>
      </c>
      <c r="H7" s="18" t="inlineStr">
        <is>
          <t>หมู่ -C≡CH ในโครงสร้างทั้ง 2 ชนิดนี้จะขัดขวางการเกิด oxidation ของหมู่ -OH ไปเป็น ketone</t>
        </is>
      </c>
      <c r="I7" s="15" t="inlineStr">
        <is>
          <t>1</t>
        </is>
      </c>
      <c r="J7" s="18"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ค. (Norethindrone มีผล androgenic effect เพราะมีโครงสร้างคล้ายกับ testosterone): ข้อนี้ไม่ใช่คำตอบที่ถูกต้องสำหรับภาวะ Oral contraceptive เนื่องจากกลไกการออกฤทธิ์, efficacy หรือข้อบ่งใช้ไม่ตรงกับโจทย์ที่กำหนด
• ข้อ ง. (Lynestrenol มีผล androgenic effect ต่ำกว่า norethindrone): ข้อนี้ไม่ใช่คำตอบที่ถูกต้องสำหรับภาวะ Oral contraceptive เนื่องจากกลไกการออกฤทธิ์, efficacy หรือข้อบ่งใช้ไม่ตรงกับโจทย์ที่กำหนด
• ข้อ จ. (หมู่ -C≡CH ในโครงสร้างทั้ง 2 ชนิดนี้จะขัดขวางการเกิด oxidation ของหมู่ -OH ไปเป็น ketone):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18" t="inlineStr"/>
      <c r="L7" s="18" t="inlineStr">
        <is>
          <t>Oral contraceptive</t>
        </is>
      </c>
      <c r="M7" s="18" t="inlineStr">
        <is>
          <t>Clinic</t>
        </is>
      </c>
      <c r="N7" s="18" t="inlineStr">
        <is>
          <t>ข้อ 5 ชุด 1 (เฉลยข้อ ก)</t>
        </is>
      </c>
      <c r="O7" s="18" t="inlineStr">
        <is>
          <t>Mock</t>
        </is>
      </c>
      <c r="P7" s="18" t="inlineStr">
        <is>
          <t>ชุด 1</t>
        </is>
      </c>
    </row>
    <row r="8">
      <c r="A8" s="15" t="inlineStr">
        <is>
          <t>6</t>
        </is>
      </c>
      <c r="B8" s="18" t="inlineStr">
        <is>
          <t>Rx. Levonorgestrel 0.75 mg/tab จำนวน 2 กล่อง
คำแนะนำของการใช้ยาคุมกำเนิดฉุกเฉินข้อใดถูกต้อง</t>
        </is>
      </c>
      <c r="C8" s="18" t="inlineStr"/>
      <c r="D8" s="18" t="inlineStr">
        <is>
          <t>กินครั้งเดียว 2 เม็ด</t>
        </is>
      </c>
      <c r="E8" s="18" t="inlineStr">
        <is>
          <t>กินเม็ดแรก 1 ชม. เม็ดที่ 2 ภายใน 48 ชม.</t>
        </is>
      </c>
      <c r="F8" s="18" t="inlineStr">
        <is>
          <t>กิน 1 เม็ดแรก ภายใน 72 ชม. เม็ดที่ 2 ภายใน 12 ชม.</t>
        </is>
      </c>
      <c r="G8" s="18" t="inlineStr">
        <is>
          <t>กิน 1 เม็ดแรก ภายใน 72 ชม. เม็ดที่ 2 ภายใน 24 ชม.</t>
        </is>
      </c>
      <c r="H8" s="18" t="inlineStr">
        <is>
          <t>กินไม่เกินเดือนละ 4 กล่อง</t>
        </is>
      </c>
      <c r="I8" s="15" t="inlineStr">
        <is>
          <t>1</t>
        </is>
      </c>
      <c r="J8" s="18"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ข้อนี้ไม่ใช่คำตอบที่ถูกต้องสำหรับภาวะ Oral contraceptive เนื่องจากกลไกการออกฤทธิ์, efficacy หรือข้อบ่งใช้ไม่ตรงกับโจทย์ที่กำหนด
• ข้อ ค. (กิน 1 เม็ดแรก ภายใน 72 ชม. เม็ดที่ 2 ภายใน 12 ชม.): ข้อนี้ไม่ใช่คำตอบที่ถูกต้องสำหรับภาวะ Oral contraceptive เนื่องจากกลไกการออกฤทธิ์, efficacy หรือข้อบ่งใช้ไม่ตรงกับโจทย์ที่กำหนด
• ข้อ ง. (กิน 1 เม็ดแรก ภายใน 72 ชม. เม็ดที่ 2 ภายใน 24 ชม.): ข้อนี้ไม่ใช่คำตอบที่ถูกต้องสำหรับภาวะ Oral contraceptive เนื่องจากกลไกการออกฤทธิ์, efficacy หรือข้อบ่งใช้ไม่ตรงกับโจทย์ที่กำหนด
• ข้อ จ. (กินไม่เกินเดือนละ 4 กล่อง):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18" t="inlineStr"/>
      <c r="L8" s="18" t="inlineStr">
        <is>
          <t>Oral contraceptive</t>
        </is>
      </c>
      <c r="M8" s="18" t="inlineStr">
        <is>
          <t>Clinic</t>
        </is>
      </c>
      <c r="N8" s="18" t="inlineStr">
        <is>
          <t>ข้อ 6 ชุด 1 (เฉลยข้อ ก ค)</t>
        </is>
      </c>
      <c r="O8" s="18" t="inlineStr">
        <is>
          <t>Mock</t>
        </is>
      </c>
      <c r="P8" s="18" t="inlineStr">
        <is>
          <t>ชุด 1</t>
        </is>
      </c>
    </row>
    <row r="9">
      <c r="A9" s="15" t="inlineStr">
        <is>
          <t>7</t>
        </is>
      </c>
      <c r="B9" s="18" t="inlineStr">
        <is>
          <t>ฮอร์โมนคุมกำเนิดไม่ใช่ในการรักษาอะไร</t>
        </is>
      </c>
      <c r="C9" s="18" t="inlineStr"/>
      <c r="D9" s="18" t="inlineStr">
        <is>
          <t>สิว</t>
        </is>
      </c>
      <c r="E9" s="18" t="inlineStr">
        <is>
          <t>ประจำเดือนมามากผิดปกติ</t>
        </is>
      </c>
      <c r="F9" s="18" t="inlineStr">
        <is>
          <t>ฝ้า</t>
        </is>
      </c>
      <c r="G9" s="18" t="inlineStr">
        <is>
          <t>ประจำเดือนมากกระปริดกระปรอย</t>
        </is>
      </c>
      <c r="H9" s="18" t="inlineStr">
        <is>
          <t>เลื่อนประจำเดือน</t>
        </is>
      </c>
      <c r="I9" s="15" t="inlineStr">
        <is>
          <t>3</t>
        </is>
      </c>
      <c r="J9" s="18"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ข้อนี้ไม่ใช่คำตอบที่ถูกต้องสำหรับภาวะ Oral contraceptive เนื่องจากกลไกการออกฤทธิ์, efficacy หรือข้อบ่งใช้ไม่ตรงกับโจทย์ที่กำหนด
• ข้อ ข. (ประจำเดือนมามากผิดปกติ):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(ประจำเดือนมากกระปริดกระปรอย): ข้อนี้ไม่ใช่คำตอบที่ถูกต้องสำหรับภาวะ Oral contraceptive เนื่องจากกลไกการออกฤทธิ์, efficacy หรือข้อบ่งใช้ไม่ตรงกับโจทย์ที่กำหนด
• ข้อ จ.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18" t="inlineStr"/>
      <c r="L9" s="18" t="inlineStr">
        <is>
          <t>Oral contraceptive</t>
        </is>
      </c>
      <c r="M9" s="18" t="inlineStr">
        <is>
          <t>Clinic</t>
        </is>
      </c>
      <c r="N9" s="18" t="inlineStr">
        <is>
          <t>ข้อ 7 ชุด 1 (เฉลยข้อ ค)</t>
        </is>
      </c>
      <c r="O9" s="18" t="inlineStr">
        <is>
          <t>Mock</t>
        </is>
      </c>
      <c r="P9" s="18" t="inlineStr">
        <is>
          <t>ชุด 1</t>
        </is>
      </c>
    </row>
    <row r="10">
      <c r="A10" s="15" t="inlineStr">
        <is>
          <t>8</t>
        </is>
      </c>
      <c r="B10" s="18" t="inlineStr">
        <is>
          <t>ทุกข้อเป็นประโยชน์ของ progestogen ยกเว้นข้อใด</t>
        </is>
      </c>
      <c r="C10" s="18" t="inlineStr"/>
      <c r="D10" s="18" t="inlineStr">
        <is>
          <t>ยับยั้งการตกไข่</t>
        </is>
      </c>
      <c r="E10" s="18" t="inlineStr">
        <is>
          <t>ฆ่า sperm</t>
        </is>
      </c>
      <c r="F10" s="18" t="inlineStr">
        <is>
          <t>กระตุ้นการตกไข่</t>
        </is>
      </c>
      <c r="G10" s="18" t="inlineStr">
        <is>
          <t>ทำให้มูกเหนียวขึ้น</t>
        </is>
      </c>
      <c r="H10" s="18" t="inlineStr">
        <is>
          <t>ทำให้ท่อนำไข่บีบตัว</t>
        </is>
      </c>
      <c r="I10" s="15" t="inlineStr">
        <is>
          <t>2</t>
        </is>
      </c>
      <c r="J10" s="18"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(กระตุ้นการตกไข่):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ง. (ทำให้มูกเหนียวขึ้น): ข้อนี้ไม่ใช่คำตอบที่ถูกต้องสำหรับภาวะ Oral contraceptive เนื่องจากกลไกการออกฤทธิ์, efficacy หรือข้อบ่งใช้ไม่ตรงกับโจทย์ที่กำหนด
• ข้อ จ. (ทำให้ท่อนำไข่บีบตัว):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18" t="inlineStr"/>
      <c r="L10" s="18" t="inlineStr">
        <is>
          <t>Oral contraceptive</t>
        </is>
      </c>
      <c r="M10" s="18" t="inlineStr">
        <is>
          <t>Clinic</t>
        </is>
      </c>
      <c r="N10" s="18" t="inlineStr">
        <is>
          <t>ข้อ 8 ชุด 1 (เฉลยข้อ ข ค)</t>
        </is>
      </c>
      <c r="O10" s="18" t="inlineStr">
        <is>
          <t>Mock</t>
        </is>
      </c>
      <c r="P10" s="18" t="inlineStr">
        <is>
          <t>ชุด 1</t>
        </is>
      </c>
    </row>
    <row r="11">
      <c r="A11" s="15" t="inlineStr">
        <is>
          <t>9</t>
        </is>
      </c>
      <c r="B11" s="18" t="inlineStr">
        <is>
          <t>ผู้ป่วยภาวะต่อไปนี้สามารถใช้ยาคุมกำเนิดชนิดฮอร์โมนรวมได้</t>
        </is>
      </c>
      <c r="C11" s="18" t="inlineStr"/>
      <c r="D11" s="18" t="inlineStr">
        <is>
          <t>Thromboembolism</t>
        </is>
      </c>
      <c r="E11" s="18" t="inlineStr">
        <is>
          <t>สงสัยว่าจะเป็นมะเร็งเต้านม</t>
        </is>
      </c>
      <c r="F11" s="18" t="inlineStr">
        <is>
          <t>สงสัยว่า จะตั้งครรภ์</t>
        </is>
      </c>
      <c r="G11" s="18" t="inlineStr">
        <is>
          <t>มีเลือดออกจากช่องคลอดผิดปกติที่ยังไม่ได้วินิจฉัย</t>
        </is>
      </c>
      <c r="H11" s="18" t="inlineStr">
        <is>
          <t>หญิงสูบบุหรี่ ที่มีอายุ &lt; 35 ปี</t>
        </is>
      </c>
      <c r="I11" s="15" t="inlineStr">
        <is>
          <t>5</t>
        </is>
      </c>
      <c r="J11" s="18"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ข้อนี้ไม่ใช่คำตอบที่ถูกต้องสำหรับภาวะ Oral contraceptive เนื่องจากกลไกการออกฤทธิ์, efficacy หรือข้อบ่งใช้ไม่ตรงกับโจทย์ที่กำหนด
• ข้อ ข. (สงสัยว่าจะเป็นมะเร็งเต้านม):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ค. (สงสัยว่า จะตั้งครรภ์):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(มีเลือดออกจากช่องคลอดผิดปกติที่ยังไม่ได้วินิจฉัย):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18" t="inlineStr"/>
      <c r="L11" s="18" t="inlineStr">
        <is>
          <t>Oral contraceptive</t>
        </is>
      </c>
      <c r="M11" s="18" t="inlineStr">
        <is>
          <t>Clinic</t>
        </is>
      </c>
      <c r="N11" s="18" t="inlineStr">
        <is>
          <t>ข้อ 9 ชุด 1 (เฉลยข้อ จ)</t>
        </is>
      </c>
      <c r="O11" s="18" t="inlineStr">
        <is>
          <t>Mock</t>
        </is>
      </c>
      <c r="P11" s="18" t="inlineStr">
        <is>
          <t>ชุด 1</t>
        </is>
      </c>
    </row>
    <row r="12">
      <c r="A12" s="15" t="inlineStr">
        <is>
          <t>10</t>
        </is>
      </c>
      <c r="B12" s="18" t="inlineStr">
        <is>
          <t>ถ้าผู้ป่วยใช้ conjugate estrogen + medroxyprogesterone acetate การให้คู่กันเพื่อเหตุผลใด</t>
        </is>
      </c>
      <c r="C12" s="18" t="inlineStr"/>
      <c r="D12" s="18" t="inlineStr">
        <is>
          <t>ใช้ในหญิงหมดประจำเดือนที่มีมดลูก</t>
        </is>
      </c>
      <c r="E12" s="18" t="inlineStr">
        <is>
          <t>ใช้เพื่อป้องกันโรคหัวใจในหญิงหมดประจำเดือน</t>
        </is>
      </c>
      <c r="F12" s="18" t="inlineStr">
        <is>
          <t>ใช้เพื่อรักษาโรคกระดูกพรุน ที่เกิดเนื่องจากขาดฮอร์โมน</t>
        </is>
      </c>
      <c r="G12" s="18" t="inlineStr">
        <is>
          <t>ใช้เพื่อรักษาอาการ vasomotor symptom</t>
        </is>
      </c>
      <c r="H12" s="18" t="inlineStr">
        <is>
          <t>มี progesterone เพื่อช่วยป้องกันมะเร็งมดลูก</t>
        </is>
      </c>
      <c r="I12" s="15" t="inlineStr">
        <is>
          <t>5</t>
        </is>
      </c>
      <c r="J12" s="18"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ข้อนี้ไม่ใช่คำตอบที่ถูกต้องสำหรับภาวะ Hormonal replacement เนื่องจากกลไกการออกฤทธิ์, efficacy หรือข้อบ่งใช้ไม่ตรงกับโจทย์ที่กำหนด
• ข้อ ข. (ใช้เพื่อป้องกันโรคหัวใจในหญิงหมดประจำเดือน):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(ใช้เพื่อรักษาโรคกระดูกพรุน ที่เกิดเนื่องจากขาดฮอร์โมน): ข้อนี้ไม่ใช่คำตอบที่ถูกต้องสำหรับภาวะ Hormonal replacement เนื่องจากกลไกการออกฤทธิ์, efficacy หรือข้อบ่งใช้ไม่ตรงกับโจทย์ที่กำหนด
• ข้อ ง. (ใช้เพื่อรักษาอาการ vasomotor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8" t="inlineStr"/>
      <c r="L12" s="18" t="inlineStr">
        <is>
          <t>Hormonal replacement</t>
        </is>
      </c>
      <c r="M12" s="18" t="inlineStr">
        <is>
          <t>Clinic</t>
        </is>
      </c>
      <c r="N12" s="18" t="inlineStr">
        <is>
          <t>ข้อ 10 ชุด 1 (เฉลยข้อ จ)</t>
        </is>
      </c>
      <c r="O12" s="18" t="inlineStr">
        <is>
          <t>Mock</t>
        </is>
      </c>
      <c r="P12" s="18" t="inlineStr">
        <is>
          <t>ชุด 1</t>
        </is>
      </c>
    </row>
    <row r="13">
      <c r="A13" s="15" t="inlineStr">
        <is>
          <t>11</t>
        </is>
      </c>
      <c r="B13" s="18" t="inlineStr">
        <is>
          <t>ในสตรีที่ไม่มีมดลูก และมีอาการเฉพาะที่ท่อปัสสาวะและช่องคลอดอักเสบ ยาในรูปแบบใดที่น่าจะเหมาะสมที่สุด</t>
        </is>
      </c>
      <c r="C13" s="18" t="inlineStr"/>
      <c r="D13" s="18" t="inlineStr">
        <is>
          <t>Intramuscular injection</t>
        </is>
      </c>
      <c r="E13" s="18" t="inlineStr">
        <is>
          <t>Oral tablet</t>
        </is>
      </c>
      <c r="F13" s="18" t="inlineStr">
        <is>
          <t>Transdermal patch</t>
        </is>
      </c>
      <c r="G13" s="18" t="inlineStr">
        <is>
          <t>Vagina cream</t>
        </is>
      </c>
      <c r="H13" s="18" t="inlineStr">
        <is>
          <t>ได้ทุกรูปแบบ</t>
        </is>
      </c>
      <c r="I13" s="15" t="inlineStr">
        <is>
          <t>4</t>
        </is>
      </c>
      <c r="J13" s="18"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ข้อนี้ไม่ใช่คำตอบที่ถูกต้องสำหรับภาวะ Oral contraceptive เนื่องจากกลไกการออกฤทธิ์, efficacy หรือข้อบ่งใช้ไม่ตรงกับโจทย์ที่กำหนด
• ข้อ ค. (Transdermal patch): ข้อนี้ไม่ใช่คำตอบที่ถูกต้องสำหรับภาวะ Oral contraceptive เนื่องจากกลไกการออกฤทธิ์, efficacy หรือข้อบ่งใช้ไม่ตรงกับโจทย์ที่กำหนด
• ข้อ จ. (ได้ทุกรูปแบบ):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18" t="inlineStr"/>
      <c r="L13" s="18" t="inlineStr">
        <is>
          <t>Oral contraceptive</t>
        </is>
      </c>
      <c r="M13" s="18" t="inlineStr">
        <is>
          <t>Clinic</t>
        </is>
      </c>
      <c r="N13" s="18" t="inlineStr">
        <is>
          <t>ข้อ 11 ชุด 1 (เฉลยข้อ ง)</t>
        </is>
      </c>
      <c r="O13" s="18" t="inlineStr">
        <is>
          <t>Mock</t>
        </is>
      </c>
      <c r="P13" s="18" t="inlineStr">
        <is>
          <t>ชุด 1</t>
        </is>
      </c>
    </row>
    <row r="14">
      <c r="A14" s="15" t="inlineStr">
        <is>
          <t>12</t>
        </is>
      </c>
      <c r="B14" s="18" t="inlineStr">
        <is>
          <t>Progestogen ใดที่มีฤทธิ์ anti-androgen</t>
        </is>
      </c>
      <c r="C14" s="18" t="inlineStr"/>
      <c r="D14" s="18" t="inlineStr">
        <is>
          <t>Norethisterone acetate</t>
        </is>
      </c>
      <c r="E14" s="18" t="inlineStr">
        <is>
          <t>Norethisterone enanthate</t>
        </is>
      </c>
      <c r="F14" s="18" t="inlineStr">
        <is>
          <t>Cyproterone acetate</t>
        </is>
      </c>
      <c r="G14" s="18" t="inlineStr">
        <is>
          <t>Levonorgestrel</t>
        </is>
      </c>
      <c r="H14" s="18" t="inlineStr">
        <is>
          <t>Mestranol</t>
        </is>
      </c>
      <c r="I14" s="15" t="inlineStr">
        <is>
          <t>3</t>
        </is>
      </c>
      <c r="J14" s="18"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ข้อนี้ไม่ใช่คำตอบที่ถูกต้องสำหรับภาวะ Oral contraceptive เนื่องจากกลไกการออกฤทธิ์, efficacy หรือข้อบ่งใช้ไม่ตรงกับโจทย์ที่กำหนด
• ข้อ ข. (Norethisterone enanthate):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(Mestranol):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8" t="inlineStr"/>
      <c r="L14" s="18" t="inlineStr">
        <is>
          <t>Oral contraceptive</t>
        </is>
      </c>
      <c r="M14" s="18" t="inlineStr">
        <is>
          <t>Clinic</t>
        </is>
      </c>
      <c r="N14" s="18" t="inlineStr">
        <is>
          <t>ข้อ 12 ชุด 1 (เฉลยข้อ ค)</t>
        </is>
      </c>
      <c r="O14" s="18" t="inlineStr">
        <is>
          <t>Mock</t>
        </is>
      </c>
      <c r="P14" s="18" t="inlineStr">
        <is>
          <t>ชุด 1</t>
        </is>
      </c>
    </row>
    <row r="15">
      <c r="A15" s="15" t="inlineStr">
        <is>
          <t>13</t>
        </is>
      </c>
      <c r="B15" s="18" t="inlineStr">
        <is>
          <t>การใช้ hormone replacement therapy หรือ estrogen replacement therapy ควรระวังในผู้ป่วยประเภทใด</t>
        </is>
      </c>
      <c r="C15" s="18" t="inlineStr"/>
      <c r="D15" s="18" t="inlineStr">
        <is>
          <t>คนที่เสี่ยงต่อกระดูกพรุน</t>
        </is>
      </c>
      <c r="E15" s="18" t="inlineStr">
        <is>
          <t>คนที่ตัดรังไข่ทั้งสองข้าง</t>
        </is>
      </c>
      <c r="F15" s="18" t="inlineStr">
        <is>
          <t>ที่มีอาการช่องคลอดอักเสบ</t>
        </is>
      </c>
      <c r="G15" s="18" t="inlineStr">
        <is>
          <t>ที่เป็น hyperthyroid</t>
        </is>
      </c>
      <c r="H15" s="18" t="inlineStr">
        <is>
          <t>ที่เป็นโรคไขมัน ความดันโลหิตสูง</t>
        </is>
      </c>
      <c r="I15" s="15" t="inlineStr">
        <is>
          <t>5</t>
        </is>
      </c>
      <c r="J15" s="18"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ข. (คนที่ตัดรังไข่ทั้งสองข้าง): ข้อนี้ไม่ใช่คำตอบที่ถูกต้องสำหรับภาวะ Hormonal replacement เนื่องจากกลไกการออกฤทธิ์, efficacy หรือข้อบ่งใช้ไม่ตรงกับโจทย์ที่กำหนด
• ข้อ ค. (ที่มีอาการช่องคลอดอักเสบ): ข้อนี้ไม่ใช่คำตอบที่ถูกต้องสำหรับภาวะ Hormonal replacement เนื่องจากกลไกการออกฤทธิ์, efficacy หรือข้อบ่งใช้ไม่ตรงกับโจทย์ที่กำหนด
• ข้อ ง. (ที่เป็น hyperthyroid):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8" t="inlineStr"/>
      <c r="L15" s="18" t="inlineStr">
        <is>
          <t>Hormonal replacement</t>
        </is>
      </c>
      <c r="M15" s="18" t="inlineStr">
        <is>
          <t>Clinic</t>
        </is>
      </c>
      <c r="N15" s="18" t="inlineStr">
        <is>
          <t>ข้อ 13 ชุด 1 (เฉลยข้อ จ)</t>
        </is>
      </c>
      <c r="O15" s="18" t="inlineStr">
        <is>
          <t>Mock</t>
        </is>
      </c>
      <c r="P15" s="18" t="inlineStr">
        <is>
          <t>ชุด 1</t>
        </is>
      </c>
    </row>
    <row r="16">
      <c r="A16" s="15" t="inlineStr">
        <is>
          <t>14</t>
        </is>
      </c>
      <c r="B16" s="18" t="inlineStr">
        <is>
          <t>Anti-estrogen ใดที่กระตุ้นการตกไข่ในผู้หญิงที่มีบุตรยาก</t>
        </is>
      </c>
      <c r="C16" s="18" t="inlineStr"/>
      <c r="D16" s="18" t="inlineStr">
        <is>
          <t>Oxandrolone</t>
        </is>
      </c>
      <c r="E16" s="18" t="inlineStr">
        <is>
          <t>Clomiphene citrate</t>
        </is>
      </c>
      <c r="F16" s="18" t="inlineStr">
        <is>
          <t>Tibolones</t>
        </is>
      </c>
      <c r="G16" s="18" t="inlineStr">
        <is>
          <t>Tamoxifen</t>
        </is>
      </c>
      <c r="H16" s="18" t="inlineStr">
        <is>
          <t>Progesterone</t>
        </is>
      </c>
      <c r="I16" s="15" t="inlineStr">
        <is>
          <t>2</t>
        </is>
      </c>
      <c r="J16" s="18"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ข้อนี้ไม่ใช่คำตอบที่ถูกต้องสำหรับภาวะ Hormonal replacement เนื่องจากกลไกการออกฤทธิ์, efficacy หรือข้อบ่งใช้ไม่ตรงกับโจทย์ที่กำหนด
• ข้อ ค. (Tibolones): ข้อนี้ไม่ใช่คำตอบที่ถูกต้องสำหรับภาวะ Hormonal replacement เนื่องจากกลไกการออกฤทธิ์, efficacy หรือข้อบ่งใช้ไม่ตรงกับโจทย์ที่กำหนด
• ข้อ ง. (Tamoxifen): ข้อนี้ไม่ใช่คำตอบที่ถูกต้องสำหรับภาวะ Hormonal replacement เนื่องจากกลไกการออกฤทธิ์, efficacy หรือข้อบ่งใช้ไม่ตรงกับโจทย์ที่กำหนด
• ข้อ จ. (Progesterone):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8" t="inlineStr"/>
      <c r="L16" s="18" t="inlineStr">
        <is>
          <t>Hormonal replacement</t>
        </is>
      </c>
      <c r="M16" s="18" t="inlineStr">
        <is>
          <t>Clinic</t>
        </is>
      </c>
      <c r="N16" s="18" t="inlineStr">
        <is>
          <t>ข้อ 14 ชุด 1 (เฉลยข้อ ข)</t>
        </is>
      </c>
      <c r="O16" s="18" t="inlineStr">
        <is>
          <t>Mock</t>
        </is>
      </c>
      <c r="P16" s="18" t="inlineStr">
        <is>
          <t>ชุด 1</t>
        </is>
      </c>
    </row>
    <row r="17">
      <c r="A17" s="15" t="inlineStr">
        <is>
          <t>15</t>
        </is>
      </c>
      <c r="B17" s="18" t="inlineStr">
        <is>
          <t>ยาเม็ดคุมกำเนิดใช้ในการบำบัดรักษาภาวะต่าง ๆ ยกเว้น</t>
        </is>
      </c>
      <c r="C17" s="18" t="inlineStr"/>
      <c r="D17" s="18" t="inlineStr">
        <is>
          <t>เลื่อนประจำเดือน</t>
        </is>
      </c>
      <c r="E17" s="18" t="inlineStr">
        <is>
          <t>เยื่อบุโพรงมดลูกเจริญผิดปกติ</t>
        </is>
      </c>
      <c r="F17" s="18" t="inlineStr">
        <is>
          <t>ภาวะปวดประจำเดือน</t>
        </is>
      </c>
      <c r="G17" s="18" t="inlineStr">
        <is>
          <t>ภาวะประจำเดือนผิดปกติ</t>
        </is>
      </c>
      <c r="H17" s="18" t="inlineStr">
        <is>
          <t>ลดอาการคัดเต้านมหลังคลอดบุตร</t>
        </is>
      </c>
      <c r="I17" s="15" t="inlineStr">
        <is>
          <t>5</t>
        </is>
      </c>
      <c r="J17" s="18"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ข. (เยื่อบุโพรงมดลูกเจริญผิดปกติ): ข้อนี้ไม่ใช่คำตอบที่ถูกต้องสำหรับภาวะ Oral contraceptive เนื่องจากกลไกการออกฤทธิ์, efficacy หรือข้อบ่งใช้ไม่ตรงกับโจทย์ที่กำหนด
• ข้อ ค. (ภาวะปวดประจำเดือน):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ง. (ภาวะประจำเดือนผิดปกติ):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18" t="inlineStr"/>
      <c r="L17" s="18" t="inlineStr">
        <is>
          <t>Oral contraceptive</t>
        </is>
      </c>
      <c r="M17" s="18" t="inlineStr">
        <is>
          <t>Clinic</t>
        </is>
      </c>
      <c r="N17" s="18" t="inlineStr">
        <is>
          <t>ข้อ 15 ชุด 1 (เฉลยข้อ จ)</t>
        </is>
      </c>
      <c r="O17" s="18" t="inlineStr">
        <is>
          <t>Mock</t>
        </is>
      </c>
      <c r="P17" s="18" t="inlineStr">
        <is>
          <t>ชุด 1</t>
        </is>
      </c>
    </row>
    <row r="18">
      <c r="A18" s="15" t="inlineStr">
        <is>
          <t>16</t>
        </is>
      </c>
      <c r="B18" s="18" t="inlineStr">
        <is>
          <t>ยาที่มีผลกระตุ้นการหลั่ง prolactin ยกเว้น</t>
        </is>
      </c>
      <c r="C18" s="18" t="inlineStr"/>
      <c r="D18" s="18" t="inlineStr">
        <is>
          <t>Reserpine</t>
        </is>
      </c>
      <c r="E18" s="18" t="inlineStr">
        <is>
          <t>Domperidone</t>
        </is>
      </c>
      <c r="F18" s="18" t="inlineStr">
        <is>
          <t>Phenothiazine</t>
        </is>
      </c>
      <c r="G18" s="18" t="inlineStr">
        <is>
          <t>Levodopa</t>
        </is>
      </c>
      <c r="H18" s="18" t="inlineStr">
        <is>
          <t>Butyrophenone</t>
        </is>
      </c>
      <c r="I18" s="15" t="inlineStr">
        <is>
          <t>4</t>
        </is>
      </c>
      <c r="J18" s="18"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ข้อนี้ไม่ใช่คำตอบที่ถูกต้องสำหรับภาวะ Oral contraceptive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(Phenothiazine): ข้อนี้ไม่ใช่คำตอบที่ถูกต้องสำหรับภาวะ Oral contraceptive เนื่องจากกลไกการออกฤทธิ์, efficacy หรือข้อบ่งใช้ไม่ตรงกับโจทย์ที่กำหนด
• ข้อ จ. (Butyrophenone):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18" t="inlineStr"/>
      <c r="L18" s="18" t="inlineStr">
        <is>
          <t>Oral contraceptive</t>
        </is>
      </c>
      <c r="M18" s="18" t="inlineStr">
        <is>
          <t>Clinic</t>
        </is>
      </c>
      <c r="N18" s="18" t="inlineStr">
        <is>
          <t>ข้อ 16 ชุด 1 (เฉลยข้อ ง)</t>
        </is>
      </c>
      <c r="O18" s="18" t="inlineStr">
        <is>
          <t>Mock</t>
        </is>
      </c>
      <c r="P18" s="18" t="inlineStr">
        <is>
          <t>ชุด 1</t>
        </is>
      </c>
    </row>
    <row r="19">
      <c r="A19" s="15" t="inlineStr">
        <is>
          <t>17</t>
        </is>
      </c>
      <c r="B19" s="18" t="inlineStr">
        <is>
          <t>อาการข้างเคียงข้อใดเกิดจากการมี estrogen มากเกินไป</t>
        </is>
      </c>
      <c r="C19" s="18" t="inlineStr"/>
      <c r="D19" s="18" t="inlineStr">
        <is>
          <t>เป็นฝ้า</t>
        </is>
      </c>
      <c r="E19" s="18" t="inlineStr">
        <is>
          <t>เป็นสิว</t>
        </is>
      </c>
      <c r="F19" s="18" t="inlineStr">
        <is>
          <t>Noncyclic weight gain</t>
        </is>
      </c>
      <c r="G19" s="18" t="inlineStr">
        <is>
          <t>Hypomenorrhea</t>
        </is>
      </c>
      <c r="H19" s="18" t="inlineStr">
        <is>
          <t>เต้านมเล็กลง</t>
        </is>
      </c>
      <c r="I19" s="15" t="inlineStr">
        <is>
          <t>3</t>
        </is>
      </c>
      <c r="J19" s="18"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ข้อนี้ไม่ใช่คำตอบที่ถูกต้องสำหรับภาวะ Hormonal replacement เนื่องจากกลไกการออกฤทธิ์, efficacy หรือข้อบ่งใช้ไม่ตรงกับโจทย์ที่กำหนด
• ข้อ ข. (เป็นสิว): ข้อนี้ไม่ใช่คำตอบที่ถูกต้องสำหรับภาวะ Hormonal replacement เนื่องจากกลไกการออกฤทธิ์, efficacy หรือข้อบ่งใช้ไม่ตรงกับโจทย์ที่กำหนด
• ข้อ ง. (Hypomenorrhea): ข้อนี้ไม่ใช่คำตอบที่ถูกต้องสำหรับภาวะ Hormonal replacement เนื่องจากกลไกการออกฤทธิ์, efficacy หรือข้อบ่งใช้ไม่ตรงกับโจทย์ที่กำหนด
• ข้อ จ. (เต้านมเล็กลง):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8" t="inlineStr"/>
      <c r="L19" s="18" t="inlineStr">
        <is>
          <t>Hormonal replacement</t>
        </is>
      </c>
      <c r="M19" s="18" t="inlineStr">
        <is>
          <t>Clinic</t>
        </is>
      </c>
      <c r="N19" s="18" t="inlineStr">
        <is>
          <t>ข้อ 17 ชุด 1 (เฉลยข้อ ค)</t>
        </is>
      </c>
      <c r="O19" s="18" t="inlineStr">
        <is>
          <t>Mock</t>
        </is>
      </c>
      <c r="P19" s="18" t="inlineStr">
        <is>
          <t>ชุด 1</t>
        </is>
      </c>
    </row>
    <row r="20">
      <c r="A20" s="15" t="inlineStr">
        <is>
          <t>18</t>
        </is>
      </c>
      <c r="B20" s="18" t="inlineStr">
        <is>
          <t>ข้อใดไม่ใช่ clinical use ของ progesterone</t>
        </is>
      </c>
      <c r="C20" s="18" t="inlineStr"/>
      <c r="D20" s="18" t="inlineStr">
        <is>
          <t>Contraceptive</t>
        </is>
      </c>
      <c r="E20" s="18" t="inlineStr">
        <is>
          <t>Endometriosis</t>
        </is>
      </c>
      <c r="F20" s="18" t="inlineStr">
        <is>
          <t>Dysfunction uterine bleeding</t>
        </is>
      </c>
      <c r="G20" s="18" t="inlineStr">
        <is>
          <t>การเลื่อนกำหนดการมีประจำเดือน</t>
        </is>
      </c>
      <c r="H20" s="18" t="inlineStr">
        <is>
          <t>มะเร็งเต้านม</t>
        </is>
      </c>
      <c r="I20" s="15" t="inlineStr">
        <is>
          <t>5</t>
        </is>
      </c>
      <c r="J20" s="18"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ข้อนี้ไม่ใช่คำตอบที่ถูกต้องสำหรับภาวะ Hormonal replacement เนื่องจากกลไกการออกฤทธิ์, efficacy หรือข้อบ่งใช้ไม่ตรงกับโจทย์ที่กำหนด
• ข้อ ข. (Endometriosis): ข้อนี้ไม่ใช่คำตอบที่ถูกต้องสำหรับภาวะ Hormonal replacement เนื่องจากกลไกการออกฤทธิ์, efficacy หรือข้อบ่งใช้ไม่ตรงกับโจทย์ที่กำหนด
• ข้อ ค. (Dysfunction uterine bleeding): ข้อนี้ไม่ใช่คำตอบที่ถูกต้องสำหรับภาวะ Hormonal replacement เนื่องจากกลไกการออกฤทธิ์, efficacy หรือข้อบ่งใช้ไม่ตรงกับโจทย์ที่กำหนด
• ข้อ ง. (การเลื่อนกำหนดการมีประจำเดือน):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8" t="inlineStr"/>
      <c r="L20" s="18" t="inlineStr">
        <is>
          <t>Hormonal replacement</t>
        </is>
      </c>
      <c r="M20" s="18" t="inlineStr">
        <is>
          <t>Clinic</t>
        </is>
      </c>
      <c r="N20" s="18" t="inlineStr">
        <is>
          <t>ข้อ 18 ชุด 1 (เฉลยข้อ จ)</t>
        </is>
      </c>
      <c r="O20" s="18" t="inlineStr">
        <is>
          <t>Mock</t>
        </is>
      </c>
      <c r="P20" s="18" t="inlineStr">
        <is>
          <t>ชุด 1</t>
        </is>
      </c>
    </row>
    <row r="21">
      <c r="A21" s="15" t="inlineStr">
        <is>
          <t>19</t>
        </is>
      </c>
      <c r="B21" s="18" t="inlineStr">
        <is>
          <t>วิธีคุมกำเนิดชนิดใดมีประสิทธิภาพในการคุมกำเนิดได้ดีที่สุด</t>
        </is>
      </c>
      <c r="C21" s="18" t="inlineStr"/>
      <c r="D21" s="18" t="inlineStr">
        <is>
          <t>ยาเม็ดคุมกำเนิด</t>
        </is>
      </c>
      <c r="E21" s="18" t="inlineStr">
        <is>
          <t>ถุงยางอนามัย</t>
        </is>
      </c>
      <c r="F21" s="18" t="inlineStr">
        <is>
          <t>ใส่ห่วงอนามัย</t>
        </is>
      </c>
      <c r="G21" s="18" t="inlineStr">
        <is>
          <t>การนับระยะปลอดภัย</t>
        </is>
      </c>
      <c r="H21" s="18" t="inlineStr">
        <is>
          <t>ใช้ยาฆ่าอสุจิ</t>
        </is>
      </c>
      <c r="I21" s="15" t="inlineStr">
        <is>
          <t>3</t>
        </is>
      </c>
      <c r="J21" s="18"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ข้อนี้ไม่ใช่คำตอบที่ถูกต้องสำหรับภาวะ Oral contraceptive เนื่องจากกลไกการออกฤทธิ์, efficacy หรือข้อบ่งใช้ไม่ตรงกับโจทย์ที่กำหนด
• ข้อ ข. (ถุงยางอนามัย): ข้อนี้ไม่ใช่คำตอบที่ถูกต้องสำหรับภาวะ Oral contraceptive เนื่องจากกลไกการออกฤทธิ์, efficacy หรือข้อบ่งใช้ไม่ตรงกับโจทย์ที่กำหนด
• ข้อ ง. (การนับระยะปลอดภัย): ข้อนี้ไม่ใช่คำตอบที่ถูกต้องสำหรับภาวะ Oral contraceptive เนื่องจากกลไกการออกฤทธิ์, efficacy หรือข้อบ่งใช้ไม่ตรงกับโจทย์ที่กำหนด
• ข้อ จ. (ใช้ยาฆ่าอสุจิ):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18" t="inlineStr"/>
      <c r="L21" s="18" t="inlineStr">
        <is>
          <t>Oral contraceptive</t>
        </is>
      </c>
      <c r="M21" s="18" t="inlineStr">
        <is>
          <t>Clinic</t>
        </is>
      </c>
      <c r="N21" s="18" t="inlineStr">
        <is>
          <t>ข้อ 19 ชุด 1 (เฉลยข้อ ค)</t>
        </is>
      </c>
      <c r="O21" s="18" t="inlineStr">
        <is>
          <t>Mock</t>
        </is>
      </c>
      <c r="P21" s="18" t="inlineStr">
        <is>
          <t>ชุด 1</t>
        </is>
      </c>
    </row>
    <row r="22">
      <c r="A22" s="15" t="inlineStr">
        <is>
          <t>20</t>
        </is>
      </c>
      <c r="B22" s="18" t="inlineStr">
        <is>
          <t>Levonorgestrel สามารถใช้ในการคุมกำเนิดในผู้ป่วยกลุ่มใด</t>
        </is>
      </c>
      <c r="C22" s="18" t="inlineStr"/>
      <c r="D22" s="18" t="inlineStr">
        <is>
          <t>สตรีมีครรภ์</t>
        </is>
      </c>
      <c r="E22" s="18" t="inlineStr">
        <is>
          <t>ผู้ป่วย ischemic heart disease</t>
        </is>
      </c>
      <c r="F22" s="18" t="inlineStr">
        <is>
          <t>ผู้ป่วย hypertension</t>
        </is>
      </c>
      <c r="G22" s="18" t="inlineStr">
        <is>
          <t>ผู้ป่วยประวัติ breast cancer</t>
        </is>
      </c>
      <c r="H22" s="18" t="inlineStr">
        <is>
          <t>ผู้ป่วยโรคหอบหืด</t>
        </is>
      </c>
      <c r="I22" s="15" t="inlineStr">
        <is>
          <t>2</t>
        </is>
      </c>
      <c r="J22" s="18"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ข้อนี้ไม่ใช่คำตอบที่ถูกต้องสำหรับภาวะ Oral contraceptive เนื่องจากกลไกการออกฤทธิ์, efficacy หรือข้อบ่งใช้ไม่ตรงกับโจทย์ที่กำหนด
• ข้อ ค. (ผู้ป่วย hypertension): ข้อนี้ไม่ใช่คำตอบที่ถูกต้องสำหรับภาวะ Oral contraceptive เนื่องจากกลไกการออกฤทธิ์, efficacy หรือข้อบ่งใช้ไม่ตรงกับโจทย์ที่กำหนด
• ข้อ ง. (ผู้ป่วยประวัติ breast cancer): ข้อนี้ไม่ใช่คำตอบที่ถูกต้องสำหรับภาวะ Oral contraceptive เนื่องจากกลไกการออกฤทธิ์, efficacy หรือข้อบ่งใช้ไม่ตรงกับโจทย์ที่กำหนด
• ข้อ จ. (ผู้ป่วยโรคหอบหืด):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18" t="inlineStr"/>
      <c r="L22" s="18" t="inlineStr">
        <is>
          <t>Oral contraceptive</t>
        </is>
      </c>
      <c r="M22" s="18" t="inlineStr">
        <is>
          <t>Clinic</t>
        </is>
      </c>
      <c r="N22" s="18" t="inlineStr">
        <is>
          <t>ข้อ 20 ชุด 1 (เฉลยข้อ ข ค ง จ)</t>
        </is>
      </c>
      <c r="O22" s="18" t="inlineStr">
        <is>
          <t>Mock</t>
        </is>
      </c>
      <c r="P22" s="18" t="inlineStr">
        <is>
          <t>ชุด 1</t>
        </is>
      </c>
    </row>
    <row r="23">
      <c r="A23" s="15" t="inlineStr">
        <is>
          <t>21</t>
        </is>
      </c>
      <c r="B23" s="18" t="inlineStr">
        <is>
          <t>ข้อใดต่อไปนี้ผิดเกี่ยวกับ levonorgestrel</t>
        </is>
      </c>
      <c r="C23" s="18" t="inlineStr"/>
      <c r="D23" s="18" t="inlineStr">
        <is>
          <t>มีกลไกการออกฤทธิ์ คือ ยับยั้งการตกไข่</t>
        </is>
      </c>
      <c r="E23" s="18" t="inlineStr">
        <is>
          <t>ประสิทธิภาพในการป้องกันการตั้งครรภ์จะสูงสุด ถ้ารับหลังการร่วมเพศทันที</t>
        </is>
      </c>
      <c r="F23" s="18" t="inlineStr">
        <is>
          <t>ประสิทธิภาพในการป้องกันการตั้งครรภ์จะเทียบเท่ากับการใช้ยาเม็ดคุมกำเนิดทั่วไป</t>
        </is>
      </c>
      <c r="G23" s="18" t="inlineStr">
        <is>
          <t>มี side effect คือ ปวดหัวนะ คลื่นไส้ อาเจียน</t>
        </is>
      </c>
      <c r="H23" s="18" t="inlineStr">
        <is>
          <t>ประสิทธิภาพในการป้องกันการตั้งครรภ์จะลดลง ถ้าร่วมกับ barbiturate ที่เป็น hepatic drug metabolizing enzyme inducer</t>
        </is>
      </c>
      <c r="I23" s="15" t="inlineStr">
        <is>
          <t>3</t>
        </is>
      </c>
      <c r="J23" s="18"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ข. (ประสิทธิภาพในการป้องกันการตั้งครรภ์จะสูงสุด ถ้ารับหลังการร่วมเพศทันที): ข้อนี้ไม่ใช่คำตอบที่ถูกต้องสำหรับภาวะ Oral contraceptive เนื่องจากกลไกการออกฤทธิ์, efficacy หรือข้อบ่งใช้ไม่ตรงกับโจทย์ที่กำหนด
• ข้อ ง. (มี side effect คือ ปวดหัวนะ คลื่นไส้ อาเจียน): ข้อนี้ไม่ใช่คำตอบที่ถูกต้องสำหรับภาวะ Oral contraceptive เนื่องจากกลไกการออกฤทธิ์, efficacy หรือข้อบ่งใช้ไม่ตรงกับโจทย์ที่กำหนด
• ข้อ จ. (ประสิทธิภาพในการป้องกันการตั้งครรภ์จะลดลง ถ้าร่วมกับ barbiturate ที่เป็น hepatic drug metabolizing enzyme inducer):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18" t="inlineStr"/>
      <c r="L23" s="18" t="inlineStr">
        <is>
          <t>Oral contraceptive</t>
        </is>
      </c>
      <c r="M23" s="18" t="inlineStr">
        <is>
          <t>Clinic</t>
        </is>
      </c>
      <c r="N23" s="18" t="inlineStr">
        <is>
          <t>ข้อ 21 ชุด 1 (เฉลยข้อ ค)</t>
        </is>
      </c>
      <c r="O23" s="18" t="inlineStr">
        <is>
          <t>Mock</t>
        </is>
      </c>
      <c r="P23" s="18" t="inlineStr">
        <is>
          <t>ชุด 1</t>
        </is>
      </c>
    </row>
    <row r="24">
      <c r="A24" s="15" t="inlineStr">
        <is>
          <t>22</t>
        </is>
      </c>
      <c r="B24" s="18"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18" t="inlineStr"/>
      <c r="D24" s="18" t="inlineStr">
        <is>
          <t>รับประทานครั้งละ 2 เม็ด ภายใน 12 ชั่วโมง หลังจากนั้นอีก 12 ชั่วโมง รับประทานอีก 2 เม็ด</t>
        </is>
      </c>
      <c r="E24" s="18" t="inlineStr">
        <is>
          <t>รับประทาน 1 เม็ด ภายใน 72 ชั่วโมง หลังจากนั้นอีก 12 ชั่วโมง รับประทานอีก 1 เม็ด</t>
        </is>
      </c>
      <c r="F24" s="18" t="inlineStr">
        <is>
          <t>รับประทาน 2 เม็ด ภายใน 72 ชั่วโมง ครั้งเดียว</t>
        </is>
      </c>
      <c r="G24" s="18" t="inlineStr">
        <is>
          <t>รับประทาน 2 เม็ด ภายใน 1 ชั่วโมง</t>
        </is>
      </c>
      <c r="H24" s="18" t="inlineStr">
        <is>
          <t>รับประทานหนึ่งเม็ดติดต่อกันนาน 5 วัน</t>
        </is>
      </c>
      <c r="I24" s="15" t="inlineStr">
        <is>
          <t>2</t>
        </is>
      </c>
      <c r="J24" s="18"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 2 เม็ด ภายใน 72 ชั่วโมง ครั้งเดียว): ข้อนี้ไม่ใช่คำตอบที่ถูกต้องสำหรับภาวะ Oral contraceptive เนื่องจากกลไกการออกฤทธิ์, efficacy หรือข้อบ่งใช้ไม่ตรงกับโจทย์ที่กำหนด
• ข้อ ง. (รับประทาน 2 เม็ด ภายใน 1 ชั่วโมง): ข้อนี้ไม่ใช่คำตอบที่ถูกต้องสำหรับภาวะ Oral contraceptive เนื่องจากกลไกการออกฤทธิ์, efficacy หรือข้อบ่งใช้ไม่ตรงกับโจทย์ที่กำหนด
• ข้อ จ. (รับประทานหนึ่งเม็ดติดต่อกันนาน 5 วัน):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18" t="inlineStr"/>
      <c r="L24" s="18" t="inlineStr">
        <is>
          <t>Oral contraceptive</t>
        </is>
      </c>
      <c r="M24" s="18" t="inlineStr">
        <is>
          <t>Clinic</t>
        </is>
      </c>
      <c r="N24" s="18" t="inlineStr">
        <is>
          <t>ข้อ 22 ชุด 1 (เฉลยข้อ ข ค)</t>
        </is>
      </c>
      <c r="O24" s="18" t="inlineStr">
        <is>
          <t>Mock</t>
        </is>
      </c>
      <c r="P24" s="18" t="inlineStr">
        <is>
          <t>ชุด 1</t>
        </is>
      </c>
    </row>
    <row r="25">
      <c r="A25" s="15" t="inlineStr">
        <is>
          <t>23</t>
        </is>
      </c>
      <c r="B25" s="18" t="inlineStr">
        <is>
          <t>เภสัชกรแนะนำให้ผู้ป่วยรับประทานยาคุมชนิด combines pill ควรเลือกยาคุมในข้อใด ในกรณีที่เริ่มใช้เป็นครั้งแรก</t>
        </is>
      </c>
      <c r="C25" s="18" t="inlineStr"/>
      <c r="D25" s="18" t="inlineStr">
        <is>
          <t>Ethinyl estradiol 0.05 mg + ethinodiol diacetate 1 mg</t>
        </is>
      </c>
      <c r="E25" s="18" t="inlineStr">
        <is>
          <t>Mestranol 0.05 mg + northisterone 1 mg</t>
        </is>
      </c>
      <c r="F25" s="18" t="inlineStr">
        <is>
          <t>Ethinyl estradiol 0.03 mg + levonorgestrel 0.15 mg</t>
        </is>
      </c>
      <c r="G25" s="18" t="inlineStr">
        <is>
          <t>Ethinyl estradiol 0.03 mg + gestrodene 0.075 mg</t>
        </is>
      </c>
      <c r="H25" s="18" t="inlineStr">
        <is>
          <t>Ethinyl estradiol 0.02 mg + desogestrel 0.15 mg</t>
        </is>
      </c>
      <c r="I25" s="15" t="inlineStr">
        <is>
          <t>1</t>
        </is>
      </c>
      <c r="J25" s="18"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0.03 mg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0.03 mg + gestrodene 0.075 mg):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0.02 mg + desogestrel 0.15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18" t="inlineStr"/>
      <c r="L25" s="18" t="inlineStr">
        <is>
          <t>Oral contraceptive</t>
        </is>
      </c>
      <c r="M25" s="18" t="inlineStr">
        <is>
          <t>Clinic</t>
        </is>
      </c>
      <c r="N25" s="18" t="inlineStr">
        <is>
          <t>ข้อ 23 ชุด 1 (เฉลยข้อ )</t>
        </is>
      </c>
      <c r="O25" s="18" t="inlineStr">
        <is>
          <t>Mock</t>
        </is>
      </c>
      <c r="P25" s="18" t="inlineStr">
        <is>
          <t>ชุด 1</t>
        </is>
      </c>
    </row>
    <row r="26">
      <c r="A26" s="15" t="inlineStr">
        <is>
          <t>24</t>
        </is>
      </c>
      <c r="B26" s="18" t="inlineStr">
        <is>
          <t>คำแนะนำในการใช้ยาคุมกำเนิดข้อใดผิด</t>
        </is>
      </c>
      <c r="C26" s="18" t="inlineStr"/>
      <c r="D26" s="18" t="inlineStr">
        <is>
          <t>15 วันแรกที่รับประทานยาคุมกำเนิด ควรคุมกำเนิดโดยการใช้ถุงยางอนามัยด้วย</t>
        </is>
      </c>
      <c r="E26" s="18" t="inlineStr">
        <is>
          <t>2-3 แผงแรกของการรับประทานยาคุม อาจมีอาการคลื่นไส้อาเจียน จากนั้นอาการจะทุเลาลงเอง</t>
        </is>
      </c>
      <c r="F26" s="18" t="inlineStr">
        <is>
          <t>ควรรับประทานยาคุมกำเนิดทุกวัน วันละ 1 เม็ด เวลาใดก็ได้ แต่ห้ามลืม</t>
        </is>
      </c>
      <c r="G26" s="18" t="inlineStr">
        <is>
          <t>การรับประทานยาคุมกำเนิด ควรเริ่มรับประทานในวันที่ 1-5 ของการมีประจำเดือน</t>
        </is>
      </c>
      <c r="H26" s="18" t="inlineStr">
        <is>
          <t>หากลืมรับประทานยาคุมกำเนิดติดต่อกันเกิน 2 เม็ด ควรหยุดยาใช้คุมกำเนิดแผงนั้นและใช้วิธีการคุมกำเนิดแบบอื่น</t>
        </is>
      </c>
      <c r="I26" s="15" t="inlineStr">
        <is>
          <t>3</t>
        </is>
      </c>
      <c r="J26" s="18"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ข้อนี้ไม่ใช่คำตอบที่ถูกต้องสำหรับภาวะ Oral contraceptive เนื่องจากกลไกการออกฤทธิ์, efficacy หรือข้อบ่งใช้ไม่ตรงกับโจทย์ที่กำหนด
• ข้อ ข. (2-3 แผงแรกของการรับประทานยาคุม อาจมีอาการคลื่นไส้อาเจียน จากนั้นอาการจะทุเลาลงเอง):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(การรับประทานยาคุมกำเนิด ควรเริ่มรับประทานในวันที่ 1-5 ของการมีประจำเดือน):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จ. (หากลืมรับประทานยาคุมกำเนิดติดต่อกันเกิน 2 เม็ด ควรหยุดยาใช้คุมกำเนิดแผงนั้นและใช้วิธีการคุมกำเนิดแบบอื่น):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18" t="inlineStr"/>
      <c r="L26" s="18" t="inlineStr">
        <is>
          <t>Oral contraceptive</t>
        </is>
      </c>
      <c r="M26" s="18" t="inlineStr">
        <is>
          <t>Clinic</t>
        </is>
      </c>
      <c r="N26" s="18" t="inlineStr">
        <is>
          <t>ข้อ 24 ชุด 1 (เฉลยข้อ ค)</t>
        </is>
      </c>
      <c r="O26" s="18" t="inlineStr">
        <is>
          <t>Mock</t>
        </is>
      </c>
      <c r="P26" s="18" t="inlineStr">
        <is>
          <t>ชุด 1</t>
        </is>
      </c>
    </row>
    <row r="27">
      <c r="A27" s="15" t="inlineStr">
        <is>
          <t>25</t>
        </is>
      </c>
      <c r="B27" s="18"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8" t="inlineStr"/>
      <c r="D27" s="18" t="inlineStr">
        <is>
          <t>จะช่วยให้ผลดีต่อระบบหัวใจและหลอดเลือด</t>
        </is>
      </c>
      <c r="E27" s="18" t="inlineStr">
        <is>
          <t>จะช่วยทำให้ไม่มีเลือดออกจากช่องคลอด</t>
        </is>
      </c>
      <c r="F27" s="18" t="inlineStr">
        <is>
          <t>จะช่วยลดความเสี่ยงของการเป็นมะเร็งเยื่อบุมดลูก</t>
        </is>
      </c>
      <c r="G27" s="18" t="inlineStr">
        <is>
          <t>จะช่วยลดความเสี่ยงของการเกิดมะเร็งเต้านม</t>
        </is>
      </c>
      <c r="H27" s="18" t="inlineStr">
        <is>
          <t>จะช่วยลดความเสี่ยงของการเกิดมะเร็งปากมดลูก</t>
        </is>
      </c>
      <c r="I27" s="15" t="inlineStr">
        <is>
          <t>3</t>
        </is>
      </c>
      <c r="J27" s="18"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ข้อนี้ไม่ใช่คำตอบที่ถูกต้องสำหรับภาวะ Oral contraceptive เนื่องจากกลไกการออกฤทธิ์, efficacy หรือข้อบ่งใช้ไม่ตรงกับโจทย์ที่กำหนด
• ข้อ ข. (จะช่วยทำให้ไม่มีเลือดออกจากช่องคลอด):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ง. (จะช่วยลดความเสี่ยงของการเกิดมะเร็งเต้านม):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จ. (จะช่วยลดความเสี่ยงของการเกิดมะเร็งปากมดลูก):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18" t="inlineStr"/>
      <c r="L27" s="18" t="inlineStr">
        <is>
          <t>Oral contraceptive</t>
        </is>
      </c>
      <c r="M27" s="18" t="inlineStr">
        <is>
          <t>Clinic</t>
        </is>
      </c>
      <c r="N27" s="18" t="inlineStr">
        <is>
          <t>ข้อ 25 ชุด 1 (เฉลยข้อ ค)</t>
        </is>
      </c>
      <c r="O27" s="18" t="inlineStr">
        <is>
          <t>Mock</t>
        </is>
      </c>
      <c r="P27" s="18" t="inlineStr">
        <is>
          <t>ชุด 1</t>
        </is>
      </c>
    </row>
    <row r="28">
      <c r="A28" s="15" t="inlineStr">
        <is>
          <t>26</t>
        </is>
      </c>
      <c r="B28" s="18"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8" t="inlineStr"/>
      <c r="D28" s="18" t="inlineStr">
        <is>
          <t>การให้แบบแผ่นแปะไม่มี first pass metabolism ที่ตับ</t>
        </is>
      </c>
      <c r="E28" s="18" t="inlineStr">
        <is>
          <t>การให้แบบแผ่นแปะจะมีผลการดูดซึมที่ดีกว่าแบบรับประทาน</t>
        </is>
      </c>
      <c r="F28" s="18" t="inlineStr">
        <is>
          <t>การให้แบบแผ่นแปะจะมีผลการรักษาอาการร้อนวูบวาบได้ดีกว่า</t>
        </is>
      </c>
      <c r="G28" s="18" t="inlineStr">
        <is>
          <t>การให้แบบแผ่นแปะจะมีผลการรักษาช่องคลอดแห้งได้ดีกว่า</t>
        </is>
      </c>
      <c r="H28" s="18" t="inlineStr">
        <is>
          <t>การให้แบบแผ่นแปะจะมีผลการรักษา osteoporosis ดีกว่า</t>
        </is>
      </c>
      <c r="I28" s="15" t="inlineStr">
        <is>
          <t>1</t>
        </is>
      </c>
      <c r="J28" s="18"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(การให้แบบแผ่นแปะจะมีผลการรักษาอาการร้อนวูบวาบได้ดีกว่า): ข้อนี้ไม่ใช่คำตอบที่ถูกต้องสำหรับภาวะ Oral contraceptive เนื่องจากกลไกการออกฤทธิ์, efficacy หรือข้อบ่งใช้ไม่ตรงกับโจทย์ที่กำหนด
• ข้อ ง. (การให้แบบแผ่นแปะจะมีผลการรักษาช่องคลอดแห้งได้ดีกว่า): ข้อนี้ไม่ใช่คำตอบที่ถูกต้องสำหรับภาวะ Oral contraceptive เนื่องจากกลไกการออกฤทธิ์, efficacy หรือข้อบ่งใช้ไม่ตรงกับโจทย์ที่กำหนด
• ข้อ จ. (การให้แบบแผ่นแปะจะมีผลการรักษา osteoporosis ดีกว่า):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8" t="inlineStr"/>
      <c r="L28" s="18" t="inlineStr">
        <is>
          <t>Oral contraceptive</t>
        </is>
      </c>
      <c r="M28" s="18" t="inlineStr">
        <is>
          <t>Clinic</t>
        </is>
      </c>
      <c r="N28" s="18" t="inlineStr">
        <is>
          <t>ข้อ 26 ชุด 1 (เฉลยข้อ ก)</t>
        </is>
      </c>
      <c r="O28" s="18" t="inlineStr">
        <is>
          <t>Mock</t>
        </is>
      </c>
      <c r="P28" s="18" t="inlineStr">
        <is>
          <t>ชุด 1</t>
        </is>
      </c>
    </row>
    <row r="29">
      <c r="A29" s="15" t="inlineStr">
        <is>
          <t>27</t>
        </is>
      </c>
      <c r="B29" s="18" t="inlineStr">
        <is>
          <t>สำหรับผู้ป่วยที่ตัดมดลูก ควรใช้ฮอร์โมนทดแทนแบบใด</t>
        </is>
      </c>
      <c r="C29" s="18" t="inlineStr"/>
      <c r="D29" s="18" t="inlineStr">
        <is>
          <t>Estradiol valerate 2 mg + norgestrel 0.5 mg</t>
        </is>
      </c>
      <c r="E29" s="18" t="inlineStr">
        <is>
          <t>Medroxyprogesterone acetate 5 mg</t>
        </is>
      </c>
      <c r="F29" s="18" t="inlineStr">
        <is>
          <t>Ethynyl estradiol 30 mcg + cyproterone acetate 2 mg</t>
        </is>
      </c>
      <c r="G29" s="18" t="inlineStr">
        <is>
          <t>Conjugated estrogen 0.625 mg</t>
        </is>
      </c>
      <c r="H29" s="18" t="inlineStr">
        <is>
          <t>Conjugated estrogen 0.625 mg + medroxyprogesterone 5 mg</t>
        </is>
      </c>
      <c r="I29" s="15" t="inlineStr">
        <is>
          <t>4</t>
        </is>
      </c>
      <c r="J29" s="18"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ข้อนี้ไม่ใช่คำตอบที่ถูกต้องสำหรับภาวะ Oral contraceptive เนื่องจากกลไกการออกฤทธิ์, efficacy หรือข้อบ่งใช้ไม่ตรงกับโจทย์ที่กำหนด
• ข้อ ข. (Medroxyprogesterone acetate 5 mg): ข้อนี้ไม่ใช่คำตอบที่ถูกต้องสำหรับภาวะ Oral contraceptive เนื่องจากกลไกการออกฤทธิ์, efficacy หรือข้อบ่งใช้ไม่ตรงกับโจทย์ที่กำหนด
• ข้อ ค. (Ethynyl estradiol 30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(Conjugated estrogen 0.625 mg + medroxyprogesterone 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18" t="inlineStr"/>
      <c r="L29" s="18" t="inlineStr">
        <is>
          <t>Oral contraceptive</t>
        </is>
      </c>
      <c r="M29" s="18" t="inlineStr">
        <is>
          <t>Clinic</t>
        </is>
      </c>
      <c r="N29" s="18" t="inlineStr">
        <is>
          <t>ข้อ 27 ชุด 1 (เฉลยข้อ ง)</t>
        </is>
      </c>
      <c r="O29" s="18" t="inlineStr">
        <is>
          <t>Mock</t>
        </is>
      </c>
      <c r="P29" s="18" t="inlineStr">
        <is>
          <t>ชุด 1</t>
        </is>
      </c>
    </row>
    <row r="30">
      <c r="A30" s="15" t="inlineStr">
        <is>
          <t>28</t>
        </is>
      </c>
      <c r="B30" s="18" t="inlineStr">
        <is>
          <t>ข้อใดเป็นอาการไม่พึงประสงค์ที่ร้ายแรงของยาที่เลือกใช้ในข้อ 27</t>
        </is>
      </c>
      <c r="C30" s="18" t="inlineStr"/>
      <c r="D30" s="18" t="inlineStr">
        <is>
          <t>Hyperlipidemia</t>
        </is>
      </c>
      <c r="E30" s="18" t="inlineStr">
        <is>
          <t>Osteoporosis</t>
        </is>
      </c>
      <c r="F30" s="18" t="inlineStr">
        <is>
          <t>Hyperbilirubinemia</t>
        </is>
      </c>
      <c r="G30" s="18" t="inlineStr">
        <is>
          <t>Congestive heart failure</t>
        </is>
      </c>
      <c r="H30" s="18" t="inlineStr">
        <is>
          <t>Thromboembolism</t>
        </is>
      </c>
      <c r="I30" s="15" t="inlineStr">
        <is>
          <t>5</t>
        </is>
      </c>
      <c r="J30" s="18"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ข้อนี้ไม่ใช่คำตอบที่ถูกต้องสำหรับภาวะ Oral contraceptive เนื่องจากกลไกการออกฤทธิ์, efficacy หรือข้อบ่งใช้ไม่ตรงกับโจทย์ที่กำหนด
• ข้อ ข. (Osteoporosis): ข้อนี้ไม่ใช่คำตอบที่ถูกต้องสำหรับภาวะ Oral contraceptive เนื่องจากกลไกการออกฤทธิ์, efficacy หรือข้อบ่งใช้ไม่ตรงกับโจทย์ที่กำหนด
• ข้อ ค. (Hyperbilirubinemia): ข้อนี้ไม่ใช่คำตอบที่ถูกต้องสำหรับภาวะ Oral contraceptive เนื่องจากกลไกการออกฤทธิ์, efficacy หรือข้อบ่งใช้ไม่ตรงกับโจทย์ที่กำหนด
• ข้อ ง. (Congestive heart failure):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18" t="inlineStr"/>
      <c r="L30" s="18" t="inlineStr">
        <is>
          <t>Oral contraceptive</t>
        </is>
      </c>
      <c r="M30" s="18" t="inlineStr">
        <is>
          <t>Clinic</t>
        </is>
      </c>
      <c r="N30" s="18" t="inlineStr">
        <is>
          <t>ข้อ 28 ชุด 1 (เฉลยข้อ จ)</t>
        </is>
      </c>
      <c r="O30" s="18" t="inlineStr">
        <is>
          <t>Mock</t>
        </is>
      </c>
      <c r="P30" s="18" t="inlineStr">
        <is>
          <t>ชุด 1</t>
        </is>
      </c>
    </row>
    <row r="31">
      <c r="A31" s="15" t="inlineStr">
        <is>
          <t>29</t>
        </is>
      </c>
      <c r="B31" s="1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8" t="inlineStr"/>
      <c r="D31" s="18" t="inlineStr">
        <is>
          <t>เริ่มมีอาการปวดท้องเมื่ออายุ 27 ปี</t>
        </is>
      </c>
      <c r="E31" s="18" t="inlineStr">
        <is>
          <t>ปวดบิดเป็นพัก ๆ ที่บริเวณท้องน้อย</t>
        </is>
      </c>
      <c r="F31" s="18" t="inlineStr">
        <is>
          <t>ปวดท้องก่อนมีประจำเดือนไม่กี่ชม.</t>
        </is>
      </c>
      <c r="G31" s="18" t="inlineStr">
        <is>
          <t>ปวดท้องตลอดช่วง 2-3 วันแรกของการมีประจำเดือน</t>
        </is>
      </c>
      <c r="H31" s="18" t="inlineStr">
        <is>
          <t>อาการปวดท้องดีขึ้นเมื่อรับประทานยา paracetamol หรือ ibuprofen</t>
        </is>
      </c>
      <c r="I31" s="15" t="inlineStr">
        <is>
          <t>1</t>
        </is>
      </c>
      <c r="J31" s="18"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ข้อนี้ไม่ใช่คำตอบที่ถูกต้องสำหรับภาวะ Dysmenorrhea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Dysmenorrhea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18" t="inlineStr"/>
      <c r="L31" s="18" t="inlineStr">
        <is>
          <t>Dysmenorrhea</t>
        </is>
      </c>
      <c r="M31" s="18" t="inlineStr">
        <is>
          <t>Clinic</t>
        </is>
      </c>
      <c r="N31" s="18" t="inlineStr">
        <is>
          <t>ข้อ 29 ชุด 1 (เฉลยข้อ ก จ)</t>
        </is>
      </c>
      <c r="O31" s="18" t="inlineStr">
        <is>
          <t>Mock</t>
        </is>
      </c>
      <c r="P31" s="18" t="inlineStr">
        <is>
          <t>ชุด 1</t>
        </is>
      </c>
    </row>
    <row r="32">
      <c r="A32" s="15" t="inlineStr">
        <is>
          <t>30</t>
        </is>
      </c>
      <c r="B32" s="1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8" t="inlineStr"/>
      <c r="D32" s="18" t="inlineStr">
        <is>
          <t>ประคบบริเวณท้องน้อยด้วยถุงน้ำร้อนเพื่อช่วยบรรเทาและอาการปวดท้อง</t>
        </is>
      </c>
      <c r="E32" s="18" t="inlineStr">
        <is>
          <t>ควรนอนพักผ่อนมาก ๆ ระหว่างมีประจำเดือน</t>
        </is>
      </c>
      <c r="F32" s="18" t="inlineStr">
        <is>
          <t>ควรรับประทานยา ibuprofen หลังอาหารทันที</t>
        </is>
      </c>
      <c r="G32" s="18" t="inlineStr">
        <is>
          <t>สามารถรับประทานยา ibuprofen ก่อนมีอาการปวดเพื่อป้องกันได้</t>
        </is>
      </c>
      <c r="H32" s="18" t="inlineStr">
        <is>
          <t>หลีกเลี่ยงเครื่องดื่มที่มีแอลกอฮอล์ระหว่างรับประทานยา ibuprofen</t>
        </is>
      </c>
      <c r="I32" s="15" t="inlineStr">
        <is>
          <t>5</t>
        </is>
      </c>
      <c r="J32" s="18"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ข้อนี้ไม่ใช่คำตอบที่ถูกต้องสำหรับภาวะ Dysmenorrhea เนื่องจากกลไกการออกฤทธิ์, efficacy หรือข้อบ่งใช้ไม่ตรงกับโจทย์ที่กำหนด
• ข้อ ข. (ควรนอนพักผ่อนมาก ๆ ระหว่างมีประจำเดือน):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18" t="inlineStr"/>
      <c r="L32" s="18" t="inlineStr">
        <is>
          <t>Dysmenorrhea</t>
        </is>
      </c>
      <c r="M32" s="18" t="inlineStr">
        <is>
          <t>Clinic</t>
        </is>
      </c>
      <c r="N32" s="18" t="inlineStr">
        <is>
          <t>ข้อ 30 ชุด 1 (เฉลยข้อ จ)</t>
        </is>
      </c>
      <c r="O32" s="18" t="inlineStr">
        <is>
          <t>Mock</t>
        </is>
      </c>
      <c r="P32" s="18" t="inlineStr">
        <is>
          <t>ชุด 1</t>
        </is>
      </c>
    </row>
    <row r="33">
      <c r="A33" s="15" t="inlineStr">
        <is>
          <t>31</t>
        </is>
      </c>
      <c r="B33" s="1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8" t="inlineStr"/>
      <c r="D33" s="18" t="inlineStr">
        <is>
          <t>Serotonin</t>
        </is>
      </c>
      <c r="E33" s="18" t="inlineStr">
        <is>
          <t>Prostaglandin</t>
        </is>
      </c>
      <c r="F33" s="18" t="inlineStr">
        <is>
          <t>Cyclo-oxygenase</t>
        </is>
      </c>
      <c r="G33" s="18" t="inlineStr">
        <is>
          <t>Leukotriene</t>
        </is>
      </c>
      <c r="H33" s="18" t="inlineStr">
        <is>
          <t>Thromboxane</t>
        </is>
      </c>
      <c r="I33" s="15" t="inlineStr">
        <is>
          <t>2</t>
        </is>
      </c>
      <c r="J33" s="18"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ข้อนี้ไม่ใช่คำตอบที่ถูกต้องสำหรับภาวะ Dysmenorrhea เนื่องจากกลไกการออกฤทธิ์, efficacy หรือข้อบ่งใช้ไม่ตรงกับโจทย์ที่กำหนด
• ข้อ ค. (Cyclo-oxygenase): ข้อนี้ไม่ใช่คำตอบที่ถูกต้องสำหรับภาวะ Dysmenorrhea เนื่องจากกลไกการออกฤทธิ์, efficacy หรือข้อบ่งใช้ไม่ตรงกับโจทย์ที่กำหนด
• ข้อ ง. (Leukotriene): ข้อนี้ไม่ใช่คำตอบที่ถูกต้องสำหรับภาวะ Dysmenorrhea เนื่องจากกลไกการออกฤทธิ์, efficacy หรือข้อบ่งใช้ไม่ตรงกับโจทย์ที่กำหนด
• ข้อ จ. (Thromboxane):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18" t="inlineStr"/>
      <c r="L33" s="18" t="inlineStr">
        <is>
          <t>Dysmenorrhea</t>
        </is>
      </c>
      <c r="M33" s="18" t="inlineStr">
        <is>
          <t>Clinic</t>
        </is>
      </c>
      <c r="N33" s="18" t="inlineStr">
        <is>
          <t>ข้อ 31 ชุด 1 (เฉลยข้อ ข)</t>
        </is>
      </c>
      <c r="O33" s="18" t="inlineStr">
        <is>
          <t>Mock</t>
        </is>
      </c>
      <c r="P33" s="18" t="inlineStr">
        <is>
          <t>ชุด 1</t>
        </is>
      </c>
    </row>
    <row r="34">
      <c r="A34" s="15" t="inlineStr">
        <is>
          <t>32</t>
        </is>
      </c>
      <c r="B34" s="18" t="inlineStr">
        <is>
          <t>หากผู้ป่วยรายนี้รับประทานยา ibuprofen แล้วประมาณ 1 ชม. ยังมีอาการปวด จะแนะนำยาชนิดใดเพื่อเสริมฤทธิ์แก้ปวดท้อง</t>
        </is>
      </c>
      <c r="C34" s="18" t="inlineStr"/>
      <c r="D34" s="18" t="inlineStr">
        <is>
          <t>Mefenamic acid</t>
        </is>
      </c>
      <c r="E34" s="18" t="inlineStr">
        <is>
          <t>Hyoscine-n-butyl bromide</t>
        </is>
      </c>
      <c r="F34" s="18" t="inlineStr">
        <is>
          <t>Estradiol+ levonorgertrel</t>
        </is>
      </c>
      <c r="G34" s="18" t="inlineStr">
        <is>
          <t>Orphenadrine</t>
        </is>
      </c>
      <c r="H34" s="18" t="inlineStr">
        <is>
          <t>Tolperisone</t>
        </is>
      </c>
      <c r="I34" s="15" t="inlineStr">
        <is>
          <t>2</t>
        </is>
      </c>
      <c r="J34" s="18"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ข้อนี้ไม่ใช่คำตอบที่ถูกต้องสำหรับภาวะ Dysmenorrhea เนื่องจากกลไกการออกฤทธิ์, efficacy หรือข้อบ่งใช้ไม่ตรงกับโจทย์ที่กำหนด
• ข้อ ค. (Estradiol+ levonorgertrel): ข้อนี้ไม่ใช่คำตอบที่ถูกต้องสำหรับภาวะ Dysmenorrhea เนื่องจากกลไกการออกฤทธิ์, efficacy หรือข้อบ่งใช้ไม่ตรงกับโจทย์ที่กำหนด
• ข้อ ง. (Orphenadrine): ข้อนี้ไม่ใช่คำตอบที่ถูกต้องสำหรับภาวะ Dysmenorrhea เนื่องจากกลไกการออกฤทธิ์, efficacy หรือข้อบ่งใช้ไม่ตรงกับโจทย์ที่กำหนด
• ข้อ จ. (Tolperisone):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18" t="inlineStr"/>
      <c r="L34" s="18" t="inlineStr">
        <is>
          <t>Dysmenorrhea</t>
        </is>
      </c>
      <c r="M34" s="18" t="inlineStr">
        <is>
          <t>Clinic</t>
        </is>
      </c>
      <c r="N34" s="18" t="inlineStr">
        <is>
          <t>ข้อ 32 ชุด 1 (เฉลยข้อ ข)</t>
        </is>
      </c>
      <c r="O34" s="18" t="inlineStr">
        <is>
          <t>Mock</t>
        </is>
      </c>
      <c r="P34" s="18" t="inlineStr">
        <is>
          <t>ชุด 1</t>
        </is>
      </c>
    </row>
    <row r="35">
      <c r="A35" s="15" t="inlineStr">
        <is>
          <t>33</t>
        </is>
      </c>
      <c r="B35" s="18" t="inlineStr">
        <is>
          <t>ยาใดที่ไม่สามารถใช้รักษาอาการปวดประจำเดือน</t>
        </is>
      </c>
      <c r="C35" s="18" t="inlineStr"/>
      <c r="D35" s="18" t="inlineStr">
        <is>
          <t>Aspirin</t>
        </is>
      </c>
      <c r="E35" s="18" t="inlineStr">
        <is>
          <t>Colchicine</t>
        </is>
      </c>
      <c r="F35" s="18" t="inlineStr">
        <is>
          <t>Naproxen</t>
        </is>
      </c>
      <c r="G35" s="18" t="inlineStr">
        <is>
          <t>Celecoxib</t>
        </is>
      </c>
      <c r="H35" s="18" t="inlineStr">
        <is>
          <t>Mefenamic acid</t>
        </is>
      </c>
      <c r="I35" s="15" t="inlineStr">
        <is>
          <t>2</t>
        </is>
      </c>
      <c r="J35" s="18"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18" t="inlineStr"/>
      <c r="L35" s="18" t="inlineStr">
        <is>
          <t>Dysmenorrhea</t>
        </is>
      </c>
      <c r="M35" s="18" t="inlineStr">
        <is>
          <t>Clinic</t>
        </is>
      </c>
      <c r="N35" s="18" t="inlineStr">
        <is>
          <t>ข้อ 33 ชุด 1 (เฉลยข้อ ข)</t>
        </is>
      </c>
      <c r="O35" s="18" t="inlineStr">
        <is>
          <t>Mock</t>
        </is>
      </c>
      <c r="P35" s="18" t="inlineStr">
        <is>
          <t>ชุด 1</t>
        </is>
      </c>
    </row>
    <row r="36">
      <c r="A36" s="15" t="inlineStr">
        <is>
          <t>34</t>
        </is>
      </c>
      <c r="B36" s="18"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8" t="inlineStr"/>
      <c r="D36" s="18" t="inlineStr">
        <is>
          <t>12.00 น. ของ 6 ก.พ. 53</t>
        </is>
      </c>
      <c r="E36" s="18" t="inlineStr">
        <is>
          <t>20.00 น. ของ 6 ก.พ. 53</t>
        </is>
      </c>
      <c r="F36" s="18" t="inlineStr">
        <is>
          <t>8.00 น. ของ 7 ก.พ. 53</t>
        </is>
      </c>
      <c r="G36" s="18" t="inlineStr">
        <is>
          <t>20.00 น. ของ 7 ก.พ. 53</t>
        </is>
      </c>
      <c r="H36" s="18" t="inlineStr">
        <is>
          <t>8.00 น. ของ 7 ก.พ. 53</t>
        </is>
      </c>
      <c r="I36" s="15" t="inlineStr">
        <is>
          <t>2</t>
        </is>
      </c>
      <c r="J36" s="18"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ข้อนี้ไม่ใช่คำตอบที่ถูกต้องสำหรับภาวะ Oral contraceptive เนื่องจากกลไกการออกฤทธิ์, efficacy หรือข้อบ่งใช้ไม่ตรงกับโจทย์ที่กำหนด
• ข้อ ค.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ง. (20.00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จ.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18" t="inlineStr"/>
      <c r="L36" s="18" t="inlineStr">
        <is>
          <t>Oral contraceptive</t>
        </is>
      </c>
      <c r="M36" s="18" t="inlineStr">
        <is>
          <t>Clinic</t>
        </is>
      </c>
      <c r="N36" s="18" t="inlineStr">
        <is>
          <t>ข้อ 34 ชุด 1 (เฉลยข้อ ข)</t>
        </is>
      </c>
      <c r="O36" s="18" t="inlineStr">
        <is>
          <t>Mock</t>
        </is>
      </c>
      <c r="P36" s="18" t="inlineStr">
        <is>
          <t>ชุด 1</t>
        </is>
      </c>
    </row>
    <row r="37">
      <c r="A37" s="15" t="inlineStr">
        <is>
          <t>35</t>
        </is>
      </c>
      <c r="B37" s="18" t="inlineStr">
        <is>
          <t>Progestogen only pill คืออะไร</t>
        </is>
      </c>
      <c r="C37" s="18" t="inlineStr"/>
      <c r="D37" s="18" t="inlineStr">
        <is>
          <t>Lynestrenol</t>
        </is>
      </c>
      <c r="E37" s="18" t="inlineStr">
        <is>
          <t>Drospirenone</t>
        </is>
      </c>
      <c r="F37" s="18" t="inlineStr">
        <is>
          <t>Norethisterone</t>
        </is>
      </c>
      <c r="G37" s="18" t="inlineStr">
        <is>
          <t>Levonorgestrel</t>
        </is>
      </c>
      <c r="H37" s="18" t="inlineStr">
        <is>
          <t>Gestodene</t>
        </is>
      </c>
      <c r="I37" s="15" t="inlineStr">
        <is>
          <t>1</t>
        </is>
      </c>
      <c r="J37" s="18"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(Norethisterone):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18" t="inlineStr"/>
      <c r="L37" s="18" t="inlineStr">
        <is>
          <t>Oral contraceptive</t>
        </is>
      </c>
      <c r="M37" s="18" t="inlineStr">
        <is>
          <t>Clinic</t>
        </is>
      </c>
      <c r="N37" s="18" t="inlineStr">
        <is>
          <t>ข้อ 35 ชุด 1 (เฉลยข้อ ก)</t>
        </is>
      </c>
      <c r="O37" s="18" t="inlineStr">
        <is>
          <t>Mock</t>
        </is>
      </c>
      <c r="P37" s="18" t="inlineStr">
        <is>
          <t>ชุด 1</t>
        </is>
      </c>
    </row>
    <row r="38">
      <c r="A38" s="15" t="inlineStr">
        <is>
          <t>36</t>
        </is>
      </c>
      <c r="B38" s="18" t="inlineStr">
        <is>
          <t>ข้อใดคืออาการไม่พึงประสงค์ของ progesterone</t>
        </is>
      </c>
      <c r="C38" s="18" t="inlineStr"/>
      <c r="D38" s="18" t="inlineStr">
        <is>
          <t>เลือดออกกระบิดกระโปรยว</t>
        </is>
      </c>
      <c r="E38" s="18" t="inlineStr">
        <is>
          <t>น้ำนมไหล</t>
        </is>
      </c>
      <c r="F38" s="18" t="inlineStr">
        <is>
          <t>มูกปากมดลูกเป็นแบบใสๆ</t>
        </is>
      </c>
      <c r="G38" s="18" t="inlineStr">
        <is>
          <t>น้ำหนักลด</t>
        </is>
      </c>
      <c r="H38" s="18" t="inlineStr">
        <is>
          <t>เบื่ออาหาร</t>
        </is>
      </c>
      <c r="I38" s="15" t="inlineStr">
        <is>
          <t>1</t>
        </is>
      </c>
      <c r="J38" s="18"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ข้อนี้ไม่ใช่คำตอบที่ถูกต้องสำหรับภาวะ Hormonal replacement เนื่องจากกลไกการออกฤทธิ์, efficacy หรือข้อบ่งใช้ไม่ตรงกับโจทย์ที่กำหนด
• ข้อ ค. (มูกปากมดลูกเป็นแบบใสๆ): ข้อนี้ไม่ใช่คำตอบที่ถูกต้องสำหรับภาวะ Hormonal replacement เนื่องจากกลไกการออกฤทธิ์, efficacy หรือข้อบ่งใช้ไม่ตรงกับโจทย์ที่กำหนด
• ข้อ ง. (น้ำหนักลด): ข้อนี้ไม่ใช่คำตอบที่ถูกต้องสำหรับภาวะ Hormonal replacement เนื่องจากกลไกการออกฤทธิ์, efficacy หรือข้อบ่งใช้ไม่ตรงกับโจทย์ที่กำหนด
• ข้อ จ. (เบื่ออาหาร):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8" t="inlineStr"/>
      <c r="L38" s="18" t="inlineStr">
        <is>
          <t>Hormonal replacement</t>
        </is>
      </c>
      <c r="M38" s="18" t="inlineStr">
        <is>
          <t>Clinic</t>
        </is>
      </c>
      <c r="N38" s="18" t="inlineStr">
        <is>
          <t>ข้อ 36 ชุด 1 (เฉลยข้อ ก)</t>
        </is>
      </c>
      <c r="O38" s="18" t="inlineStr">
        <is>
          <t>Mock</t>
        </is>
      </c>
      <c r="P38" s="18" t="inlineStr">
        <is>
          <t>ชุด 1</t>
        </is>
      </c>
    </row>
    <row r="39">
      <c r="A39" s="15" t="inlineStr">
        <is>
          <t>37</t>
        </is>
      </c>
      <c r="B39" s="18"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8" t="inlineStr"/>
      <c r="D39" s="18"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18" t="inlineStr">
        <is>
          <t>ควรรับประทานยาในเวลาเดียวกันหรือใกล้เคียงกันทุกวัน</t>
        </is>
      </c>
      <c r="F39" s="18" t="inlineStr">
        <is>
          <t>ถ้ามีอาการคลื่นไส้ อาเจียน เลือดออกกระปริดกระปรอย ให้หยุดใช้ยาทันทีแล้วไปพบแพทย์</t>
        </is>
      </c>
      <c r="G39" s="18" t="inlineStr">
        <is>
          <t>แม้ความหนาแน่นกระดูกปกติ ก็ควรรับประทานแคลเซียมเสริมเป็นประจำ และออกกำลังกายสม่ำเสมอ</t>
        </is>
      </c>
      <c r="H39" s="18" t="inlineStr">
        <is>
          <t>ในช่วงที่หยุดยาฮอร์โมนจะมีประจำเดือน จะเป็นอยู่ระยะหนึ่งแล้วค่อยๆน้อยลง จนหายไป</t>
        </is>
      </c>
      <c r="I39" s="15" t="inlineStr">
        <is>
          <t>3</t>
        </is>
      </c>
      <c r="J39" s="18"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(ควรรับประทานยาในเวลาเดียวกันหรือใกล้เคียงกันทุกวัน):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(แม้ความหนาแน่นกระดูกปกติ ก็ควรรับประทานแคลเซียมเสริมเป็นประจำ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ข้อ จ. (ในช่วงที่หยุดยาฮอร์โมนจะมีประจำเดือน จะเป็นอยู่ระยะหนึ่งแล้วค่อยๆน้อยลง จนหายไป):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18" t="inlineStr"/>
      <c r="L39" s="18" t="inlineStr">
        <is>
          <t>Oral contraceptive</t>
        </is>
      </c>
      <c r="M39" s="18" t="inlineStr">
        <is>
          <t>Clinic</t>
        </is>
      </c>
      <c r="N39" s="18" t="inlineStr">
        <is>
          <t>ข้อ 37 ชุด 1 (เฉลยข้อ ค)</t>
        </is>
      </c>
      <c r="O39" s="18" t="inlineStr">
        <is>
          <t>Mock</t>
        </is>
      </c>
      <c r="P39" s="18" t="inlineStr">
        <is>
          <t>ชุด 1</t>
        </is>
      </c>
    </row>
    <row r="40">
      <c r="A40" s="15" t="inlineStr">
        <is>
          <t>38</t>
        </is>
      </c>
      <c r="B40" s="18" t="inlineStr">
        <is>
          <t>ข้อใดต่อไปนี้ไม่ถูกต้อง</t>
        </is>
      </c>
      <c r="C40" s="18" t="inlineStr"/>
      <c r="D40" s="18" t="inlineStr">
        <is>
          <t>Conjugated estrogen คือ esters ของเอสโตเจนธรรมชาติหลายๆชนิดรวมกัน</t>
        </is>
      </c>
      <c r="E40" s="18"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18" t="inlineStr">
        <is>
          <t>Estrogen มีกลไกการออกฤทธิ์โดยจับกับ estrogen receptor ภายในเซลล์ มีผลต่อการแสดงออกของยีน</t>
        </is>
      </c>
      <c r="G40" s="18" t="inlineStr">
        <is>
          <t>Progesterone มีกลไกการออกฤทธิ์คล้ายกับ estrogen โดยจับที่ตัวรับและยีนเดียวกัน</t>
        </is>
      </c>
      <c r="H40" s="18" t="inlineStr">
        <is>
          <t>ไม่มีคำตอบ</t>
        </is>
      </c>
      <c r="I40" s="15" t="inlineStr">
        <is>
          <t>4</t>
        </is>
      </c>
      <c r="J40" s="18"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ข้อนี้ไม่ใช่คำตอบที่ถูกต้องสำหรับภาวะ Oral contraceptive เนื่องจากกลไกการออกฤทธิ์, efficacy หรือข้อบ่งใช้ไม่ตรงกับโจทย์ที่กำหนด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ข้อนี้ไม่ใช่คำตอบที่ถูกต้องสำหรับภาวะ Oral contraceptive เนื่องจากกลไกการออกฤทธิ์, efficacy หรือข้อบ่งใช้ไม่ตรงกับโจทย์ที่กำหนด
• ข้อ ค. (Estrogen มีกลไกการออกฤทธิ์โดยจับกับ estrogen receptor ภายในเซลล์ มีผลต่อการแสดงออกของยีน): ข้อนี้ไม่ใช่คำตอบที่ถูกต้องสำหรับภาวะ Oral contraceptive เนื่องจากกลไกการออกฤทธิ์, efficacy หรือข้อบ่งใช้ไม่ตรงกับโจทย์ที่กำหนด
• ข้อ จ. (ไม่มีคำตอบ):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18" t="inlineStr"/>
      <c r="L40" s="18" t="inlineStr">
        <is>
          <t>Oral contraceptive</t>
        </is>
      </c>
      <c r="M40" s="18" t="inlineStr">
        <is>
          <t>Clinic</t>
        </is>
      </c>
      <c r="N40" s="18" t="inlineStr">
        <is>
          <t>ข้อ 38 ชุด 1 (เฉลยข้อ ง)</t>
        </is>
      </c>
      <c r="O40" s="18" t="inlineStr">
        <is>
          <t>Mock</t>
        </is>
      </c>
      <c r="P40" s="18" t="inlineStr">
        <is>
          <t>ชุด 1</t>
        </is>
      </c>
    </row>
    <row r="41">
      <c r="A41" s="15" t="inlineStr">
        <is>
          <t>39</t>
        </is>
      </c>
      <c r="B41" s="18"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18" t="inlineStr"/>
      <c r="D41" s="18" t="inlineStr">
        <is>
          <t>แนะนำให้หยุดยาทันทีแล้วไปพบแพทย์</t>
        </is>
      </c>
      <c r="E41" s="18" t="inlineStr">
        <is>
          <t>อธิบายว่าอาการคลื่นไส้ อาเจียนจะเป็นอยู่ระยะหนึ่งหลังจากนั้นจะดีขึ้น ถ้าไม่ดีขึ้นให้ไปพบแพทย์</t>
        </is>
      </c>
      <c r="F41" s="18" t="inlineStr">
        <is>
          <t>ลดขนาดของ conjugated estrogen เป็นขนาดเม็ดละ 0.03 มิลลิกรัม</t>
        </is>
      </c>
      <c r="G41" s="18" t="inlineStr">
        <is>
          <t>ลดขนาดของ MPA เป็นขนาดเม็ดละ 2.5 มิลลิกรัม</t>
        </is>
      </c>
      <c r="H41" s="18" t="inlineStr">
        <is>
          <t>ถูกทุกข้อ</t>
        </is>
      </c>
      <c r="I41" s="15" t="inlineStr">
        <is>
          <t>2</t>
        </is>
      </c>
      <c r="J41" s="18"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ข้อนี้ไม่ใช่คำตอบที่ถูกต้องสำหรับภาวะ Oral contraceptive เนื่องจากกลไกการออกฤทธิ์, efficacy หรือข้อบ่งใช้ไม่ตรงกับโจทย์ที่กำหนด
• ข้อ ค. (ลดขนาดของ conjugated estrogen เป็นขนาดเม็ดละ 0.03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ง. (ลดขนาดของ MPA เป็นขนาดเม็ดละ 2.5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18" t="inlineStr"/>
      <c r="L41" s="18" t="inlineStr">
        <is>
          <t>Oral contraceptive</t>
        </is>
      </c>
      <c r="M41" s="18" t="inlineStr">
        <is>
          <t>Clinic</t>
        </is>
      </c>
      <c r="N41" s="18" t="inlineStr">
        <is>
          <t>ข้อ 39 ชุด 1 (เฉลยข้อ ข)</t>
        </is>
      </c>
      <c r="O41" s="18" t="inlineStr">
        <is>
          <t>Mock</t>
        </is>
      </c>
      <c r="P41" s="18" t="inlineStr">
        <is>
          <t>ชุด 1</t>
        </is>
      </c>
    </row>
    <row r="42">
      <c r="A42" s="15" t="inlineStr">
        <is>
          <t>40</t>
        </is>
      </c>
      <c r="B42" s="18" t="inlineStr">
        <is>
          <t>ถ้านางลีเป็นเบาหวาน รูปแบบของ estrogen แบบใดจะมีผลกระทบต่อภาวะของโรคเบาหวานน้อยที่สุด
ข้อใดถูกต้อง</t>
        </is>
      </c>
      <c r="C42" s="18" t="inlineStr"/>
      <c r="D42" s="18" t="inlineStr">
        <is>
          <t>ยาเม็ด</t>
        </is>
      </c>
      <c r="E42" s="18" t="inlineStr">
        <is>
          <t>ยาฉีด</t>
        </is>
      </c>
      <c r="F42" s="18" t="inlineStr">
        <is>
          <t>แผ่นแปะผิวหนัง</t>
        </is>
      </c>
      <c r="G42" s="18" t="inlineStr">
        <is>
          <t>ครีมสอดช่องคลอด</t>
        </is>
      </c>
      <c r="H42" s="18" t="inlineStr">
        <is>
          <t>แบบฝัง</t>
        </is>
      </c>
      <c r="I42" s="15" t="inlineStr">
        <is>
          <t>4</t>
        </is>
      </c>
      <c r="J42" s="18"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ข้อนี้ไม่ใช่คำตอบที่ถูกต้องสำหรับภาวะ Hormonal replacement เนื่องจากกลไกการออกฤทธิ์, efficacy หรือข้อบ่งใช้ไม่ตรงกับโจทย์ที่กำหนด
• ข้อ ข. (ยาฉีด): ข้อนี้ไม่ใช่คำตอบที่ถูกต้องสำหรับภาวะ Hormonal replacement เนื่องจากกลไกการออกฤทธิ์, efficacy หรือข้อบ่งใช้ไม่ตรงกับโจทย์ที่กำหนด
• ข้อ ค. (แผ่นแปะผิวหนัง): ข้อนี้ไม่ใช่คำตอบที่ถูกต้องสำหรับภาวะ Hormonal replacement เนื่องจากกลไกการออกฤทธิ์, efficacy หรือข้อบ่งใช้ไม่ตรงกับโจทย์ที่กำหนด
• ข้อ จ. (แบบฝัง):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18" t="inlineStr"/>
      <c r="L42" s="18" t="inlineStr">
        <is>
          <t>Hormonal replacement</t>
        </is>
      </c>
      <c r="M42" s="18" t="inlineStr">
        <is>
          <t>Clinic</t>
        </is>
      </c>
      <c r="N42" s="18" t="inlineStr">
        <is>
          <t>ข้อ 40 ชุด 1 (เฉลยข้อ ง)</t>
        </is>
      </c>
      <c r="O42" s="18" t="inlineStr">
        <is>
          <t>Mock</t>
        </is>
      </c>
      <c r="P42" s="18" t="inlineStr">
        <is>
          <t>ชุด 1</t>
        </is>
      </c>
    </row>
    <row r="43">
      <c r="A43" s="15" t="inlineStr">
        <is>
          <t>41</t>
        </is>
      </c>
      <c r="B43" s="18" t="inlineStr">
        <is>
          <t>นางลีไม่อยากให้มีประจำเดือน วิธีการบริหารยาแบบใดที่จะทำให้ไม่มีประจำเดือนมาทุกเดือน
ข้อใดถูกต้อง</t>
        </is>
      </c>
      <c r="C43" s="18" t="inlineStr"/>
      <c r="D43" s="18" t="inlineStr">
        <is>
          <t>รับประทานยาทั้งสองชนิดทุกวัน ไม่ต้องหยุดยา 7 วัน</t>
        </is>
      </c>
      <c r="E43" s="18" t="inlineStr">
        <is>
          <t>เว้นช่วงไม่ต้องรับประทาน MPA 2-3 เดือนแล้วกลับมารับประทานเหมือนเดิม 1 เดือน แล้วเว้นช่วงต่อไปเรื่อย ๆ</t>
        </is>
      </c>
      <c r="F43" s="18" t="inlineStr">
        <is>
          <t>ไม่ต้องทาน MPA เพราะเป็นสาเหตุให้มีเลือดประจำเดือนเมื่อหยุดยา</t>
        </is>
      </c>
      <c r="G43" s="18"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18" t="inlineStr">
        <is>
          <t>บอกนางลี ไม่ว่าจะใช้วิธีใดก็ต้องมีเลือดประจำเดือนมาทุกเดือน ไม่มีวิธีแก้ ไข</t>
        </is>
      </c>
      <c r="I43" s="15" t="inlineStr">
        <is>
          <t>1</t>
        </is>
      </c>
      <c r="J43" s="18"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ข้อนี้ไม่ใช่คำตอบที่ถูกต้องสำหรับภาวะ Oral contraceptive เนื่องจากกลไกการออกฤทธิ์, efficacy หรือข้อบ่งใช้ไม่ตรงกับโจทย์ที่กำหนด
• ข้อ ค. (ไม่ต้องทาน MPA เพราะเป็นสาเหตุให้มีเลือดประจำเดือนเมื่อหยุดยา): ข้อนี้ไม่ใช่คำตอบที่ถูกต้องสำหรับภาวะ Oral contraceptive เนื่องจากกลไกการออกฤทธิ์, efficacy หรือข้อบ่งใช้ไม่ตรงกับโจทย์ที่กำหนด
• ข้อ ง. (เปลี่ยนมาใช้แบบแผ่นปะ ปะผิวหนัง 3 สัปดาห์ เว้นไม่ปะ 1 สัปดาห์ และรับประทาน MPA ควบไปด้วในช่วงสัปดาห์ที่ 2 และ 3 ที่ปะแผ่นยา): ข้อนี้ไม่ใช่คำตอบที่ถูกต้องสำหรับภาวะ Oral contraceptive เนื่องจากกลไกการออกฤทธิ์, efficacy หรือข้อบ่งใช้ไม่ตรงกับโจทย์ที่กำหนด
• ข้อ จ. (บอกนางลี ไม่ว่าจะใช้วิธีใดก็ต้องมีเลือดประจำเดือนมาทุกเดือน ไม่มีวิธีแก้ ไข):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18" t="inlineStr"/>
      <c r="L43" s="18" t="inlineStr">
        <is>
          <t>Oral contraceptive</t>
        </is>
      </c>
      <c r="M43" s="18" t="inlineStr">
        <is>
          <t>Clinic</t>
        </is>
      </c>
      <c r="N43" s="18" t="inlineStr">
        <is>
          <t>ข้อ 41 ชุด 1 (เฉลยข้อ ก)</t>
        </is>
      </c>
      <c r="O43" s="18" t="inlineStr">
        <is>
          <t>Mock</t>
        </is>
      </c>
      <c r="P43" s="18" t="inlineStr">
        <is>
          <t>ชุด 1</t>
        </is>
      </c>
    </row>
    <row r="44">
      <c r="A44" s="15" t="inlineStr">
        <is>
          <t>42</t>
        </is>
      </c>
      <c r="B44" s="18" t="inlineStr">
        <is>
          <t>นางลีขอให้เภสัชกรช่วยจัดยาเม็ดแคลเซียมให้ ข้อมูลใดไม่ถูกต้องเกี่ยวกับ แคลเซียม
ข้อใดถูกต้อง</t>
        </is>
      </c>
      <c r="C44" s="18" t="inlineStr"/>
      <c r="D44" s="18" t="inlineStr">
        <is>
          <t>ขนาดแคลเซียมสำหรับสตรีหมดประจำเดือนคือ 1000-1500 มิลลิกรัม/วัน</t>
        </is>
      </c>
      <c r="E44" s="18" t="inlineStr">
        <is>
          <t>ควรรับประทานแคลเซียมหลังอาหารเพราะช่วยให้ดูดซึมดีขึ้น</t>
        </is>
      </c>
      <c r="F44" s="18" t="inlineStr">
        <is>
          <t>พิจารณาชนิดเกลือของแคลเซียม เพราะเกลือต่าง ๆ ชนิดกัน จะให้ปริมาณแคลเซียมต่างกัน</t>
        </is>
      </c>
      <c r="G44" s="18" t="inlineStr">
        <is>
          <t>ควรให้วิตามินดี ร่วมด้วยเสมอเพื่อช่วยให้กระดูกซึมดีขึ้น</t>
        </is>
      </c>
      <c r="H44" s="18" t="inlineStr">
        <is>
          <t>ปกติเราจะได้รับแคลเซียมบางส่วนจากอาหาร ควรรับประทานอาหารให้ครบ และออกกำลังกายสม่ำเสมอ</t>
        </is>
      </c>
      <c r="I44" s="15" t="inlineStr">
        <is>
          <t>4</t>
        </is>
      </c>
      <c r="J44" s="18"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(ควรรับประทานแคลเซียมหลังอาหารเพราะช่วยให้ดูดซึมดีขึ้น): ข้อนี้ไม่ใช่คำตอบที่ถูกต้องสำหรับภาวะ Oral contraceptive เนื่องจากกลไกการออกฤทธิ์, efficacy หรือข้อบ่งใช้ไม่ตรงกับโจทย์ที่กำหนด
• ข้อ ค. (พิจารณาชนิดเกลือของแคลเซียม เพราะเกลือต่าง ๆ ชนิดกัน จะให้ปริมาณแคลเซียมต่างกัน): ข้อนี้ไม่ใช่คำตอบที่ถูกต้องสำหรับภาวะ Oral contraceptive เนื่องจากกลไกการออกฤทธิ์, efficacy หรือข้อบ่งใช้ไม่ตรงกับโจทย์ที่กำหนด
• ข้อ จ. (ปกติเราจะได้รับแคลเซียมบางส่วนจากอาหาร ควรรับประทานอาหารให้ครบ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18" t="inlineStr"/>
      <c r="L44" s="18" t="inlineStr">
        <is>
          <t>Oral contraceptive</t>
        </is>
      </c>
      <c r="M44" s="18" t="inlineStr">
        <is>
          <t>Clinic</t>
        </is>
      </c>
      <c r="N44" s="18" t="inlineStr">
        <is>
          <t>ข้อ 42 ชุด 1 (เฉลยข้อ ง)</t>
        </is>
      </c>
      <c r="O44" s="18" t="inlineStr">
        <is>
          <t>Mock</t>
        </is>
      </c>
      <c r="P44" s="18" t="inlineStr">
        <is>
          <t>ชุด 1</t>
        </is>
      </c>
    </row>
    <row r="45">
      <c r="A45" s="15" t="inlineStr">
        <is>
          <t>43</t>
        </is>
      </c>
      <c r="B45" s="18"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18" t="inlineStr"/>
      <c r="D45" s="18" t="inlineStr">
        <is>
          <t>Cardiovascular disease</t>
        </is>
      </c>
      <c r="E45" s="18" t="inlineStr">
        <is>
          <t>Osteoporosis</t>
        </is>
      </c>
      <c r="F45" s="18" t="inlineStr">
        <is>
          <t>Psychosexual symptom</t>
        </is>
      </c>
      <c r="G45" s="18" t="inlineStr">
        <is>
          <t>Urogenital symptom</t>
        </is>
      </c>
      <c r="H45" s="18" t="inlineStr">
        <is>
          <t>Vasomotor symptom</t>
        </is>
      </c>
      <c r="I45" s="15" t="inlineStr">
        <is>
          <t>5</t>
        </is>
      </c>
      <c r="J45" s="18"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ข้อนี้ไม่ใช่คำตอบที่ถูกต้องสำหรับภาวะ Hormonal replacement เนื่องจากกลไกการออกฤทธิ์, efficacy หรือข้อบ่งใช้ไม่ตรงกับโจทย์ที่กำหนด
• ข้อ ข. (Osteoporosis): ข้อนี้ไม่ใช่คำตอบที่ถูกต้องสำหรับภาวะ Hormonal replacement เนื่องจากกลไกการออกฤทธิ์, efficacy หรือข้อบ่งใช้ไม่ตรงกับโจทย์ที่กำหนด
• ข้อ ค. (Psychosexual symptom): ข้อนี้ไม่ใช่คำตอบที่ถูกต้องสำหรับภาวะ Hormonal replacement เนื่องจากกลไกการออกฤทธิ์, efficacy หรือข้อบ่งใช้ไม่ตรงกับโจทย์ที่กำหนด
• ข้อ ง. (Urogenital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8" t="inlineStr"/>
      <c r="L45" s="18" t="inlineStr">
        <is>
          <t>Hormonal replacement</t>
        </is>
      </c>
      <c r="M45" s="18" t="inlineStr">
        <is>
          <t>Clinic</t>
        </is>
      </c>
      <c r="N45" s="18" t="inlineStr">
        <is>
          <t>ข้อ 43 ชุด 1 (เฉลยข้อ จ)</t>
        </is>
      </c>
      <c r="O45" s="18" t="inlineStr">
        <is>
          <t>Mock</t>
        </is>
      </c>
      <c r="P45" s="18" t="inlineStr">
        <is>
          <t>ชุด 1</t>
        </is>
      </c>
    </row>
    <row r="46">
      <c r="A46" s="15" t="inlineStr">
        <is>
          <t>44</t>
        </is>
      </c>
      <c r="B46" s="18"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18" t="inlineStr"/>
      <c r="D46" s="18" t="inlineStr">
        <is>
          <t>Androgen</t>
        </is>
      </c>
      <c r="E46" s="18" t="inlineStr">
        <is>
          <t>Estrogen</t>
        </is>
      </c>
      <c r="F46" s="18" t="inlineStr">
        <is>
          <t>Follicle stimulating hormone (FSH)</t>
        </is>
      </c>
      <c r="G46" s="18" t="inlineStr">
        <is>
          <t>Luteinizing hormone (LH)</t>
        </is>
      </c>
      <c r="H46" s="18" t="inlineStr">
        <is>
          <t>Progesterone</t>
        </is>
      </c>
      <c r="I46" s="15" t="inlineStr">
        <is>
          <t>1</t>
        </is>
      </c>
      <c r="J46" s="18"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ข้อนี้ไม่ใช่คำตอบที่ถูกต้องสำหรับภาวะ Oral contraceptive เนื่องจากกลไกการออกฤทธิ์, efficacy หรือข้อบ่งใช้ไม่ตรงกับโจทย์ที่กำหนด
• ข้อ ค. (Follicle stimulating hormone (FSH)): ข้อนี้ไม่ใช่คำตอบที่ถูกต้องสำหรับภาวะ Oral contraceptive เนื่องจากกลไกการออกฤทธิ์, efficacy หรือข้อบ่งใช้ไม่ตรงกับโจทย์ที่กำหนด
• ข้อ ง. (Luteinizing hormone (LH)): ข้อนี้ไม่ใช่คำตอบที่ถูกต้องสำหรับภาวะ Oral contraceptive เนื่องจากกลไกการออกฤทธิ์, efficacy หรือข้อบ่งใช้ไม่ตรงกับโจทย์ที่กำหนด
• ข้อ จ.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18" t="inlineStr"/>
      <c r="L46" s="18" t="inlineStr">
        <is>
          <t>Oral contraceptive</t>
        </is>
      </c>
      <c r="M46" s="18" t="inlineStr">
        <is>
          <t>Clinic</t>
        </is>
      </c>
      <c r="N46" s="18" t="inlineStr">
        <is>
          <t>ข้อ 44 ชุด 1 (เฉลยข้อ ก)</t>
        </is>
      </c>
      <c r="O46" s="18" t="inlineStr">
        <is>
          <t>Mock</t>
        </is>
      </c>
      <c r="P46" s="18" t="inlineStr">
        <is>
          <t>ชุด 1</t>
        </is>
      </c>
    </row>
    <row r="47">
      <c r="A47" s="15" t="inlineStr">
        <is>
          <t>45</t>
        </is>
      </c>
      <c r="B47" s="18" t="inlineStr">
        <is>
          <t>ข้อใดต่อไปนี้ ถูกต้อง</t>
        </is>
      </c>
      <c r="C47" s="18" t="inlineStr"/>
      <c r="D47" s="18" t="inlineStr">
        <is>
          <t>การใช้ MPA ร่วมด้วยเพื่อป้องกันมะเร็งเยื่อบุโพรงมดลูก</t>
        </is>
      </c>
      <c r="E47" s="18" t="inlineStr">
        <is>
          <t>การใช้ MPA ร่วมด้วยเพื่อรักษาอาการร้อนวูบวาบ</t>
        </is>
      </c>
      <c r="F47" s="18" t="inlineStr">
        <is>
          <t>การใช้ MPA ร่วมด้วยเพื่อป้องกันมะเร็งเต้านม</t>
        </is>
      </c>
      <c r="G47" s="18" t="inlineStr">
        <is>
          <t>นิยมใช้ estrogen ร่วมกับ MPA กับหญิงที่ตัดมดลูกแล้ว</t>
        </is>
      </c>
      <c r="H47" s="18" t="inlineStr">
        <is>
          <t>ในหญิงที่มีมดลูกนิยมให้เอสโตรเจนเพียงอย่างเดียว</t>
        </is>
      </c>
      <c r="I47" s="15" t="inlineStr">
        <is>
          <t>1</t>
        </is>
      </c>
      <c r="J47" s="18"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ข้อนี้ไม่ใช่คำตอบที่ถูกต้องสำหรับภาวะ Oral contraceptive เนื่องจากกลไกการออกฤทธิ์, efficacy หรือข้อบ่งใช้ไม่ตรงกับโจทย์ที่กำหนด
• ข้อ ค. (การใช้ MPA ร่วมด้วยเพื่อป้องกันมะเร็งเต้านม):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ง. (นิยมใช้ estrogen ร่วมกับ MPA กับหญิงที่ตัดมดลูกแล้ว): ข้อนี้ไม่ใช่คำตอบที่ถูกต้องสำหรับภาวะ Oral contraceptive เนื่องจากกลไกการออกฤทธิ์, efficacy หรือข้อบ่งใช้ไม่ตรงกับโจทย์ที่กำหนด
• ข้อ จ. (ในหญิงที่มีมดลูกนิยมให้เอสโตรเจนเพียงอย่างเดียว):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18" t="inlineStr"/>
      <c r="L47" s="18" t="inlineStr">
        <is>
          <t>Oral contraceptive</t>
        </is>
      </c>
      <c r="M47" s="18" t="inlineStr">
        <is>
          <t>Clinic</t>
        </is>
      </c>
      <c r="N47" s="18" t="inlineStr">
        <is>
          <t>ข้อ 45 ชุด 1 (เฉลยข้อ ก)</t>
        </is>
      </c>
      <c r="O47" s="18" t="inlineStr">
        <is>
          <t>Mock</t>
        </is>
      </c>
      <c r="P47" s="18" t="inlineStr">
        <is>
          <t>ชุด 1</t>
        </is>
      </c>
    </row>
    <row r="48">
      <c r="A48" s="15" t="inlineStr">
        <is>
          <t>46</t>
        </is>
      </c>
      <c r="B48" s="18" t="inlineStr">
        <is>
          <t>ข้อใดผิดเกี่ยวกับการใช้ tibolone เป็นฮอร์โมนทดแทน</t>
        </is>
      </c>
      <c r="C48" s="18" t="inlineStr"/>
      <c r="D48" s="18" t="inlineStr">
        <is>
          <t>ช่วยเพิ่มมวลกระดูกและความรู้สึกทางเพศ</t>
        </is>
      </c>
      <c r="E48" s="18" t="inlineStr">
        <is>
          <t>ห้ามใช้ยาในผู้ป่วยที่เป็นเนื้องอกหรือครอบครัวมีประวัติเป็นมะเร็งเต้านมและเยื่อบุโพรงมดลูก</t>
        </is>
      </c>
      <c r="F48" s="18" t="inlineStr">
        <is>
          <t>ใช้ร่วมกับ progesterone เสมอเพื่อป้องกันมะเร็งเยื่อบุโพรงมดลูก</t>
        </is>
      </c>
      <c r="G48" s="18" t="inlineStr">
        <is>
          <t>อาจทำให้เกิดอาการคลื่นไส้ อาเจียน ปวดศีรษะ ผื่นคัน หรือบวม</t>
        </is>
      </c>
      <c r="H48" s="18" t="inlineStr">
        <is>
          <t>สามารถป้องกันโรคเกี่ยวกับหลอดเลือดและหัวใจได้</t>
        </is>
      </c>
      <c r="I48" s="15" t="inlineStr">
        <is>
          <t>3</t>
        </is>
      </c>
      <c r="J48" s="18"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ข้อนี้ไม่ใช่คำตอบที่ถูกต้องสำหรับภาวะ Oral contraceptive เนื่องจากกลไกการออกฤทธิ์, efficacy หรือข้อบ่งใช้ไม่ตรงกับโจทย์ที่กำหนด
• ข้อ ข. (ห้ามใช้ยาในผู้ป่วยที่เป็นเนื้องอกหรือครอบครัวมีประวัติเป็นมะเร็งเต้านมและเยื่อบุโพรงมดลูก): ข้อนี้ไม่ใช่คำตอบที่ถูกต้องสำหรับภาวะ Oral contraceptive เนื่องจากกลไกการออกฤทธิ์, efficacy หรือข้อบ่งใช้ไม่ตรงกับโจทย์ที่กำหนด
• ข้อ ง. (อาจทำให้เกิดอาการคลื่นไส้ อาเจียน ปวดศีรษะ ผื่นคัน หรือบวม): ข้อนี้ไม่ใช่คำตอบที่ถูกต้องสำหรับภาวะ Oral contraceptive เนื่องจากกลไกการออกฤทธิ์, efficacy หรือข้อบ่งใช้ไม่ตรงกับโจทย์ที่กำหนด
• ข้อ จ. (สามารถป้องกันโรคเกี่ยวกับหลอดเลือดและหัวใจได้):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18" t="inlineStr"/>
      <c r="L48" s="18" t="inlineStr">
        <is>
          <t>Oral contraceptive</t>
        </is>
      </c>
      <c r="M48" s="18" t="inlineStr">
        <is>
          <t>Clinic</t>
        </is>
      </c>
      <c r="N48" s="18" t="inlineStr">
        <is>
          <t>ข้อ 46 ชุด 1 (เฉลยข้อ ค)</t>
        </is>
      </c>
      <c r="O48" s="18" t="inlineStr">
        <is>
          <t>Mock</t>
        </is>
      </c>
      <c r="P48" s="18" t="inlineStr">
        <is>
          <t>ชุด 1</t>
        </is>
      </c>
    </row>
    <row r="49">
      <c r="A49" s="15" t="inlineStr">
        <is>
          <t>47</t>
        </is>
      </c>
      <c r="B49" s="18" t="inlineStr">
        <is>
          <t>สถานการณ์ที่ 6 (ต่อเนื่อง)
ควรแนะนำอาหารประเภทใดให้ผู้ป่วยรายนี้</t>
        </is>
      </c>
      <c r="C49" s="18" t="inlineStr"/>
      <c r="D49" s="18" t="inlineStr">
        <is>
          <t>นม, เต้าหู้, ปลาไส้ตัน</t>
        </is>
      </c>
      <c r="E49" s="18" t="inlineStr">
        <is>
          <t>น้ำมันตับปลา, มะม่วงสุก, กุ้งแห้ง</t>
        </is>
      </c>
      <c r="F49" s="18" t="inlineStr">
        <is>
          <t>มะละกอกุก, หน่อไม้, ไข่</t>
        </is>
      </c>
      <c r="G49" s="18" t="inlineStr">
        <is>
          <t>ปูอัด, เนื้อไม่ติดมัน, สลัด</t>
        </is>
      </c>
      <c r="H49" s="18" t="inlineStr">
        <is>
          <t>น้ำมะพร้าว, มะเขือเทศ, ปลาทู</t>
        </is>
      </c>
      <c r="I49" s="15" t="inlineStr">
        <is>
          <t>1</t>
        </is>
      </c>
      <c r="J49" s="18"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ข้อนี้ไม่ใช่คำตอบที่ถูกต้องสำหรับภาวะ Oral contraceptive เนื่องจากกลไกการออกฤทธิ์, efficacy หรือข้อบ่งใช้ไม่ตรงกับโจทย์ที่กำหนด
• ข้อ ค. (มะละกอกุก, หน่อไม้, ไข่): ข้อนี้ไม่ใช่คำตอบที่ถูกต้องสำหรับภาวะ Oral contraceptive เนื่องจากกลไกการออกฤทธิ์, efficacy หรือข้อบ่งใช้ไม่ตรงกับโจทย์ที่กำหนด
• ข้อ ง. (ปูอัด, เนื้อไม่ติดมัน, สลัด): ข้อนี้ไม่ใช่คำตอบที่ถูกต้องสำหรับภาวะ Oral contraceptive เนื่องจากกลไกการออกฤทธิ์, efficacy หรือข้อบ่งใช้ไม่ตรงกับโจทย์ที่กำหนด
• ข้อ จ. (น้ำมะพร้าว, มะเขือเทศ, ปลาทู):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18" t="inlineStr"/>
      <c r="L49" s="18" t="inlineStr">
        <is>
          <t>Oral contraceptive</t>
        </is>
      </c>
      <c r="M49" s="18" t="inlineStr">
        <is>
          <t>Clinic</t>
        </is>
      </c>
      <c r="N49" s="18" t="inlineStr">
        <is>
          <t>ข้อ 47 ชุด 1 (เฉลยข้อ ก)</t>
        </is>
      </c>
      <c r="O49" s="18" t="inlineStr">
        <is>
          <t>Mock</t>
        </is>
      </c>
      <c r="P49" s="18" t="inlineStr">
        <is>
          <t>ชุด 1</t>
        </is>
      </c>
    </row>
    <row r="50">
      <c r="A50" s="15" t="inlineStr">
        <is>
          <t>49</t>
        </is>
      </c>
      <c r="B50" s="18" t="inlineStr">
        <is>
          <t>หญิงอายุ 32 ปี น ้าหนัก 60 กก. เพิ่งคลอดบุตรได้ 4 สัปดาห์ ต้องการคุมกำเนิด ควรให้ยาคุมกำเนิดชนิดใด</t>
        </is>
      </c>
      <c r="C50" s="18" t="inlineStr"/>
      <c r="D50" s="18" t="inlineStr">
        <is>
          <t>Norethisterone 5 mg</t>
        </is>
      </c>
      <c r="E50" s="18" t="inlineStr">
        <is>
          <t>Levonorgestrel 1.5 mg</t>
        </is>
      </c>
      <c r="F50" s="18" t="inlineStr">
        <is>
          <t>Dienogest 2 mg</t>
        </is>
      </c>
      <c r="G50" s="18" t="inlineStr">
        <is>
          <t>Desogestrel 75 mcg</t>
        </is>
      </c>
      <c r="H50" s="18" t="inlineStr">
        <is>
          <t>Ethinylestradiol 30 mcg + Drospirenone 3 mg</t>
        </is>
      </c>
      <c r="I50" s="15" t="inlineStr">
        <is>
          <t>2</t>
        </is>
      </c>
      <c r="J50" s="18"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(Norethisterone 5 mg): ข้อนี้ไม่ใช่คำตอบที่ถูกต้องสำหรับภาวะ Oral contraceptive เนื่องจากกลไกการออกฤทธิ์, efficacy หรือข้อบ่งใช้ไม่ตรงกับโจทย์ที่กำหนด
• ข้อ ง. (Dienogest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18" t="inlineStr"/>
      <c r="L50" s="18" t="inlineStr">
        <is>
          <t>Oral contraceptive</t>
        </is>
      </c>
      <c r="M50" s="18" t="inlineStr">
        <is>
          <t>Contraception</t>
        </is>
      </c>
      <c r="N50" s="18" t="inlineStr">
        <is>
          <t>Mock PLE-CC 1 ข้อ 84</t>
        </is>
      </c>
      <c r="O50" s="18" t="inlineStr">
        <is>
          <t>Mock</t>
        </is>
      </c>
      <c r="P50" s="18" t="inlineStr">
        <is>
          <t>Mock RxCU83</t>
        </is>
      </c>
      <c r="Q50" s="18" t="inlineStr"/>
    </row>
    <row r="51">
      <c r="A51" s="15" t="inlineStr">
        <is>
          <t>50</t>
        </is>
      </c>
      <c r="B51" s="18" t="inlineStr">
        <is>
          <t>ข้อใดไม่ใช่อาการข้างเคียงรุนแรงของยาคุมกำเนิดชนิดฮอร์โมนรวม</t>
        </is>
      </c>
      <c r="C51" s="18" t="inlineStr"/>
      <c r="D51" s="18" t="inlineStr">
        <is>
          <t>ปวดหัวรุนแรง</t>
        </is>
      </c>
      <c r="E51" s="18" t="inlineStr">
        <is>
          <t>ปวดท้องรุนแรง</t>
        </is>
      </c>
      <c r="F51" s="18" t="inlineStr">
        <is>
          <t>การมองเห็นผิดปกติ</t>
        </is>
      </c>
      <c r="G51" s="18" t="inlineStr">
        <is>
          <t>คัดตึงเต้านม</t>
        </is>
      </c>
      <c r="H51" s="18" t="inlineStr">
        <is>
          <t>หายใจล าบาก</t>
        </is>
      </c>
      <c r="I51" s="15" t="inlineStr">
        <is>
          <t>2</t>
        </is>
      </c>
      <c r="J51" s="18"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(ปวดหัวรุนแรง): ข้อนี้ไม่ใช่คำตอบที่ถูกต้องสำหรับภาวะ Oral contraceptive เนื่องจากกลไกการออกฤทธิ์, efficacy หรือข้อบ่งใช้ไม่ตรงกับโจทย์ที่กำหนด
• ข้อ ง. (การมองเห็นผิดปกติ): ข้อนี้ไม่ใช่คำตอบที่ถูกต้องสำหรับภาวะ Oral contraceptive เนื่องจากกลไกการออกฤทธิ์, efficacy หรือข้อบ่งใช้ไม่ตรงกับโจทย์ที่กำหนด
• ข้อ จ. (คัดตึงเต้านม):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18" t="inlineStr"/>
      <c r="L51" s="18" t="inlineStr">
        <is>
          <t>Oral contraceptive</t>
        </is>
      </c>
      <c r="M51" s="18" t="inlineStr">
        <is>
          <t>Contraception</t>
        </is>
      </c>
      <c r="N51" s="18" t="inlineStr">
        <is>
          <t>Mock PLE-CC 1 ข้อ 85</t>
        </is>
      </c>
      <c r="O51" s="18" t="inlineStr">
        <is>
          <t>Mock</t>
        </is>
      </c>
      <c r="P51" s="18" t="inlineStr">
        <is>
          <t>Mock RxCU83</t>
        </is>
      </c>
      <c r="Q51" s="18" t="inlineStr"/>
    </row>
    <row r="52">
      <c r="A52" s="15" t="inlineStr">
        <is>
          <t>51</t>
        </is>
      </c>
      <c r="B52" s="18" t="inlineStr">
        <is>
          <t>ข้อใดเป็นข้อแนะนำการใช้ ยาคุมแบบแผ่นแปะที่ถูกต้อง</t>
        </is>
      </c>
      <c r="C52" s="18" t="inlineStr"/>
      <c r="D52" s="18" t="inlineStr">
        <is>
          <t>เปลี่ยนใหม่ทุก 3 วัน</t>
        </is>
      </c>
      <c r="E52" s="18" t="inlineStr">
        <is>
          <t>แปะซ้อน 2 แผ่น กันลืม</t>
        </is>
      </c>
      <c r="F52" s="18" t="inlineStr">
        <is>
          <t>สามารถแปะครึ่งแผ่นได้ หากน ้าหนักตัวน้อย</t>
        </is>
      </c>
      <c r="G52" s="18" t="inlineStr">
        <is>
          <t>Ethinylestradiol 30 mcg + Levonorgestrel 150 mcg</t>
        </is>
      </c>
      <c r="H52" s="18" t="inlineStr">
        <is>
          <t>แปะแผ่นสัปดาห์ละ 1 แผ่น นาน 3 สัปดาห์ แล้วเว้น 1 สัปดาห์</t>
        </is>
      </c>
      <c r="I52" s="15" t="inlineStr">
        <is>
          <t>4</t>
        </is>
      </c>
      <c r="J52" s="18"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(เปลี่ยนใหม่ทุก 3 วัน): ข้อนี้ไม่ใช่คำตอบที่ถูกต้องสำหรับภาวะ Oral contraceptive เนื่องจากกลไกการออกฤทธิ์, efficacy หรือข้อบ่งใช้ไม่ตรงกับโจทย์ที่กำหนด
• ข้อ ค. (แปะซ้อน 2 แผ่น กันลืม): ข้อนี้ไม่ใช่คำตอบที่ถูกต้องสำหรับภาวะ Oral contraceptive เนื่องจากกลไกการออกฤทธิ์, efficacy หรือข้อบ่งใช้ไม่ตรงกับโจทย์ที่กำหนด
• ข้อ ง. (สามารถแปะครึ่งแผ่นได้ หากน ้าหนักตัวน้อย):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18" t="inlineStr"/>
      <c r="L52" s="18" t="inlineStr">
        <is>
          <t>Oral contraceptive</t>
        </is>
      </c>
      <c r="M52" s="18" t="inlineStr">
        <is>
          <t>Contraception</t>
        </is>
      </c>
      <c r="N52" s="18" t="inlineStr">
        <is>
          <t>Mock PLE-CC 1 ข้อ 86</t>
        </is>
      </c>
      <c r="O52" s="18" t="inlineStr">
        <is>
          <t>Mock</t>
        </is>
      </c>
      <c r="P52" s="18" t="inlineStr">
        <is>
          <t>Mock RxCU83</t>
        </is>
      </c>
      <c r="Q52" s="18" t="inlineStr"/>
    </row>
    <row r="53">
      <c r="A53" s="15" t="inlineStr">
        <is>
          <t>52</t>
        </is>
      </c>
      <c r="B53" s="18" t="inlineStr">
        <is>
          <t>ข้อใดอธิบายกลไกหลักของยาคุมชนิดฮอร์โมนรวม</t>
        </is>
      </c>
      <c r="C53" s="18" t="inlineStr"/>
      <c r="D53" s="18" t="inlineStr">
        <is>
          <t>Prevention of endometrial proliferation and maturation</t>
        </is>
      </c>
      <c r="E53" s="18" t="inlineStr">
        <is>
          <t>Feedback inhibitions to suppress LH surge</t>
        </is>
      </c>
      <c r="F53" s="18" t="inlineStr">
        <is>
          <t>Sensitize hypothalamus to the positive feedback of estrogen</t>
        </is>
      </c>
      <c r="G53" s="18" t="inlineStr">
        <is>
          <t>Delay ovulation</t>
        </is>
      </c>
      <c r="H53" s="18" t="inlineStr">
        <is>
          <t>Reduce chance of conception</t>
        </is>
      </c>
      <c r="I53" s="15" t="inlineStr">
        <is>
          <t>1</t>
        </is>
      </c>
      <c r="J53" s="18"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ข้อนี้ไม่ใช่คำตอบที่ถูกต้องสำหรับภาวะ Oral contraceptive เนื่องจากกลไกการออกฤทธิ์, efficacy หรือข้อบ่งใช้ไม่ตรงกับโจทย์ที่กำหนด
• ข้อ ค. (Feedback inhibitions to suppress LH surge): ข้อนี้ไม่ใช่คำตอบที่ถูกต้องสำหรับภาวะ Oral contraceptive เนื่องจากกลไกการออกฤทธิ์, efficacy หรือข้อบ่งใช้ไม่ตรงกับโจทย์ที่กำหนด
• ข้อ ง. (Sensitize hypothalamus to the positive feedback of estrogen): ข้อนี้ไม่ใช่คำตอบที่ถูกต้องสำหรับภาวะ Oral contraceptive เนื่องจากกลไกการออกฤทธิ์, efficacy หรือข้อบ่งใช้ไม่ตรงกับโจทย์ที่กำหนด
• ข้อ จ. (Delay ovulation):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18" t="inlineStr"/>
      <c r="L53" s="18" t="inlineStr">
        <is>
          <t>Oral contraceptive</t>
        </is>
      </c>
      <c r="M53" s="18" t="inlineStr">
        <is>
          <t>Contraception</t>
        </is>
      </c>
      <c r="N53" s="18" t="inlineStr">
        <is>
          <t>Mock PLE-CC 1 ข้อ 87</t>
        </is>
      </c>
      <c r="O53" s="18" t="inlineStr">
        <is>
          <t>Mock</t>
        </is>
      </c>
      <c r="P53" s="18" t="inlineStr">
        <is>
          <t>Mock RxCU83</t>
        </is>
      </c>
      <c r="Q53" s="18" t="inlineStr"/>
    </row>
    <row r="54">
      <c r="A54" s="15" t="inlineStr">
        <is>
          <t>53</t>
        </is>
      </c>
      <c r="B54" s="18" t="inlineStr">
        <is>
          <t>ข้อใดไม่จัดเป็นเกณฑ์ COA แผ่นแปะยาคุม</t>
        </is>
      </c>
      <c r="C54" s="18" t="inlineStr"/>
      <c r="D54" s="18" t="inlineStr">
        <is>
          <t>Identification</t>
        </is>
      </c>
      <c r="E54" s="18" t="inlineStr">
        <is>
          <t>Assay</t>
        </is>
      </c>
      <c r="F54" s="18" t="inlineStr">
        <is>
          <t>In vitro drug release</t>
        </is>
      </c>
      <c r="G54" s="18" t="inlineStr">
        <is>
          <t>Adhesion</t>
        </is>
      </c>
      <c r="H54" s="18" t="inlineStr">
        <is>
          <t>Uniformity of dosage unit</t>
        </is>
      </c>
      <c r="I54" s="15" t="inlineStr">
        <is>
          <t>1</t>
        </is>
      </c>
      <c r="J54" s="18"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ค. (Assay): ข้อนี้ไม่ใช่คำตอบที่ถูกต้องสำหรับภาวะ Oral contraceptive เนื่องจากกลไกการออกฤทธิ์, efficacy หรือข้อบ่งใช้ไม่ตรงกับโจทย์ที่กำหนด
• ข้อ ง. (In vitro drug release): ข้อนี้ไม่ใช่คำตอบที่ถูกต้องสำหรับภาวะ Oral contraceptive เนื่องจากกลไกการออกฤทธิ์, efficacy หรือข้อบ่งใช้ไม่ตรงกับโจทย์ที่กำหนด
• ข้อ จ. (Adhesion):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18" t="inlineStr"/>
      <c r="L54" s="18" t="inlineStr">
        <is>
          <t>Oral contraceptive</t>
        </is>
      </c>
      <c r="M54" s="18" t="inlineStr">
        <is>
          <t>Contraception</t>
        </is>
      </c>
      <c r="N54" s="18" t="inlineStr">
        <is>
          <t>Mock PLE-CC 1 ข้อ 93</t>
        </is>
      </c>
      <c r="O54" s="18" t="inlineStr">
        <is>
          <t>Mock</t>
        </is>
      </c>
      <c r="P54" s="18" t="inlineStr">
        <is>
          <t>Mock RxCU83</t>
        </is>
      </c>
      <c r="Q54" s="18" t="inlineStr"/>
    </row>
    <row r="55">
      <c r="A55" s="15" t="inlineStr">
        <is>
          <t>54</t>
        </is>
      </c>
      <c r="B55" s="18"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18" t="inlineStr"/>
      <c r="D55" s="18" t="inlineStr">
        <is>
          <t>Perceive susceptibility</t>
        </is>
      </c>
      <c r="E55" s="18" t="inlineStr">
        <is>
          <t>Perceive severity</t>
        </is>
      </c>
      <c r="F55" s="18" t="inlineStr">
        <is>
          <t>Perceive benefits</t>
        </is>
      </c>
      <c r="G55" s="18" t="inlineStr">
        <is>
          <t>Perceive barriers</t>
        </is>
      </c>
      <c r="H55" s="18" t="inlineStr">
        <is>
          <t>Self efficacy</t>
        </is>
      </c>
      <c r="I55" s="15" t="inlineStr">
        <is>
          <t>1</t>
        </is>
      </c>
      <c r="J55" s="18"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ข้อนี้ไม่ใช่คำตอบที่ถูกต้องสำหรับภาวะ Oral contraceptive เนื่องจากกลไกการออกฤทธิ์, efficacy หรือข้อบ่งใช้ไม่ตรงกับโจทย์ที่กำหนด
• ข้อ ค. (Perceive severity): ข้อนี้ไม่ใช่คำตอบที่ถูกต้องสำหรับภาวะ Oral contraceptive เนื่องจากกลไกการออกฤทธิ์, efficacy หรือข้อบ่งใช้ไม่ตรงกับโจทย์ที่กำหนด
• ข้อ ง. (Perceive benefits): ข้อนี้ไม่ใช่คำตอบที่ถูกต้องสำหรับภาวะ Oral contraceptive เนื่องจากกลไกการออกฤทธิ์, efficacy หรือข้อบ่งใช้ไม่ตรงกับโจทย์ที่กำหนด
• ข้อ จ. (Perceive barriers):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18" t="inlineStr"/>
      <c r="L55" s="18" t="inlineStr">
        <is>
          <t>Oral contraceptive</t>
        </is>
      </c>
      <c r="M55" s="18" t="inlineStr">
        <is>
          <t>Contraception</t>
        </is>
      </c>
      <c r="N55" s="18" t="inlineStr">
        <is>
          <t>Mock PLE-CC 1 ข้อ 94</t>
        </is>
      </c>
      <c r="O55" s="18" t="inlineStr">
        <is>
          <t>Mock</t>
        </is>
      </c>
      <c r="P55" s="18" t="inlineStr">
        <is>
          <t>Mock RxCU83</t>
        </is>
      </c>
      <c r="Q55" s="18" t="inlineStr"/>
    </row>
    <row r="56">
      <c r="A56" s="15" t="inlineStr">
        <is>
          <t>55</t>
        </is>
      </c>
      <c r="B56" s="18" t="inlineStr">
        <is>
          <t>ยาต้านชักตัวไหนส่งผลต่อยาคุมน้อยสุด. ตัวเลือก</t>
        </is>
      </c>
      <c r="C56" s="18" t="inlineStr"/>
      <c r="D56" s="18" t="inlineStr">
        <is>
          <t>Contraception</t>
        </is>
      </c>
      <c r="E56" s="18" t="inlineStr">
        <is>
          <t>Tolterodine 2 mg BID</t>
        </is>
      </c>
      <c r="F56" s="18" t="inlineStr">
        <is>
          <t>Dydrogesterone 10 mg BID</t>
        </is>
      </c>
      <c r="G56" s="18" t="inlineStr">
        <is>
          <t>Ethinylestradiol 30 mcg + Levonorgestrel 150 mcg</t>
        </is>
      </c>
      <c r="H56" s="18" t="inlineStr">
        <is>
          <t>Ethinylestradiol 30 mcg + Drospirenone 3 mg</t>
        </is>
      </c>
      <c r="I56" s="15" t="inlineStr">
        <is>
          <t>1</t>
        </is>
      </c>
      <c r="J56" s="18"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18" t="inlineStr"/>
      <c r="L56" s="18" t="inlineStr">
        <is>
          <t>Oral contraceptive</t>
        </is>
      </c>
      <c r="M56" s="18" t="inlineStr">
        <is>
          <t>Contraception</t>
        </is>
      </c>
      <c r="N56" s="18" t="inlineStr">
        <is>
          <t>PLE-CC1 ปี 2566 Day 1 ข้อ 14</t>
        </is>
      </c>
      <c r="O56" s="18" t="inlineStr">
        <is>
          <t>ข้อสอบจริง</t>
        </is>
      </c>
      <c r="P56" s="18" t="inlineStr">
        <is>
          <t>ปี 2566</t>
        </is>
      </c>
    </row>
    <row r="57">
      <c r="A57" s="15" t="inlineStr">
        <is>
          <t>56</t>
        </is>
      </c>
      <c r="B57" s="18" t="inlineStr">
        <is>
          <t>ยาคุมเพิ่งคลอดลูกได้2 week กำลังให้นมบุตร ตัวเลือก</t>
        </is>
      </c>
      <c r="C57" s="18" t="inlineStr"/>
      <c r="D57" s="18" t="inlineStr">
        <is>
          <t>Contraception</t>
        </is>
      </c>
      <c r="E57" s="18" t="inlineStr">
        <is>
          <t>Ethinylestradiol 30 mcg + Drospirenone 3 mg</t>
        </is>
      </c>
      <c r="F57" s="18" t="inlineStr">
        <is>
          <t>Ethinylestradiol 35 mcg + Cyproterone acetate 2 mg</t>
        </is>
      </c>
      <c r="G57" s="18" t="inlineStr">
        <is>
          <t>Desogestrel 75 mcg OD (Progestin-only)</t>
        </is>
      </c>
      <c r="H57" s="18" t="inlineStr">
        <is>
          <t>Levonorgestrel 1.5 mg stat (Emergency)</t>
        </is>
      </c>
      <c r="I57" s="15" t="inlineStr">
        <is>
          <t>1</t>
        </is>
      </c>
      <c r="J57" s="18"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18" t="inlineStr"/>
      <c r="L57" s="18" t="inlineStr">
        <is>
          <t>Oral contraceptive</t>
        </is>
      </c>
      <c r="M57" s="18" t="inlineStr">
        <is>
          <t>Contraception</t>
        </is>
      </c>
      <c r="N57" s="18" t="inlineStr">
        <is>
          <t>PLE-CC1 ปี 2566 Day 1 ข้อ 26</t>
        </is>
      </c>
      <c r="O57" s="18" t="inlineStr">
        <is>
          <t>ข้อสอบจริง</t>
        </is>
      </c>
      <c r="P57" s="18" t="inlineStr">
        <is>
          <t>ปี 2566</t>
        </is>
      </c>
    </row>
    <row r="58">
      <c r="A58" s="15" t="inlineStr">
        <is>
          <t>57</t>
        </is>
      </c>
      <c r="B58" s="18" t="inlineStr">
        <is>
          <t>EE + Drosperinone</t>
        </is>
      </c>
      <c r="C58" s="18" t="inlineStr"/>
      <c r="D58" s="18" t="inlineStr">
        <is>
          <t>Contraception</t>
        </is>
      </c>
      <c r="E58" s="18" t="inlineStr">
        <is>
          <t>Levonorgestrel 1.5 mg stat (Emergency)</t>
        </is>
      </c>
      <c r="F58" s="18" t="inlineStr">
        <is>
          <t>Mefenamic acid 500 mg TID</t>
        </is>
      </c>
      <c r="G58" s="18" t="inlineStr">
        <is>
          <t>Tamsulosin 0.4 mg HS</t>
        </is>
      </c>
      <c r="H58" s="18" t="inlineStr">
        <is>
          <t>Finasteride 5 mg OD</t>
        </is>
      </c>
      <c r="I58" s="15" t="inlineStr">
        <is>
          <t>1</t>
        </is>
      </c>
      <c r="J58" s="18"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18" t="inlineStr"/>
      <c r="L58" s="18" t="inlineStr">
        <is>
          <t>Oral contraceptive</t>
        </is>
      </c>
      <c r="M58" s="18" t="inlineStr">
        <is>
          <t>Contraception</t>
        </is>
      </c>
      <c r="N58" s="18" t="inlineStr">
        <is>
          <t>PLE-CC1 ปี 2566 Day 1 ข้อ 2</t>
        </is>
      </c>
      <c r="O58" s="18" t="inlineStr">
        <is>
          <t>ข้อสอบจริง</t>
        </is>
      </c>
      <c r="P58" s="18" t="inlineStr">
        <is>
          <t>ปี 2566</t>
        </is>
      </c>
    </row>
    <row r="59">
      <c r="A59" s="15" t="inlineStr">
        <is>
          <t>58</t>
        </is>
      </c>
      <c r="B59" s="18" t="inlineStr">
        <is>
          <t>ผลของยาคุมชนิดฮอร์โมนรวมในระยะยาว ตัวเลือก</t>
        </is>
      </c>
      <c r="C59" s="18" t="inlineStr"/>
      <c r="D59" s="18" t="inlineStr">
        <is>
          <t>Contraception</t>
        </is>
      </c>
      <c r="E59" s="18" t="inlineStr">
        <is>
          <t>Finasteride 5 mg OD</t>
        </is>
      </c>
      <c r="F59" s="18" t="inlineStr">
        <is>
          <t>Oxybutynin 5 mg BID</t>
        </is>
      </c>
      <c r="G59" s="18" t="inlineStr">
        <is>
          <t>Tolterodine 2 mg BID</t>
        </is>
      </c>
      <c r="H59" s="18" t="inlineStr">
        <is>
          <t>Dydrogesterone 10 mg BID</t>
        </is>
      </c>
      <c r="I59" s="15" t="inlineStr">
        <is>
          <t>1</t>
        </is>
      </c>
      <c r="J59" s="18"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18" t="inlineStr"/>
      <c r="L59" s="18" t="inlineStr">
        <is>
          <t>Oral contraceptive</t>
        </is>
      </c>
      <c r="M59" s="18" t="inlineStr">
        <is>
          <t>Contraception</t>
        </is>
      </c>
      <c r="N59" s="18" t="inlineStr">
        <is>
          <t>PLE-CC1 ปี 2566 Day 1 ข้อ 27</t>
        </is>
      </c>
      <c r="O59" s="18" t="inlineStr">
        <is>
          <t>ข้อสอบจริง</t>
        </is>
      </c>
      <c r="P59" s="18" t="inlineStr">
        <is>
          <t>ปี 2566</t>
        </is>
      </c>
    </row>
    <row r="60">
      <c r="A60" s="15" t="inlineStr">
        <is>
          <t>59</t>
        </is>
      </c>
      <c r="B60" s="18" t="inlineStr">
        <is>
          <t>Combined oral contraceptive pills 1x1 ทุกวัน</t>
        </is>
      </c>
      <c r="C60" s="18" t="inlineStr"/>
      <c r="D60" s="18" t="inlineStr">
        <is>
          <t>Contraception</t>
        </is>
      </c>
      <c r="E60" s="18" t="inlineStr">
        <is>
          <t>Dydrogesterone 10 mg BID</t>
        </is>
      </c>
      <c r="F60" s="18" t="inlineStr">
        <is>
          <t>Ethinylestradiol 30 mcg + Levonorgestrel 150 mcg</t>
        </is>
      </c>
      <c r="G60" s="18" t="inlineStr">
        <is>
          <t>Ethinylestradiol 30 mcg + Drospirenone 3 mg</t>
        </is>
      </c>
      <c r="H60" s="18" t="inlineStr">
        <is>
          <t>Ethinylestradiol 35 mcg + Cyproterone acetate 2 mg</t>
        </is>
      </c>
      <c r="I60" s="15" t="inlineStr">
        <is>
          <t>1</t>
        </is>
      </c>
      <c r="J60" s="18"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18" t="inlineStr"/>
      <c r="L60" s="18" t="inlineStr">
        <is>
          <t>Oral contraceptive</t>
        </is>
      </c>
      <c r="M60" s="18" t="inlineStr">
        <is>
          <t>Contraception</t>
        </is>
      </c>
      <c r="N60" s="18" t="inlineStr">
        <is>
          <t>PLE-CC1 ปี 2566 Day 2 ข้อ 3</t>
        </is>
      </c>
      <c r="O60" s="18" t="inlineStr">
        <is>
          <t>ข้อสอบจริง</t>
        </is>
      </c>
      <c r="P60" s="18" t="inlineStr">
        <is>
          <t>ปี 2566</t>
        </is>
      </c>
    </row>
    <row r="61">
      <c r="A61" s="15" t="inlineStr">
        <is>
          <t>60</t>
        </is>
      </c>
      <c r="B61" s="18" t="inlineStr">
        <is>
          <t>ผูป%วยรายนี้ควรไดยาคุมในขอใด</t>
        </is>
      </c>
      <c r="C61" s="18" t="inlineStr"/>
      <c r="D61" s="18" t="inlineStr">
        <is>
          <t>EE … mcg + Levonorgestrel 0.15 mg</t>
        </is>
      </c>
      <c r="E61" s="18" t="inlineStr">
        <is>
          <t>EE … mcg + Drosperinone 3 mg</t>
        </is>
      </c>
      <c r="F61" s="18" t="inlineStr">
        <is>
          <t>จำ choice ไม;ได</t>
        </is>
      </c>
      <c r="G61" s="18" t="inlineStr">
        <is>
          <t>จำ choice ไม;ได</t>
        </is>
      </c>
      <c r="H61" s="18" t="inlineStr">
        <is>
          <t>* จำ choice ไม;ได# *</t>
        </is>
      </c>
      <c r="I61" s="15" t="inlineStr">
        <is>
          <t>1</t>
        </is>
      </c>
      <c r="J61" s="18"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ค. (EE … mcg + Drosperinone 3 mg): ข้อนี้ไม่ใช่คำตอบที่ถูกต้องสำหรับภาวะ Oral contraceptive เนื่องจากกลไกการออกฤทธิ์, efficacy หรือข้อบ่งใช้ไม่ตรงกับโจทย์ที่กำหนด
• ข้อ ง. (จำ choice ไม;ได): ข้อนี้ไม่ใช่คำตอบที่ถูกต้องสำหรับภาวะ Oral contraceptive เนื่องจากกลไกการออกฤทธิ์, efficacy หรือข้อบ่งใช้ไม่ตรงกับโจทย์ที่กำหนด
• ข้อ จ. (จำ choice ไม;ได):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18" t="inlineStr"/>
      <c r="L61" s="18" t="inlineStr">
        <is>
          <t>Oral contraceptive</t>
        </is>
      </c>
      <c r="M61" s="18" t="inlineStr">
        <is>
          <t>Contraception</t>
        </is>
      </c>
      <c r="N61" s="18" t="inlineStr">
        <is>
          <t>PLE_CC1_2565_Day1_Key ข้อ 65</t>
        </is>
      </c>
      <c r="O61" s="18" t="inlineStr">
        <is>
          <t>ข้อสอบจริง</t>
        </is>
      </c>
      <c r="P61" s="18" t="inlineStr">
        <is>
          <t>ปี 2565</t>
        </is>
      </c>
      <c r="Q61" s="18" t="inlineStr"/>
    </row>
    <row r="62">
      <c r="A62" s="15" t="inlineStr">
        <is>
          <t>61</t>
        </is>
      </c>
      <c r="B62" s="18" t="inlineStr">
        <is>
          <t>คำแนะนำในการใชยาคุมขอใดไม;ถูกตอง</t>
        </is>
      </c>
      <c r="C62" s="18" t="inlineStr"/>
      <c r="D62" s="18" t="inlineStr">
        <is>
          <t>ทานเม็ดฮอรçโมนเม็ดแรกในวันพรุ;งนี้</t>
        </is>
      </c>
      <c r="E62" s="18" t="inlineStr">
        <is>
          <t>ทานวันละ 1 เม็ดต;อเนื่องทุกวัน เวลาใดก็ไดแต;ใหเปMนเวลาเดียวกันทุกวัน</t>
        </is>
      </c>
      <c r="F62" s="18" t="inlineStr">
        <is>
          <t>หากมีเลือดออกกะปริบกะปรอยจากช;องคลอดใหรีบหยุดทานแลวมาปรึกษาเภสัชกร</t>
        </is>
      </c>
      <c r="G62" s="18" t="inlineStr">
        <is>
          <t>อาจมีอาการคลื่นไสอาเจียนช;วง 2-3 แผงแรก ใหรับประทานเปMนหลังอาหารเย็นหรือก;อนนอนจะช;วย ลดอาการ</t>
        </is>
      </c>
      <c r="H62" s="18"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15" t="inlineStr">
        <is>
          <t>1</t>
        </is>
      </c>
      <c r="J62" s="18"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ข้อนี้ไม่ใช่คำตอบที่ถูกต้องสำหรับภาวะ Oral contraceptive เนื่องจากกลไกการออกฤทธิ์, efficacy หรือข้อบ่งใช้ไม่ตรงกับโจทย์ที่กำหนด
• ข้อ ค. (ทานวันละ 1 เม็ดต;อเนื่องทุกวัน เวลาใดก็ไดแต;ใหเปMนเวลาเดียวกันทุกวัน):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(หากมีเลือดออกกะปริบกะปรอยจากช;องคลอดใหรีบหยุดทานแลวมาปรึกษาเภสัชกร): ข้อนี้ไม่ใช่คำตอบที่ถูกต้องสำหรับภาวะ Oral contraceptive เนื่องจากกลไกการออกฤทธิ์, efficacy หรือข้อบ่งใช้ไม่ตรงกับโจทย์ที่กำหนด
• ข้อ จ. (อาจมีอาการคลื่นไสอาเจียนช;วง 2-3 แผงแรก ใหรับประทานเปMนหลังอาหารเย็นหรือก;อนนอนจะช;วย ลดอาการ):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18" t="inlineStr"/>
      <c r="L62" s="18" t="inlineStr">
        <is>
          <t>Oral contraceptive</t>
        </is>
      </c>
      <c r="M62" s="18" t="inlineStr">
        <is>
          <t>Contraception</t>
        </is>
      </c>
      <c r="N62" s="18" t="inlineStr">
        <is>
          <t>PLE_CC1_2565_Day1_Key ข้อ 66</t>
        </is>
      </c>
      <c r="O62" s="18" t="inlineStr">
        <is>
          <t>ข้อสอบจริง</t>
        </is>
      </c>
      <c r="P62" s="18" t="inlineStr">
        <is>
          <t>ปี 2565</t>
        </is>
      </c>
      <c r="Q62" s="18" t="inlineStr"/>
    </row>
    <row r="63">
      <c r="A63" s="15" t="inlineStr">
        <is>
          <t>62</t>
        </is>
      </c>
      <c r="B63" s="18" t="inlineStr">
        <is>
          <t>Oral contraceptive</t>
        </is>
      </c>
      <c r="C63" s="18" t="inlineStr"/>
      <c r="D63" s="18" t="inlineStr">
        <is>
          <t>Contraception</t>
        </is>
      </c>
      <c r="E63" s="18" t="inlineStr">
        <is>
          <t>Oxybutynin 5 mg BID</t>
        </is>
      </c>
      <c r="F63" s="18" t="inlineStr">
        <is>
          <t>Tolterodine 2 mg BID</t>
        </is>
      </c>
      <c r="G63" s="18" t="inlineStr">
        <is>
          <t>Dydrogesterone 10 mg BID</t>
        </is>
      </c>
      <c r="H63" s="18" t="inlineStr">
        <is>
          <t>Ethinylestradiol 30 mcg + Levonorgestrel 150 mcg</t>
        </is>
      </c>
      <c r="I63" s="15" t="inlineStr">
        <is>
          <t>1</t>
        </is>
      </c>
      <c r="J63" s="18"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18" t="inlineStr"/>
      <c r="L63" s="18" t="inlineStr">
        <is>
          <t>Oral contraceptive</t>
        </is>
      </c>
      <c r="M63" s="18" t="inlineStr">
        <is>
          <t>Contraception</t>
        </is>
      </c>
      <c r="N63" s="18" t="inlineStr">
        <is>
          <t>PLE_CC1_2565_Day1_Key ข้อ 16</t>
        </is>
      </c>
      <c r="O63" s="18" t="inlineStr">
        <is>
          <t>ข้อสอบจริง</t>
        </is>
      </c>
      <c r="P63" s="18" t="inlineStr">
        <is>
          <t>ปี 2565</t>
        </is>
      </c>
    </row>
    <row r="64">
      <c r="A64" s="15" t="inlineStr">
        <is>
          <t>63</t>
        </is>
      </c>
      <c r="B64" s="18"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18" t="inlineStr"/>
      <c r="D64" s="18" t="inlineStr">
        <is>
          <t>Contraception</t>
        </is>
      </c>
      <c r="E64" s="18" t="inlineStr">
        <is>
          <t>Ethinylestradiol 30 mcg + Levonorgestrel 150 mcg</t>
        </is>
      </c>
      <c r="F64" s="18" t="inlineStr">
        <is>
          <t>Ethinylestradiol 30 mcg + Drospirenone 3 mg</t>
        </is>
      </c>
      <c r="G64" s="18" t="inlineStr">
        <is>
          <t>Ethinylestradiol 35 mcg + Cyproterone acetate 2 mg</t>
        </is>
      </c>
      <c r="H64" s="18" t="inlineStr">
        <is>
          <t>Desogestrel 75 mcg OD (Progestin-only)</t>
        </is>
      </c>
      <c r="I64" s="15" t="inlineStr">
        <is>
          <t>1</t>
        </is>
      </c>
      <c r="J64" s="18"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8" t="inlineStr"/>
      <c r="L64" s="18" t="inlineStr">
        <is>
          <t>Oral contraceptive</t>
        </is>
      </c>
      <c r="M64" s="18" t="inlineStr">
        <is>
          <t>Contraception</t>
        </is>
      </c>
      <c r="N64" s="18" t="inlineStr">
        <is>
          <t>PLE_CC1_2564_All_Key ข้อ 26</t>
        </is>
      </c>
      <c r="O64" s="18" t="inlineStr">
        <is>
          <t>ข้อสอบจริง</t>
        </is>
      </c>
      <c r="P64" s="18" t="inlineStr">
        <is>
          <t>ปี 2564</t>
        </is>
      </c>
    </row>
    <row r="65">
      <c r="A65" s="15" t="inlineStr">
        <is>
          <t>64</t>
        </is>
      </c>
      <c r="B65" s="18" t="inlineStr">
        <is>
          <t>ใช้อะไรในการสกัด tree tea oil จากใบและกิ่งสด</t>
        </is>
      </c>
      <c r="C65" s="18" t="inlineStr"/>
      <c r="D65" s="18" t="inlineStr">
        <is>
          <t>Soxhlet extraction</t>
        </is>
      </c>
      <c r="E65" s="18" t="inlineStr">
        <is>
          <t>สกัดด้วยน้ำ</t>
        </is>
      </c>
      <c r="F65" s="18" t="inlineStr">
        <is>
          <t>กลั่นด้วยไอน้ำ</t>
        </is>
      </c>
      <c r="G65" s="18" t="inlineStr">
        <is>
          <t>Enfleurage</t>
        </is>
      </c>
      <c r="H65" s="18"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15" t="inlineStr">
        <is>
          <t>2</t>
        </is>
      </c>
      <c r="J65" s="18"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(Soxhlet extraction): ข้อนี้ไม่ใช่คำตอบที่ถูกต้องสำหรับภาวะ Oral contraceptive เนื่องจากกลไกการออกฤทธิ์, efficacy หรือข้อบ่งใช้ไม่ตรงกับโจทย์ที่กำหนด
• ข้อ ง. (กลั่นด้วยไอน้ำ): ข้อนี้ไม่ใช่คำตอบที่ถูกต้องสำหรับภาวะ Oral contraceptive เนื่องจากกลไกการออกฤทธิ์, efficacy หรือข้อบ่งใช้ไม่ตรงกับโจทย์ที่กำหนด
• ข้อ จ. (Enfleurage):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18" t="inlineStr"/>
      <c r="L65" s="18" t="inlineStr">
        <is>
          <t>Oral contraceptive</t>
        </is>
      </c>
      <c r="M65" s="18" t="inlineStr">
        <is>
          <t>Contraception</t>
        </is>
      </c>
      <c r="N65" s="18" t="inlineStr">
        <is>
          <t>PLE_CC1_2564_All_Key ข้อ 85</t>
        </is>
      </c>
      <c r="O65" s="18" t="inlineStr">
        <is>
          <t>ข้อสอบจริง</t>
        </is>
      </c>
      <c r="P65" s="18" t="inlineStr">
        <is>
          <t>ปี 2564</t>
        </is>
      </c>
      <c r="Q65" s="18" t="inlineStr"/>
    </row>
    <row r="66">
      <c r="A66" s="15" t="inlineStr">
        <is>
          <t>65</t>
        </is>
      </c>
      <c r="B66" s="18"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18" t="inlineStr"/>
      <c r="D66" s="18" t="inlineStr">
        <is>
          <t>Contraception</t>
        </is>
      </c>
      <c r="E66" s="18" t="inlineStr">
        <is>
          <t>43 Pseudoplastic C 0.47</t>
        </is>
      </c>
      <c r="F66" s="18" t="inlineStr">
        <is>
          <t>ตำรับ B มีแนวโน้มคษตัวดีกว่าตำรับ C</t>
        </is>
      </c>
      <c r="G66" s="18"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18" t="inlineStr">
        <is>
          <t>Tolterodine 2 mg BID</t>
        </is>
      </c>
      <c r="I66" s="15" t="inlineStr">
        <is>
          <t>1</t>
        </is>
      </c>
      <c r="J66" s="18"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ข้อนี้ไม่ใช่คำตอบที่ถูกต้องสำหรับภาวะ Oral contraceptive เนื่องจากกลไกการออกฤทธิ์, efficacy หรือข้อบ่งใช้ไม่ตรงกับโจทย์ที่กำหนด
• ข้อ ค. (ตำรับ B มีแนวโน้มคษตัวดีกว่าตำรับ C): ข้อนี้ไม่ใช่คำตอบที่ถูกต้องสำหรับภาวะ Oral contraceptive เนื่องจากกลไกการออกฤทธิ์, efficacy หรือข้อบ่งใช้ไม่ตรงกับโจทย์ที่กำหนด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18" t="inlineStr"/>
      <c r="L66" s="18" t="inlineStr">
        <is>
          <t>Oral contraceptive</t>
        </is>
      </c>
      <c r="M66" s="18" t="inlineStr">
        <is>
          <t>Contraception</t>
        </is>
      </c>
      <c r="N66" s="18" t="inlineStr">
        <is>
          <t>PLE_CC1_2563_Q ข้อ 27</t>
        </is>
      </c>
      <c r="O66" s="18" t="inlineStr">
        <is>
          <t>ข้อสอบจริง</t>
        </is>
      </c>
      <c r="P66" s="18" t="inlineStr">
        <is>
          <t>ปี 2563</t>
        </is>
      </c>
    </row>
    <row r="67">
      <c r="A67" s="15" t="inlineStr">
        <is>
          <t>65</t>
        </is>
      </c>
      <c r="B67" s="18" t="inlineStr">
        <is>
          <t>คำแนะนำใดที่เหมาะสม หากผู้ป่วยวางแผนจะตั้งครรภ์ &amp; aeveIndiana inactancia X Type B ADR Malenuresen</t>
        </is>
      </c>
      <c r="C67" s="18" t="inlineStr"/>
      <c r="D67" s="18" t="inlineStr">
        <is>
          <t>ให้ vitamin K จนกว่าจะคลอด</t>
        </is>
      </c>
      <c r="E67" s="18" t="inlineStr">
        <is>
          <t>ให้ folic acid เสริมตั้งแต่วันนี้เป็นต้นไป</t>
        </is>
      </c>
      <c r="F67" s="18" t="inlineStr">
        <is>
          <t>รักษาอาการชักจนหายก่อนวางแผนตั้งครรภ์</t>
        </is>
      </c>
      <c r="G67" s="18" t="inlineStr">
        <is>
          <t>หยุดยารักษาอาการชักก่อนการตั้งครรภ์</t>
        </is>
      </c>
      <c r="H67" s="18" t="inlineStr">
        <is>
          <t>เปลี่ยนยารักษาอาการชักเป็น valproic acid สำหรับหญิงตั้งครรภ์</t>
        </is>
      </c>
      <c r="I67" s="15" t="inlineStr">
        <is>
          <t>1</t>
        </is>
      </c>
      <c r="J67" s="18"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ข้อนี้ไม่ใช่คำตอบที่ถูกต้องสำหรับภาวะ Oral contraceptive เนื่องจากกลไกการออกฤทธิ์, efficacy หรือข้อบ่งใช้ไม่ตรงกับโจทย์ที่กำหนด
• ข้อ ค. (รักษาอาการชักจนหายก่อนวางแผนตั้งครรภ์):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(หยุดยารักษาอาการชักก่อนการตั้งครรภ์): ข้อนี้ไม่ใช่คำตอบที่ถูกต้องสำหรับภาวะ Oral contraceptive เนื่องจากกลไกการออกฤทธิ์, efficacy หรือข้อบ่งใช้ไม่ตรงกับโจทย์ที่กำหนด
• ข้อ จ. (เปลี่ยนยารักษาอาการชักเป็น valproic acid สำหรับหญิงตั้งครรภ์):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18" t="inlineStr"/>
      <c r="L67" s="18" t="inlineStr">
        <is>
          <t>Oral contraceptive</t>
        </is>
      </c>
      <c r="M67" s="18" t="inlineStr">
        <is>
          <t>Clinic</t>
        </is>
      </c>
      <c r="N67" s="18" t="inlineStr">
        <is>
          <t>ข้อ 99 (PLE_CC1_2562_Key.md)</t>
        </is>
      </c>
      <c r="O67" s="18" t="inlineStr">
        <is>
          <t>ข้อสอบจริง</t>
        </is>
      </c>
      <c r="P67" s="18" t="inlineStr">
        <is>
          <t>ปี 2562</t>
        </is>
      </c>
    </row>
    <row r="68">
      <c r="A68" s="15" t="inlineStr">
        <is>
          <t>66</t>
        </is>
      </c>
      <c r="B68" s="18" t="inlineStr">
        <is>
          <t>หากหญิงคนนี้กินยาฮอร์โมนรวมไปได้หลายวันแล้ว มีเลือดออกกระปิดกระปอยควรแนะนำอย่างไร</t>
        </is>
      </c>
      <c r="C68" s="18" t="inlineStr"/>
      <c r="D68" s="18" t="inlineStr">
        <is>
          <t>กินไปเหมือนเดิมแล้วอาการจะหายไปหลังใช้ยาต่อเนื่อง 2-3 เดือน</t>
        </is>
      </c>
      <c r="E68" s="18" t="inlineStr">
        <is>
          <t>เพิ่มปริมาณ estrogen</t>
        </is>
      </c>
      <c r="F68" s="18" t="inlineStr">
        <is>
          <t>ลดปริมาณ estrogen</t>
        </is>
      </c>
      <c r="G68" s="18" t="inlineStr">
        <is>
          <t>เพิ่มปริมาณ progesterone</t>
        </is>
      </c>
      <c r="H68" s="18" t="inlineStr">
        <is>
          <t>ลดปริมาณ progesterone</t>
        </is>
      </c>
      <c r="I68" s="15" t="inlineStr">
        <is>
          <t>1</t>
        </is>
      </c>
      <c r="J68" s="18"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ค. (ลดปริมาณ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ง. (เพิ่มปริมาณ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ข้อ จ. (ลดปริมาณ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18" t="inlineStr"/>
      <c r="L68" s="18" t="inlineStr">
        <is>
          <t>Oral contraceptive</t>
        </is>
      </c>
      <c r="M68" s="18" t="inlineStr">
        <is>
          <t>Clinic</t>
        </is>
      </c>
      <c r="N68" s="18" t="inlineStr">
        <is>
          <t>ข้อ 48 (PLE_CC1_2562_Key.md)</t>
        </is>
      </c>
      <c r="O68" s="18" t="inlineStr">
        <is>
          <t>ข้อสอบจริง</t>
        </is>
      </c>
      <c r="P68" s="18" t="inlineStr">
        <is>
          <t>ปี 2562</t>
        </is>
      </c>
    </row>
    <row r="69">
      <c r="A69" s="15" t="inlineStr">
        <is>
          <t>67</t>
        </is>
      </c>
      <c r="B69" s="18" t="inlineStr">
        <is>
          <t>ข้อใดคือข้อห(ามใช(ยาคุมกำเนิดแบบฮอรโมนรวมตาม WHO category 4</t>
        </is>
      </c>
      <c r="C69" s="18" t="inlineStr"/>
      <c r="D69" s="18" t="inlineStr">
        <is>
          <t>สูบบุหรี่ 10 มวน/วัน</t>
        </is>
      </c>
      <c r="E69" s="18" t="inlineStr">
        <is>
          <t>เป5นโรคเส(นเลือดขอด</t>
        </is>
      </c>
      <c r="F69" s="18" t="inlineStr">
        <is>
          <t>เป5นไมเกรนแบบมีออร.า</t>
        </is>
      </c>
      <c r="G69" s="18" t="inlineStr">
        <is>
          <t>ดัชนีมวลกาย 28 kg/m2 I</t>
        </is>
      </c>
      <c r="H69" s="18" t="inlineStr">
        <is>
          <t>ระดับไขมันในเลือดผิดปกติ</t>
        </is>
      </c>
      <c r="I69" s="15" t="inlineStr">
        <is>
          <t>1</t>
        </is>
      </c>
      <c r="J69" s="18"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ข้อนี้ไม่ใช่คำตอบที่ถูกต้องสำหรับภาวะ Oral contraceptive เนื่องจากกลไกการออกฤทธิ์, efficacy หรือข้อบ่งใช้ไม่ตรงกับโจทย์ที่กำหนด
• ข้อ ค. (เป5นไมเกรนแบบมีออร.า): ข้อนี้ไม่ใช่คำตอบที่ถูกต้องสำหรับภาวะ Oral contraceptive เนื่องจากกลไกการออกฤทธิ์, efficacy หรือข้อบ่งใช้ไม่ตรงกับโจทย์ที่กำหนด
• ข้อ ง. (ดัชนีมวลกาย 28 kg/m2 I): ข้อนี้ไม่ใช่คำตอบที่ถูกต้องสำหรับภาวะ Oral contraceptive เนื่องจากกลไกการออกฤทธิ์, efficacy หรือข้อบ่งใช้ไม่ตรงกับโจทย์ที่กำหนด
• ข้อ จ. (ระดับไขมันในเลือดผิดปกติ):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18" t="inlineStr"/>
      <c r="L69" s="18" t="inlineStr">
        <is>
          <t>Oral contraceptive</t>
        </is>
      </c>
      <c r="M69" s="18" t="inlineStr">
        <is>
          <t>Clinic</t>
        </is>
      </c>
      <c r="N69" s="18" t="inlineStr">
        <is>
          <t>ข้อ 55 (PLE_CC1_2561_Key.md)</t>
        </is>
      </c>
      <c r="O69" s="18" t="inlineStr">
        <is>
          <t>ข้อสอบจริง</t>
        </is>
      </c>
      <c r="P69" s="18" t="inlineStr">
        <is>
          <t>ปี 2561</t>
        </is>
      </c>
    </row>
    <row r="70">
      <c r="A70" s="15" t="inlineStr">
        <is>
          <t>68</t>
        </is>
      </c>
      <c r="B70" s="18" t="inlineStr">
        <is>
          <t>ข้อใดถูกต้องเกี่ยวกับยาคุมสูตรผสมชนิดแผ.นแปะ</t>
        </is>
      </c>
      <c r="C70" s="18" t="inlineStr"/>
      <c r="D70" s="18" t="inlineStr">
        <is>
          <t>ใช(กับผู(หญิงให(นมบุตรได(</t>
        </is>
      </c>
      <c r="E70" s="18" t="inlineStr">
        <is>
          <t>มีประสิทธิภาพดีกว.ายารับประทาน</t>
        </is>
      </c>
      <c r="F70" s="18" t="inlineStr">
        <is>
          <t>ใช(กับผู(หญิงที่เป5นไมเกรนแบบมีออร.าได(</t>
        </is>
      </c>
      <c r="G70" s="18" t="inlineStr">
        <is>
          <t>ไม.มีอันตรกิริยากับยาที่เหนี่ยวนำเอนไซม</t>
        </is>
      </c>
      <c r="H70" s="18" t="inlineStr">
        <is>
          <t>ความร.วมมือในการใช(ยาดีกว.ายารับประทาน progestin</t>
        </is>
      </c>
      <c r="I70" s="15" t="inlineStr">
        <is>
          <t>1</t>
        </is>
      </c>
      <c r="J70" s="18"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(ใช(กับผู(หญิงที่เป5นไมเกรนแบบมีออร.าได(): ข้อนี้ไม่ใช่คำตอบที่ถูกต้องสำหรับภาวะ Oral contraceptive เนื่องจากกลไกการออกฤทธิ์, efficacy หรือข้อบ่งใช้ไม่ตรงกับโจทย์ที่กำหนด
• ข้อ ง. (ไม.มีอันตรกิริยากับยาที่เหนี่ยวนำเอนไซม): ข้อนี้ไม่ใช่คำตอบที่ถูกต้องสำหรับภาวะ Oral contraceptive เนื่องจากกลไกการออกฤทธิ์, efficacy หรือข้อบ่งใช้ไม่ตรงกับโจทย์ที่กำหนด
• ข้อ จ. (ความร.วมมือในการใช(ยาดีกว.ายารับประทาน progestin):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18" t="inlineStr"/>
      <c r="L70" s="18" t="inlineStr">
        <is>
          <t>Oral contraceptive</t>
        </is>
      </c>
      <c r="M70" s="18" t="inlineStr">
        <is>
          <t>Clinic</t>
        </is>
      </c>
      <c r="N70" s="18" t="inlineStr">
        <is>
          <t>ข้อ 56 (PLE_CC1_2561_Key.md)</t>
        </is>
      </c>
      <c r="O70" s="18" t="inlineStr">
        <is>
          <t>ข้อสอบจริง</t>
        </is>
      </c>
      <c r="P70" s="18" t="inlineStr">
        <is>
          <t>ปี 2561</t>
        </is>
      </c>
    </row>
    <row r="71">
      <c r="A71" s="15" t="inlineStr">
        <is>
          <t>69</t>
        </is>
      </c>
      <c r="B71" s="18" t="inlineStr">
        <is>
          <t>หากต(องการเปลี่ยนระบบกระจายยาจาก three day dose เป5น one day dose จะต(องใช(ระบบใดประกันคุณภาพ mm</t>
        </is>
      </c>
      <c r="C71" s="18" t="inlineStr"/>
      <c r="D71" s="18" t="inlineStr">
        <is>
          <t>GMP</t>
        </is>
      </c>
      <c r="E71" s="18" t="inlineStr">
        <is>
          <t>PIC/s</t>
        </is>
      </c>
      <c r="F71" s="18" t="inlineStr">
        <is>
          <t>PDCA</t>
        </is>
      </c>
      <c r="G71" s="18" t="inlineStr">
        <is>
          <t>HACCP</t>
        </is>
      </c>
      <c r="H71" s="18" t="inlineStr">
        <is>
          <t>GMP QA plando then at</t>
        </is>
      </c>
      <c r="I71" s="15" t="inlineStr">
        <is>
          <t>1</t>
        </is>
      </c>
      <c r="J71" s="18"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ข้อนี้ไม่ใช่คำตอบที่ถูกต้องสำหรับภาวะ Oral contraceptive เนื่องจากกลไกการออกฤทธิ์, efficacy หรือข้อบ่งใช้ไม่ตรงกับโจทย์ที่กำหนด
• ข้อ ค. (PDCA): ข้อนี้ไม่ใช่คำตอบที่ถูกต้องสำหรับภาวะ Oral contraceptive เนื่องจากกลไกการออกฤทธิ์, efficacy หรือข้อบ่งใช้ไม่ตรงกับโจทย์ที่กำหนด
• ข้อ ง. (HACCP): ข้อนี้ไม่ใช่คำตอบที่ถูกต้องสำหรับภาวะ Oral contraceptive เนื่องจากกลไกการออกฤทธิ์, efficacy หรือข้อบ่งใช้ไม่ตรงกับโจทย์ที่กำหนด
• ข้อ จ. (GMP QA plando then at):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18" t="inlineStr"/>
      <c r="L71" s="18" t="inlineStr">
        <is>
          <t>Oral contraceptive</t>
        </is>
      </c>
      <c r="M71" s="18" t="inlineStr">
        <is>
          <t>Clinic</t>
        </is>
      </c>
      <c r="N71" s="18" t="inlineStr">
        <is>
          <t>ข้อ 86 (PLE_CC1_2561_Key.md)</t>
        </is>
      </c>
      <c r="O71" s="18" t="inlineStr">
        <is>
          <t>ข้อสอบจริง</t>
        </is>
      </c>
      <c r="P71" s="18" t="inlineStr">
        <is>
          <t>ปี 2561</t>
        </is>
      </c>
    </row>
    <row r="72">
      <c r="A72" s="15" t="inlineStr">
        <is>
          <t>70</t>
        </is>
      </c>
      <c r="B72" s="18" t="inlineStr">
        <is>
          <t>ยา Progestins ที่นิยมใช้ใน Progesterone only pills (POPs)</t>
        </is>
      </c>
      <c r="C72" s="18" t="inlineStr"/>
      <c r="D72" s="18" t="inlineStr">
        <is>
          <t>Desogestrel</t>
        </is>
      </c>
      <c r="E72" s="18" t="inlineStr">
        <is>
          <t>Norgestrel</t>
        </is>
      </c>
      <c r="F72" s="18" t="inlineStr">
        <is>
          <t>Gestodene</t>
        </is>
      </c>
      <c r="G72" s="18" t="inlineStr">
        <is>
          <t>Norgestimate</t>
        </is>
      </c>
      <c r="H72" s="18" t="inlineStr">
        <is>
          <t>Levonorgestrel</t>
        </is>
      </c>
      <c r="I72" s="15" t="inlineStr">
        <is>
          <t>1</t>
        </is>
      </c>
      <c r="J72" s="18"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8" t="inlineStr"/>
      <c r="L72" s="18" t="inlineStr">
        <is>
          <t>Hormonal replacement</t>
        </is>
      </c>
      <c r="M72" s="18" t="inlineStr">
        <is>
          <t>Clinic</t>
        </is>
      </c>
      <c r="N72" s="18" t="inlineStr">
        <is>
          <t>ข้อ 3 (PLE_CC1_2560 22 April Set 1.md)</t>
        </is>
      </c>
      <c r="O72" s="18" t="inlineStr">
        <is>
          <t>ข้อสอบจริง</t>
        </is>
      </c>
      <c r="P72" s="18" t="inlineStr">
        <is>
          <t>ปี 2560</t>
        </is>
      </c>
    </row>
    <row r="73">
      <c r="A73" s="15" t="inlineStr">
        <is>
          <t>71</t>
        </is>
      </c>
      <c r="B73" s="18" t="inlineStr">
        <is>
          <t>ยาคุมก้าเนิดในข้อใด เหมาะสมที่สุด (โจทย์มีแค่นี แหละ)</t>
        </is>
      </c>
      <c r="C73" s="18" t="inlineStr"/>
      <c r="D73" s="18" t="inlineStr">
        <is>
          <t>Levonorgestrel</t>
        </is>
      </c>
      <c r="E73" s="18" t="inlineStr">
        <is>
          <t>Lynestrenol</t>
        </is>
      </c>
      <c r="F73" s="18" t="inlineStr">
        <is>
          <t>Ethinyl estradiol + Desogestrel</t>
        </is>
      </c>
      <c r="G73" s="18" t="inlineStr">
        <is>
          <t>Ethinyl estradiol + Levonorgestrel</t>
        </is>
      </c>
      <c r="H73" s="18" t="inlineStr">
        <is>
          <t>Ethinyl estradiol + Gestodene รวมโดย Phongsathorn Phlaisaithong Rx 9 UP 19 | P a g e</t>
        </is>
      </c>
      <c r="I73" s="15" t="inlineStr">
        <is>
          <t>1</t>
        </is>
      </c>
      <c r="J73" s="18"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รวมโดย Phongsathorn Phlaisaithong Rx 9 UP 19 | P a g 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18" t="inlineStr"/>
      <c r="L73" s="18" t="inlineStr">
        <is>
          <t>Oral contraceptive</t>
        </is>
      </c>
      <c r="M73" s="18" t="inlineStr">
        <is>
          <t>Clinic</t>
        </is>
      </c>
      <c r="N73" s="18" t="inlineStr">
        <is>
          <t>ข้อ 4 (PLE_CC1_2560 22 April Set 1.md)</t>
        </is>
      </c>
      <c r="O73" s="18" t="inlineStr">
        <is>
          <t>ข้อสอบจริง</t>
        </is>
      </c>
      <c r="P73" s="18" t="inlineStr">
        <is>
          <t>ปี 2560</t>
        </is>
      </c>
    </row>
    <row r="74">
      <c r="A74" s="15" t="inlineStr">
        <is>
          <t>72</t>
        </is>
      </c>
      <c r="B74" s="18"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18" t="inlineStr"/>
      <c r="D74" s="18" t="inlineStr">
        <is>
          <t>รับประทานยาคุมต่อไปตามปกติ</t>
        </is>
      </c>
      <c r="E74" s="18" t="inlineStr">
        <is>
          <t>รับประทานยาทันที 1 เม็ด และทานยาต่อไปตามปกติ</t>
        </is>
      </c>
      <c r="F74" s="18" t="inlineStr">
        <is>
          <t>รับประทานยาทันที 1 เม็ด และทานยาต่อไปตามปกติพร้อมทั งคุมก้าเนิดวิธีอื่นร่วมด้วย 7 วัน</t>
        </is>
      </c>
      <c r="G74" s="18" t="inlineStr">
        <is>
          <t>หยุดรับประทานยาทันที รอประจ้าเดือนมาและเริ่มรับประทานยาแผงใหม่</t>
        </is>
      </c>
      <c r="H74" s="18"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15" t="inlineStr">
        <is>
          <t>1</t>
        </is>
      </c>
      <c r="J74" s="18"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(รับประทานยาทันที 1 เม็ด และทานยาต่อไปตามปกติพร้อมทั งคุมก้าเนิดวิธีอื่นร่วมด้วย 7 วัน): ข้อนี้ไม่ใช่คำตอบที่ถูกต้องสำหรับภาวะ Oral contraceptive เนื่องจากกลไกการออกฤทธิ์, efficacy หรือข้อบ่งใช้ไม่ตรงกับโจทย์ที่กำหนด
• ข้อ ง. (หยุดรับประทานยาทันที รอประจ้าเดือนมาและเริ่มรับประทานยาแผงใหม่): ข้อนี้ไม่ใช่คำตอบที่ถูกต้องสำหรับภาวะ Oral contraceptive เนื่องจากกลไกการออกฤทธิ์, efficacy หรือข้อบ่งใช้ไม่ตรงกับโจทย์ที่กำหนด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18" t="inlineStr"/>
      <c r="L74" s="18" t="inlineStr">
        <is>
          <t>Oral contraceptive</t>
        </is>
      </c>
      <c r="M74" s="18" t="inlineStr">
        <is>
          <t>Clinic</t>
        </is>
      </c>
      <c r="N74" s="18" t="inlineStr">
        <is>
          <t>ข้อ 42 (PLE_CC1_2559.md)</t>
        </is>
      </c>
      <c r="O74" s="18" t="inlineStr">
        <is>
          <t>ข้อสอบจริง</t>
        </is>
      </c>
      <c r="P74" s="18" t="inlineStr">
        <is>
          <t>ปี 2559</t>
        </is>
      </c>
    </row>
    <row r="75">
      <c r="A75" s="15" t="inlineStr">
        <is>
          <t>73</t>
        </is>
      </c>
      <c r="B75" s="18" t="inlineStr">
        <is>
          <t>ผู้ป่วยหญิงอายุ 16 ปี ให้ EE 30 + levonorgestrel 150 เป็นสิว น้ำหนักขึ้น มาปรึกษาที่ร้านยาข้อห้ามใช้ COC ในการคุมกำเนิด ยกเว้น ข้อใด</t>
        </is>
      </c>
      <c r="C75" s="18" t="inlineStr"/>
      <c r="D75" s="18" t="inlineStr">
        <is>
          <t>IHD</t>
        </is>
      </c>
      <c r="E75" s="18" t="inlineStr">
        <is>
          <t>DVT</t>
        </is>
      </c>
      <c r="F75" s="18" t="inlineStr">
        <is>
          <t>DM</t>
        </is>
      </c>
      <c r="G75" s="18" t="inlineStr">
        <is>
          <t>มะเร็งตับ</t>
        </is>
      </c>
      <c r="H75" s="18" t="inlineStr">
        <is>
          <t>โรคหลอดเลือดสมอง</t>
        </is>
      </c>
      <c r="I75" s="15" t="inlineStr">
        <is>
          <t>1</t>
        </is>
      </c>
      <c r="J75" s="18"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ข้อนี้ไม่ใช่คำตอบที่ถูกต้องสำหรับภาวะ Oral contraceptive เนื่องจากกลไกการออกฤทธิ์, efficacy หรือข้อบ่งใช้ไม่ตรงกับโจทย์ที่กำหนด
• ข้อ ค. (DM): ข้อนี้ไม่ใช่คำตอบที่ถูกต้องสำหรับภาวะ Oral contraceptive เนื่องจากกลไกการออกฤทธิ์, efficacy หรือข้อบ่งใช้ไม่ตรงกับโจทย์ที่กำหนด
• ข้อ ง. (มะเร็งตับ): ข้อนี้ไม่ใช่คำตอบที่ถูกต้องสำหรับภาวะ Oral contraceptive เนื่องจากกลไกการออกฤทธิ์, efficacy หรือข้อบ่งใช้ไม่ตรงกับโจทย์ที่กำหนด
• ข้อ จ. (โรคหลอดเลือดสมอง):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18" t="inlineStr"/>
      <c r="L75" s="18" t="inlineStr">
        <is>
          <t>Oral contraceptive</t>
        </is>
      </c>
      <c r="M75" s="18" t="inlineStr">
        <is>
          <t>Clinic</t>
        </is>
      </c>
      <c r="N75" s="18" t="inlineStr">
        <is>
          <t>ข้อ 77 (PLE_CC1_2558_Key.md)</t>
        </is>
      </c>
      <c r="O75" s="18" t="inlineStr">
        <is>
          <t>ข้อสอบจริง</t>
        </is>
      </c>
      <c r="P75" s="18" t="inlineStr">
        <is>
          <t>ปี 2558</t>
        </is>
      </c>
    </row>
    <row r="76">
      <c r="A76" s="15" t="inlineStr">
        <is>
          <t>74</t>
        </is>
      </c>
      <c r="B76" s="18" t="inlineStr">
        <is>
          <t>หากต้องการควบคุมน้ำหนักต้องใช้ progestin ตัวใด</t>
        </is>
      </c>
      <c r="C76" s="18" t="inlineStr"/>
      <c r="D76" s="18" t="inlineStr">
        <is>
          <t>Levonorgestrel</t>
        </is>
      </c>
      <c r="E76" s="18" t="inlineStr">
        <is>
          <t>Drospirenone</t>
        </is>
      </c>
      <c r="F76" s="18" t="inlineStr">
        <is>
          <t>Cyproterone</t>
        </is>
      </c>
      <c r="G76" s="18" t="inlineStr">
        <is>
          <t>Norgesthimate</t>
        </is>
      </c>
      <c r="H76" s="18" t="inlineStr">
        <is>
          <t>Desogestrel</t>
        </is>
      </c>
      <c r="I76" s="15" t="inlineStr">
        <is>
          <t>1</t>
        </is>
      </c>
      <c r="J76" s="18"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(Cyproterone): ข้อนี้ไม่ใช่คำตอบที่ถูกต้องสำหรับภาวะ Oral contraceptive เนื่องจากกลไกการออกฤทธิ์, efficacy หรือข้อบ่งใช้ไม่ตรงกับโจทย์ที่กำหนด
• ข้อ ง. (Norgesthimate): ข้อนี้ไม่ใช่คำตอบที่ถูกต้องสำหรับภาวะ Oral contraceptive เนื่องจากกลไกการออกฤทธิ์, efficacy หรือข้อบ่งใช้ไม่ตรงกับโจทย์ที่กำหนด
• ข้อ จ. (Desogestrel):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18" t="inlineStr"/>
      <c r="L76" s="18" t="inlineStr">
        <is>
          <t>Oral contraceptive</t>
        </is>
      </c>
      <c r="M76" s="18" t="inlineStr">
        <is>
          <t>Clinic</t>
        </is>
      </c>
      <c r="N76" s="18" t="inlineStr">
        <is>
          <t>ข้อ 78 (PLE_CC1_2558_Key.md)</t>
        </is>
      </c>
      <c r="O76" s="18" t="inlineStr">
        <is>
          <t>ข้อสอบจริง</t>
        </is>
      </c>
      <c r="P76" s="18" t="inlineStr">
        <is>
          <t>ปี 2558</t>
        </is>
      </c>
    </row>
    <row r="77">
      <c r="A77" s="15" t="inlineStr">
        <is>
          <t>75</t>
        </is>
      </c>
      <c r="B77" s="18" t="inlineStr">
        <is>
          <t>วิธีการกินยาคุมฉุกเฉินที่ถูกต้อง</t>
        </is>
      </c>
      <c r="C77" s="18" t="inlineStr"/>
      <c r="D77" s="18" t="inlineStr">
        <is>
          <t>กิน levonorgrestrel 150 mcg 2 เม็ดใน 72 ชั่วโมง และตามด้วย 2 เม็ด ใน 12 ชม.ต่อมา</t>
        </is>
      </c>
      <c r="E77" s="18" t="inlineStr">
        <is>
          <t>กิน levonorgrestrel 150 mcg 1 เม็ดใน 72 ชั่วโมง และตามด้วย 2 เม็ด ใน 12 ชม.ต่อมา</t>
        </is>
      </c>
      <c r="F77" s="18" t="inlineStr">
        <is>
          <t>กิน levonorgrestrel 150 mcg 2 เม็ดใน 72 ชั่วโมง และตามด้วย 1 เม็ด ใน 12 ชม.ต่อมา</t>
        </is>
      </c>
      <c r="G77" s="18" t="inlineStr">
        <is>
          <t>กินยาคุม COC ที่มีปริมาณ EE รวม 300 mcg ใน 72ชั่วโมง และตามด้วย EE 300 mcg อีกครั้งใน 12 ชม.ต่อมา</t>
        </is>
      </c>
      <c r="H77" s="18" t="inlineStr">
        <is>
          <t>กิน levonorgrestrel 150 mcg 1 เม็ดใน 72 ชั่วโมง และตามด้วย 1 เม็ด ใน 12 ชม.ต่อมา</t>
        </is>
      </c>
      <c r="I77" s="15" t="inlineStr">
        <is>
          <t>1</t>
        </is>
      </c>
      <c r="J77" s="18"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ค. (กิน levonorgrestrel 150 mcg 2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ง. (กินยาคุม COC ที่มีปริมาณ EE รวม 300 mcg ใน 72ชั่วโมง และตามด้วย EE 300 mcg อีกครั้งใน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จ. (กิน levonorgrestrel 150 mcg 1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18" t="inlineStr"/>
      <c r="L77" s="18" t="inlineStr">
        <is>
          <t>Oral contraceptive</t>
        </is>
      </c>
      <c r="M77" s="18" t="inlineStr">
        <is>
          <t>Clinic</t>
        </is>
      </c>
      <c r="N77" s="18" t="inlineStr">
        <is>
          <t>ข้อ 79 (PLE_CC1_2558_Key.md)</t>
        </is>
      </c>
      <c r="O77" s="18" t="inlineStr">
        <is>
          <t>ข้อสอบจริง</t>
        </is>
      </c>
      <c r="P77" s="18" t="inlineStr">
        <is>
          <t>ปี 2558</t>
        </is>
      </c>
    </row>
    <row r="78">
      <c r="A78" s="15" t="inlineStr">
        <is>
          <t>76</t>
        </is>
      </c>
      <c r="B78" s="18" t="inlineStr">
        <is>
          <t>ยาคุมที่หญิงให้นมบุตรไม่ควรใช้</t>
        </is>
      </c>
      <c r="C78" s="18" t="inlineStr"/>
      <c r="D78" s="18" t="inlineStr">
        <is>
          <t>แผ่นแปะคุมกำเนิด</t>
        </is>
      </c>
      <c r="E78" s="18" t="inlineStr">
        <is>
          <t>Minipills</t>
        </is>
      </c>
      <c r="F78" s="18" t="inlineStr">
        <is>
          <t>DMPA IM</t>
        </is>
      </c>
      <c r="G78" s="18" t="inlineStr">
        <is>
          <t>DMPA SC</t>
        </is>
      </c>
      <c r="H78" s="18" t="inlineStr">
        <is>
          <t>ห่วงคุมกำเนิด</t>
        </is>
      </c>
      <c r="I78" s="15" t="inlineStr">
        <is>
          <t>1</t>
        </is>
      </c>
      <c r="J78" s="18"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ข้อนี้ไม่ใช่คำตอบที่ถูกต้องสำหรับภาวะ Oral contraceptive เนื่องจากกลไกการออกฤทธิ์, efficacy หรือข้อบ่งใช้ไม่ตรงกับโจทย์ที่กำหนด
• ข้อ ค. (DMPA IM): ข้อนี้ไม่ใช่คำตอบที่ถูกต้องสำหรับภาวะ Oral contraceptive เนื่องจากกลไกการออกฤทธิ์, efficacy หรือข้อบ่งใช้ไม่ตรงกับโจทย์ที่กำหนด
• ข้อ ง. (DMPA SC): ข้อนี้ไม่ใช่คำตอบที่ถูกต้องสำหรับภาวะ Oral contraceptive เนื่องจากกลไกการออกฤทธิ์, efficacy หรือข้อบ่งใช้ไม่ตรงกับโจทย์ที่กำหนด
• ข้อ จ. (ห่วงคุมกำเนิด):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18" t="inlineStr"/>
      <c r="L78" s="18" t="inlineStr">
        <is>
          <t>Oral contraceptive</t>
        </is>
      </c>
      <c r="M78" s="18" t="inlineStr">
        <is>
          <t>Clinic</t>
        </is>
      </c>
      <c r="N78" s="18" t="inlineStr">
        <is>
          <t>ข้อ 80 (PLE_CC1_2558_Key.md)</t>
        </is>
      </c>
      <c r="O78" s="18" t="inlineStr">
        <is>
          <t>ข้อสอบจริง</t>
        </is>
      </c>
      <c r="P78" s="18" t="inlineStr">
        <is>
          <t>ปี 2558</t>
        </is>
      </c>
    </row>
    <row r="79">
      <c r="A79" s="15" t="inlineStr">
        <is>
          <t>77</t>
        </is>
      </c>
      <c r="B79" s="18" t="inlineStr">
        <is>
          <t>ห่วงคุมกำเนิดมีระบบการนำส่งยาแบบใด</t>
        </is>
      </c>
      <c r="C79" s="18" t="inlineStr"/>
      <c r="D79" s="18" t="inlineStr">
        <is>
          <t>Vaginal release system</t>
        </is>
      </c>
      <c r="E79" s="18" t="inlineStr">
        <is>
          <t>Sustained release system</t>
        </is>
      </c>
      <c r="F79" s="18" t="inlineStr">
        <is>
          <t>Osmotic release system</t>
        </is>
      </c>
      <c r="G79" s="18" t="inlineStr">
        <is>
          <t>Immediate release system</t>
        </is>
      </c>
      <c r="H79" s="18" t="inlineStr">
        <is>
          <t>Pulse release system</t>
        </is>
      </c>
      <c r="I79" s="15" t="inlineStr">
        <is>
          <t>1</t>
        </is>
      </c>
      <c r="J79" s="18"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ข้อนี้ไม่ใช่คำตอบที่ถูกต้องสำหรับภาวะ Oral contraceptive เนื่องจากกลไกการออกฤทธิ์, efficacy หรือข้อบ่งใช้ไม่ตรงกับโจทย์ที่กำหนด
• ข้อ ค. (Osmotic release system): ข้อนี้ไม่ใช่คำตอบที่ถูกต้องสำหรับภาวะ Oral contraceptive เนื่องจากกลไกการออกฤทธิ์, efficacy หรือข้อบ่งใช้ไม่ตรงกับโจทย์ที่กำหนด
• ข้อ ง. (Immediate release system): ข้อนี้ไม่ใช่คำตอบที่ถูกต้องสำหรับภาวะ Oral contraceptive เนื่องจากกลไกการออกฤทธิ์, efficacy หรือข้อบ่งใช้ไม่ตรงกับโจทย์ที่กำหนด
• ข้อ จ. (Pulse release system):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18" t="inlineStr"/>
      <c r="L79" s="18" t="inlineStr">
        <is>
          <t>Oral contraceptive</t>
        </is>
      </c>
      <c r="M79" s="18" t="inlineStr">
        <is>
          <t>Clinic</t>
        </is>
      </c>
      <c r="N79" s="18" t="inlineStr">
        <is>
          <t>ข้อ 83 (PLE_CC1_2558_Key.md)</t>
        </is>
      </c>
      <c r="O79" s="18" t="inlineStr">
        <is>
          <t>ข้อสอบจริง</t>
        </is>
      </c>
      <c r="P79" s="18" t="inlineStr">
        <is>
          <t>ปี 2558</t>
        </is>
      </c>
    </row>
    <row r="80">
      <c r="A80" s="15" t="inlineStr">
        <is>
          <t>78</t>
        </is>
      </c>
      <c r="B80" s="18"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18" t="inlineStr"/>
      <c r="D80" s="18" t="inlineStr">
        <is>
          <t>Desogestrel 75 mcg OD (Progestin-only)</t>
        </is>
      </c>
      <c r="E80" s="18" t="inlineStr">
        <is>
          <t>Levonorgestrel 1.5 mg stat (Emergency)</t>
        </is>
      </c>
      <c r="F80" s="18" t="inlineStr">
        <is>
          <t>Mefenamic acid 500 mg TID</t>
        </is>
      </c>
      <c r="G80" s="18" t="inlineStr">
        <is>
          <t>Tamsulosin 0.4 mg HS</t>
        </is>
      </c>
      <c r="H80" s="18" t="inlineStr">
        <is>
          <t>Finasteride 5 mg OD</t>
        </is>
      </c>
      <c r="I80" s="15" t="inlineStr">
        <is>
          <t>1</t>
        </is>
      </c>
      <c r="J80" s="18"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18" t="inlineStr"/>
      <c r="L80" s="18" t="inlineStr">
        <is>
          <t>Oral contraceptive</t>
        </is>
      </c>
      <c r="M80" s="18" t="inlineStr">
        <is>
          <t>Clinic</t>
        </is>
      </c>
      <c r="N80" s="18" t="inlineStr">
        <is>
          <t>ข้อ 84 (PLE_CC1_2558_Key.md)</t>
        </is>
      </c>
      <c r="O80" s="18" t="inlineStr">
        <is>
          <t>ข้อสอบจริง</t>
        </is>
      </c>
      <c r="P80" s="18" t="inlineStr">
        <is>
          <t>ปี 2558</t>
        </is>
      </c>
    </row>
    <row r="81">
      <c r="A81" s="15" t="inlineStr">
        <is>
          <t>79</t>
        </is>
      </c>
      <c r="B81" s="18" t="inlineStr">
        <is>
          <t>ภาวะใดต่อไปนี้สามารถใช้ฮอร์โมนในการรักษาหรือทดแทนในกลุ่มที่ขาดฮอร์โมนได้</t>
        </is>
      </c>
      <c r="C81" s="18" t="inlineStr"/>
      <c r="D81" s="18" t="inlineStr">
        <is>
          <t>มะเร็งเต้านม</t>
        </is>
      </c>
      <c r="E81" s="18" t="inlineStr">
        <is>
          <t>เบาหวานร่วมกับภาวะไขมันในเลือดสูง</t>
        </is>
      </c>
      <c r="F81" s="18" t="inlineStr">
        <is>
          <t>ภาวะลิ่มเลือดอุดตันหลอดเลือดดำ หรือภาวะหลอดเลือดดำอักเสบ</t>
        </is>
      </c>
      <c r="G81" s="18" t="inlineStr">
        <is>
          <t>ภาวะตับอักเสบเฉียบพลัน</t>
        </is>
      </c>
      <c r="H81" s="18" t="inlineStr">
        <is>
          <t>เลือดออกผิดปกติทางชองคลอดโดยไม่ทราบสาเหตุ</t>
        </is>
      </c>
      <c r="I81" s="15" t="inlineStr">
        <is>
          <t>1</t>
        </is>
      </c>
      <c r="J81" s="18"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ข้อนี้ไม่ใช่คำตอบที่ถูกต้องสำหรับภาวะ Oral contraceptive เนื่องจากกลไกการออกฤทธิ์, efficacy หรือข้อบ่งใช้ไม่ตรงกับโจทย์ที่กำหนด
• ข้อ ค. (ภาวะลิ่มเลือดอุดตันหลอดเลือดดำ หรือภาวะหลอดเลือดดำอักเสบ): ข้อนี้ไม่ใช่คำตอบที่ถูกต้องสำหรับภาวะ Oral contraceptive เนื่องจากกลไกการออกฤทธิ์, efficacy หรือข้อบ่งใช้ไม่ตรงกับโจทย์ที่กำหนด
• ข้อ ง. (ภาวะตับอักเสบเฉียบพลัน): ข้อนี้ไม่ใช่คำตอบที่ถูกต้องสำหรับภาวะ Oral contraceptive เนื่องจากกลไกการออกฤทธิ์, efficacy หรือข้อบ่งใช้ไม่ตรงกับโจทย์ที่กำหนด
• ข้อ จ. (เลือดออกผิดปกติทางชองคลอดโดยไม่ทราบสาเหตุ):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18" t="inlineStr"/>
      <c r="L81" s="18" t="inlineStr">
        <is>
          <t>Oral contraceptive</t>
        </is>
      </c>
      <c r="M81" s="18" t="inlineStr">
        <is>
          <t>Clinic</t>
        </is>
      </c>
      <c r="N81" s="18" t="inlineStr">
        <is>
          <t>ข้อ 69 (Pharmtutor_2024_Set1.md)</t>
        </is>
      </c>
      <c r="O81" s="18" t="inlineStr">
        <is>
          <t>Mock</t>
        </is>
      </c>
      <c r="P81" s="18" t="inlineStr">
        <is>
          <t>Mock Pharmtutor 2024</t>
        </is>
      </c>
    </row>
    <row r="82">
      <c r="A82" s="15" t="inlineStr">
        <is>
          <t>80</t>
        </is>
      </c>
      <c r="B82" s="18"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18" t="inlineStr"/>
      <c r="D82" s="18" t="inlineStr">
        <is>
          <t>มีเพศสัมพันธ์แบบไม่สวมถุงยางอนามัย</t>
        </is>
      </c>
      <c r="E82" s="18" t="inlineStr">
        <is>
          <t>การสวนล้างช่องคลอด</t>
        </is>
      </c>
      <c r="F82" s="18" t="inlineStr">
        <is>
          <t>การรับประทานยาชนิดฮอร์โมนรวม</t>
        </is>
      </c>
      <c r="G82" s="18" t="inlineStr">
        <is>
          <t>การรับประทานอาหารหมักดอง</t>
        </is>
      </c>
      <c r="H82" s="18" t="inlineStr">
        <is>
          <t>ถูกทุกข้อ</t>
        </is>
      </c>
      <c r="I82" s="15" t="inlineStr">
        <is>
          <t>1</t>
        </is>
      </c>
      <c r="J82" s="18"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ค. (การรับประทานยาชนิดฮอร์โมนรวม):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(การรับประทานอาหารหมักดอง):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18" t="inlineStr"/>
      <c r="L82" s="18" t="inlineStr">
        <is>
          <t>Oral contraceptive</t>
        </is>
      </c>
      <c r="M82" s="18" t="inlineStr">
        <is>
          <t>Clinic</t>
        </is>
      </c>
      <c r="N82" s="18" t="inlineStr">
        <is>
          <t>ข้อ 42 (Pharmtutor_2024_Set2.md)</t>
        </is>
      </c>
      <c r="O82" s="18" t="inlineStr">
        <is>
          <t>Mock</t>
        </is>
      </c>
      <c r="P82" s="18" t="inlineStr">
        <is>
          <t>Mock Pharmtutor 2024</t>
        </is>
      </c>
    </row>
    <row r="83">
      <c r="A83" s="15" t="inlineStr">
        <is>
          <t>81</t>
        </is>
      </c>
      <c r="B83" s="18"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18" t="inlineStr"/>
      <c r="D83" s="18" t="inlineStr">
        <is>
          <t>การใช้ Progestin เดี่ยวให้ผลดีกว่าการใช้สูตรผสม</t>
        </is>
      </c>
      <c r="E83" s="18" t="inlineStr">
        <is>
          <t>การใช้สูตรผสม Estrogen สามารถขับออกทางน้ำนมอาจส่งผลข้างเคียงให้ทารกได้</t>
        </is>
      </c>
      <c r="F83" s="18" t="inlineStr">
        <is>
          <t>Estrogen ทำให้ปริมาณของน้ำนมลดลง</t>
        </is>
      </c>
      <c r="G83" s="18"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18" t="inlineStr">
        <is>
          <t>ไม่มีข้อใดถูก</t>
        </is>
      </c>
      <c r="I83" s="15" t="inlineStr">
        <is>
          <t>1</t>
        </is>
      </c>
      <c r="J83" s="18"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ข้อนี้ไม่ใช่คำตอบที่ถูกต้องสำหรับภาวะ Oral contraceptive เนื่องจากกลไกการออกฤทธิ์, efficacy หรือข้อบ่งใช้ไม่ตรงกับโจทย์ที่กำหนด
• ข้อ ค. (Estrogen ทำให้ปริมาณของน้ำนมลดลง): ข้อนี้ไม่ใช่คำตอบที่ถูกต้องสำหรับภาวะ Oral contraceptive เนื่องจากกลไกการออกฤทธิ์, efficacy หรือข้อบ่งใช้ไม่ตรงกับโจทย์ที่กำหนด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ข้อนี้ไม่ใช่คำตอบที่ถูกต้องสำหรับภาวะ Oral contraceptive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18" t="inlineStr"/>
      <c r="L83" s="18" t="inlineStr">
        <is>
          <t>Oral contraceptive</t>
        </is>
      </c>
      <c r="M83" s="18" t="inlineStr">
        <is>
          <t>Clinic</t>
        </is>
      </c>
      <c r="N83" s="18" t="inlineStr">
        <is>
          <t>ข้อ 66 (Pharmtutor_2024_Set2.md)</t>
        </is>
      </c>
      <c r="O83" s="18" t="inlineStr">
        <is>
          <t>Mock</t>
        </is>
      </c>
      <c r="P83" s="18" t="inlineStr">
        <is>
          <t>Mock Pharmtutor 2024</t>
        </is>
      </c>
    </row>
    <row r="84">
      <c r="A84" s="15" t="inlineStr">
        <is>
          <t>82</t>
        </is>
      </c>
      <c r="B84" s="18"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18" t="inlineStr"/>
      <c r="D84" s="18" t="inlineStr">
        <is>
          <t>Cyproterone</t>
        </is>
      </c>
      <c r="E84" s="18" t="inlineStr">
        <is>
          <t>Drospirenone</t>
        </is>
      </c>
      <c r="F84" s="18" t="inlineStr">
        <is>
          <t>Desogestrel</t>
        </is>
      </c>
      <c r="G84" s="18" t="inlineStr">
        <is>
          <t>ข้อ a และ b ถูก</t>
        </is>
      </c>
      <c r="H84" s="18" t="inlineStr">
        <is>
          <t>ข้อ a b และ c ถูก</t>
        </is>
      </c>
      <c r="I84" s="15" t="inlineStr">
        <is>
          <t>1</t>
        </is>
      </c>
      <c r="J84" s="18"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(Desogestrel): ข้อนี้ไม่ใช่คำตอบที่ถูกต้องสำหรับภาวะ Oral contraceptive เนื่องจากกลไกการออกฤทธิ์, efficacy หรือข้อบ่งใช้ไม่ตรงกับโจทย์ที่กำหนด
• ข้อ ง. (ข้อ a และ b ถูก): ข้อนี้ไม่ใช่คำตอบที่ถูกต้องสำหรับภาวะ Oral contraceptive เนื่องจากกลไกการออกฤทธิ์, efficacy หรือข้อบ่งใช้ไม่ตรงกับโจทย์ที่กำหนด
• ข้อ จ. (ข้อ a b และ c ถูก):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18" t="inlineStr"/>
      <c r="L84" s="18" t="inlineStr">
        <is>
          <t>Oral contraceptive</t>
        </is>
      </c>
      <c r="M84" s="18" t="inlineStr">
        <is>
          <t>Clinic</t>
        </is>
      </c>
      <c r="N84" s="18" t="inlineStr">
        <is>
          <t>ข้อ 67 (Pharmtutor_2024_Set2.md)</t>
        </is>
      </c>
      <c r="O84" s="18" t="inlineStr">
        <is>
          <t>Mock</t>
        </is>
      </c>
      <c r="P84" s="18" t="inlineStr">
        <is>
          <t>Mock Pharmtutor 2024</t>
        </is>
      </c>
    </row>
    <row r="85">
      <c r="A85" s="15" t="inlineStr">
        <is>
          <t>83</t>
        </is>
      </c>
      <c r="B85" s="18"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18" t="inlineStr"/>
      <c r="D85" s="18" t="inlineStr">
        <is>
          <t>Finasteride 5 mg OD</t>
        </is>
      </c>
      <c r="E85" s="18" t="inlineStr">
        <is>
          <t>Oxybutynin 5 mg BID</t>
        </is>
      </c>
      <c r="F85" s="18" t="inlineStr">
        <is>
          <t>Tolterodine 2 mg BID</t>
        </is>
      </c>
      <c r="G85" s="18" t="inlineStr">
        <is>
          <t>Dydrogesterone 10 mg BID</t>
        </is>
      </c>
      <c r="H85" s="18" t="inlineStr">
        <is>
          <t>Ethinylestradiol 30 mcg + Levonorgestrel 150 mcg</t>
        </is>
      </c>
      <c r="I85" s="15" t="inlineStr">
        <is>
          <t>1</t>
        </is>
      </c>
      <c r="J85" s="18"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18" t="inlineStr"/>
      <c r="L85" s="18" t="inlineStr">
        <is>
          <t>Oral contraceptive</t>
        </is>
      </c>
      <c r="M85" s="18" t="inlineStr">
        <is>
          <t>Clinic</t>
        </is>
      </c>
      <c r="N85" s="18" t="inlineStr">
        <is>
          <t>ข้อ 38 (PLE_CC1_2557.md)</t>
        </is>
      </c>
      <c r="O85" s="18" t="inlineStr">
        <is>
          <t>ข้อสอบจริง</t>
        </is>
      </c>
      <c r="P85" s="18" t="inlineStr">
        <is>
          <t>ปี 2557</t>
        </is>
      </c>
    </row>
    <row r="86">
      <c r="A86" s="15" t="inlineStr">
        <is>
          <t>84</t>
        </is>
      </c>
      <c r="B86" s="18"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18" t="inlineStr"/>
      <c r="D86" s="18" t="inlineStr">
        <is>
          <t>Dydrogesterone 10 mg BID</t>
        </is>
      </c>
      <c r="E86" s="18" t="inlineStr">
        <is>
          <t>Ethinylestradiol 30 mcg + Levonorgestrel 150 mcg</t>
        </is>
      </c>
      <c r="F86" s="18" t="inlineStr">
        <is>
          <t>Ethinylestradiol 30 mcg + Drospirenone 3 mg</t>
        </is>
      </c>
      <c r="G86" s="18" t="inlineStr">
        <is>
          <t>Ethinylestradiol 35 mcg + Cyproterone acetate 2 mg</t>
        </is>
      </c>
      <c r="H86" s="18" t="inlineStr">
        <is>
          <t>Desogestrel 75 mcg OD (Progestin-only)</t>
        </is>
      </c>
      <c r="I86" s="15" t="inlineStr">
        <is>
          <t>1</t>
        </is>
      </c>
      <c r="J86" s="18"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8" t="inlineStr"/>
      <c r="L86" s="18" t="inlineStr">
        <is>
          <t>Hormonal replacement</t>
        </is>
      </c>
      <c r="M86" s="18" t="inlineStr">
        <is>
          <t>Clinic</t>
        </is>
      </c>
      <c r="N86" s="18" t="inlineStr">
        <is>
          <t>ข้อ 40 (PLE_CC1_2557.md)</t>
        </is>
      </c>
      <c r="O86" s="18" t="inlineStr">
        <is>
          <t>ข้อสอบจริง</t>
        </is>
      </c>
      <c r="P86" s="18" t="inlineStr">
        <is>
          <t>ปี 2557</t>
        </is>
      </c>
    </row>
    <row r="87">
      <c r="A87" s="15" t="inlineStr">
        <is>
          <t>85</t>
        </is>
      </c>
      <c r="B87" s="18" t="inlineStr">
        <is>
          <t>ควรจ่ายยาคุมกำเนิดแบบไหนให้แก่ผู้หญิงรายนี้</t>
        </is>
      </c>
      <c r="C87" s="18" t="inlineStr"/>
      <c r="D87" s="18" t="inlineStr">
        <is>
          <t>Conjugated estrogen</t>
        </is>
      </c>
      <c r="E87" s="18" t="inlineStr">
        <is>
          <t>Lynestrenol</t>
        </is>
      </c>
      <c r="F87" s="18" t="inlineStr">
        <is>
          <t>Ethenyl estradiol + Desogestrel</t>
        </is>
      </c>
      <c r="G87" s="18" t="inlineStr">
        <is>
          <t>Ethenyl estradiol + Norethisterone</t>
        </is>
      </c>
      <c r="H87" s="18" t="inlineStr">
        <is>
          <t>Ethenyl estradiol + Cyproterone acetate</t>
        </is>
      </c>
      <c r="I87" s="15" t="inlineStr">
        <is>
          <t>1</t>
        </is>
      </c>
      <c r="J87" s="18"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(Ethenyl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(Ethenyl estradiol + Norethisterone): ข้อนี้ไม่ใช่คำตอบที่ถูกต้องสำหรับภาวะ Oral contraceptive เนื่องจากกลไกการออกฤทธิ์, efficacy หรือข้อบ่งใช้ไม่ตรงกับโจทย์ที่กำหนด
• ข้อ จ. (Ethenyl estradiol + Cyproterone acetate):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18" t="inlineStr"/>
      <c r="L87" s="18" t="inlineStr">
        <is>
          <t>Oral contraceptive</t>
        </is>
      </c>
      <c r="M87" s="18" t="inlineStr">
        <is>
          <t>Clinic</t>
        </is>
      </c>
      <c r="N87" s="18" t="inlineStr">
        <is>
          <t>ข้อ 71 (PLE_CC1_2555 Day 1.md)</t>
        </is>
      </c>
      <c r="O87" s="18" t="inlineStr">
        <is>
          <t>ข้อสอบจริง</t>
        </is>
      </c>
      <c r="P87" s="18" t="inlineStr">
        <is>
          <t>ปี 2555</t>
        </is>
      </c>
    </row>
    <row r="88">
      <c r="A88" s="15" t="inlineStr">
        <is>
          <t>86</t>
        </is>
      </c>
      <c r="B88" s="18" t="inlineStr">
        <is>
          <t>ข้อใดคือเหตุผลในการเลือกยาคุมกำเนิดข้างต้น</t>
        </is>
      </c>
      <c r="C88" s="18" t="inlineStr"/>
      <c r="D88" s="18" t="inlineStr">
        <is>
          <t>เพราะมีฮอร์โมนบางชนิดสามารถยับยั้งการหลั่งฮอร์โมน prolactin</t>
        </is>
      </c>
      <c r="E88" s="18" t="inlineStr">
        <is>
          <t>เพราะผนังมดลูกยังไม่แข็งแรงพอ</t>
        </is>
      </c>
      <c r="F88" s="18" t="inlineStr">
        <is>
          <t>เพื่อป้องกันผนังมดลูกหนาตัวขึ้น</t>
        </is>
      </c>
      <c r="G88" s="18" t="inlineStr">
        <is>
          <t>.........</t>
        </is>
      </c>
      <c r="H88" s="18" t="inlineStr">
        <is>
          <t>...........</t>
        </is>
      </c>
      <c r="I88" s="15" t="inlineStr">
        <is>
          <t>1</t>
        </is>
      </c>
      <c r="J88" s="18"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ข้อนี้ไม่ใช่คำตอบที่ถูกต้องสำหรับภาวะ Oral contraceptive เนื่องจากกลไกการออกฤทธิ์, efficacy หรือข้อบ่งใช้ไม่ตรงกับโจทย์ที่กำหนด
• ข้อ ค. (เพื่อป้องกันผนังมดลูกหนาตัวขึ้น): ข้อนี้ไม่ใช่คำตอบที่ถูกต้องสำหรับภาวะ Oral contraceptive เนื่องจากกลไกการออกฤทธิ์, efficacy หรือข้อบ่งใช้ไม่ตรงกับโจทย์ที่กำหนด
• ข้อ ง. (.........): ข้อนี้ไม่ใช่คำตอบที่ถูกต้องสำหรับภาวะ Oral contraceptive เนื่องจากกลไกการออกฤทธิ์, efficacy หรือข้อบ่งใช้ไม่ตรงกับโจทย์ที่กำหนด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18" t="inlineStr"/>
      <c r="L88" s="18" t="inlineStr">
        <is>
          <t>Oral contraceptive</t>
        </is>
      </c>
      <c r="M88" s="18" t="inlineStr">
        <is>
          <t>Clinic</t>
        </is>
      </c>
      <c r="N88" s="18" t="inlineStr">
        <is>
          <t>ข้อ 72 (PLE_CC1_2555 Day 1.md)</t>
        </is>
      </c>
      <c r="O88" s="18" t="inlineStr">
        <is>
          <t>ข้อสอบจริง</t>
        </is>
      </c>
      <c r="P88" s="18" t="inlineStr">
        <is>
          <t>ปี 2555</t>
        </is>
      </c>
    </row>
    <row r="89">
      <c r="A89" s="15" t="inlineStr">
        <is>
          <t>87</t>
        </is>
      </c>
      <c r="B89" s="18" t="inlineStr">
        <is>
          <t>หากผู้ป่วยไม่ต้องการมีประจำเดือนอีกแล้ว และไม่มีข้อห้ามใช้ Estrogen จะต้องได้ยาคุมกำเนิดแบบใด</t>
        </is>
      </c>
      <c r="C89" s="18" t="inlineStr"/>
      <c r="D89" s="18" t="inlineStr">
        <is>
          <t>Estrogen เดี่ยวๆ 28 เม็ด</t>
        </is>
      </c>
      <c r="E89" s="18" t="inlineStr">
        <is>
          <t>Progestrin เดี่ยวๆ 28 เม็ด</t>
        </is>
      </c>
      <c r="F89" s="18" t="inlineStr">
        <is>
          <t>Estrogen + progestrin อย่างละ 28 เม็ด</t>
        </is>
      </c>
      <c r="G89" s="18" t="inlineStr">
        <is>
          <t>Estrogen 21 เม็ด + progestrin 7 เม็ด</t>
        </is>
      </c>
      <c r="H89" s="18" t="inlineStr">
        <is>
          <t>Estrogen 16 เม็ด + progestrin 12 เม็ด คณะเภสัชศาสตร์ มหาวิทยาลัยเชียงใหม่ Rx 44 CMU</t>
        </is>
      </c>
      <c r="I89" s="15" t="inlineStr">
        <is>
          <t>1</t>
        </is>
      </c>
      <c r="J89" s="18"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ข้อนี้ไม่ใช่คำตอบที่ถูกต้องสำหรับภาวะ Oral contraceptive เนื่องจากกลไกการออกฤทธิ์, efficacy หรือข้อบ่งใช้ไม่ตรงกับโจทย์ที่กำหนด
• ข้อ ค. (Estrogen + progestrin อย่างละ 28 เม็ด): ข้อนี้ไม่ใช่คำตอบที่ถูกต้องสำหรับภาวะ Oral contraceptive เนื่องจากกลไกการออกฤทธิ์, efficacy หรือข้อบ่งใช้ไม่ตรงกับโจทย์ที่กำหนด
• ข้อ ง. (Estrogen 21 เม็ด + progestrin 7 เม็ด): ข้อนี้ไม่ใช่คำตอบที่ถูกต้องสำหรับภาวะ Oral contraceptive เนื่องจากกลไกการออกฤทธิ์, efficacy หรือข้อบ่งใช้ไม่ตรงกับโจทย์ที่กำหนด
• ข้อ จ. (Estrogen 16 เม็ด + progestrin 12 เม็ด คณะเภสัชศาสตร์ มหาวิทยาลัยเชียงใหม่ Rx 44 CMU):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18" t="inlineStr"/>
      <c r="L89" s="18" t="inlineStr">
        <is>
          <t>Oral contraceptive</t>
        </is>
      </c>
      <c r="M89" s="18" t="inlineStr">
        <is>
          <t>Clinic</t>
        </is>
      </c>
      <c r="N89" s="18" t="inlineStr">
        <is>
          <t>ข้อ 73 (PLE_CC1_2555 Day 1.md)</t>
        </is>
      </c>
      <c r="O89" s="18" t="inlineStr">
        <is>
          <t>ข้อสอบจริง</t>
        </is>
      </c>
      <c r="P89" s="18" t="inlineStr">
        <is>
          <t>ปี 2555</t>
        </is>
      </c>
    </row>
    <row r="90">
      <c r="A90" s="15" t="inlineStr">
        <is>
          <t>88</t>
        </is>
      </c>
      <c r="B90" s="18" t="inlineStr">
        <is>
          <t>หากผู้ป่วยเป็น cystitis แล้วเกิดตั้งครรภ์ ควรเปลี่ยนยา ciprofloxacin เป็นยาในข้อใดสำหรับผู้ป่วยรายนี้</t>
        </is>
      </c>
      <c r="C90" s="18" t="inlineStr"/>
      <c r="D90" s="18" t="inlineStr">
        <is>
          <t>Cotrimoxazole</t>
        </is>
      </c>
      <c r="E90" s="18" t="inlineStr">
        <is>
          <t>Cefalexin</t>
        </is>
      </c>
      <c r="F90" s="18" t="inlineStr">
        <is>
          <t>Cloxacillin</t>
        </is>
      </c>
      <c r="G90" s="18" t="inlineStr">
        <is>
          <t>Doxycycline</t>
        </is>
      </c>
      <c r="H90" s="18" t="inlineStr">
        <is>
          <t>......</t>
        </is>
      </c>
      <c r="I90" s="15" t="inlineStr">
        <is>
          <t>1</t>
        </is>
      </c>
      <c r="J90" s="18"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ข้อนี้ไม่ใช่คำตอบที่ถูกต้องสำหรับภาวะ Oral contraceptive เนื่องจากกลไกการออกฤทธิ์, efficacy หรือข้อบ่งใช้ไม่ตรงกับโจทย์ที่กำหนด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18" t="inlineStr"/>
      <c r="L90" s="18" t="inlineStr">
        <is>
          <t>Oral contraceptive</t>
        </is>
      </c>
      <c r="M90" s="18" t="inlineStr">
        <is>
          <t>Clinic</t>
        </is>
      </c>
      <c r="N90" s="18" t="inlineStr">
        <is>
          <t>ข้อ 91 (PLE_CC1_2555 Day 1.md)</t>
        </is>
      </c>
      <c r="O90" s="18" t="inlineStr">
        <is>
          <t>ข้อสอบจริง</t>
        </is>
      </c>
      <c r="P90" s="18" t="inlineStr">
        <is>
          <t>ปี 2555</t>
        </is>
      </c>
    </row>
    <row r="91">
      <c r="A91" s="15" t="inlineStr">
        <is>
          <t>89</t>
        </is>
      </c>
      <c r="B91" s="18" t="inlineStr">
        <is>
          <t>ควรรับประทานยาคุมเพื่อป้องกันการตั้งครรภ์ทารกวิรูป</t>
        </is>
      </c>
      <c r="C91" s="18" t="inlineStr"/>
      <c r="D91" s="18" t="inlineStr">
        <is>
          <t>Desogestrel 75 mcg OD (Progestin-only)</t>
        </is>
      </c>
      <c r="E91" s="18" t="inlineStr">
        <is>
          <t>Levonorgestrel 1.5 mg stat (Emergency)</t>
        </is>
      </c>
      <c r="F91" s="18" t="inlineStr">
        <is>
          <t>Mefenamic acid 500 mg TID</t>
        </is>
      </c>
      <c r="G91" s="18" t="inlineStr">
        <is>
          <t>Tamsulosin 0.4 mg HS</t>
        </is>
      </c>
      <c r="H91" s="18" t="inlineStr">
        <is>
          <t>Finasteride 5 mg OD</t>
        </is>
      </c>
      <c r="I91" s="15" t="inlineStr">
        <is>
          <t>1</t>
        </is>
      </c>
      <c r="J91" s="18"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18" t="inlineStr"/>
      <c r="L91" s="18" t="inlineStr">
        <is>
          <t>Oral contraceptive</t>
        </is>
      </c>
      <c r="M91" s="18" t="inlineStr">
        <is>
          <t>Clinic</t>
        </is>
      </c>
      <c r="N91" s="18" t="inlineStr">
        <is>
          <t>ข้อ 1 (PLE_CC1_2555 Day 2.md)</t>
        </is>
      </c>
      <c r="O91" s="18" t="inlineStr">
        <is>
          <t>ข้อสอบจริง</t>
        </is>
      </c>
      <c r="P91" s="18" t="inlineStr">
        <is>
          <t>ปี 2555</t>
        </is>
      </c>
    </row>
    <row r="92">
      <c r="A92" s="15" t="inlineStr">
        <is>
          <t>90</t>
        </is>
      </c>
      <c r="B92" s="18" t="inlineStr">
        <is>
          <t>เหตุใดจึงต้องระมัดระวังในการยาคุมกำเนิดที่มี Estrogen ให้กับหญิงที่อยู่ระหว่างให้นมบุตร</t>
        </is>
      </c>
      <c r="C92" s="18" t="inlineStr"/>
      <c r="D92" s="18" t="inlineStr">
        <is>
          <t>Tamsulosin 0.4 mg HS</t>
        </is>
      </c>
      <c r="E92" s="18" t="inlineStr">
        <is>
          <t>Finasteride 5 mg OD</t>
        </is>
      </c>
      <c r="F92" s="18" t="inlineStr">
        <is>
          <t>Oxybutynin 5 mg BID</t>
        </is>
      </c>
      <c r="G92" s="18" t="inlineStr">
        <is>
          <t>Tolterodine 2 mg BID</t>
        </is>
      </c>
      <c r="H92" s="18" t="inlineStr">
        <is>
          <t>Dydrogesterone 10 mg BID</t>
        </is>
      </c>
      <c r="I92" s="15" t="inlineStr">
        <is>
          <t>1</t>
        </is>
      </c>
      <c r="J92" s="18"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18" t="inlineStr"/>
      <c r="L92" s="18" t="inlineStr">
        <is>
          <t>Oral contraceptive</t>
        </is>
      </c>
      <c r="M92" s="18" t="inlineStr">
        <is>
          <t>Clinic</t>
        </is>
      </c>
      <c r="N92" s="18" t="inlineStr">
        <is>
          <t>ข้อ 2 (PLE_CC1_2555 Day 2.md)</t>
        </is>
      </c>
      <c r="O92" s="18" t="inlineStr">
        <is>
          <t>ข้อสอบจริง</t>
        </is>
      </c>
      <c r="P92" s="18" t="inlineStr">
        <is>
          <t>ปี 2555</t>
        </is>
      </c>
    </row>
    <row r="93">
      <c r="A93" s="15" t="inlineStr">
        <is>
          <t>91</t>
        </is>
      </c>
      <c r="B93" s="18" t="inlineStr">
        <is>
          <t>เนื่องจากยาอาจมีผลลดฮอร์โมน Prolactin</t>
        </is>
      </c>
      <c r="C93" s="18" t="inlineStr"/>
      <c r="D93" s="18" t="inlineStr">
        <is>
          <t>Tolterodine 2 mg BID</t>
        </is>
      </c>
      <c r="E93" s="18" t="inlineStr">
        <is>
          <t>Dydrogesterone 10 mg BID</t>
        </is>
      </c>
      <c r="F93" s="18" t="inlineStr">
        <is>
          <t>Ethinylestradiol 30 mcg + Levonorgestrel 150 mcg</t>
        </is>
      </c>
      <c r="G93" s="18" t="inlineStr">
        <is>
          <t>Ethinylestradiol 30 mcg + Drospirenone 3 mg</t>
        </is>
      </c>
      <c r="H93" s="18" t="inlineStr">
        <is>
          <t>Ethinylestradiol 35 mcg + Cyproterone acetate 2 mg</t>
        </is>
      </c>
      <c r="I93" s="15" t="inlineStr">
        <is>
          <t>1</t>
        </is>
      </c>
      <c r="J93" s="18"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18" t="inlineStr"/>
      <c r="L93" s="18" t="inlineStr">
        <is>
          <t>Oral contraceptive</t>
        </is>
      </c>
      <c r="M93" s="18" t="inlineStr">
        <is>
          <t>Clinic</t>
        </is>
      </c>
      <c r="N93" s="18" t="inlineStr">
        <is>
          <t>ข้อ 1 (PLE_CC1_2555 Day 2.md)</t>
        </is>
      </c>
      <c r="O93" s="18" t="inlineStr">
        <is>
          <t>ข้อสอบจริง</t>
        </is>
      </c>
      <c r="P93" s="18" t="inlineStr">
        <is>
          <t>ปี 2555</t>
        </is>
      </c>
    </row>
    <row r="94">
      <c r="A94" s="15" t="inlineStr">
        <is>
          <t>92</t>
        </is>
      </c>
      <c r="B94" s="18" t="inlineStr">
        <is>
          <t>เนื่องจากในหญิงให้นมบุตรมีผนังมดลูกที่บางอยู่แล้ว การใช้ยาคุมกำเนิดอาจทำให้เกิดเลือดออกระปริบกระ ปรอยได้</t>
        </is>
      </c>
      <c r="C94" s="18" t="inlineStr"/>
      <c r="D94" s="18" t="inlineStr">
        <is>
          <t>Ethinylestradiol 30 mcg + Drospirenone 3 mg</t>
        </is>
      </c>
      <c r="E94" s="18" t="inlineStr">
        <is>
          <t>Ethinylestradiol 35 mcg + Cyproterone acetate 2 mg</t>
        </is>
      </c>
      <c r="F94" s="18" t="inlineStr">
        <is>
          <t>Desogestrel 75 mcg OD (Progestin-only)</t>
        </is>
      </c>
      <c r="G94" s="18" t="inlineStr">
        <is>
          <t>Levonorgestrel 1.5 mg stat (Emergency)</t>
        </is>
      </c>
      <c r="H94" s="18" t="inlineStr">
        <is>
          <t>Mefenamic acid 500 mg TID</t>
        </is>
      </c>
      <c r="I94" s="15" t="inlineStr">
        <is>
          <t>1</t>
        </is>
      </c>
      <c r="J94" s="18"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18" t="inlineStr"/>
      <c r="L94" s="18" t="inlineStr">
        <is>
          <t>Oral contraceptive</t>
        </is>
      </c>
      <c r="M94" s="18" t="inlineStr">
        <is>
          <t>Clinic</t>
        </is>
      </c>
      <c r="N94" s="18" t="inlineStr">
        <is>
          <t>ข้อ 5 (PLE_CC1_2555 Day 2.md)</t>
        </is>
      </c>
      <c r="O94" s="18" t="inlineStr">
        <is>
          <t>ข้อสอบจริง</t>
        </is>
      </c>
      <c r="P94" s="18" t="inlineStr">
        <is>
          <t>ปี 2555</t>
        </is>
      </c>
    </row>
    <row r="95">
      <c r="A95" s="15" t="inlineStr">
        <is>
          <t>93</t>
        </is>
      </c>
      <c r="B95" s="18" t="inlineStr">
        <is>
          <t>ผู้ป่วยที่มีภาวะใดมีห้ามใช้ฮอร์โมนที่ประกอบด้วย Estrogen</t>
        </is>
      </c>
      <c r="C95" s="18" t="inlineStr"/>
      <c r="D95" s="18" t="inlineStr">
        <is>
          <t>Levonorgestrel 1.5 mg stat (Emergency)</t>
        </is>
      </c>
      <c r="E95" s="18" t="inlineStr">
        <is>
          <t>Mefenamic acid 500 mg TID</t>
        </is>
      </c>
      <c r="F95" s="18" t="inlineStr">
        <is>
          <t>Tamsulosin 0.4 mg HS</t>
        </is>
      </c>
      <c r="G95" s="18" t="inlineStr">
        <is>
          <t>Finasteride 5 mg OD</t>
        </is>
      </c>
      <c r="H95" s="18" t="inlineStr">
        <is>
          <t>Oxybutynin 5 mg BID</t>
        </is>
      </c>
      <c r="I95" s="15" t="inlineStr">
        <is>
          <t>1</t>
        </is>
      </c>
      <c r="J95" s="18"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ค.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ง. (Finasteride 5 mg OD): ข้อนี้ไม่ใช่คำตอบที่ถูกต้องสำหรับภาวะ Hormonal replacement เนื่องจากกลไกการออกฤทธิ์, efficacy หรือข้อบ่งใช้ไม่ตรงกับโจทย์ที่กำหนด
• ข้อ จ. (Oxybutynin 5 mg BID):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18" t="inlineStr"/>
      <c r="L95" s="18" t="inlineStr">
        <is>
          <t>Hormonal replacement</t>
        </is>
      </c>
      <c r="M95" s="18" t="inlineStr">
        <is>
          <t>Clinic</t>
        </is>
      </c>
      <c r="N95" s="18" t="inlineStr">
        <is>
          <t>ข้อ 3 (PLE_CC1_2555 Day 2.md)</t>
        </is>
      </c>
      <c r="O95" s="18" t="inlineStr">
        <is>
          <t>ข้อสอบจริง</t>
        </is>
      </c>
      <c r="P95" s="18" t="inlineStr">
        <is>
          <t>ปี 2555</t>
        </is>
      </c>
    </row>
    <row r="96">
      <c r="A96" s="15" t="inlineStr">
        <is>
          <t>94</t>
        </is>
      </c>
      <c r="B96" s="18" t="inlineStr">
        <is>
          <t>ผู้ที่ตัดมดลูกไปแล้วสามารถใช้ estrogen อย่างเดียวได้</t>
        </is>
      </c>
      <c r="C96" s="18" t="inlineStr"/>
      <c r="D96" s="18" t="inlineStr">
        <is>
          <t>Finasteride 5 mg OD</t>
        </is>
      </c>
      <c r="E96" s="18" t="inlineStr">
        <is>
          <t>Oxybutynin 5 mg BID</t>
        </is>
      </c>
      <c r="F96" s="18" t="inlineStr">
        <is>
          <t>Tolterodine 2 mg BID</t>
        </is>
      </c>
      <c r="G96" s="18" t="inlineStr">
        <is>
          <t>Dydrogesterone 10 mg BID</t>
        </is>
      </c>
      <c r="H96" s="18" t="inlineStr">
        <is>
          <t>Ethinylestradiol 30 mcg + Levonorgestrel 150 mcg</t>
        </is>
      </c>
      <c r="I96" s="15" t="inlineStr">
        <is>
          <t>1</t>
        </is>
      </c>
      <c r="J96" s="18"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18" t="inlineStr"/>
      <c r="L96" s="18" t="inlineStr">
        <is>
          <t>Hormonal replacement</t>
        </is>
      </c>
      <c r="M96" s="18" t="inlineStr">
        <is>
          <t>Clinic</t>
        </is>
      </c>
      <c r="N96" s="18" t="inlineStr">
        <is>
          <t>ข้อ 2 (PLE_CC1_2555 Day 2.md)</t>
        </is>
      </c>
      <c r="O96" s="18" t="inlineStr">
        <is>
          <t>ข้อสอบจริง</t>
        </is>
      </c>
      <c r="P96" s="18" t="inlineStr">
        <is>
          <t>ปี 2555</t>
        </is>
      </c>
    </row>
    <row r="97">
      <c r="A97" s="15" t="inlineStr">
        <is>
          <t>95</t>
        </is>
      </c>
      <c r="B97" s="18" t="inlineStr">
        <is>
          <t>ข้อดีของยาคุมกำเนิดในรูปแผ่นแปะที่แตกต่างจากยาคุมกำเนิดแบบรับประทานคือข้อใด</t>
        </is>
      </c>
      <c r="C97" s="18" t="inlineStr"/>
      <c r="D97" s="18" t="inlineStr">
        <is>
          <t>Dydrogesterone 10 mg BID</t>
        </is>
      </c>
      <c r="E97" s="18" t="inlineStr">
        <is>
          <t>Ethinylestradiol 30 mcg + Levonorgestrel 150 mcg</t>
        </is>
      </c>
      <c r="F97" s="18" t="inlineStr">
        <is>
          <t>Ethinylestradiol 30 mcg + Drospirenone 3 mg</t>
        </is>
      </c>
      <c r="G97" s="18" t="inlineStr">
        <is>
          <t>Ethinylestradiol 35 mcg + Cyproterone acetate 2 mg</t>
        </is>
      </c>
      <c r="H97" s="18" t="inlineStr">
        <is>
          <t>Desogestrel 75 mcg OD (Progestin-only)</t>
        </is>
      </c>
      <c r="I97" s="15" t="inlineStr">
        <is>
          <t>1</t>
        </is>
      </c>
      <c r="J97" s="18"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18" t="inlineStr"/>
      <c r="L97" s="18" t="inlineStr">
        <is>
          <t>Oral contraceptive</t>
        </is>
      </c>
      <c r="M97" s="18" t="inlineStr">
        <is>
          <t>Clinic</t>
        </is>
      </c>
      <c r="N97" s="18" t="inlineStr">
        <is>
          <t>ข้อ 9 (PLE_CC1_2555 Day 2.md)</t>
        </is>
      </c>
      <c r="O97" s="18" t="inlineStr">
        <is>
          <t>ข้อสอบจริง</t>
        </is>
      </c>
      <c r="P97" s="18" t="inlineStr">
        <is>
          <t>ปี 2555</t>
        </is>
      </c>
    </row>
    <row r="98">
      <c r="A98" s="15" t="inlineStr">
        <is>
          <t>96</t>
        </is>
      </c>
      <c r="B98" s="18" t="inlineStr">
        <is>
          <t>ห้ามใช้ในหญิงตั้งครรภ์ เนื่องจากเป็น Pregnancy Category X</t>
        </is>
      </c>
      <c r="C98" s="18" t="inlineStr"/>
      <c r="D98" s="18" t="inlineStr">
        <is>
          <t>Ethinylestradiol 35 mcg + Cyproterone acetate 2 mg</t>
        </is>
      </c>
      <c r="E98" s="18" t="inlineStr">
        <is>
          <t>Desogestrel 75 mcg OD (Progestin-only)</t>
        </is>
      </c>
      <c r="F98" s="18" t="inlineStr">
        <is>
          <t>Levonorgestrel 1.5 mg stat (Emergency)</t>
        </is>
      </c>
      <c r="G98" s="18" t="inlineStr">
        <is>
          <t>Mefenamic acid 500 mg TID</t>
        </is>
      </c>
      <c r="H98" s="18" t="inlineStr">
        <is>
          <t>Tamsulosin 0.4 mg HS</t>
        </is>
      </c>
      <c r="I98" s="15" t="inlineStr">
        <is>
          <t>1</t>
        </is>
      </c>
      <c r="J98" s="18"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18" t="inlineStr"/>
      <c r="L98" s="18" t="inlineStr">
        <is>
          <t>Oral contraceptive</t>
        </is>
      </c>
      <c r="M98" s="18" t="inlineStr">
        <is>
          <t>Clinic</t>
        </is>
      </c>
      <c r="N98" s="18" t="inlineStr">
        <is>
          <t>ข้อ 3 (PLE_CC1_2533.md)</t>
        </is>
      </c>
      <c r="O98" s="18" t="inlineStr">
        <is>
          <t>ข้อสอบจริง</t>
        </is>
      </c>
      <c r="P98" s="18" t="inlineStr">
        <is>
          <t>ปี 2533</t>
        </is>
      </c>
    </row>
    <row r="99">
      <c r="A99" s="15" t="inlineStr">
        <is>
          <t>97</t>
        </is>
      </c>
      <c r="B99" s="18"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18" t="inlineStr"/>
      <c r="D99" s="18" t="inlineStr">
        <is>
          <t>Mefenamic acid 500 mg TID</t>
        </is>
      </c>
      <c r="E99" s="18" t="inlineStr">
        <is>
          <t>Tamsulosin 0.4 mg HS</t>
        </is>
      </c>
      <c r="F99" s="18" t="inlineStr">
        <is>
          <t>Finasteride 5 mg OD</t>
        </is>
      </c>
      <c r="G99" s="18" t="inlineStr">
        <is>
          <t>Oxybutynin 5 mg BID</t>
        </is>
      </c>
      <c r="H99" s="18" t="inlineStr">
        <is>
          <t>Tolterodine 2 mg BID</t>
        </is>
      </c>
      <c r="I99" s="15" t="inlineStr">
        <is>
          <t>1</t>
        </is>
      </c>
      <c r="J99" s="18"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18" t="inlineStr"/>
      <c r="L99" s="18" t="inlineStr">
        <is>
          <t>Oral contraceptive</t>
        </is>
      </c>
      <c r="M99" s="18" t="inlineStr">
        <is>
          <t>Clinic</t>
        </is>
      </c>
      <c r="N99" s="18" t="inlineStr">
        <is>
          <t>ข้อ 5 (PLE_CC1_2533.md)</t>
        </is>
      </c>
      <c r="O99" s="18" t="inlineStr">
        <is>
          <t>ข้อสอบจริง</t>
        </is>
      </c>
      <c r="P99" s="18" t="inlineStr">
        <is>
          <t>ปี 2533</t>
        </is>
      </c>
    </row>
    <row r="100">
      <c r="A100" s="15" t="inlineStr">
        <is>
          <t>98</t>
        </is>
      </c>
      <c r="B100" s="18" t="inlineStr">
        <is>
          <t>ยาฆ่าเชื้อในข้อใดมีข้อห้ามใช้ในระหว่างการตั้งครรภ์ (Pregnancy category X)</t>
        </is>
      </c>
      <c r="C100" s="18" t="inlineStr"/>
      <c r="D100" s="18" t="inlineStr">
        <is>
          <t>Amoxycillin</t>
        </is>
      </c>
      <c r="E100" s="18" t="inlineStr">
        <is>
          <t>Azithromycin</t>
        </is>
      </c>
      <c r="F100" s="18" t="inlineStr">
        <is>
          <t>Clarithromycin</t>
        </is>
      </c>
      <c r="G100" s="18" t="inlineStr">
        <is>
          <t>Chloramphenicol</t>
        </is>
      </c>
      <c r="H100" s="18" t="inlineStr">
        <is>
          <t>Ethinylestradiol 30 mcg + Drospirenone 3 mg</t>
        </is>
      </c>
      <c r="I100" s="15" t="inlineStr">
        <is>
          <t>1</t>
        </is>
      </c>
      <c r="J100" s="18"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18" t="inlineStr"/>
      <c r="L100" s="18" t="inlineStr">
        <is>
          <t>Oral contraceptive</t>
        </is>
      </c>
      <c r="M100" s="18" t="inlineStr">
        <is>
          <t>Clinic</t>
        </is>
      </c>
      <c r="N100" s="18" t="inlineStr">
        <is>
          <t>ข้อ 30 (PLE_CC1_Practice_Exam.md)</t>
        </is>
      </c>
      <c r="O100" s="18" t="inlineStr">
        <is>
          <t>Mock</t>
        </is>
      </c>
      <c r="P100" s="18" t="inlineStr">
        <is>
          <t>Mock สภาเภสัชฯ Practice</t>
        </is>
      </c>
    </row>
    <row r="101">
      <c r="A101" s="15" t="inlineStr">
        <is>
          <t>99</t>
        </is>
      </c>
      <c r="B101" s="18" t="inlineStr">
        <is>
          <t>ข้อใดไม่ใช่ข้อบ่งใช้ของ Estrogen replacement</t>
        </is>
      </c>
      <c r="C101" s="18" t="inlineStr"/>
      <c r="D101" s="18" t="inlineStr">
        <is>
          <t>ผู้ป่วยตัดรังไข่จากการเป็นเนื้องอก</t>
        </is>
      </c>
      <c r="E101" s="18" t="inlineStr">
        <is>
          <t>ทนแทนในสตรีวัยหมดประจำเดือน</t>
        </is>
      </c>
      <c r="F101" s="18" t="inlineStr">
        <is>
          <t>ป้องกันกระดูกพรุน</t>
        </is>
      </c>
      <c r="G101" s="18" t="inlineStr">
        <is>
          <t>มีอาการจาก vasomotor symptoms</t>
        </is>
      </c>
      <c r="H101" s="18" t="inlineStr">
        <is>
          <t>อาการทางระบบสืบพันธุ์หรือระบบขับถ่ายปัสสาวะ จงใช้โครงสร้างของ Estradiol ตอบคำถามข้อ 27</t>
        </is>
      </c>
      <c r="I101" s="15" t="inlineStr">
        <is>
          <t>1</t>
        </is>
      </c>
      <c r="J101" s="18"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(ป้องกันกระดูกพรุน):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ง. (มีอาการจาก vasomotor symptoms): ข้อนี้ไม่ใช่คำตอบที่ถูกต้องสำหรับภาวะ Hormonal replacement เนื่องจากกลไกการออกฤทธิ์, efficacy หรือข้อบ่งใช้ไม่ตรงกับโจทย์ที่กำหนด
• ข้อ จ. (อาการทางระบบสืบพันธุ์หรือระบบขับถ่ายปัสสาวะ จงใช้โครงสร้างของ Estradiol ตอบคำถามข้อ 27):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8" t="inlineStr"/>
      <c r="L101" s="18" t="inlineStr">
        <is>
          <t>Hormonal replacement</t>
        </is>
      </c>
      <c r="M101" s="18" t="inlineStr">
        <is>
          <t>Clinic</t>
        </is>
      </c>
      <c r="N101" s="18" t="inlineStr">
        <is>
          <t>ข้อ 26 (PLE_CC1_Practice_Exam.md)</t>
        </is>
      </c>
      <c r="O101" s="18" t="inlineStr">
        <is>
          <t>Mock</t>
        </is>
      </c>
      <c r="P101" s="18" t="inlineStr">
        <is>
          <t>Mock สภาเภสัชฯ Practice</t>
        </is>
      </c>
    </row>
    <row r="102">
      <c r="A102" s="15" t="inlineStr">
        <is>
          <t>100</t>
        </is>
      </c>
      <c r="B102" s="18"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18" t="inlineStr"/>
      <c r="D102" s="18" t="inlineStr">
        <is>
          <t>ตาปลาเกิดจากการสวมรองเท้าที่ไม่พอดี</t>
        </is>
      </c>
      <c r="E102" s="18" t="inlineStr">
        <is>
          <t>ตาปลาเกิดจากการไม่ชอบสวมรองเท้าเดิน</t>
        </is>
      </c>
      <c r="F102" s="18" t="inlineStr">
        <is>
          <t>ตาปลาอาจเกิดได้จากรูปเท้าที่ผิดปกติ</t>
        </is>
      </c>
      <c r="G102" s="18" t="inlineStr">
        <is>
          <t>ตาปลาเกิดจากการติดเชื้อ ซึ่งมักเกิดตามมาหลังจากเป็นแผลที่เท้า</t>
        </is>
      </c>
      <c r="H102" s="18"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15" t="inlineStr">
        <is>
          <t>1</t>
        </is>
      </c>
      <c r="J102" s="18"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ข้อนี้ไม่ใช่คำตอบที่ถูกต้องสำหรับภาวะ Oral contraceptive เนื่องจากกลไกการออกฤทธิ์, efficacy หรือข้อบ่งใช้ไม่ตรงกับโจทย์ที่กำหนด
• ข้อ ค. (ตาปลาอาจเกิดได้จากรูปเท้าที่ผิดปกติ):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(ตาปลาเกิดจากการติดเชื้อ ซึ่งมักเกิดตามมาหลังจากเป็นแผลที่เท้า): ข้อนี้ไม่ใช่คำตอบที่ถูกต้องสำหรับภาวะ Oral contraceptive เนื่องจากกลไกการออกฤทธิ์, efficacy หรือข้อบ่งใช้ไม่ตรงกับโจทย์ที่กำหนด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18" t="inlineStr"/>
      <c r="L102" s="18" t="inlineStr">
        <is>
          <t>Oral contraceptive</t>
        </is>
      </c>
      <c r="M102" s="18" t="inlineStr">
        <is>
          <t>Clinic</t>
        </is>
      </c>
      <c r="N102" s="18" t="inlineStr">
        <is>
          <t>ข้อ 20 (PLE_CC1_Practice_Exam.md)</t>
        </is>
      </c>
      <c r="O102" s="18" t="inlineStr">
        <is>
          <t>Mock</t>
        </is>
      </c>
      <c r="P102" s="18" t="inlineStr">
        <is>
          <t>Mock สภาเภสัชฯ Practice</t>
        </is>
      </c>
    </row>
    <row r="103">
      <c r="A103" s="15" t="inlineStr">
        <is>
          <t>101</t>
        </is>
      </c>
      <c r="B103" s="18" t="inlineStr">
        <is>
          <t>จากข้อ 28 หากผู้ป่วยกำลังตั้งครรภ์ ควรได้รับการรักษาด้วยยาในข้อใด</t>
        </is>
      </c>
      <c r="C103" s="18" t="inlineStr"/>
      <c r="D103" s="18" t="inlineStr">
        <is>
          <t>1% Gamma-benzene hexachloride ข. 25 % Benzyl benzoate</t>
        </is>
      </c>
      <c r="E103" s="18" t="inlineStr">
        <is>
          <t>12.5 % Benzyl benzoate</t>
        </is>
      </c>
      <c r="F103" s="18" t="inlineStr">
        <is>
          <t>10 - 15% Precipitated sulfur</t>
        </is>
      </c>
      <c r="G103" s="18" t="inlineStr">
        <is>
          <t>5% Permethrin cream</t>
        </is>
      </c>
      <c r="H103" s="18" t="inlineStr">
        <is>
          <t>Dydrogesterone 10 mg BID</t>
        </is>
      </c>
      <c r="I103" s="15" t="inlineStr">
        <is>
          <t>1</t>
        </is>
      </c>
      <c r="J103" s="18"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ข้อนี้ไม่ใช่คำตอบที่ถูกต้องสำหรับภาวะ Oral contraceptive เนื่องจากกลไกการออกฤทธิ์, efficacy หรือข้อบ่งใช้ไม่ตรงกับโจทย์ที่กำหนด
• ข้อ ค. (10 - 15% Precipitated sulfur): ข้อนี้ไม่ใช่คำตอบที่ถูกต้องสำหรับภาวะ Oral contraceptive เนื่องจากกลไกการออกฤทธิ์, efficacy หรือข้อบ่งใช้ไม่ตรงกับโจทย์ที่กำหนด
• ข้อ ง. (5% Permethrin cream):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18" t="inlineStr"/>
      <c r="L103" s="18" t="inlineStr">
        <is>
          <t>Oral contraceptive</t>
        </is>
      </c>
      <c r="M103" s="18" t="inlineStr">
        <is>
          <t>Clinic</t>
        </is>
      </c>
      <c r="N103" s="18" t="inlineStr">
        <is>
          <t>ข้อ 30 (PLE_CC1_Practice_Exam.md)</t>
        </is>
      </c>
      <c r="O103" s="18" t="inlineStr">
        <is>
          <t>Mock</t>
        </is>
      </c>
      <c r="P103" s="18" t="inlineStr">
        <is>
          <t>Mock สภาเภสัชฯ Practice</t>
        </is>
      </c>
    </row>
    <row r="104">
      <c r="A104" s="15" t="inlineStr">
        <is>
          <t>102</t>
        </is>
      </c>
      <c r="B104" s="18" t="inlineStr">
        <is>
          <t>ผู้ป่วยที่ตั้งครรภ์</t>
        </is>
      </c>
      <c r="C104" s="18" t="inlineStr"/>
      <c r="D104" s="18" t="inlineStr">
        <is>
          <t>Tolterodine 2 mg BID</t>
        </is>
      </c>
      <c r="E104" s="18" t="inlineStr">
        <is>
          <t>Dydrogesterone 10 mg BID</t>
        </is>
      </c>
      <c r="F104" s="18" t="inlineStr">
        <is>
          <t>Ethinylestradiol 30 mcg + Levonorgestrel 150 mcg</t>
        </is>
      </c>
      <c r="G104" s="18" t="inlineStr">
        <is>
          <t>Ethinylestradiol 30 mcg + Drospirenone 3 mg</t>
        </is>
      </c>
      <c r="H104" s="18" t="inlineStr">
        <is>
          <t>Ethinylestradiol 35 mcg + Cyproterone acetate 2 mg</t>
        </is>
      </c>
      <c r="I104" s="15" t="inlineStr">
        <is>
          <t>1</t>
        </is>
      </c>
      <c r="J104" s="18"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18" t="inlineStr"/>
      <c r="L104" s="18" t="inlineStr">
        <is>
          <t>Oral contraceptive</t>
        </is>
      </c>
      <c r="M104" s="18" t="inlineStr">
        <is>
          <t>Clinic</t>
        </is>
      </c>
      <c r="N104" s="18" t="inlineStr">
        <is>
          <t>ข้อ 5 (PLE_CC1_Practice_Exam.md)</t>
        </is>
      </c>
      <c r="O104" s="18" t="inlineStr">
        <is>
          <t>Mock</t>
        </is>
      </c>
      <c r="P104" s="18" t="inlineStr">
        <is>
          <t>Mock สภาเภสัชฯ Practice</t>
        </is>
      </c>
    </row>
    <row r="105">
      <c r="A105" s="15" t="inlineStr">
        <is>
          <t>103</t>
        </is>
      </c>
      <c r="B105" s="18" t="inlineStr">
        <is>
          <t>ข้อใดผิดเกี่ยวกับกลไกออกฤทธิ์ของยาคุมกำเนิด</t>
        </is>
      </c>
      <c r="C105" s="18" t="inlineStr"/>
      <c r="D105" s="18" t="inlineStr">
        <is>
          <t>Estrogen ยับยั้งการหลั่ง FSH กดการเจริญของ follicle</t>
        </is>
      </c>
      <c r="E105" s="18" t="inlineStr">
        <is>
          <t>Progesterone ยับยั้งการหลั่ง LH ทำให้ไม่เกิดการตกไข่</t>
        </is>
      </c>
      <c r="F105" s="18" t="inlineStr">
        <is>
          <t>Estrogen มีผลทำให้มูกที่ปากมดลูกข้นเหนียว ทำให้ sperm ผ่านได้ยาก</t>
        </is>
      </c>
      <c r="G105" s="18" t="inlineStr">
        <is>
          <t>ปริมาณของ hormone เพิ่มมากขึ้น มีผลต่อการ contraction ของ uterus และ fallopian tube</t>
        </is>
      </c>
      <c r="H105" s="18" t="inlineStr">
        <is>
          <t>ปริมาณ Estrogen และ Progesterone ไม่เหมาะสมต่อการฝังตัวของตัวอ่อน</t>
        </is>
      </c>
      <c r="I105" s="15" t="inlineStr">
        <is>
          <t>1</t>
        </is>
      </c>
      <c r="J105" s="18"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(Estrogen มีผลทำให้มูกที่ปากมดลูกข้นเหนียว ทำให้ sperm ผ่านได้ยาก): ข้อนี้ไม่ใช่คำตอบที่ถูกต้องสำหรับภาวะ Oral contraceptive เนื่องจากกลไกการออกฤทธิ์, efficacy หรือข้อบ่งใช้ไม่ตรงกับโจทย์ที่กำหนด
• ข้อ ง. (ปริมาณของ hormone เพิ่มมากขึ้น มีผลต่อการ contraction ของ uterus และ fallopian tube): ข้อนี้ไม่ใช่คำตอบที่ถูกต้องสำหรับภาวะ Oral contraceptive เนื่องจากกลไกการออกฤทธิ์, efficacy หรือข้อบ่งใช้ไม่ตรงกับโจทย์ที่กำหนด
• ข้อ จ. (ปริมาณ Estrogen และ Progesterone ไม่เหมาะสมต่อการฝังตัวของตัวอ่อน):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18" t="inlineStr"/>
      <c r="L105" s="18" t="inlineStr">
        <is>
          <t>Oral contraceptive</t>
        </is>
      </c>
      <c r="M105" s="18" t="inlineStr">
        <is>
          <t>Clinic</t>
        </is>
      </c>
      <c r="N105" s="18" t="inlineStr">
        <is>
          <t>ข้อ 7 (PLE_CC1_Practice_Exam.md)</t>
        </is>
      </c>
      <c r="O105" s="18" t="inlineStr">
        <is>
          <t>Mock</t>
        </is>
      </c>
      <c r="P105" s="18" t="inlineStr">
        <is>
          <t>Mock สภาเภสัชฯ Practice</t>
        </is>
      </c>
    </row>
    <row r="106">
      <c r="A106" s="15" t="inlineStr">
        <is>
          <t>104</t>
        </is>
      </c>
      <c r="B106" s="18" t="inlineStr">
        <is>
          <t>ยาคุมกำเนิดรับประทานขณะให้นมบุตร คือข้อใด</t>
        </is>
      </c>
      <c r="C106" s="18" t="inlineStr"/>
      <c r="D106" s="18" t="inlineStr">
        <is>
          <t>Lynestrenol</t>
        </is>
      </c>
      <c r="E106" s="18" t="inlineStr">
        <is>
          <t>Levonorgestrel</t>
        </is>
      </c>
      <c r="F106" s="18" t="inlineStr">
        <is>
          <t>Ethinyl estradiol + Levonorgestrel</t>
        </is>
      </c>
      <c r="G106" s="18" t="inlineStr">
        <is>
          <t>Ethinyl estradiol + Desogestrol</t>
        </is>
      </c>
      <c r="H106" s="18" t="inlineStr">
        <is>
          <t>Oxybutynin 5 mg BID</t>
        </is>
      </c>
      <c r="I106" s="15" t="inlineStr">
        <is>
          <t>1</t>
        </is>
      </c>
      <c r="J106" s="18"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Desogestrol):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18" t="inlineStr"/>
      <c r="L106" s="18" t="inlineStr">
        <is>
          <t>Oral contraceptive</t>
        </is>
      </c>
      <c r="M106" s="18" t="inlineStr">
        <is>
          <t>Clinic</t>
        </is>
      </c>
      <c r="N106" s="18" t="inlineStr">
        <is>
          <t>ข้อ 13 (PLE_CC1_Practice_Exam.md)</t>
        </is>
      </c>
      <c r="O106" s="18" t="inlineStr">
        <is>
          <t>Mock</t>
        </is>
      </c>
      <c r="P106" s="18" t="inlineStr">
        <is>
          <t>Mock สภาเภสัชฯ Practice</t>
        </is>
      </c>
    </row>
    <row r="107">
      <c r="A107" s="15" t="inlineStr">
        <is>
          <t>105</t>
        </is>
      </c>
      <c r="B107" s="18"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18" t="inlineStr"/>
      <c r="D107" s="18" t="inlineStr">
        <is>
          <t>ควรเลือกจ่าย POPs ก่อน COCs เพราะ POPs ไม่จำเป็นต้องกินยาให้ตรงเวลาเหมือน COCs</t>
        </is>
      </c>
      <c r="E107" s="18" t="inlineStr">
        <is>
          <t>สามารถเริ่มกินยาในวันใดก็ได้ ที่มั่นใจว่าไม่มีการตั้งครรภ์ และไม่ต้องมีการ Back Up</t>
        </is>
      </c>
      <c r="F107" s="18" t="inlineStr">
        <is>
          <t>เริ่มกินยาภายในไม่เกิน 5 วันแรกของการมีประจำเดือน และต้องทำการ Back Up 7 วัน</t>
        </is>
      </c>
      <c r="G107" s="18" t="inlineStr">
        <is>
          <t>กรณีลืมกินยา 1 เม็ด สามารถกินยาเม็ดที่ลืมทันทีที่นึกได้ แล้วกินเม็ดต่อไปได้ตามปกติ</t>
        </is>
      </c>
      <c r="H107" s="18"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15" t="inlineStr">
        <is>
          <t>1</t>
        </is>
      </c>
      <c r="J107" s="18"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ข้อนี้ไม่ใช่คำตอบที่ถูกต้องสำหรับภาวะ Oral contraceptive เนื่องจากกลไกการออกฤทธิ์, efficacy หรือข้อบ่งใช้ไม่ตรงกับโจทย์ที่กำหนด
• ข้อ ค. (เริ่มกินยาภายในไม่เกิน 5 วันแรกของการมีประจำเดือน และต้องทำการ Back Up 7 วัน): ข้อนี้ไม่ใช่คำตอบที่ถูกต้องสำหรับภาวะ Oral contraceptive เนื่องจากกลไกการออกฤทธิ์, efficacy หรือข้อบ่งใช้ไม่ตรงกับโจทย์ที่กำหนด
• ข้อ ง. (กรณีลืมกินยา 1 เม็ด สามารถกินยาเม็ดที่ลืมทันทีที่นึกได้ แล้วกินเม็ดต่อไปได้ตามปกติ): ข้อนี้ไม่ใช่คำตอบที่ถูกต้องสำหรับภาวะ Oral contraceptive เนื่องจากกลไกการออกฤทธิ์, efficacy หรือข้อบ่งใช้ไม่ตรงกับโจทย์ที่กำหนด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18" t="inlineStr"/>
      <c r="L107" s="18" t="inlineStr">
        <is>
          <t>Oral contraceptive</t>
        </is>
      </c>
      <c r="M107" s="18" t="inlineStr">
        <is>
          <t>Clinic</t>
        </is>
      </c>
      <c r="N107" s="18" t="inlineStr">
        <is>
          <t>ข้อ 29 (PLE_CC1_Practice_Exam.md)</t>
        </is>
      </c>
      <c r="O107" s="18" t="inlineStr">
        <is>
          <t>Mock</t>
        </is>
      </c>
      <c r="P107" s="18" t="inlineStr">
        <is>
          <t>Mock สภาเภสัชฯ Practice</t>
        </is>
      </c>
    </row>
    <row r="108">
      <c r="A108" s="15" t="inlineStr">
        <is>
          <t>106</t>
        </is>
      </c>
      <c r="B108" s="18" t="inlineStr">
        <is>
          <t>ยาใดห้ำมให้ในหญิงตั้งครรภ์</t>
        </is>
      </c>
      <c r="C108" s="18" t="inlineStr"/>
      <c r="D108" s="18" t="inlineStr">
        <is>
          <t>Dydrogesterone 10 mg BID</t>
        </is>
      </c>
      <c r="E108" s="18" t="inlineStr">
        <is>
          <t>Ethinylestradiol 30 mcg + Levonorgestrel 150 mcg</t>
        </is>
      </c>
      <c r="F108" s="18" t="inlineStr">
        <is>
          <t>Ethinylestradiol 30 mcg + Drospirenone 3 mg</t>
        </is>
      </c>
      <c r="G108" s="18" t="inlineStr">
        <is>
          <t>Ethinylestradiol 35 mcg + Cyproterone acetate 2 mg</t>
        </is>
      </c>
      <c r="H108" s="18" t="inlineStr">
        <is>
          <t>Desogestrel 75 mcg OD (Progestin-only)</t>
        </is>
      </c>
      <c r="I108" s="15" t="inlineStr">
        <is>
          <t>1</t>
        </is>
      </c>
      <c r="J108" s="18"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18" t="inlineStr"/>
      <c r="L108" s="18" t="inlineStr">
        <is>
          <t>Oral contraceptive</t>
        </is>
      </c>
      <c r="M108" s="18" t="inlineStr">
        <is>
          <t>Clinic</t>
        </is>
      </c>
      <c r="N108" s="18" t="inlineStr">
        <is>
          <t>ข้อ 3 (PLE_CC1_Key_Rx20_UBU.md)</t>
        </is>
      </c>
      <c r="O108" s="18" t="inlineStr">
        <is>
          <t>Mock</t>
        </is>
      </c>
      <c r="P108" s="18" t="inlineStr">
        <is>
          <t>Mock Rx20 UBU</t>
        </is>
      </c>
    </row>
    <row r="109">
      <c r="A109" s="15" t="inlineStr">
        <is>
          <t>107</t>
        </is>
      </c>
      <c r="B109" s="18" t="inlineStr">
        <is>
          <t>ผู้หญิงต้องคุมกำเนิดตั้งแต่เดือนแรกที่ใช้ยา</t>
        </is>
      </c>
      <c r="C109" s="18" t="inlineStr"/>
      <c r="D109" s="18" t="inlineStr">
        <is>
          <t>Ethinylestradiol 35 mcg + Cyproterone acetate 2 mg</t>
        </is>
      </c>
      <c r="E109" s="18" t="inlineStr">
        <is>
          <t>Desogestrel 75 mcg OD (Progestin-only)</t>
        </is>
      </c>
      <c r="F109" s="18" t="inlineStr">
        <is>
          <t>Levonorgestrel 1.5 mg stat (Emergency)</t>
        </is>
      </c>
      <c r="G109" s="18" t="inlineStr">
        <is>
          <t>Mefenamic acid 500 mg TID</t>
        </is>
      </c>
      <c r="H109" s="18" t="inlineStr">
        <is>
          <t>Tamsulosin 0.4 mg HS</t>
        </is>
      </c>
      <c r="I109" s="15" t="inlineStr">
        <is>
          <t>1</t>
        </is>
      </c>
      <c r="J109" s="18"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18" t="inlineStr"/>
      <c r="L109" s="18" t="inlineStr">
        <is>
          <t>Oral contraceptive</t>
        </is>
      </c>
      <c r="M109" s="18" t="inlineStr">
        <is>
          <t>Clinic</t>
        </is>
      </c>
      <c r="N109" s="18" t="inlineStr">
        <is>
          <t>ข้อ 1 (PLE_CC1_Key_Rx20_UBU.md)</t>
        </is>
      </c>
      <c r="O109" s="18" t="inlineStr">
        <is>
          <t>Mock</t>
        </is>
      </c>
      <c r="P109" s="18" t="inlineStr">
        <is>
          <t>Mock Rx20 UBU</t>
        </is>
      </c>
    </row>
    <row r="110">
      <c r="A110" s="15" t="inlineStr">
        <is>
          <t>108</t>
        </is>
      </c>
      <c r="B110" s="18"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18" t="inlineStr"/>
      <c r="D110" s="18" t="inlineStr">
        <is>
          <t>Mefenamic acid 500 mg TID</t>
        </is>
      </c>
      <c r="E110" s="18" t="inlineStr">
        <is>
          <t>Tamsulosin 0.4 mg HS</t>
        </is>
      </c>
      <c r="F110" s="18" t="inlineStr">
        <is>
          <t>Finasteride 5 mg OD</t>
        </is>
      </c>
      <c r="G110" s="18" t="inlineStr">
        <is>
          <t>Oxybutynin 5 mg BID</t>
        </is>
      </c>
      <c r="H110" s="18" t="inlineStr">
        <is>
          <t>Tolterodine 2 mg BID</t>
        </is>
      </c>
      <c r="I110" s="15" t="inlineStr">
        <is>
          <t>4</t>
        </is>
      </c>
      <c r="J110" s="18"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18" t="inlineStr"/>
      <c r="L110" s="18" t="inlineStr">
        <is>
          <t>Oral contraceptive</t>
        </is>
      </c>
      <c r="M110" s="18" t="inlineStr">
        <is>
          <t>Clinic</t>
        </is>
      </c>
      <c r="N110" s="18" t="inlineStr">
        <is>
          <t>ข้อ 5 (PLE_CC1_Key_Rx20_UBU.md)</t>
        </is>
      </c>
      <c r="O110" s="18" t="inlineStr">
        <is>
          <t>Mock</t>
        </is>
      </c>
      <c r="P110" s="18" t="inlineStr">
        <is>
          <t>Mock Rx20 UBU</t>
        </is>
      </c>
    </row>
    <row r="111">
      <c r="A111" s="15" t="inlineStr">
        <is>
          <t>109</t>
        </is>
      </c>
      <c r="B111" s="18" t="inlineStr">
        <is>
          <t>เหตุใดจึงต้องระมัดระวังในการยาคุมกำเนิดที่มี Estrogen ให้กับหญิงที่อยู่ระหว่างให้นมบุตร</t>
        </is>
      </c>
      <c r="C111" s="18" t="inlineStr"/>
      <c r="D111" s="18" t="inlineStr">
        <is>
          <t>เนื่องจากยาอาจมีผลลดฮอร์โมน Prolactin</t>
        </is>
      </c>
      <c r="E111" s="18" t="inlineStr">
        <is>
          <t>เนื่องจากยาสามารถผ่านน้ำนมได้และอาจมีผลต่อตับของทารก</t>
        </is>
      </c>
      <c r="F111" s="18" t="inlineStr">
        <is>
          <t>Dydrogesterone 10 mg BID</t>
        </is>
      </c>
      <c r="G111" s="18" t="inlineStr">
        <is>
          <t>Ethinylestradiol 30 mcg + Levonorgestrel 150 mcg</t>
        </is>
      </c>
      <c r="H111" s="18"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15" t="inlineStr">
        <is>
          <t>1</t>
        </is>
      </c>
      <c r="J111" s="18"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18" t="inlineStr"/>
      <c r="L111" s="18" t="inlineStr">
        <is>
          <t>Oral contraceptive</t>
        </is>
      </c>
      <c r="M111" s="18" t="inlineStr">
        <is>
          <t>Clinic</t>
        </is>
      </c>
      <c r="N111" s="18" t="inlineStr">
        <is>
          <t>ข้อ 2 (PLE_CC1_Key_Rx20_UBU.md)</t>
        </is>
      </c>
      <c r="O111" s="18" t="inlineStr">
        <is>
          <t>Mock</t>
        </is>
      </c>
      <c r="P111" s="18" t="inlineStr">
        <is>
          <t>Mock Rx20 UBU</t>
        </is>
      </c>
    </row>
    <row r="112">
      <c r="A112" s="15" t="inlineStr">
        <is>
          <t>110</t>
        </is>
      </c>
      <c r="B112" s="18" t="inlineStr">
        <is>
          <t>ผู้ป่วยที่มีภาวะใดมีห้ามใช้ฮอร์โมนที่ประกอบด้วย Estrogen</t>
        </is>
      </c>
      <c r="C112" s="18" t="inlineStr"/>
      <c r="D112" s="18" t="inlineStr">
        <is>
          <t>Ethinylestradiol 30 mcg + Levonorgestrel 150 mcg</t>
        </is>
      </c>
      <c r="E112" s="18" t="inlineStr">
        <is>
          <t>Ethinylestradiol 30 mcg + Drospirenone 3 mg</t>
        </is>
      </c>
      <c r="F112" s="18" t="inlineStr">
        <is>
          <t>ลมชัก</t>
        </is>
      </c>
      <c r="G112" s="18" t="inlineStr">
        <is>
          <t>มีภาวะลิ่มเลือดอุดตัน</t>
        </is>
      </c>
      <c r="H112" s="18" t="inlineStr">
        <is>
          <t>Levonorgestrel 1.5 mg stat (Emergency)</t>
        </is>
      </c>
      <c r="I112" s="15" t="inlineStr">
        <is>
          <t>4</t>
        </is>
      </c>
      <c r="J112" s="18"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ค. (ลมชัก):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8" t="inlineStr"/>
      <c r="L112" s="18" t="inlineStr">
        <is>
          <t>Hormonal replacement</t>
        </is>
      </c>
      <c r="M112" s="18" t="inlineStr">
        <is>
          <t>Clinic</t>
        </is>
      </c>
      <c r="N112" s="18" t="inlineStr">
        <is>
          <t>ข้อ 3 (PLE_CC1_Key_Rx20_UBU.md)</t>
        </is>
      </c>
      <c r="O112" s="18" t="inlineStr">
        <is>
          <t>Mock</t>
        </is>
      </c>
      <c r="P112" s="18" t="inlineStr">
        <is>
          <t>Mock Rx20 UBU</t>
        </is>
      </c>
    </row>
    <row r="113">
      <c r="A113" s="15" t="inlineStr">
        <is>
          <t>111</t>
        </is>
      </c>
      <c r="B113" s="18" t="inlineStr">
        <is>
          <t>ข้อดีของยาคุมกำเนิดในรูปแผ่นแปะที่แตกต่างจากยาคุมกำเนิดแบบรับประทานคือข้อใด</t>
        </is>
      </c>
      <c r="C113" s="18" t="inlineStr"/>
      <c r="D113" s="18" t="inlineStr">
        <is>
          <t>Patch ทำให้เกิดผลข้างเคียงได้น้อยกว่า oral contraceptive</t>
        </is>
      </c>
      <c r="E113" s="18" t="inlineStr">
        <is>
          <t>Patch ไม่ทำให้เกิดมะเร็งเต้านมเหมือน oral contraceptive</t>
        </is>
      </c>
      <c r="F113" s="18" t="inlineStr">
        <is>
          <t>Patch ลด first pass metabolism ของ oral contraceptive</t>
        </is>
      </c>
      <c r="G113" s="18" t="inlineStr">
        <is>
          <t>Tamsulosin 0.4 mg HS</t>
        </is>
      </c>
      <c r="H113" s="18" t="inlineStr">
        <is>
          <t>Finasteride 5 mg OD</t>
        </is>
      </c>
      <c r="I113" s="15" t="inlineStr">
        <is>
          <t>3</t>
        </is>
      </c>
      <c r="J113" s="18"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ข. (Patch ไม่ทำให้เกิดมะเร็งเต้านมเหมือน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18" t="inlineStr"/>
      <c r="L113" s="18" t="inlineStr">
        <is>
          <t>Oral contraceptive</t>
        </is>
      </c>
      <c r="M113" s="18" t="inlineStr">
        <is>
          <t>Clinic</t>
        </is>
      </c>
      <c r="N113" s="18" t="inlineStr">
        <is>
          <t>ข้อ 9 (PLE_CC1_Key_Rx20_UBU.md)</t>
        </is>
      </c>
      <c r="O113" s="18" t="inlineStr">
        <is>
          <t>Mock</t>
        </is>
      </c>
      <c r="P113" s="18" t="inlineStr">
        <is>
          <t>Mock Rx20 UBU</t>
        </is>
      </c>
    </row>
    <row r="114">
      <c r="A114" s="15" t="inlineStr">
        <is>
          <t>112</t>
        </is>
      </c>
      <c r="B114" s="18" t="inlineStr">
        <is>
          <t>หากผู้ป่วย cystitis รายนี้กำลังตั้งครรภ์ด้วย ควรพิจารณายาใดให้แก่ผู้ป่วย</t>
        </is>
      </c>
      <c r="C114" s="18" t="inlineStr"/>
      <c r="D114" s="18" t="inlineStr">
        <is>
          <t>Tamsulosin 0.4 mg HS</t>
        </is>
      </c>
      <c r="E114" s="18" t="inlineStr">
        <is>
          <t>Finasteride 5 mg OD</t>
        </is>
      </c>
      <c r="F114" s="18" t="inlineStr">
        <is>
          <t>Oxybutynin 5 mg BID</t>
        </is>
      </c>
      <c r="G114" s="18" t="inlineStr">
        <is>
          <t>Tolterodine 2 mg BID</t>
        </is>
      </c>
      <c r="H114" s="18" t="inlineStr">
        <is>
          <t>Dydrogesterone 10 mg BID</t>
        </is>
      </c>
      <c r="I114" s="15" t="inlineStr">
        <is>
          <t>1</t>
        </is>
      </c>
      <c r="J114" s="18"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18" t="inlineStr"/>
      <c r="L114" s="18" t="inlineStr">
        <is>
          <t>Oral contraceptive</t>
        </is>
      </c>
      <c r="M114" s="18" t="inlineStr">
        <is>
          <t>Clinic</t>
        </is>
      </c>
      <c r="N114" s="18" t="inlineStr">
        <is>
          <t>ข้อ 7 (PLE_CC1_Key_Rx20_UBU.md)</t>
        </is>
      </c>
      <c r="O114" s="18" t="inlineStr">
        <is>
          <t>Mock</t>
        </is>
      </c>
      <c r="P114" s="18" t="inlineStr">
        <is>
          <t>Mock Rx20 UBU</t>
        </is>
      </c>
    </row>
    <row r="115">
      <c r="A115" s="15" t="inlineStr">
        <is>
          <t>113</t>
        </is>
      </c>
      <c r="B115" s="18"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18" t="inlineStr"/>
      <c r="D115" s="18" t="inlineStr">
        <is>
          <t>Tolterodine 2 mg BID</t>
        </is>
      </c>
      <c r="E115" s="18" t="inlineStr">
        <is>
          <t>Dydrogesterone 10 mg BID</t>
        </is>
      </c>
      <c r="F115" s="18" t="inlineStr">
        <is>
          <t>Ethinylestradiol 30 mcg + Levonorgestrel 150 mcg</t>
        </is>
      </c>
      <c r="G115" s="18" t="inlineStr">
        <is>
          <t>Ethinylestradiol 30 mcg + Drospirenone 3 mg</t>
        </is>
      </c>
      <c r="H115" s="18" t="inlineStr">
        <is>
          <t>Ethinylestradiol 35 mcg + Cyproterone acetate 2 mg</t>
        </is>
      </c>
      <c r="I115" s="15" t="inlineStr">
        <is>
          <t>1</t>
        </is>
      </c>
      <c r="J115" s="18"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8" t="inlineStr"/>
      <c r="L115" s="18" t="inlineStr">
        <is>
          <t>Oral contraceptive</t>
        </is>
      </c>
      <c r="M115" s="18" t="inlineStr">
        <is>
          <t>Clinic</t>
        </is>
      </c>
      <c r="N115" s="18" t="inlineStr">
        <is>
          <t>ข้อ 86 (PLE_CC1_Key_Rx20_UBU.md)</t>
        </is>
      </c>
      <c r="O115" s="18" t="inlineStr">
        <is>
          <t>Mock</t>
        </is>
      </c>
      <c r="P115" s="18" t="inlineStr">
        <is>
          <t>Mock Rx20 UBU</t>
        </is>
      </c>
    </row>
    <row r="116">
      <c r="A116" s="15" t="inlineStr">
        <is>
          <t>114</t>
        </is>
      </c>
      <c r="B116" s="18" t="inlineStr">
        <is>
          <t>ถ้าผู้ป่วยรายนี้ ซึ่งเป็นโรค psoriasis ตั้งครรภ์จะสามารถใช้ยาใดต่อไปนี้ได้</t>
        </is>
      </c>
      <c r="C116" s="18" t="inlineStr"/>
      <c r="D116" s="18" t="inlineStr">
        <is>
          <t>Ethinylestradiol 30 mcg + Drospirenone 3 mg</t>
        </is>
      </c>
      <c r="E116" s="18" t="inlineStr">
        <is>
          <t>Ethinylestradiol 35 mcg + Cyproterone acetate 2 mg</t>
        </is>
      </c>
      <c r="F116" s="18" t="inlineStr">
        <is>
          <t>Desogestrel 75 mcg OD (Progestin-only)</t>
        </is>
      </c>
      <c r="G116" s="18" t="inlineStr">
        <is>
          <t>Levonorgestrel 1.5 mg stat (Emergency)</t>
        </is>
      </c>
      <c r="H116" s="18" t="inlineStr">
        <is>
          <t>Mefenamic acid 500 mg TID</t>
        </is>
      </c>
      <c r="I116" s="15" t="inlineStr">
        <is>
          <t>1</t>
        </is>
      </c>
      <c r="J116" s="18"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18" t="inlineStr"/>
      <c r="L116" s="18" t="inlineStr">
        <is>
          <t>Oral contraceptive</t>
        </is>
      </c>
      <c r="M116" s="18" t="inlineStr">
        <is>
          <t>Clinic</t>
        </is>
      </c>
      <c r="N116" s="18" t="inlineStr">
        <is>
          <t>ข้อ 95 (PLE_CC1_Key_Rx20_UBU.md)</t>
        </is>
      </c>
      <c r="O116" s="18" t="inlineStr">
        <is>
          <t>Mock</t>
        </is>
      </c>
      <c r="P116" s="18" t="inlineStr">
        <is>
          <t>Mock Rx20 UBU</t>
        </is>
      </c>
    </row>
    <row r="117">
      <c r="A117" s="15" t="inlineStr">
        <is>
          <t>115</t>
        </is>
      </c>
      <c r="B117" s="18" t="inlineStr">
        <is>
          <t>ผู้หญิงวัยเจริญพันธุ์ไม่ต้องคุมกำเนิด</t>
        </is>
      </c>
      <c r="C117" s="18" t="inlineStr"/>
      <c r="D117" s="18" t="inlineStr">
        <is>
          <t>Levonorgestrel 1.5 mg stat (Emergency)</t>
        </is>
      </c>
      <c r="E117" s="18" t="inlineStr">
        <is>
          <t>Mefenamic acid 500 mg TID</t>
        </is>
      </c>
      <c r="F117" s="18" t="inlineStr">
        <is>
          <t>Tamsulosin 0.4 mg HS</t>
        </is>
      </c>
      <c r="G117" s="18" t="inlineStr">
        <is>
          <t>Finasteride 5 mg OD</t>
        </is>
      </c>
      <c r="H117" s="18" t="inlineStr">
        <is>
          <t>Oxybutynin 5 mg BID</t>
        </is>
      </c>
      <c r="I117" s="15" t="inlineStr">
        <is>
          <t>1</t>
        </is>
      </c>
      <c r="J117" s="18"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18" t="inlineStr"/>
      <c r="L117" s="18" t="inlineStr">
        <is>
          <t>Oral contraceptive</t>
        </is>
      </c>
      <c r="M117" s="18" t="inlineStr">
        <is>
          <t>Clinic</t>
        </is>
      </c>
      <c r="N117" s="18" t="inlineStr">
        <is>
          <t>ข้อ 1 (PLE_CC1_Key_Rx20_UBU.md)</t>
        </is>
      </c>
      <c r="O117" s="18" t="inlineStr">
        <is>
          <t>Mock</t>
        </is>
      </c>
      <c r="P117" s="18" t="inlineStr">
        <is>
          <t>Mock Rx20 UBU</t>
        </is>
      </c>
    </row>
    <row r="118">
      <c r="A118" s="15" t="inlineStr">
        <is>
          <t>116</t>
        </is>
      </c>
      <c r="B118" s="18" t="inlineStr">
        <is>
          <t>ไม่ต้องคุมกำเนิดในระหว่างการรับประทานยา</t>
        </is>
      </c>
      <c r="C118" s="18" t="inlineStr"/>
      <c r="D118" s="18" t="inlineStr">
        <is>
          <t>Finasteride 5 mg OD</t>
        </is>
      </c>
      <c r="E118" s="18" t="inlineStr">
        <is>
          <t>Oxybutynin 5 mg BID</t>
        </is>
      </c>
      <c r="F118" s="18" t="inlineStr">
        <is>
          <t>Tolterodine 2 mg BID</t>
        </is>
      </c>
      <c r="G118" s="18" t="inlineStr">
        <is>
          <t>Dydrogesterone 10 mg BID</t>
        </is>
      </c>
      <c r="H118" s="18" t="inlineStr">
        <is>
          <t>Ethinylestradiol 30 mcg + Levonorgestrel 150 mcg</t>
        </is>
      </c>
      <c r="I118" s="15" t="inlineStr">
        <is>
          <t>1</t>
        </is>
      </c>
      <c r="J118" s="18"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18" t="inlineStr"/>
      <c r="L118" s="18" t="inlineStr">
        <is>
          <t>Oral contraceptive</t>
        </is>
      </c>
      <c r="M118" s="18" t="inlineStr">
        <is>
          <t>Clinic</t>
        </is>
      </c>
      <c r="N118" s="18" t="inlineStr">
        <is>
          <t>ข้อ 1 (PLE_CC1_Key_Rx20_UBU.md)</t>
        </is>
      </c>
      <c r="O118" s="18" t="inlineStr">
        <is>
          <t>Mock</t>
        </is>
      </c>
      <c r="P118" s="18" t="inlineStr">
        <is>
          <t>Mock Rx20 UBU</t>
        </is>
      </c>
    </row>
    <row r="119">
      <c r="A119" s="15" t="inlineStr">
        <is>
          <t>117</t>
        </is>
      </c>
      <c r="B119" s="18" t="inlineStr">
        <is>
          <t>ไม่ต้องคุมกำเนิดก่อน แต่คุมระหว่างได้รับยา</t>
        </is>
      </c>
      <c r="C119" s="18" t="inlineStr"/>
      <c r="D119" s="18" t="inlineStr">
        <is>
          <t>Dydrogesterone 10 mg BID</t>
        </is>
      </c>
      <c r="E119" s="18" t="inlineStr">
        <is>
          <t>Ethinylestradiol 30 mcg + Levonorgestrel 150 mcg</t>
        </is>
      </c>
      <c r="F119" s="18" t="inlineStr">
        <is>
          <t>Ethinylestradiol 30 mcg + Drospirenone 3 mg</t>
        </is>
      </c>
      <c r="G119" s="18" t="inlineStr">
        <is>
          <t>Ethinylestradiol 35 mcg + Cyproterone acetate 2 mg</t>
        </is>
      </c>
      <c r="H119" s="18" t="inlineStr">
        <is>
          <t>Desogestrel 75 mcg OD (Progestin-only)</t>
        </is>
      </c>
      <c r="I119" s="15" t="inlineStr">
        <is>
          <t>1</t>
        </is>
      </c>
      <c r="J119" s="18"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18" t="inlineStr"/>
      <c r="L119" s="18" t="inlineStr">
        <is>
          <t>Oral contraceptive</t>
        </is>
      </c>
      <c r="M119" s="18" t="inlineStr">
        <is>
          <t>Clinic</t>
        </is>
      </c>
      <c r="N119" s="18" t="inlineStr">
        <is>
          <t>ข้อ 2 (PLE_CC1_Key_Rx20_UBU.md)</t>
        </is>
      </c>
      <c r="O119" s="18" t="inlineStr">
        <is>
          <t>Mock</t>
        </is>
      </c>
      <c r="P119" s="18" t="inlineStr">
        <is>
          <t>Mock Rx20 UBU</t>
        </is>
      </c>
    </row>
    <row r="120">
      <c r="A120" s="15" t="inlineStr">
        <is>
          <t>118</t>
        </is>
      </c>
      <c r="B120" s="18" t="inlineStr">
        <is>
          <t>คุมกำเนิดก่อนใช้ยา 1 เดือน และระหว่างใช้ยา</t>
        </is>
      </c>
      <c r="C120" s="18" t="inlineStr"/>
      <c r="D120" s="18" t="inlineStr">
        <is>
          <t>Ethinylestradiol 35 mcg + Cyproterone acetate 2 mg</t>
        </is>
      </c>
      <c r="E120" s="18" t="inlineStr">
        <is>
          <t>Desogestrel 75 mcg OD (Progestin-only)</t>
        </is>
      </c>
      <c r="F120" s="18" t="inlineStr">
        <is>
          <t>Levonorgestrel 1.5 mg stat (Emergency)</t>
        </is>
      </c>
      <c r="G120" s="18" t="inlineStr">
        <is>
          <t>Mefenamic acid 500 mg TID</t>
        </is>
      </c>
      <c r="H120" s="18" t="inlineStr">
        <is>
          <t>Tamsulosin 0.4 mg HS</t>
        </is>
      </c>
      <c r="I120" s="15" t="inlineStr">
        <is>
          <t>1</t>
        </is>
      </c>
      <c r="J120" s="18"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18" t="inlineStr"/>
      <c r="L120" s="18" t="inlineStr">
        <is>
          <t>Oral contraceptive</t>
        </is>
      </c>
      <c r="M120" s="18" t="inlineStr">
        <is>
          <t>Clinic</t>
        </is>
      </c>
      <c r="N120" s="18" t="inlineStr">
        <is>
          <t>ข้อ 3 (PLE_CC1_Key_Rx20_UBU.md)</t>
        </is>
      </c>
      <c r="O120" s="18" t="inlineStr">
        <is>
          <t>Mock</t>
        </is>
      </c>
      <c r="P120" s="18" t="inlineStr">
        <is>
          <t>Mock Rx20 UBU</t>
        </is>
      </c>
    </row>
    <row r="121">
      <c r="A121" s="15" t="inlineStr">
        <is>
          <t>119</t>
        </is>
      </c>
      <c r="B121" s="18" t="inlineStr">
        <is>
          <t>คุมกำเนิดก่อนใช้ยา 1 เดือน และหลังใช้ยา 3 เดือน</t>
        </is>
      </c>
      <c r="C121" s="18" t="inlineStr"/>
      <c r="D121" s="18" t="inlineStr">
        <is>
          <t>Mefenamic acid 500 mg TID</t>
        </is>
      </c>
      <c r="E121" s="18" t="inlineStr">
        <is>
          <t>Tamsulosin 0.4 mg HS</t>
        </is>
      </c>
      <c r="F121" s="18" t="inlineStr">
        <is>
          <t>Finasteride 5 mg OD</t>
        </is>
      </c>
      <c r="G121" s="18" t="inlineStr">
        <is>
          <t>Oxybutynin 5 mg BID</t>
        </is>
      </c>
      <c r="H121" s="18" t="inlineStr">
        <is>
          <t>Tolterodine 2 mg BID</t>
        </is>
      </c>
      <c r="I121" s="15" t="inlineStr">
        <is>
          <t>1</t>
        </is>
      </c>
      <c r="J121" s="18"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18" t="inlineStr"/>
      <c r="L121" s="18" t="inlineStr">
        <is>
          <t>Oral contraceptive</t>
        </is>
      </c>
      <c r="M121" s="18" t="inlineStr">
        <is>
          <t>Clinic</t>
        </is>
      </c>
      <c r="N121" s="18" t="inlineStr">
        <is>
          <t>ข้อ 4 (PLE_CC1_Key_Rx20_UBU.md)</t>
        </is>
      </c>
      <c r="O121" s="18" t="inlineStr">
        <is>
          <t>Mock</t>
        </is>
      </c>
      <c r="P121" s="18" t="inlineStr">
        <is>
          <t>Mock Rx20 UBU</t>
        </is>
      </c>
    </row>
    <row r="122">
      <c r="A122" s="15" t="inlineStr">
        <is>
          <t>120</t>
        </is>
      </c>
      <c r="B122" s="18" t="inlineStr">
        <is>
          <t>คุมกำเนิดก่อนใช้ยา 1 เดือน ระหว่างใช้ยา และหลังใช้ยา 1 เดือน</t>
        </is>
      </c>
      <c r="C122" s="18" t="inlineStr"/>
      <c r="D122" s="18" t="inlineStr">
        <is>
          <t>Oxybutynin 5 mg BID</t>
        </is>
      </c>
      <c r="E122" s="18" t="inlineStr">
        <is>
          <t>Tolterodine 2 mg BID</t>
        </is>
      </c>
      <c r="F122" s="18" t="inlineStr">
        <is>
          <t>Dydrogesterone 10 mg BID</t>
        </is>
      </c>
      <c r="G122" s="18" t="inlineStr">
        <is>
          <t>Ethinylestradiol 30 mcg + Levonorgestrel 150 mcg</t>
        </is>
      </c>
      <c r="H122" s="18" t="inlineStr">
        <is>
          <t>Ethinylestradiol 30 mcg + Drospirenone 3 mg</t>
        </is>
      </c>
      <c r="I122" s="15" t="inlineStr">
        <is>
          <t>1</t>
        </is>
      </c>
      <c r="J122" s="18"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18" t="inlineStr"/>
      <c r="L122" s="18" t="inlineStr">
        <is>
          <t>Oral contraceptive</t>
        </is>
      </c>
      <c r="M122" s="18" t="inlineStr">
        <is>
          <t>Clinic</t>
        </is>
      </c>
      <c r="N122" s="18" t="inlineStr">
        <is>
          <t>ข้อ 5 (PLE_CC1_Key_Rx20_UBU.md)</t>
        </is>
      </c>
      <c r="O122" s="18" t="inlineStr">
        <is>
          <t>Mock</t>
        </is>
      </c>
      <c r="P122" s="18" t="inlineStr">
        <is>
          <t>Mock Rx20 UBU</t>
        </is>
      </c>
    </row>
    <row r="123">
      <c r="A123" s="15" t="inlineStr">
        <is>
          <t>121</t>
        </is>
      </c>
      <c r="B123" s="18"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18" t="inlineStr"/>
      <c r="D123" s="18" t="inlineStr">
        <is>
          <t>Ethinylestradiol 30 mcg + Levonorgestrel 150 mcg</t>
        </is>
      </c>
      <c r="E123" s="18" t="inlineStr">
        <is>
          <t>Ethinylestradiol 30 mcg + Drospirenone 3 mg</t>
        </is>
      </c>
      <c r="F123" s="18" t="inlineStr">
        <is>
          <t>Ethinylestradiol 35 mcg + Cyproterone acetate 2 mg</t>
        </is>
      </c>
      <c r="G123" s="18" t="inlineStr">
        <is>
          <t>Desogestrel 75 mcg OD (Progestin-only)</t>
        </is>
      </c>
      <c r="H123" s="18" t="inlineStr">
        <is>
          <t>Levonorgestrel 1.5 mg stat (Emergency)</t>
        </is>
      </c>
      <c r="I123" s="15" t="inlineStr">
        <is>
          <t>1</t>
        </is>
      </c>
      <c r="J123" s="18"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18" t="inlineStr"/>
      <c r="L123" s="18" t="inlineStr">
        <is>
          <t>Oral contraceptive</t>
        </is>
      </c>
      <c r="M123" s="18" t="inlineStr">
        <is>
          <t>Clinic</t>
        </is>
      </c>
      <c r="N123" s="18" t="inlineStr">
        <is>
          <t>ข้อ 5 (PLE_CC1_Key_Rx20_UBU.md)</t>
        </is>
      </c>
      <c r="O123" s="18" t="inlineStr">
        <is>
          <t>Mock</t>
        </is>
      </c>
      <c r="P123" s="18" t="inlineStr">
        <is>
          <t>Mock Rx20 UBU</t>
        </is>
      </c>
    </row>
    <row r="124">
      <c r="A124" s="15" t="inlineStr">
        <is>
          <t>122</t>
        </is>
      </c>
      <c r="B124" s="18" t="inlineStr">
        <is>
          <t>วิธีการคุมกำเนิดใดเหมาะสมกับผู้ป่วยรายนี้ - ._</t>
        </is>
      </c>
      <c r="C124" s="18" t="inlineStr"/>
      <c r="D124" s="18" t="inlineStr">
        <is>
          <t>Desogestrel 75 mcg OD (Progestin-only)</t>
        </is>
      </c>
      <c r="E124" s="18" t="inlineStr">
        <is>
          <t>Levonorgestrel 1.5 mg stat (Emergency)</t>
        </is>
      </c>
      <c r="F124" s="18" t="inlineStr">
        <is>
          <t>Mefenamic acid 500 mg TID</t>
        </is>
      </c>
      <c r="G124" s="18" t="inlineStr">
        <is>
          <t>Tamsulosin 0.4 mg HS</t>
        </is>
      </c>
      <c r="H124" s="18" t="inlineStr">
        <is>
          <t>Finasteride 5 mg OD</t>
        </is>
      </c>
      <c r="I124" s="15" t="inlineStr">
        <is>
          <t>1</t>
        </is>
      </c>
      <c r="J124" s="18"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18" t="inlineStr"/>
      <c r="L124" s="18" t="inlineStr">
        <is>
          <t>Oral contraceptive</t>
        </is>
      </c>
      <c r="M124" s="18" t="inlineStr">
        <is>
          <t>Clinic</t>
        </is>
      </c>
      <c r="N124" s="18" t="inlineStr">
        <is>
          <t>ข้อ 76 (PLE_CC1_Key_Rx20_UBU.md)</t>
        </is>
      </c>
      <c r="O124" s="18" t="inlineStr">
        <is>
          <t>Mock</t>
        </is>
      </c>
      <c r="P124" s="18" t="inlineStr">
        <is>
          <t>Mock Rx20 UBU</t>
        </is>
      </c>
    </row>
    <row r="125">
      <c r="A125" s="15" t="inlineStr">
        <is>
          <t>123</t>
        </is>
      </c>
      <c r="B125" s="18" t="inlineStr">
        <is>
          <t>ถ้าผู้ป่วยตัดสินใจเลือกยาคุมแบบรับประทาน ยาคุมชนิดใดที่เหมาะสมกับผู้ป่วยรายนี้</t>
        </is>
      </c>
      <c r="C125" s="18" t="inlineStr"/>
      <c r="D125" s="18" t="inlineStr">
        <is>
          <t>Tamsulosin 0.4 mg HS</t>
        </is>
      </c>
      <c r="E125" s="18" t="inlineStr">
        <is>
          <t>Finasteride 5 mg OD</t>
        </is>
      </c>
      <c r="F125" s="18" t="inlineStr">
        <is>
          <t>Oxybutynin 5 mg BID</t>
        </is>
      </c>
      <c r="G125" s="18" t="inlineStr">
        <is>
          <t>Tolterodine 2 mg BID</t>
        </is>
      </c>
      <c r="H125" s="18" t="inlineStr">
        <is>
          <t>Dydrogesterone 10 mg BID</t>
        </is>
      </c>
      <c r="I125" s="15" t="inlineStr">
        <is>
          <t>1</t>
        </is>
      </c>
      <c r="J125" s="18"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18" t="inlineStr"/>
      <c r="L125" s="18" t="inlineStr">
        <is>
          <t>Oral contraceptive</t>
        </is>
      </c>
      <c r="M125" s="18" t="inlineStr">
        <is>
          <t>Clinic</t>
        </is>
      </c>
      <c r="N125" s="18" t="inlineStr">
        <is>
          <t>ข้อ 77 (PLE_CC1_Key_Rx20_UBU.md)</t>
        </is>
      </c>
      <c r="O125" s="18" t="inlineStr">
        <is>
          <t>Mock</t>
        </is>
      </c>
      <c r="P125" s="18" t="inlineStr">
        <is>
          <t>Mock Rx20 UBU</t>
        </is>
      </c>
    </row>
    <row r="126">
      <c r="A126" s="15" t="inlineStr">
        <is>
          <t>124</t>
        </is>
      </c>
      <c r="B126" s="18" t="inlineStr">
        <is>
          <t>EE 30 + drospirenone</t>
        </is>
      </c>
      <c r="C126" s="18" t="inlineStr"/>
      <c r="D126" s="18" t="inlineStr">
        <is>
          <t>Tolterodine 2 mg BID</t>
        </is>
      </c>
      <c r="E126" s="18" t="inlineStr">
        <is>
          <t>Dydrogesterone 10 mg BID</t>
        </is>
      </c>
      <c r="F126" s="18" t="inlineStr">
        <is>
          <t>Ethinylestradiol 30 mcg + Levonorgestrel 150 mcg</t>
        </is>
      </c>
      <c r="G126" s="18" t="inlineStr">
        <is>
          <t>Ethinylestradiol 30 mcg + Drospirenone 3 mg</t>
        </is>
      </c>
      <c r="H126" s="18" t="inlineStr">
        <is>
          <t>Ethinylestradiol 35 mcg + Cyproterone acetate 2 mg</t>
        </is>
      </c>
      <c r="I126" s="15" t="inlineStr">
        <is>
          <t>1</t>
        </is>
      </c>
      <c r="J126" s="18"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18" t="inlineStr"/>
      <c r="L126" s="18" t="inlineStr">
        <is>
          <t>Oral contraceptive</t>
        </is>
      </c>
      <c r="M126" s="18" t="inlineStr">
        <is>
          <t>Clinic</t>
        </is>
      </c>
      <c r="N126" s="18" t="inlineStr">
        <is>
          <t>ข้อ 3 (PLE_CC1_Key_Rx20_UBU.md)</t>
        </is>
      </c>
      <c r="O126" s="18" t="inlineStr">
        <is>
          <t>Mock</t>
        </is>
      </c>
      <c r="P126" s="18" t="inlineStr">
        <is>
          <t>Mock Rx20 UBU</t>
        </is>
      </c>
    </row>
    <row r="127">
      <c r="A127" s="15" t="inlineStr">
        <is>
          <t>125</t>
        </is>
      </c>
      <c r="B127" s="18" t="inlineStr">
        <is>
          <t>EE 30 + Levonorgestrel</t>
        </is>
      </c>
      <c r="C127" s="18" t="inlineStr"/>
      <c r="D127" s="18" t="inlineStr">
        <is>
          <t>Ethinylestradiol 30 mcg + Drospirenone 3 mg</t>
        </is>
      </c>
      <c r="E127" s="18" t="inlineStr">
        <is>
          <t>Ethinylestradiol 35 mcg + Cyproterone acetate 2 mg</t>
        </is>
      </c>
      <c r="F127" s="18" t="inlineStr">
        <is>
          <t>Desogestrel 75 mcg OD (Progestin-only)</t>
        </is>
      </c>
      <c r="G127" s="18" t="inlineStr">
        <is>
          <t>Levonorgestrel 1.5 mg stat (Emergency)</t>
        </is>
      </c>
      <c r="H127" s="18" t="inlineStr">
        <is>
          <t>Mefenamic acid 500 mg TID</t>
        </is>
      </c>
      <c r="I127" s="15" t="inlineStr">
        <is>
          <t>1</t>
        </is>
      </c>
      <c r="J127" s="18"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18" t="inlineStr"/>
      <c r="L127" s="18" t="inlineStr">
        <is>
          <t>Oral contraceptive</t>
        </is>
      </c>
      <c r="M127" s="18" t="inlineStr">
        <is>
          <t>Clinic</t>
        </is>
      </c>
      <c r="N127" s="18" t="inlineStr">
        <is>
          <t>ข้อ 4 (PLE_CC1_Key_Rx20_UBU.md)</t>
        </is>
      </c>
      <c r="O127" s="18" t="inlineStr">
        <is>
          <t>Mock</t>
        </is>
      </c>
      <c r="P127" s="18" t="inlineStr">
        <is>
          <t>Mock Rx20 UBU</t>
        </is>
      </c>
    </row>
    <row r="128">
      <c r="A128" s="15" t="inlineStr">
        <is>
          <t>126</t>
        </is>
      </c>
      <c r="B128" s="18" t="inlineStr">
        <is>
          <t>คำแนะนำในการใช้ยาคุมกำเนิด ในเรื่องของอาการไม่พึงประสงค์คือข้อใด</t>
        </is>
      </c>
      <c r="C128" s="18" t="inlineStr"/>
      <c r="D128" s="18" t="inlineStr">
        <is>
          <t>Levonorgestrel 1.5 mg stat (Emergency)</t>
        </is>
      </c>
      <c r="E128" s="18" t="inlineStr">
        <is>
          <t>Mefenamic acid 500 mg TID</t>
        </is>
      </c>
      <c r="F128" s="18" t="inlineStr">
        <is>
          <t>Tamsulosin 0.4 mg HS</t>
        </is>
      </c>
      <c r="G128" s="18" t="inlineStr">
        <is>
          <t>Finasteride 5 mg OD</t>
        </is>
      </c>
      <c r="H128" s="18" t="inlineStr">
        <is>
          <t>Oxybutynin 5 mg BID</t>
        </is>
      </c>
      <c r="I128" s="15" t="inlineStr">
        <is>
          <t>1</t>
        </is>
      </c>
      <c r="J128" s="18"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18" t="inlineStr"/>
      <c r="L128" s="18" t="inlineStr">
        <is>
          <t>Oral contraceptive</t>
        </is>
      </c>
      <c r="M128" s="18" t="inlineStr">
        <is>
          <t>Clinic</t>
        </is>
      </c>
      <c r="N128" s="18" t="inlineStr">
        <is>
          <t>ข้อ 78 (PLE_CC1_Key_Rx20_UBU.md)</t>
        </is>
      </c>
      <c r="O128" s="18" t="inlineStr">
        <is>
          <t>Mock</t>
        </is>
      </c>
      <c r="P128" s="18" t="inlineStr">
        <is>
          <t>Mock Rx20 UBU</t>
        </is>
      </c>
    </row>
    <row r="129">
      <c r="A129" s="15" t="inlineStr">
        <is>
          <t>127</t>
        </is>
      </c>
      <c r="B129" s="18" t="inlineStr">
        <is>
          <t>หากมีประจำเดือนมากผิดปกติ ให้แจ้งเพื่อปรับขนาดยาให้มี Estrogen ที่สูงขึ้น</t>
        </is>
      </c>
      <c r="C129" s="18" t="inlineStr"/>
      <c r="D129" s="18" t="inlineStr">
        <is>
          <t>Finasteride 5 mg OD</t>
        </is>
      </c>
      <c r="E129" s="18" t="inlineStr">
        <is>
          <t>Oxybutynin 5 mg BID</t>
        </is>
      </c>
      <c r="F129" s="18" t="inlineStr">
        <is>
          <t>Tolterodine 2 mg BID</t>
        </is>
      </c>
      <c r="G129" s="18" t="inlineStr">
        <is>
          <t>Dydrogesterone 10 mg BID</t>
        </is>
      </c>
      <c r="H129" s="18" t="inlineStr">
        <is>
          <t>Ethinylestradiol 30 mcg + Levonorgestrel 150 mcg</t>
        </is>
      </c>
      <c r="I129" s="15" t="inlineStr">
        <is>
          <t>1</t>
        </is>
      </c>
      <c r="J129" s="18"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8" t="inlineStr"/>
      <c r="L129" s="18" t="inlineStr">
        <is>
          <t>Hormonal replacement</t>
        </is>
      </c>
      <c r="M129" s="18" t="inlineStr">
        <is>
          <t>Clinic</t>
        </is>
      </c>
      <c r="N129" s="18" t="inlineStr">
        <is>
          <t>ข้อ 3 (PLE_CC1_Key_Rx20_UBU.md)</t>
        </is>
      </c>
      <c r="O129" s="18" t="inlineStr">
        <is>
          <t>Mock</t>
        </is>
      </c>
      <c r="P129" s="18" t="inlineStr">
        <is>
          <t>Mock Rx20 UBU</t>
        </is>
      </c>
    </row>
    <row r="130">
      <c r="A130" s="15" t="inlineStr">
        <is>
          <t>128</t>
        </is>
      </c>
      <c r="B130" s="18" t="inlineStr">
        <is>
          <t>หากผู้ป่วยใช้ยาคุมกำเนิดชนิด EE 30 าg แล้วลืมกินไป 2 เม็ดจะต้องให้คำแนะนำแก่ผู้ป่วยอย่างไร -</t>
        </is>
      </c>
      <c r="C130" s="18" t="inlineStr"/>
      <c r="D130" s="18" t="inlineStr">
        <is>
          <t>Dydrogesterone 10 mg BID</t>
        </is>
      </c>
      <c r="E130" s="18" t="inlineStr">
        <is>
          <t>Ethinylestradiol 30 mcg + Levonorgestrel 150 mcg</t>
        </is>
      </c>
      <c r="F130" s="18" t="inlineStr">
        <is>
          <t>Ethinylestradiol 30 mcg + Drospirenone 3 mg</t>
        </is>
      </c>
      <c r="G130" s="18" t="inlineStr">
        <is>
          <t>Ethinylestradiol 35 mcg + Cyproterone acetate 2 mg</t>
        </is>
      </c>
      <c r="H130" s="18" t="inlineStr">
        <is>
          <t>Desogestrel 75 mcg OD (Progestin-only)</t>
        </is>
      </c>
      <c r="I130" s="15" t="inlineStr">
        <is>
          <t>1</t>
        </is>
      </c>
      <c r="J130" s="18"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18" t="inlineStr"/>
      <c r="L130" s="18" t="inlineStr">
        <is>
          <t>Oral contraceptive</t>
        </is>
      </c>
      <c r="M130" s="18" t="inlineStr">
        <is>
          <t>Clinic</t>
        </is>
      </c>
      <c r="N130" s="18" t="inlineStr">
        <is>
          <t>ข้อ 79 (PLE_CC1_Key_Rx20_UBU.md)</t>
        </is>
      </c>
      <c r="O130" s="18" t="inlineStr">
        <is>
          <t>Mock</t>
        </is>
      </c>
      <c r="P130" s="18" t="inlineStr">
        <is>
          <t>Mock Rx20 UBU</t>
        </is>
      </c>
    </row>
    <row r="131">
      <c r="A131" s="15" t="inlineStr">
        <is>
          <t>129</t>
        </is>
      </c>
      <c r="B131" s="18" t="inlineStr">
        <is>
          <t>ให้กิน 2 เม็ดทันที แล้วกินต่อตามปกติและใช้การคุมกำเนิดวิธีอื่นร่วมด้วย</t>
        </is>
      </c>
      <c r="C131" s="18" t="inlineStr"/>
      <c r="D131" s="18" t="inlineStr">
        <is>
          <t>Ethinylestradiol 35 mcg + Cyproterone acetate 2 mg</t>
        </is>
      </c>
      <c r="E131" s="18" t="inlineStr">
        <is>
          <t>Desogestrel 75 mcg OD (Progestin-only)</t>
        </is>
      </c>
      <c r="F131" s="18" t="inlineStr">
        <is>
          <t>Levonorgestrel 1.5 mg stat (Emergency)</t>
        </is>
      </c>
      <c r="G131" s="18" t="inlineStr">
        <is>
          <t>Mefenamic acid 500 mg TID</t>
        </is>
      </c>
      <c r="H131" s="18" t="inlineStr">
        <is>
          <t>Tamsulosin 0.4 mg HS</t>
        </is>
      </c>
      <c r="I131" s="15" t="inlineStr">
        <is>
          <t>1</t>
        </is>
      </c>
      <c r="J131" s="18"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18" t="inlineStr"/>
      <c r="L131" s="18" t="inlineStr">
        <is>
          <t>Oral contraceptive</t>
        </is>
      </c>
      <c r="M131" s="18" t="inlineStr">
        <is>
          <t>Clinic</t>
        </is>
      </c>
      <c r="N131" s="18" t="inlineStr">
        <is>
          <t>ข้อ 1 (PLE_CC1_Key_Rx20_UBU.md)</t>
        </is>
      </c>
      <c r="O131" s="18" t="inlineStr">
        <is>
          <t>Mock</t>
        </is>
      </c>
      <c r="P131" s="18" t="inlineStr">
        <is>
          <t>Mock Rx20 UBU</t>
        </is>
      </c>
    </row>
    <row r="132">
      <c r="A132" s="15" t="inlineStr">
        <is>
          <t>130</t>
        </is>
      </c>
      <c r="B132" s="18" t="inlineStr">
        <is>
          <t>ให้กินยาวันละ 2 เม็ด เป็นเวลา 2 วัน แล้วกินต่อตามปกติและใช้การคุมกำเนิดวิธีอื่นร่วม</t>
        </is>
      </c>
      <c r="C132" s="18" t="inlineStr"/>
      <c r="D132" s="18" t="inlineStr">
        <is>
          <t>Mefenamic acid 500 mg TID</t>
        </is>
      </c>
      <c r="E132" s="18" t="inlineStr">
        <is>
          <t>Tamsulosin 0.4 mg HS</t>
        </is>
      </c>
      <c r="F132" s="18" t="inlineStr">
        <is>
          <t>Finasteride 5 mg OD</t>
        </is>
      </c>
      <c r="G132" s="18" t="inlineStr">
        <is>
          <t>Oxybutynin 5 mg BID</t>
        </is>
      </c>
      <c r="H132" s="18" t="inlineStr">
        <is>
          <t>Tolterodine 2 mg BID</t>
        </is>
      </c>
      <c r="I132" s="15" t="inlineStr">
        <is>
          <t>1</t>
        </is>
      </c>
      <c r="J132" s="18"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18" t="inlineStr"/>
      <c r="L132" s="18" t="inlineStr">
        <is>
          <t>Oral contraceptive</t>
        </is>
      </c>
      <c r="M132" s="18" t="inlineStr">
        <is>
          <t>Clinic</t>
        </is>
      </c>
      <c r="N132" s="18" t="inlineStr">
        <is>
          <t>ข้อ 2 (PLE_CC1_Key_Rx20_UBU.md)</t>
        </is>
      </c>
      <c r="O132" s="18" t="inlineStr">
        <is>
          <t>Mock</t>
        </is>
      </c>
      <c r="P132" s="18" t="inlineStr">
        <is>
          <t>Mock Rx20 UBU</t>
        </is>
      </c>
    </row>
    <row r="133">
      <c r="A133" s="15" t="inlineStr">
        <is>
          <t>131</t>
        </is>
      </c>
      <c r="B133" s="18" t="inlineStr">
        <is>
          <t>ให้กินยาคุมกำเนิดฉุกเฉินทันที</t>
        </is>
      </c>
      <c r="C133" s="18" t="inlineStr"/>
      <c r="D133" s="18" t="inlineStr">
        <is>
          <t>Oxybutynin 5 mg BID</t>
        </is>
      </c>
      <c r="E133" s="18" t="inlineStr">
        <is>
          <t>Tolterodine 2 mg BID</t>
        </is>
      </c>
      <c r="F133" s="18" t="inlineStr">
        <is>
          <t>Dydrogesterone 10 mg BID</t>
        </is>
      </c>
      <c r="G133" s="18" t="inlineStr">
        <is>
          <t>Ethinylestradiol 30 mcg + Levonorgestrel 150 mcg</t>
        </is>
      </c>
      <c r="H133" s="18" t="inlineStr">
        <is>
          <t>Ethinylestradiol 30 mcg + Drospirenone 3 mg</t>
        </is>
      </c>
      <c r="I133" s="15" t="inlineStr">
        <is>
          <t>1</t>
        </is>
      </c>
      <c r="J133" s="18"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18" t="inlineStr"/>
      <c r="L133" s="18" t="inlineStr">
        <is>
          <t>Oral contraceptive</t>
        </is>
      </c>
      <c r="M133" s="18" t="inlineStr">
        <is>
          <t>Clinic</t>
        </is>
      </c>
      <c r="N133" s="18" t="inlineStr">
        <is>
          <t>ข้อ 3 (PLE_CC1_Key_Rx20_UBU.md)</t>
        </is>
      </c>
      <c r="O133" s="18" t="inlineStr">
        <is>
          <t>Mock</t>
        </is>
      </c>
      <c r="P133" s="18" t="inlineStr">
        <is>
          <t>Mock Rx20 UBU</t>
        </is>
      </c>
    </row>
    <row r="134">
      <c r="A134" s="15" t="inlineStr">
        <is>
          <t>132</t>
        </is>
      </c>
      <c r="B134" s="18"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18" t="inlineStr"/>
      <c r="D134" s="18" t="inlineStr">
        <is>
          <t>Ethinylestradiol 30 mcg + Levonorgestrel 150 mcg</t>
        </is>
      </c>
      <c r="E134" s="18" t="inlineStr">
        <is>
          <t>Ethinylestradiol 30 mcg + Drospirenone 3 mg</t>
        </is>
      </c>
      <c r="F134" s="18" t="inlineStr">
        <is>
          <t>Ethinylestradiol 35 mcg + Cyproterone acetate 2 mg</t>
        </is>
      </c>
      <c r="G134" s="18" t="inlineStr">
        <is>
          <t>Desogestrel 75 mcg OD (Progestin-only)</t>
        </is>
      </c>
      <c r="H134" s="18" t="inlineStr">
        <is>
          <t>Levonorgestrel 1.5 mg stat (Emergency)</t>
        </is>
      </c>
      <c r="I134" s="15" t="inlineStr">
        <is>
          <t>1</t>
        </is>
      </c>
      <c r="J134" s="18"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18" t="inlineStr"/>
      <c r="L134" s="18" t="inlineStr">
        <is>
          <t>Oral contraceptive</t>
        </is>
      </c>
      <c r="M134" s="18" t="inlineStr">
        <is>
          <t>Clinic</t>
        </is>
      </c>
      <c r="N134" s="18" t="inlineStr">
        <is>
          <t>ข้อ 5 (PLE_CC1_Key_Rx20_UBU.md)</t>
        </is>
      </c>
      <c r="O134" s="18" t="inlineStr">
        <is>
          <t>Mock</t>
        </is>
      </c>
      <c r="P134" s="18" t="inlineStr">
        <is>
          <t>Mock Rx20 UBU</t>
        </is>
      </c>
    </row>
    <row r="135">
      <c r="A135" s="15" t="inlineStr">
        <is>
          <t>133</t>
        </is>
      </c>
      <c r="B135" s="18" t="inlineStr">
        <is>
          <t>ยาใดมีอันตรกิริยากับยาคุมกำเนิดอย่างมีนัยสำคัญทางคลินิก ๐ และใhการsมtเuดvนwวมxายาyน -</t>
        </is>
      </c>
      <c r="C135" s="18" t="inlineStr"/>
      <c r="D135" s="18" t="inlineStr">
        <is>
          <t>Desogestrel 75 mcg OD (Progestin-only)</t>
        </is>
      </c>
      <c r="E135" s="18" t="inlineStr">
        <is>
          <t>Levonorgestrel 1.5 mg stat (Emergency)</t>
        </is>
      </c>
      <c r="F135" s="18" t="inlineStr">
        <is>
          <t>Mefenamic acid 500 mg TID</t>
        </is>
      </c>
      <c r="G135" s="18" t="inlineStr">
        <is>
          <t>Tamsulosin 0.4 mg HS</t>
        </is>
      </c>
      <c r="H135" s="18" t="inlineStr">
        <is>
          <t>Finasteride 5 mg OD</t>
        </is>
      </c>
      <c r="I135" s="15" t="inlineStr">
        <is>
          <t>1</t>
        </is>
      </c>
      <c r="J135" s="18"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18" t="inlineStr"/>
      <c r="L135" s="18" t="inlineStr">
        <is>
          <t>Oral contraceptive</t>
        </is>
      </c>
      <c r="M135" s="18" t="inlineStr">
        <is>
          <t>Clinic</t>
        </is>
      </c>
      <c r="N135" s="18" t="inlineStr">
        <is>
          <t>ข้อ 80 (PLE_CC1_Key_Rx20_UBU.md)</t>
        </is>
      </c>
      <c r="O135" s="18" t="inlineStr">
        <is>
          <t>Mock</t>
        </is>
      </c>
      <c r="P135" s="18" t="inlineStr">
        <is>
          <t>Mock Rx20 UBU</t>
        </is>
      </c>
    </row>
    <row r="136">
      <c r="A136" s="15" t="inlineStr">
        <is>
          <t>134</t>
        </is>
      </c>
      <c r="B136" s="18" t="inlineStr">
        <is>
          <t>Metronidazole ตอบ 4. Rifampicin ผ่าน CYP 2C9 inducer เพิ่มการ metabolism ของยาคุมกำเนิด ทำให้ลด efficacy ของยาคุมกำเนิดลง - -0</t>
        </is>
      </c>
      <c r="C136" s="18" t="inlineStr"/>
      <c r="D136" s="18" t="inlineStr">
        <is>
          <t>Tamsulosin 0.4 mg HS</t>
        </is>
      </c>
      <c r="E136" s="18" t="inlineStr">
        <is>
          <t>Finasteride 5 mg OD</t>
        </is>
      </c>
      <c r="F136" s="18" t="inlineStr">
        <is>
          <t>Oxybutynin 5 mg BID</t>
        </is>
      </c>
      <c r="G136" s="18" t="inlineStr">
        <is>
          <t>Tolterodine 2 mg BID</t>
        </is>
      </c>
      <c r="H136" s="18" t="inlineStr">
        <is>
          <t>Dydrogesterone 10 mg BID</t>
        </is>
      </c>
      <c r="I136" s="15" t="inlineStr">
        <is>
          <t>1</t>
        </is>
      </c>
      <c r="J136" s="18"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18" t="inlineStr"/>
      <c r="L136" s="18" t="inlineStr">
        <is>
          <t>Oral contraceptive</t>
        </is>
      </c>
      <c r="M136" s="18" t="inlineStr">
        <is>
          <t>Clinic</t>
        </is>
      </c>
      <c r="N136" s="18" t="inlineStr">
        <is>
          <t>ข้อ 5 (PLE_CC1_Key_Rx20_UBU.md)</t>
        </is>
      </c>
      <c r="O136" s="18" t="inlineStr">
        <is>
          <t>Mock</t>
        </is>
      </c>
      <c r="P136" s="18" t="inlineStr">
        <is>
          <t>Mock Rx20 UBU</t>
        </is>
      </c>
    </row>
    <row r="137">
      <c r="A137" s="15" t="inlineStr">
        <is>
          <t>135</t>
        </is>
      </c>
      <c r="B137" s="18" t="inlineStr">
        <is>
          <t>EE 0.035 mg + cypoterone acetate 2 mg เพื่อนแนะนำให$ซื้อยา isotetrinoin capsule ทางอินเตอร_เนต</t>
        </is>
      </c>
      <c r="C137" s="18" t="inlineStr"/>
      <c r="D137" s="18" t="inlineStr">
        <is>
          <t>Tolterodine 2 mg BID</t>
        </is>
      </c>
      <c r="E137" s="18" t="inlineStr">
        <is>
          <t>Dydrogesterone 10 mg BID</t>
        </is>
      </c>
      <c r="F137" s="18" t="inlineStr">
        <is>
          <t>Ethinylestradiol 30 mcg + Levonorgestrel 150 mcg</t>
        </is>
      </c>
      <c r="G137" s="18" t="inlineStr">
        <is>
          <t>Ethinylestradiol 30 mcg + Drospirenone 3 mg</t>
        </is>
      </c>
      <c r="H137" s="18" t="inlineStr">
        <is>
          <t>Ethinylestradiol 35 mcg + Cyproterone acetate 2 mg</t>
        </is>
      </c>
      <c r="I137" s="15" t="inlineStr">
        <is>
          <t>2</t>
        </is>
      </c>
      <c r="J137" s="18"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18" t="inlineStr"/>
      <c r="L137" s="18" t="inlineStr">
        <is>
          <t>Oral contraceptive</t>
        </is>
      </c>
      <c r="M137" s="18" t="inlineStr">
        <is>
          <t>Clinic</t>
        </is>
      </c>
      <c r="N137" s="18" t="inlineStr">
        <is>
          <t>ข้อ 5 (PLE_CC1_Key_Rx20_UBU.md)</t>
        </is>
      </c>
      <c r="O137" s="18" t="inlineStr">
        <is>
          <t>Mock</t>
        </is>
      </c>
      <c r="P137" s="18" t="inlineStr">
        <is>
          <t>Mock Rx20 UBU</t>
        </is>
      </c>
    </row>
    <row r="138">
      <c r="A138" s="15" t="inlineStr">
        <is>
          <t>136</t>
        </is>
      </c>
      <c r="B138" s="18" t="inlineStr">
        <is>
          <t>ต$องคุมกำเนิดกGอนใช$ยา 1 เดือน</t>
        </is>
      </c>
      <c r="C138" s="18" t="inlineStr"/>
      <c r="D138" s="18" t="inlineStr">
        <is>
          <t>Ethinylestradiol 30 mcg + Drospirenone 3 mg</t>
        </is>
      </c>
      <c r="E138" s="18" t="inlineStr">
        <is>
          <t>Ethinylestradiol 35 mcg + Cyproterone acetate 2 mg</t>
        </is>
      </c>
      <c r="F138" s="18" t="inlineStr">
        <is>
          <t>Desogestrel 75 mcg OD (Progestin-only)</t>
        </is>
      </c>
      <c r="G138" s="18" t="inlineStr">
        <is>
          <t>Levonorgestrel 1.5 mg stat (Emergency)</t>
        </is>
      </c>
      <c r="H138" s="18" t="inlineStr">
        <is>
          <t>Mefenamic acid 500 mg TID</t>
        </is>
      </c>
      <c r="I138" s="15" t="inlineStr">
        <is>
          <t>1</t>
        </is>
      </c>
      <c r="J138" s="18"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18" t="inlineStr"/>
      <c r="L138" s="18" t="inlineStr">
        <is>
          <t>Oral contraceptive</t>
        </is>
      </c>
      <c r="M138" s="18" t="inlineStr">
        <is>
          <t>Clinic</t>
        </is>
      </c>
      <c r="N138" s="18" t="inlineStr">
        <is>
          <t>ข้อ 3 (PLE_CC1_Key_Rx20_UBU.md)</t>
        </is>
      </c>
      <c r="O138" s="18" t="inlineStr">
        <is>
          <t>Mock</t>
        </is>
      </c>
      <c r="P138" s="18" t="inlineStr">
        <is>
          <t>Mock Rx20 UBU</t>
        </is>
      </c>
    </row>
    <row r="139">
      <c r="A139" s="15" t="inlineStr">
        <is>
          <t>137</t>
        </is>
      </c>
      <c r="B139" s="18" t="inlineStr">
        <is>
          <t>ไมGควรเริ่มยาคุมกำเนิดในวันแรกที่มีประจำเดือน เนื่องจากจะทำให$....</t>
        </is>
      </c>
      <c r="C139" s="18" t="inlineStr"/>
      <c r="D139" s="18" t="inlineStr">
        <is>
          <t>Levonorgestrel 1.5 mg stat (Emergency)</t>
        </is>
      </c>
      <c r="E139" s="18" t="inlineStr">
        <is>
          <t>Mefenamic acid 500 mg TID</t>
        </is>
      </c>
      <c r="F139" s="18" t="inlineStr">
        <is>
          <t>Tamsulosin 0.4 mg HS</t>
        </is>
      </c>
      <c r="G139" s="18" t="inlineStr">
        <is>
          <t>Finasteride 5 mg OD</t>
        </is>
      </c>
      <c r="H139" s="18" t="inlineStr">
        <is>
          <t>Oxybutynin 5 mg BID</t>
        </is>
      </c>
      <c r="I139" s="15" t="inlineStr">
        <is>
          <t>1</t>
        </is>
      </c>
      <c r="J139" s="18"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18" t="inlineStr"/>
      <c r="L139" s="18" t="inlineStr">
        <is>
          <t>Oral contraceptive</t>
        </is>
      </c>
      <c r="M139" s="18" t="inlineStr">
        <is>
          <t>Clinic</t>
        </is>
      </c>
      <c r="N139" s="18" t="inlineStr">
        <is>
          <t>ข้อ 2 (PLE_CC1_Key_Rx20_UBU.md)</t>
        </is>
      </c>
      <c r="O139" s="18" t="inlineStr">
        <is>
          <t>Mock</t>
        </is>
      </c>
      <c r="P139" s="18" t="inlineStr">
        <is>
          <t>Mock Rx20 UBU</t>
        </is>
      </c>
    </row>
    <row r="140">
      <c r="A140" s="15" t="inlineStr">
        <is>
          <t>138</t>
        </is>
      </c>
      <c r="B140" s="18" t="inlineStr">
        <is>
          <t>หากลืมกินยาคุมกำเนิด 2 เม็ดใน 14 วันแรกให$รับประทานมื้อตGอไปได$ปกติ</t>
        </is>
      </c>
      <c r="C140" s="18" t="inlineStr"/>
      <c r="D140" s="18" t="inlineStr">
        <is>
          <t>Finasteride 5 mg OD</t>
        </is>
      </c>
      <c r="E140" s="18" t="inlineStr">
        <is>
          <t>Oxybutynin 5 mg BID</t>
        </is>
      </c>
      <c r="F140" s="18" t="inlineStr">
        <is>
          <t>Tolterodine 2 mg BID</t>
        </is>
      </c>
      <c r="G140" s="18" t="inlineStr">
        <is>
          <t>Dydrogesterone 10 mg BID</t>
        </is>
      </c>
      <c r="H140" s="18" t="inlineStr">
        <is>
          <t>Ethinylestradiol 30 mcg + Levonorgestrel 150 mcg</t>
        </is>
      </c>
      <c r="I140" s="15" t="inlineStr">
        <is>
          <t>1</t>
        </is>
      </c>
      <c r="J140" s="18"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18" t="inlineStr"/>
      <c r="L140" s="18" t="inlineStr">
        <is>
          <t>Oral contraceptive</t>
        </is>
      </c>
      <c r="M140" s="18" t="inlineStr">
        <is>
          <t>Clinic</t>
        </is>
      </c>
      <c r="N140" s="18" t="inlineStr">
        <is>
          <t>ข้อ 3 (PLE_CC1_Key_Rx20_UBU.md)</t>
        </is>
      </c>
      <c r="O140" s="18" t="inlineStr">
        <is>
          <t>Mock</t>
        </is>
      </c>
      <c r="P140" s="18" t="inlineStr">
        <is>
          <t>Mock Rx20 UBU</t>
        </is>
      </c>
    </row>
    <row r="141">
      <c r="A141" s="15" t="inlineStr">
        <is>
          <t>139</t>
        </is>
      </c>
      <c r="B141" s="18" t="inlineStr">
        <is>
          <t>หากลืมทานยาคุมกำเนิด 2 เม็ดใน 14 วันหลัง ให$รับประทานยาคุม 2 เม็ดเปญนเวลา 2 วันและคุมกำเนิดอื่นรGวมด$วย 7 วัน</t>
        </is>
      </c>
      <c r="C141" s="18" t="inlineStr"/>
      <c r="D141" s="18" t="inlineStr">
        <is>
          <t>Dydrogesterone 10 mg BID</t>
        </is>
      </c>
      <c r="E141" s="18" t="inlineStr">
        <is>
          <t>Ethinylestradiol 30 mcg + Levonorgestrel 150 mcg</t>
        </is>
      </c>
      <c r="F141" s="18" t="inlineStr">
        <is>
          <t>Ethinylestradiol 30 mcg + Drospirenone 3 mg</t>
        </is>
      </c>
      <c r="G141" s="18" t="inlineStr">
        <is>
          <t>Ethinylestradiol 35 mcg + Cyproterone acetate 2 mg</t>
        </is>
      </c>
      <c r="H141" s="18" t="inlineStr">
        <is>
          <t>Desogestrel 75 mcg OD (Progestin-only)</t>
        </is>
      </c>
      <c r="I141" s="15" t="inlineStr">
        <is>
          <t>1</t>
        </is>
      </c>
      <c r="J141" s="18"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18" t="inlineStr"/>
      <c r="L141" s="18" t="inlineStr">
        <is>
          <t>Oral contraceptive</t>
        </is>
      </c>
      <c r="M141" s="18" t="inlineStr">
        <is>
          <t>Clinic</t>
        </is>
      </c>
      <c r="N141" s="18" t="inlineStr">
        <is>
          <t>ข้อ 4 (PLE_CC1_Key_Rx20_UBU.md)</t>
        </is>
      </c>
      <c r="O141" s="18" t="inlineStr">
        <is>
          <t>Mock</t>
        </is>
      </c>
      <c r="P141" s="18" t="inlineStr">
        <is>
          <t>Mock Rx20 UBU</t>
        </is>
      </c>
    </row>
    <row r="142">
      <c r="A142" s="15" t="inlineStr">
        <is>
          <t>140</t>
        </is>
      </c>
      <c r="B142" s="18" t="inlineStr">
        <is>
          <t>ข$อใดไมGใชGอาการไมGพึงประสงค_จากการใช$ยาคุมกำเนิดชนิดฮอร_โมนรวม</t>
        </is>
      </c>
      <c r="C142" s="18" t="inlineStr"/>
      <c r="D142" s="18" t="inlineStr">
        <is>
          <t>Ethinylestradiol 35 mcg + Cyproterone acetate 2 mg</t>
        </is>
      </c>
      <c r="E142" s="18" t="inlineStr">
        <is>
          <t>Desogestrel 75 mcg OD (Progestin-only)</t>
        </is>
      </c>
      <c r="F142" s="18" t="inlineStr">
        <is>
          <t>Levonorgestrel 1.5 mg stat (Emergency)</t>
        </is>
      </c>
      <c r="G142" s="18" t="inlineStr">
        <is>
          <t>Mefenamic acid 500 mg TID</t>
        </is>
      </c>
      <c r="H142" s="18" t="inlineStr">
        <is>
          <t>Tamsulosin 0.4 mg HS</t>
        </is>
      </c>
      <c r="I142" s="15" t="inlineStr">
        <is>
          <t>1</t>
        </is>
      </c>
      <c r="J142" s="18"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18" t="inlineStr"/>
      <c r="L142" s="18" t="inlineStr">
        <is>
          <t>Oral contraceptive</t>
        </is>
      </c>
      <c r="M142" s="18" t="inlineStr">
        <is>
          <t>Clinic</t>
        </is>
      </c>
      <c r="N142" s="18" t="inlineStr">
        <is>
          <t>ข้อ 43 (PLE_CC1_Key_Rx20_UBU.md)</t>
        </is>
      </c>
      <c r="O142" s="18" t="inlineStr">
        <is>
          <t>Mock</t>
        </is>
      </c>
      <c r="P142" s="18" t="inlineStr">
        <is>
          <t>Mock Rx20 UBU</t>
        </is>
      </c>
    </row>
    <row r="143">
      <c r="A143" s="15" t="inlineStr">
        <is>
          <t>141</t>
        </is>
      </c>
      <c r="B143" s="18"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18" t="inlineStr"/>
      <c r="D143" s="18" t="inlineStr">
        <is>
          <t>Mefenamic acid 500 mg TID</t>
        </is>
      </c>
      <c r="E143" s="18" t="inlineStr">
        <is>
          <t>Tamsulosin 0.4 mg HS</t>
        </is>
      </c>
      <c r="F143" s="18" t="inlineStr">
        <is>
          <t>Finasteride 5 mg OD</t>
        </is>
      </c>
      <c r="G143" s="18" t="inlineStr">
        <is>
          <t>Oxybutynin 5 mg BID</t>
        </is>
      </c>
      <c r="H143" s="18" t="inlineStr">
        <is>
          <t>Tolterodine 2 mg BID</t>
        </is>
      </c>
      <c r="I143" s="15" t="inlineStr">
        <is>
          <t>2</t>
        </is>
      </c>
      <c r="J143" s="18"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18" t="inlineStr"/>
      <c r="L143" s="18" t="inlineStr">
        <is>
          <t>Oral contraceptive</t>
        </is>
      </c>
      <c r="M143" s="18" t="inlineStr">
        <is>
          <t>Clinic</t>
        </is>
      </c>
      <c r="N143" s="18" t="inlineStr">
        <is>
          <t>ข้อ 5 (PLE_CC1_Key_Rx20_UBU.md)</t>
        </is>
      </c>
      <c r="O143" s="18" t="inlineStr">
        <is>
          <t>Mock</t>
        </is>
      </c>
      <c r="P143" s="18" t="inlineStr">
        <is>
          <t>Mock Rx20 UBU</t>
        </is>
      </c>
    </row>
    <row r="144">
      <c r="A144" s="15" t="inlineStr">
        <is>
          <t>142</t>
        </is>
      </c>
      <c r="B144" s="18" t="inlineStr">
        <is>
          <t>ข$อใดเปญนวิธีการแก$ไขอาการไมGพึงประสงค_จากยาคุมกำเนิดชนิดฮอร_โมรวมที่เหมาะสมที่สุด</t>
        </is>
      </c>
      <c r="C144" s="18" t="inlineStr"/>
      <c r="D144" s="18" t="inlineStr">
        <is>
          <t>Oxybutynin 5 mg BID</t>
        </is>
      </c>
      <c r="E144" s="18" t="inlineStr">
        <is>
          <t>Tolterodine 2 mg BID</t>
        </is>
      </c>
      <c r="F144" s="18" t="inlineStr">
        <is>
          <t>Dydrogesterone 10 mg BID</t>
        </is>
      </c>
      <c r="G144" s="18" t="inlineStr">
        <is>
          <t>Ethinylestradiol 30 mcg + Levonorgestrel 150 mcg</t>
        </is>
      </c>
      <c r="H144" s="18" t="inlineStr">
        <is>
          <t>Ethinylestradiol 30 mcg + Drospirenone 3 mg</t>
        </is>
      </c>
      <c r="I144" s="15" t="inlineStr">
        <is>
          <t>1</t>
        </is>
      </c>
      <c r="J144" s="18"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18" t="inlineStr"/>
      <c r="L144" s="18" t="inlineStr">
        <is>
          <t>Oral contraceptive</t>
        </is>
      </c>
      <c r="M144" s="18" t="inlineStr">
        <is>
          <t>Clinic</t>
        </is>
      </c>
      <c r="N144" s="18" t="inlineStr">
        <is>
          <t>ข้อ 44 (PLE_CC1_Key_Rx20_UBU.md)</t>
        </is>
      </c>
      <c r="O144" s="18" t="inlineStr">
        <is>
          <t>Mock</t>
        </is>
      </c>
      <c r="P144" s="18" t="inlineStr">
        <is>
          <t>Mock Rx20 UBU</t>
        </is>
      </c>
    </row>
    <row r="145">
      <c r="A145" s="15" t="inlineStr">
        <is>
          <t>143</t>
        </is>
      </c>
      <c r="B145" s="18" t="inlineStr">
        <is>
          <t>ในชGวง 1-10 วันแรกของการใช$ยาคุมกำเนิด หากมีเลือดออกกระปØดกระปอยควรปรับเพิ่มปริมาณ เอสโตรเจนให$สูงขึ้น</t>
        </is>
      </c>
      <c r="C145" s="18" t="inlineStr"/>
      <c r="D145" s="18" t="inlineStr">
        <is>
          <t>Ethinylestradiol 30 mcg + Levonorgestrel 150 mcg</t>
        </is>
      </c>
      <c r="E145" s="18" t="inlineStr">
        <is>
          <t>Ethinylestradiol 30 mcg + Drospirenone 3 mg</t>
        </is>
      </c>
      <c r="F145" s="18" t="inlineStr">
        <is>
          <t>Ethinylestradiol 35 mcg + Cyproterone acetate 2 mg</t>
        </is>
      </c>
      <c r="G145" s="18" t="inlineStr">
        <is>
          <t>Desogestrel 75 mcg OD (Progestin-only)</t>
        </is>
      </c>
      <c r="H145" s="18" t="inlineStr">
        <is>
          <t>Levonorgestrel 1.5 mg stat (Emergency)</t>
        </is>
      </c>
      <c r="I145" s="15" t="inlineStr">
        <is>
          <t>1</t>
        </is>
      </c>
      <c r="J145" s="18"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18" t="inlineStr"/>
      <c r="L145" s="18" t="inlineStr">
        <is>
          <t>Oral contraceptive</t>
        </is>
      </c>
      <c r="M145" s="18" t="inlineStr">
        <is>
          <t>Clinic</t>
        </is>
      </c>
      <c r="N145" s="18" t="inlineStr">
        <is>
          <t>ข้อ 1 (PLE_CC1_Key_Rx20_UBU.md)</t>
        </is>
      </c>
      <c r="O145" s="18" t="inlineStr">
        <is>
          <t>Mock</t>
        </is>
      </c>
      <c r="P145" s="18" t="inlineStr">
        <is>
          <t>Mock Rx20 UBU</t>
        </is>
      </c>
    </row>
    <row r="146">
      <c r="A146" s="15" t="inlineStr">
        <is>
          <t>144</t>
        </is>
      </c>
      <c r="B146" s="18" t="inlineStr">
        <is>
          <t>หากผู้ป่วยให้นมบุตร ไม่ควรใช้ยาคุมกำเนิดแบบใด</t>
        </is>
      </c>
      <c r="C146" s="18" t="inlineStr"/>
      <c r="D146" s="18" t="inlineStr">
        <is>
          <t>Desogestrel 75 mcg OD (Progestin-only)</t>
        </is>
      </c>
      <c r="E146" s="18" t="inlineStr">
        <is>
          <t>Levonorgestrel 1.5 mg stat (Emergency)</t>
        </is>
      </c>
      <c r="F146" s="18" t="inlineStr">
        <is>
          <t>Mefenamic acid 500 mg TID</t>
        </is>
      </c>
      <c r="G146" s="18" t="inlineStr">
        <is>
          <t>Tamsulosin 0.4 mg HS</t>
        </is>
      </c>
      <c r="H146" s="18" t="inlineStr">
        <is>
          <t>Finasteride 5 mg OD</t>
        </is>
      </c>
      <c r="I146" s="15" t="inlineStr">
        <is>
          <t>1</t>
        </is>
      </c>
      <c r="J146" s="18"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18" t="inlineStr"/>
      <c r="L146" s="18" t="inlineStr">
        <is>
          <t>Oral contraceptive</t>
        </is>
      </c>
      <c r="M146" s="18" t="inlineStr">
        <is>
          <t>Clinic</t>
        </is>
      </c>
      <c r="N146" s="18" t="inlineStr">
        <is>
          <t>ข้อ 3 (PLE_CC1_Key_Rx20_UBU.md)</t>
        </is>
      </c>
      <c r="O146" s="18" t="inlineStr">
        <is>
          <t>Mock</t>
        </is>
      </c>
      <c r="P146" s="18" t="inlineStr">
        <is>
          <t>Mock Rx20 UBU</t>
        </is>
      </c>
    </row>
    <row r="147">
      <c r="A147" s="15" t="inlineStr">
        <is>
          <t>145</t>
        </is>
      </c>
      <c r="B147" s="18" t="inlineStr">
        <is>
          <t>ยาคุมแบบห่วงอนามัย</t>
        </is>
      </c>
      <c r="C147" s="18" t="inlineStr"/>
      <c r="D147" s="18" t="inlineStr">
        <is>
          <t>Tamsulosin 0.4 mg HS</t>
        </is>
      </c>
      <c r="E147" s="18" t="inlineStr">
        <is>
          <t>Finasteride 5 mg OD</t>
        </is>
      </c>
      <c r="F147" s="18" t="inlineStr">
        <is>
          <t>Oxybutynin 5 mg BID</t>
        </is>
      </c>
      <c r="G147" s="18" t="inlineStr">
        <is>
          <t>Tolterodine 2 mg BID</t>
        </is>
      </c>
      <c r="H147" s="18" t="inlineStr">
        <is>
          <t>Dydrogesterone 10 mg BID</t>
        </is>
      </c>
      <c r="I147" s="15" t="inlineStr">
        <is>
          <t>1</t>
        </is>
      </c>
      <c r="J147" s="18"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18" t="inlineStr"/>
      <c r="L147" s="18" t="inlineStr">
        <is>
          <t>Oral contraceptive</t>
        </is>
      </c>
      <c r="M147" s="18" t="inlineStr">
        <is>
          <t>Clinic</t>
        </is>
      </c>
      <c r="N147" s="18" t="inlineStr">
        <is>
          <t>ข้อ 3 (PLE_CC1_Key_Rx20_UBU.md)</t>
        </is>
      </c>
      <c r="O147" s="18" t="inlineStr">
        <is>
          <t>Mock</t>
        </is>
      </c>
      <c r="P147" s="18" t="inlineStr">
        <is>
          <t>Mock Rx20 UBU</t>
        </is>
      </c>
    </row>
    <row r="148">
      <c r="A148" s="15" t="inlineStr">
        <is>
          <t>146</t>
        </is>
      </c>
      <c r="B148" s="18" t="inlineStr">
        <is>
          <t>ยาคุมแบบฝังใต้ผิวหนัง</t>
        </is>
      </c>
      <c r="C148" s="18" t="inlineStr"/>
      <c r="D148" s="18" t="inlineStr">
        <is>
          <t>Tolterodine 2 mg BID</t>
        </is>
      </c>
      <c r="E148" s="18" t="inlineStr">
        <is>
          <t>Dydrogesterone 10 mg BID</t>
        </is>
      </c>
      <c r="F148" s="18" t="inlineStr">
        <is>
          <t>Ethinylestradiol 30 mcg + Levonorgestrel 150 mcg</t>
        </is>
      </c>
      <c r="G148" s="18" t="inlineStr">
        <is>
          <t>Ethinylestradiol 30 mcg + Drospirenone 3 mg</t>
        </is>
      </c>
      <c r="H148" s="18" t="inlineStr">
        <is>
          <t>Ethinylestradiol 35 mcg + Cyproterone acetate 2 mg</t>
        </is>
      </c>
      <c r="I148" s="15" t="inlineStr">
        <is>
          <t>1</t>
        </is>
      </c>
      <c r="J148" s="18"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18" t="inlineStr"/>
      <c r="L148" s="18" t="inlineStr">
        <is>
          <t>Oral contraceptive</t>
        </is>
      </c>
      <c r="M148" s="18" t="inlineStr">
        <is>
          <t>Clinic</t>
        </is>
      </c>
      <c r="N148" s="18" t="inlineStr">
        <is>
          <t>ข้อ 4 (PLE_CC1_Key_Rx20_UBU.md)</t>
        </is>
      </c>
      <c r="O148" s="18" t="inlineStr">
        <is>
          <t>Mock</t>
        </is>
      </c>
      <c r="P148" s="18" t="inlineStr">
        <is>
          <t>Mock Rx20 UBU</t>
        </is>
      </c>
    </row>
    <row r="149">
      <c r="A149" s="15" t="inlineStr">
        <is>
          <t>147</t>
        </is>
      </c>
      <c r="B149" s="18" t="inlineStr">
        <is>
          <t>ยาคุมแบบฉีด</t>
        </is>
      </c>
      <c r="C149" s="18" t="inlineStr"/>
      <c r="D149" s="18" t="inlineStr">
        <is>
          <t>Ethinylestradiol 30 mcg + Drospirenone 3 mg</t>
        </is>
      </c>
      <c r="E149" s="18" t="inlineStr">
        <is>
          <t>Ethinylestradiol 35 mcg + Cyproterone acetate 2 mg</t>
        </is>
      </c>
      <c r="F149" s="18" t="inlineStr">
        <is>
          <t>Desogestrel 75 mcg OD (Progestin-only)</t>
        </is>
      </c>
      <c r="G149" s="18" t="inlineStr">
        <is>
          <t>Levonorgestrel 1.5 mg stat (Emergency)</t>
        </is>
      </c>
      <c r="H149" s="18" t="inlineStr">
        <is>
          <t>Mefenamic acid 500 mg TID</t>
        </is>
      </c>
      <c r="I149" s="15" t="inlineStr">
        <is>
          <t>1</t>
        </is>
      </c>
      <c r="J149" s="18"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18" t="inlineStr"/>
      <c r="L149" s="18" t="inlineStr">
        <is>
          <t>Oral contraceptive</t>
        </is>
      </c>
      <c r="M149" s="18" t="inlineStr">
        <is>
          <t>Clinic</t>
        </is>
      </c>
      <c r="N149" s="18" t="inlineStr">
        <is>
          <t>ข้อ 5 (PLE_CC1_Key_Rx20_UBU.md)</t>
        </is>
      </c>
      <c r="O149" s="18" t="inlineStr">
        <is>
          <t>Mock</t>
        </is>
      </c>
      <c r="P149" s="18" t="inlineStr">
        <is>
          <t>Mock Rx20 UBU</t>
        </is>
      </c>
    </row>
    <row r="150">
      <c r="A150" s="15" t="inlineStr">
        <is>
          <t>148</t>
        </is>
      </c>
      <c r="B150" s="18"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18" t="inlineStr"/>
      <c r="D150" s="18" t="inlineStr">
        <is>
          <t>Levonorgestrel 1.5 mg stat (Emergency)</t>
        </is>
      </c>
      <c r="E150" s="18" t="inlineStr">
        <is>
          <t>Mefenamic acid 500 mg TID</t>
        </is>
      </c>
      <c r="F150" s="18" t="inlineStr">
        <is>
          <t>Tamsulosin 0.4 mg HS</t>
        </is>
      </c>
      <c r="G150" s="18" t="inlineStr">
        <is>
          <t>Finasteride 5 mg OD</t>
        </is>
      </c>
      <c r="H150" s="18" t="inlineStr">
        <is>
          <t>Oxybutynin 5 mg BID</t>
        </is>
      </c>
      <c r="I150" s="15" t="inlineStr">
        <is>
          <t>4</t>
        </is>
      </c>
      <c r="J150" s="18"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18" t="inlineStr"/>
      <c r="L150" s="18" t="inlineStr">
        <is>
          <t>Oral contraceptive</t>
        </is>
      </c>
      <c r="M150" s="18" t="inlineStr">
        <is>
          <t>Clinic</t>
        </is>
      </c>
      <c r="N150" s="18" t="inlineStr">
        <is>
          <t>ข้อ 5 (PLE_CC1_Key_Rx20_UBU.md)</t>
        </is>
      </c>
      <c r="O150" s="18" t="inlineStr">
        <is>
          <t>Mock</t>
        </is>
      </c>
      <c r="P150" s="18" t="inlineStr">
        <is>
          <t>Mock Rx20 UBU</t>
        </is>
      </c>
    </row>
    <row r="151">
      <c r="A151" s="15" t="inlineStr">
        <is>
          <t>149</t>
        </is>
      </c>
      <c r="B151" s="18" t="inlineStr">
        <is>
          <t>ห่วงคุมกำเนิดมีการออกฤทธิ์แบบใด</t>
        </is>
      </c>
      <c r="C151" s="18" t="inlineStr"/>
      <c r="D151" s="18" t="inlineStr">
        <is>
          <t>Finasteride 5 mg OD</t>
        </is>
      </c>
      <c r="E151" s="18" t="inlineStr">
        <is>
          <t>Oxybutynin 5 mg BID</t>
        </is>
      </c>
      <c r="F151" s="18" t="inlineStr">
        <is>
          <t>Tolterodine 2 mg BID</t>
        </is>
      </c>
      <c r="G151" s="18" t="inlineStr">
        <is>
          <t>Dydrogesterone 10 mg BID</t>
        </is>
      </c>
      <c r="H151" s="18" t="inlineStr">
        <is>
          <t>Ethinylestradiol 30 mcg + Levonorgestrel 150 mcg</t>
        </is>
      </c>
      <c r="I151" s="15" t="inlineStr">
        <is>
          <t>1</t>
        </is>
      </c>
      <c r="J151" s="18"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18" t="inlineStr"/>
      <c r="L151" s="18" t="inlineStr">
        <is>
          <t>Oral contraceptive</t>
        </is>
      </c>
      <c r="M151" s="18" t="inlineStr">
        <is>
          <t>Clinic</t>
        </is>
      </c>
      <c r="N151" s="18" t="inlineStr">
        <is>
          <t>ข้อ 5 (PLE_CC1_Key_Rx20_UBU.md)</t>
        </is>
      </c>
      <c r="O151" s="18" t="inlineStr">
        <is>
          <t>Mock</t>
        </is>
      </c>
      <c r="P151" s="18" t="inlineStr">
        <is>
          <t>Mock Rx20 UBU</t>
        </is>
      </c>
    </row>
    <row r="152">
      <c r="A152" s="15" t="inlineStr">
        <is>
          <t>150</t>
        </is>
      </c>
      <c r="B152" s="18" t="inlineStr">
        <is>
          <t>เมื่อใช้ยาคุมกำเนิดแล้วพบว่ามีเลือดออกกระปริดกระปอยเกิดจากสาเหตุต่อไปนี้ ยกเว้นข้อใด</t>
        </is>
      </c>
      <c r="C152" s="18" t="inlineStr"/>
      <c r="D152" s="18" t="inlineStr">
        <is>
          <t>Dydrogesterone 10 mg BID</t>
        </is>
      </c>
      <c r="E152" s="18" t="inlineStr">
        <is>
          <t>Ethinylestradiol 30 mcg + Levonorgestrel 150 mcg</t>
        </is>
      </c>
      <c r="F152" s="18" t="inlineStr">
        <is>
          <t>Ethinylestradiol 30 mcg + Drospirenone 3 mg</t>
        </is>
      </c>
      <c r="G152" s="18" t="inlineStr">
        <is>
          <t>Ethinylestradiol 35 mcg + Cyproterone acetate 2 mg</t>
        </is>
      </c>
      <c r="H152" s="18" t="inlineStr">
        <is>
          <t>Desogestrel 75 mcg OD (Progestin-only)</t>
        </is>
      </c>
      <c r="I152" s="15" t="inlineStr">
        <is>
          <t>1</t>
        </is>
      </c>
      <c r="J152" s="18"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18" t="inlineStr"/>
      <c r="L152" s="18" t="inlineStr">
        <is>
          <t>Oral contraceptive</t>
        </is>
      </c>
      <c r="M152" s="18" t="inlineStr">
        <is>
          <t>Clinic</t>
        </is>
      </c>
      <c r="N152" s="18" t="inlineStr">
        <is>
          <t>ข้อ 7 (PLE_CC1_Key_Rx20_UBU.md)</t>
        </is>
      </c>
      <c r="O152" s="18" t="inlineStr">
        <is>
          <t>Mock</t>
        </is>
      </c>
      <c r="P152" s="18" t="inlineStr">
        <is>
          <t>Mock Rx20 UBU</t>
        </is>
      </c>
    </row>
    <row r="153">
      <c r="A153" s="15" t="inlineStr">
        <is>
          <t>151</t>
        </is>
      </c>
      <c r="B153" s="18" t="inlineStr">
        <is>
          <t>ปริมาณ estrogen และ progesterone น้อยเกินไป</t>
        </is>
      </c>
      <c r="C153" s="18" t="inlineStr"/>
      <c r="D153" s="18" t="inlineStr">
        <is>
          <t>Ethinylestradiol 35 mcg + Cyproterone acetate 2 mg</t>
        </is>
      </c>
      <c r="E153" s="18" t="inlineStr">
        <is>
          <t>Desogestrel 75 mcg OD (Progestin-only)</t>
        </is>
      </c>
      <c r="F153" s="18" t="inlineStr">
        <is>
          <t>Levonorgestrel 1.5 mg stat (Emergency)</t>
        </is>
      </c>
      <c r="G153" s="18" t="inlineStr">
        <is>
          <t>Mefenamic acid 500 mg TID</t>
        </is>
      </c>
      <c r="H153" s="18" t="inlineStr">
        <is>
          <t>Tamsulosin 0.4 mg HS</t>
        </is>
      </c>
      <c r="I153" s="15" t="inlineStr">
        <is>
          <t>1</t>
        </is>
      </c>
      <c r="J153" s="18"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ง.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จ. (Tamsulosin 0.4 mg HS):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18" t="inlineStr"/>
      <c r="L153" s="18" t="inlineStr">
        <is>
          <t>Hormonal replacement</t>
        </is>
      </c>
      <c r="M153" s="18" t="inlineStr">
        <is>
          <t>Clinic</t>
        </is>
      </c>
      <c r="N153" s="18" t="inlineStr">
        <is>
          <t>ข้อ 1 (PLE_CC1_Key_Rx20_UBU.md)</t>
        </is>
      </c>
      <c r="O153" s="18" t="inlineStr">
        <is>
          <t>Mock</t>
        </is>
      </c>
      <c r="P153" s="18" t="inlineStr">
        <is>
          <t>Mock Rx20 UBU</t>
        </is>
      </c>
    </row>
    <row r="154">
      <c r="A154" s="15" t="inlineStr">
        <is>
          <t>152</t>
        </is>
      </c>
      <c r="B154" s="18" t="inlineStr">
        <is>
          <t>กินยาคุมไม่สม่ำเสมอ</t>
        </is>
      </c>
      <c r="C154" s="18" t="inlineStr"/>
      <c r="D154" s="18" t="inlineStr">
        <is>
          <t>Mefenamic acid 500 mg TID</t>
        </is>
      </c>
      <c r="E154" s="18" t="inlineStr">
        <is>
          <t>Tamsulosin 0.4 mg HS</t>
        </is>
      </c>
      <c r="F154" s="18" t="inlineStr">
        <is>
          <t>Finasteride 5 mg OD</t>
        </is>
      </c>
      <c r="G154" s="18" t="inlineStr">
        <is>
          <t>Oxybutynin 5 mg BID</t>
        </is>
      </c>
      <c r="H154" s="18" t="inlineStr">
        <is>
          <t>Tolterodine 2 mg BID</t>
        </is>
      </c>
      <c r="I154" s="15" t="inlineStr">
        <is>
          <t>1</t>
        </is>
      </c>
      <c r="J154" s="18"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18" t="inlineStr"/>
      <c r="L154" s="18" t="inlineStr">
        <is>
          <t>Oral contraceptive</t>
        </is>
      </c>
      <c r="M154" s="18" t="inlineStr">
        <is>
          <t>Clinic</t>
        </is>
      </c>
      <c r="N154" s="18" t="inlineStr">
        <is>
          <t>ข้อ 2 (PLE_CC1_Key_Rx20_UBU.md)</t>
        </is>
      </c>
      <c r="O154" s="18" t="inlineStr">
        <is>
          <t>Mock</t>
        </is>
      </c>
      <c r="P154" s="18" t="inlineStr">
        <is>
          <t>Mock Rx20 UBU</t>
        </is>
      </c>
    </row>
    <row r="155">
      <c r="A155" s="15" t="inlineStr">
        <is>
          <t>153</t>
        </is>
      </c>
      <c r="B155" s="18"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18" t="inlineStr"/>
      <c r="D155" s="18" t="inlineStr">
        <is>
          <t>Oxybutynin 5 mg BID</t>
        </is>
      </c>
      <c r="E155" s="18" t="inlineStr">
        <is>
          <t>Tolterodine 2 mg BID</t>
        </is>
      </c>
      <c r="F155" s="18" t="inlineStr">
        <is>
          <t>Dydrogesterone 10 mg BID</t>
        </is>
      </c>
      <c r="G155" s="18" t="inlineStr">
        <is>
          <t>Ethinylestradiol 30 mcg + Levonorgestrel 150 mcg</t>
        </is>
      </c>
      <c r="H155" s="18" t="inlineStr">
        <is>
          <t>Ethinylestradiol 30 mcg + Drospirenone 3 mg</t>
        </is>
      </c>
      <c r="I155" s="15" t="inlineStr">
        <is>
          <t>1</t>
        </is>
      </c>
      <c r="J155" s="18"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18" t="inlineStr"/>
      <c r="L155" s="18" t="inlineStr">
        <is>
          <t>Oral contraceptive</t>
        </is>
      </c>
      <c r="M155" s="18" t="inlineStr">
        <is>
          <t>Clinic</t>
        </is>
      </c>
      <c r="N155" s="18" t="inlineStr">
        <is>
          <t>ข้อ 8 (PLE_CC1_Key_Rx20_UBU.md)</t>
        </is>
      </c>
      <c r="O155" s="18" t="inlineStr">
        <is>
          <t>Mock</t>
        </is>
      </c>
      <c r="P155" s="18" t="inlineStr">
        <is>
          <t>Mock Rx20 UBU</t>
        </is>
      </c>
    </row>
    <row r="156">
      <c r="A156" s="15" t="inlineStr">
        <is>
          <t>154</t>
        </is>
      </c>
      <c r="B156" s="18" t="inlineStr">
        <is>
          <t>ข้อใดไม่ใช้ข้อห้ามในการใช้ยาคุมกำเนิด</t>
        </is>
      </c>
      <c r="C156" s="18" t="inlineStr"/>
      <c r="D156" s="18" t="inlineStr">
        <is>
          <t>Ethinylestradiol 30 mcg + Levonorgestrel 150 mcg</t>
        </is>
      </c>
      <c r="E156" s="18" t="inlineStr">
        <is>
          <t>Ethinylestradiol 30 mcg + Drospirenone 3 mg</t>
        </is>
      </c>
      <c r="F156" s="18" t="inlineStr">
        <is>
          <t>Ethinylestradiol 35 mcg + Cyproterone acetate 2 mg</t>
        </is>
      </c>
      <c r="G156" s="18" t="inlineStr">
        <is>
          <t>Desogestrel 75 mcg OD (Progestin-only)</t>
        </is>
      </c>
      <c r="H156" s="18" t="inlineStr">
        <is>
          <t>Levonorgestrel 1.5 mg stat (Emergency)</t>
        </is>
      </c>
      <c r="I156" s="15" t="inlineStr">
        <is>
          <t>1</t>
        </is>
      </c>
      <c r="J156" s="18"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18" t="inlineStr"/>
      <c r="L156" s="18" t="inlineStr">
        <is>
          <t>Oral contraceptive</t>
        </is>
      </c>
      <c r="M156" s="18" t="inlineStr">
        <is>
          <t>Clinic</t>
        </is>
      </c>
      <c r="N156" s="18" t="inlineStr">
        <is>
          <t>ข้อ 9 (PLE_CC1_Key_Rx20_UBU.md)</t>
        </is>
      </c>
      <c r="O156" s="18" t="inlineStr">
        <is>
          <t>Mock</t>
        </is>
      </c>
      <c r="P156" s="18" t="inlineStr">
        <is>
          <t>Mock Rx20 UBU</t>
        </is>
      </c>
    </row>
    <row r="157">
      <c r="A157" s="15" t="inlineStr">
        <is>
          <t>155</t>
        </is>
      </c>
      <c r="B157" s="18" t="inlineStr">
        <is>
          <t>Tamoxifen เป็น non-steroidal antiestrogen</t>
        </is>
      </c>
      <c r="C157" s="18" t="inlineStr"/>
      <c r="D157" s="18" t="inlineStr">
        <is>
          <t>Desogestrel 75 mcg OD (Progestin-only)</t>
        </is>
      </c>
      <c r="E157" s="18" t="inlineStr">
        <is>
          <t>Levonorgestrel 1.5 mg stat (Emergency)</t>
        </is>
      </c>
      <c r="F157" s="18" t="inlineStr">
        <is>
          <t>Mefenamic acid 500 mg TID</t>
        </is>
      </c>
      <c r="G157" s="18" t="inlineStr">
        <is>
          <t>Tamsulosin 0.4 mg HS</t>
        </is>
      </c>
      <c r="H157" s="18" t="inlineStr">
        <is>
          <t>Finasteride 5 mg OD</t>
        </is>
      </c>
      <c r="I157" s="15" t="inlineStr">
        <is>
          <t>1</t>
        </is>
      </c>
      <c r="J157" s="18"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ค.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ง.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จ. (Finasteride 5 mg OD):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18" t="inlineStr"/>
      <c r="L157" s="18" t="inlineStr">
        <is>
          <t>Hormonal replacement</t>
        </is>
      </c>
      <c r="M157" s="18" t="inlineStr">
        <is>
          <t>Clinic</t>
        </is>
      </c>
      <c r="N157" s="18" t="inlineStr">
        <is>
          <t>ข้อ 3 (PLE_CC1_Key_Rx20_UBU.md)</t>
        </is>
      </c>
      <c r="O157" s="18" t="inlineStr">
        <is>
          <t>Mock</t>
        </is>
      </c>
      <c r="P157" s="18" t="inlineStr">
        <is>
          <t>Mock Rx20 UBU</t>
        </is>
      </c>
    </row>
    <row r="158">
      <c r="A158" s="15" t="inlineStr">
        <is>
          <t>156</t>
        </is>
      </c>
      <c r="B158" s="18" t="inlineStr">
        <is>
          <t>ยา Progestins ใดที่นิยมใช้ใน Progesterone only pills (POPs)</t>
        </is>
      </c>
      <c r="C158" s="18" t="inlineStr"/>
      <c r="D158" s="18" t="inlineStr">
        <is>
          <t>Desogestrel</t>
        </is>
      </c>
      <c r="E158" s="18" t="inlineStr">
        <is>
          <t>Norgestrel</t>
        </is>
      </c>
      <c r="F158" s="18" t="inlineStr">
        <is>
          <t>Gestodene</t>
        </is>
      </c>
      <c r="G158" s="18" t="inlineStr">
        <is>
          <t>Norgestimate</t>
        </is>
      </c>
      <c r="H158" s="18" t="inlineStr">
        <is>
          <t>Levonorgestrel</t>
        </is>
      </c>
      <c r="I158" s="15" t="inlineStr">
        <is>
          <t>1</t>
        </is>
      </c>
      <c r="J158" s="18"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8" t="inlineStr"/>
      <c r="L158" s="18" t="inlineStr">
        <is>
          <t>Hormonal replacement</t>
        </is>
      </c>
      <c r="M158" s="18" t="inlineStr">
        <is>
          <t>Clinic</t>
        </is>
      </c>
      <c r="N158" s="18" t="inlineStr">
        <is>
          <t>ข้อ 84 (PLE_CC1_Key_Rx20_UBU.md)</t>
        </is>
      </c>
      <c r="O158" s="18" t="inlineStr">
        <is>
          <t>Mock</t>
        </is>
      </c>
      <c r="P158" s="18" t="inlineStr">
        <is>
          <t>Mock Rx20 UBU</t>
        </is>
      </c>
    </row>
    <row r="159">
      <c r="A159" s="15" t="inlineStr">
        <is>
          <t>157</t>
        </is>
      </c>
      <c r="B159" s="18" t="inlineStr">
        <is>
          <t>ยาคุมกำเนิดในข้อใด เหมาะสมที่สุด (โจทย์มีแค่นี้)</t>
        </is>
      </c>
      <c r="C159" s="18" t="inlineStr"/>
      <c r="D159" s="18" t="inlineStr">
        <is>
          <t>Levonorgestrel</t>
        </is>
      </c>
      <c r="E159" s="18" t="inlineStr">
        <is>
          <t>Lynestrenol</t>
        </is>
      </c>
      <c r="F159" s="18" t="inlineStr">
        <is>
          <t>Ethinyl estradiol + Desogestrel</t>
        </is>
      </c>
      <c r="G159" s="18" t="inlineStr">
        <is>
          <t>Ethinyl estradiol + Levonorgestrel</t>
        </is>
      </c>
      <c r="H159" s="18" t="inlineStr">
        <is>
          <t>Ethinyl estradiol + Gestodene ในการใช้เป็นยาคุมฉุกเฉิน</t>
        </is>
      </c>
      <c r="I159" s="15" t="inlineStr">
        <is>
          <t>5</t>
        </is>
      </c>
      <c r="J159" s="18"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ข้อนี้ไม่ใช่คำตอบที่ถูกต้องสำหรับภาวะ Oral contraceptive เนื่องจากกลไกการออกฤทธิ์, efficacy หรือข้อบ่งใช้ไม่ตรงกับโจทย์ที่กำหนด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18" t="inlineStr"/>
      <c r="L159" s="18" t="inlineStr">
        <is>
          <t>Oral contraceptive</t>
        </is>
      </c>
      <c r="M159" s="18" t="inlineStr">
        <is>
          <t>Clinic</t>
        </is>
      </c>
      <c r="N159" s="18" t="inlineStr">
        <is>
          <t>ข้อ 85 (PLE_CC1_Key_Rx20_UBU.md)</t>
        </is>
      </c>
      <c r="O159" s="18" t="inlineStr">
        <is>
          <t>Mock</t>
        </is>
      </c>
      <c r="P159" s="18" t="inlineStr">
        <is>
          <t>Mock Rx20 UBU</t>
        </is>
      </c>
    </row>
    <row r="160">
      <c r="A160" s="15" t="inlineStr">
        <is>
          <t>158</t>
        </is>
      </c>
      <c r="B160" s="18" t="inlineStr">
        <is>
          <t>โครงสร้างในข้อใดมีฤทธิ์ Estrogenic activity</t>
        </is>
      </c>
      <c r="C160" s="18" t="inlineStr"/>
      <c r="D160" s="18" t="inlineStr">
        <is>
          <t>Ethinylestradiol 30 mcg + Drospirenone 3 mg</t>
        </is>
      </c>
      <c r="E160" s="18" t="inlineStr">
        <is>
          <t>Ethinylestradiol 35 mcg + Cyproterone acetate 2 mg</t>
        </is>
      </c>
      <c r="F160" s="18" t="inlineStr">
        <is>
          <t>Desogestrel 75 mcg OD (Progestin-only)</t>
        </is>
      </c>
      <c r="G160" s="18" t="inlineStr">
        <is>
          <t>Levonorgestrel 1.5 mg stat (Emergency)</t>
        </is>
      </c>
      <c r="H160" s="18" t="inlineStr">
        <is>
          <t>Mefenamic acid 500 mg TID</t>
        </is>
      </c>
      <c r="I160" s="15" t="inlineStr">
        <is>
          <t>3</t>
        </is>
      </c>
      <c r="J160" s="18"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จ.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18" t="inlineStr"/>
      <c r="L160" s="18" t="inlineStr">
        <is>
          <t>Hormonal replacement</t>
        </is>
      </c>
      <c r="M160" s="18" t="inlineStr">
        <is>
          <t>Clinic</t>
        </is>
      </c>
      <c r="N160" s="18" t="inlineStr">
        <is>
          <t>ข้อ 88 (PLE_CC1_Key_Rx20_UBU.md)</t>
        </is>
      </c>
      <c r="O160" s="18" t="inlineStr">
        <is>
          <t>Mock</t>
        </is>
      </c>
      <c r="P160" s="18" t="inlineStr">
        <is>
          <t>Mock Rx20 UBU</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P52"/>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1</t>
        </is>
      </c>
      <c r="B3" s="18"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8" t="inlineStr"/>
      <c r="D3" s="18" t="inlineStr">
        <is>
          <t>Staphylococcus aureus</t>
        </is>
      </c>
      <c r="E3" s="18" t="inlineStr">
        <is>
          <t>Staphylococcus epidermidis</t>
        </is>
      </c>
      <c r="F3" s="18" t="inlineStr">
        <is>
          <t>Streptococcus pneumoniae</t>
        </is>
      </c>
      <c r="G3" s="18" t="inlineStr">
        <is>
          <t>Neisseria gonorrhoeae</t>
        </is>
      </c>
      <c r="H3" s="18" t="inlineStr">
        <is>
          <t>Chlamydia trachomatis</t>
        </is>
      </c>
      <c r="I3" s="15" t="inlineStr">
        <is>
          <t>1</t>
        </is>
      </c>
      <c r="J3" s="18"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ข้อนี้ไม่ใช่คำตอบที่ถูกต้องสำหรับภาวะ Conjunctivitis เนื่องจากกลไกการออกฤทธิ์, efficacy หรือข้อบ่งใช้ไม่ตรงกับโจทย์ที่กำหนด
• ข้อ ค. (Streptococcus pneumoniae):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(Chlamydia trachomatis):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18" t="inlineStr"/>
      <c r="L3" s="18" t="inlineStr">
        <is>
          <t>Conjunctivitis</t>
        </is>
      </c>
      <c r="M3" s="18" t="inlineStr">
        <is>
          <t>Clinic</t>
        </is>
      </c>
      <c r="N3" s="18" t="inlineStr">
        <is>
          <t>ข้อ 1 ชุด 1 (เฉลยข้อ ก)</t>
        </is>
      </c>
      <c r="O3" s="18" t="inlineStr">
        <is>
          <t>Mock</t>
        </is>
      </c>
      <c r="P3" s="18" t="inlineStr">
        <is>
          <t>ชุด 1</t>
        </is>
      </c>
    </row>
    <row r="4">
      <c r="A4" s="15" t="inlineStr">
        <is>
          <t>2</t>
        </is>
      </c>
      <c r="B4" s="18"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8" t="inlineStr"/>
      <c r="D4" s="18" t="inlineStr">
        <is>
          <t>Dexamethasone eye drop</t>
        </is>
      </c>
      <c r="E4" s="18" t="inlineStr">
        <is>
          <t>Oxymetazoline eye drop</t>
        </is>
      </c>
      <c r="F4" s="18" t="inlineStr">
        <is>
          <t>Idoxuridine eye drop</t>
        </is>
      </c>
      <c r="G4" s="18" t="inlineStr">
        <is>
          <t>Artificial tear</t>
        </is>
      </c>
      <c r="H4" s="18" t="inlineStr">
        <is>
          <t>Chloramphenicol eye drop</t>
        </is>
      </c>
      <c r="I4" s="15" t="inlineStr">
        <is>
          <t>5</t>
        </is>
      </c>
      <c r="J4" s="18"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ข้อนี้ไม่ใช่คำตอบที่ถูกต้องสำหรับภาวะ Conjunctivitis เนื่องจากกลไกการออกฤทธิ์, efficacy หรือข้อบ่งใช้ไม่ตรงกับโจทย์ที่กำหนด
• ข้อ ง. (Artificial tear):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18" t="inlineStr"/>
      <c r="L4" s="18" t="inlineStr">
        <is>
          <t>Conjunctivitis</t>
        </is>
      </c>
      <c r="M4" s="18" t="inlineStr">
        <is>
          <t>Clinic</t>
        </is>
      </c>
      <c r="N4" s="18" t="inlineStr">
        <is>
          <t>ข้อ 2 ชุด 1 (เฉลยข้อ จ)</t>
        </is>
      </c>
      <c r="O4" s="18" t="inlineStr">
        <is>
          <t>Mock</t>
        </is>
      </c>
      <c r="P4" s="18" t="inlineStr">
        <is>
          <t>ชุด 1</t>
        </is>
      </c>
    </row>
    <row r="5">
      <c r="A5" s="15" t="inlineStr">
        <is>
          <t>3</t>
        </is>
      </c>
      <c r="B5" s="18" t="inlineStr">
        <is>
          <t>กลไกการออกฤทธิ์ของยาในข้อข้างต้น คือ</t>
        </is>
      </c>
      <c r="C5" s="18" t="inlineStr"/>
      <c r="D5" s="18" t="inlineStr">
        <is>
          <t>ยับยั้งการสังเคราะห์ DNA ของเชื้อ</t>
        </is>
      </c>
      <c r="E5" s="18" t="inlineStr">
        <is>
          <t>ยับยั้งการสร้างโปรตีนของเชื้อ</t>
        </is>
      </c>
      <c r="F5" s="18" t="inlineStr">
        <is>
          <t>ยับยั้งการสังเคราะห์ RNA ของเชื้อ</t>
        </is>
      </c>
      <c r="G5" s="18" t="inlineStr">
        <is>
          <t>ยับยั้งการเคลื่อนที่ของ leukocytes</t>
        </is>
      </c>
      <c r="H5" s="18" t="inlineStr">
        <is>
          <t>ยับยั้งการสร้าง cell wall</t>
        </is>
      </c>
      <c r="I5" s="15" t="inlineStr">
        <is>
          <t>2</t>
        </is>
      </c>
      <c r="J5" s="18"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ค. (ยับยั้งการสังเคราะห์ RNA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ง. (ยับยั้งการเคลื่อนที่ของ leukocytes): ข้อนี้ไม่ใช่คำตอบที่ถูกต้องสำหรับภาวะ Glaucoma, Cataract เนื่องจากกลไกการออกฤทธิ์, efficacy หรือข้อบ่งใช้ไม่ตรงกับโจทย์ที่กำหนด
• ข้อ จ. (ยับยั้งการสร้าง cell wall):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18" t="inlineStr"/>
      <c r="L5" s="18" t="inlineStr">
        <is>
          <t>Glaucoma, Cataract</t>
        </is>
      </c>
      <c r="M5" s="18" t="inlineStr">
        <is>
          <t>Clinic</t>
        </is>
      </c>
      <c r="N5" s="18" t="inlineStr">
        <is>
          <t>ข้อ 3 ชุด 1 (เฉลยข้อ ข)</t>
        </is>
      </c>
      <c r="O5" s="18" t="inlineStr">
        <is>
          <t>Mock</t>
        </is>
      </c>
      <c r="P5" s="18" t="inlineStr">
        <is>
          <t>ชุด 1</t>
        </is>
      </c>
    </row>
    <row r="6">
      <c r="A6" s="15" t="inlineStr">
        <is>
          <t>4</t>
        </is>
      </c>
      <c r="B6" s="18" t="inlineStr">
        <is>
          <t>ข้อใดถูกต้องเกี่ยวกับการเก็บยาในข้อข้างต้นหลังจากเปิดใช้แล้ว</t>
        </is>
      </c>
      <c r="C6" s="18" t="inlineStr"/>
      <c r="D6" s="18" t="inlineStr">
        <is>
          <t>อุณหภูมิ 25 c เก็บได้ 8 week</t>
        </is>
      </c>
      <c r="E6" s="18" t="inlineStr">
        <is>
          <t>อุณหภูมิ 25 c เก็บได้ 4 week</t>
        </is>
      </c>
      <c r="F6" s="18" t="inlineStr">
        <is>
          <t>อุณหภูมิ 2-8 c เก็บได้ 8 week</t>
        </is>
      </c>
      <c r="G6" s="18" t="inlineStr">
        <is>
          <t>อุณหภูมิ 2-8 c เก็บได้ 4 week</t>
        </is>
      </c>
      <c r="H6" s="18" t="inlineStr">
        <is>
          <t>อุณหภูมิ 8-15 c เก็บได้ 4 week</t>
        </is>
      </c>
      <c r="I6" s="15" t="inlineStr">
        <is>
          <t>4</t>
        </is>
      </c>
      <c r="J6" s="18"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ข. (อุณหภูมิ 25 c เก็บได้ 4 week): ข้อนี้ไม่ใช่คำตอบที่ถูกต้องสำหรับภาวะ Glaucoma, Cataract เนื่องจากกลไกการออกฤทธิ์, efficacy หรือข้อบ่งใช้ไม่ตรงกับโจทย์ที่กำหนด
• ข้อ ค. (อุณหภูมิ 2-8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จ. (อุณหภูมิ 8-15 c เก็บได้ 4 week):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8" t="inlineStr"/>
      <c r="L6" s="18" t="inlineStr">
        <is>
          <t>Glaucoma, Cataract</t>
        </is>
      </c>
      <c r="M6" s="18" t="inlineStr">
        <is>
          <t>Clinic</t>
        </is>
      </c>
      <c r="N6" s="18" t="inlineStr">
        <is>
          <t>ข้อ 4 ชุด 1 (เฉลยข้อ ง)</t>
        </is>
      </c>
      <c r="O6" s="18" t="inlineStr">
        <is>
          <t>Mock</t>
        </is>
      </c>
      <c r="P6" s="18" t="inlineStr">
        <is>
          <t>ชุด 1</t>
        </is>
      </c>
    </row>
    <row r="7">
      <c r="A7" s="15" t="inlineStr">
        <is>
          <t>5</t>
        </is>
      </c>
      <c r="B7" s="18" t="inlineStr">
        <is>
          <t>ผู้ป่วยชายมาร้านยาด้วยอาการตาแดง มาซื้อยาหยอดตาที่ร้าน เภสัชกรซักประวัติเพิ่มเติม พบว่า มีขี้ตาสีเขียวเหลืองและหนังตาบวม ไม่มีอาการปวดและการมองภาพเป็นปกติ เป็นมา 3-4 วัน ไปซื้อยา dexamethasone eye drop มาใช้เอง แต่หยอดแล้วอาการเป็นมากขึ้นจึงมาพบเภสัชกร
การเลือกใช้ dexamethasone ในผู้ป่วยรายนี้ไม่เหมาะสม เพราะอะไร</t>
        </is>
      </c>
      <c r="C7" s="18" t="inlineStr"/>
      <c r="D7" s="18" t="inlineStr">
        <is>
          <t>Dexamethasone มีฤทธิ์กดภูมิคุ้มกัน จึงไม่ควรใช้ในการติดเชื้อ</t>
        </is>
      </c>
      <c r="E7" s="18" t="inlineStr">
        <is>
          <t>Dexamethasone เป็นยาควบคุมพิเศษต้องมีใบสั่งแพทย์</t>
        </is>
      </c>
      <c r="F7" s="18" t="inlineStr">
        <is>
          <t>Dexamethasone สามารถเพิ่มความดันในลูกตา (intraocular pressure) ได้</t>
        </is>
      </c>
      <c r="G7" s="18" t="inlineStr">
        <is>
          <t>Dexamethasone ทำให้หนังตาบวมมากขึ้นจากฤทธิ์ mineralocorticoid</t>
        </is>
      </c>
      <c r="H7" s="18" t="inlineStr">
        <is>
          <t>Dexamethasone ทำให้หลอดเลือดบนจอรับภาพมากขึ้น (revascularization)</t>
        </is>
      </c>
      <c r="I7" s="15" t="inlineStr">
        <is>
          <t>1</t>
        </is>
      </c>
      <c r="J7" s="18" t="inlineStr">
        <is>
          <t>✅ คำตอบที่ถูกต้อง: ข้อ ก. Dexamethasone มีฤทธิ์กดภูมิคุ้มกัน จึงไม่ควรใช้ในการติดเชื้อ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Dexamethasone มีฤทธิ์กดภูมิคุ้มกัน จึงไม่ควรใช้ในการติดเชื้อ การใช้ยาสเตียรอยด์เฉพาะที่ (เช่น Dexamethasone) ในผู้ป่วยที่มีการติดเชื้อแบคทีเรียจะทำให้ภูมิคุ้มกันบริเวณนั้นลดลง ส่งผลให้เชื้อโรคแพร่กระจายลุกลามและทำลายกระจกตามากขึ้น (เช่น เกิด corneal ulcer)
🔍 ข้ออื่นผิดเพราะอะไร:
• ข้อ ข. (Dexamethasone เป็นยาควบคุมพิเศษต้องมีใบสั่งแพทย์): เป็น long-acting potent glucocorticoid ไม่มี mineralocorticoid effect จึงไม่ทำให้น้ำคั่ง เหมาะสำหรับ brain edema, antiemetic, และ COVID-19 with hypoxemia
• ข้อ ค. (Dexamethasone สามารถเพิ่มความดันในลูกตา (intraocular pressure) ได้): เป็น long-acting potent glucocorticoid ไม่มี mineralocorticoid effect จึงไม่ทำให้น้ำคั่ง เหมาะสำหรับ brain edema, antiemetic, และ COVID-19 with hypoxemia
• ข้อ ง. (Dexamethasone ทำให้หนังตาบวมมากขึ้นจากฤทธิ์ mineralocorticoid): เป็น long-acting potent glucocorticoid ไม่มี mineralocorticoid effect จึงไม่ทำให้น้ำคั่ง เหมาะสำหรับ brain edema, antiemetic, และ COVID-19 with hypoxemia
• ข้อ จ. (Dexamethasone ทำให้หลอดเลือดบนจอรับภาพมากขึ้น (revascularization)):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18" t="inlineStr"/>
      <c r="L7" s="18" t="inlineStr">
        <is>
          <t>Conjunctivitis</t>
        </is>
      </c>
      <c r="M7" s="18" t="inlineStr">
        <is>
          <t>Clinic</t>
        </is>
      </c>
      <c r="N7" s="18" t="inlineStr">
        <is>
          <t>ข้อ 5 ชุด 1 (เฉลยข้อ ก)</t>
        </is>
      </c>
      <c r="O7" s="18" t="inlineStr">
        <is>
          <t>Mock</t>
        </is>
      </c>
      <c r="P7" s="18" t="inlineStr">
        <is>
          <t>ชุด 1</t>
        </is>
      </c>
    </row>
    <row r="8">
      <c r="A8" s="15" t="inlineStr">
        <is>
          <t>6</t>
        </is>
      </c>
      <c r="B8" s="18" t="inlineStr">
        <is>
          <t>จากอาการข้างต้น ท่านจะเลือกยาตัวใด</t>
        </is>
      </c>
      <c r="C8" s="18" t="inlineStr"/>
      <c r="D8" s="18" t="inlineStr">
        <is>
          <t>Prednisolone eye drop</t>
        </is>
      </c>
      <c r="E8" s="18" t="inlineStr">
        <is>
          <t>Chloramphenicol eye drop</t>
        </is>
      </c>
      <c r="F8" s="18" t="inlineStr">
        <is>
          <t>Antazoline eye drop</t>
        </is>
      </c>
      <c r="G8" s="18" t="inlineStr">
        <is>
          <t>Boric acid eye drop</t>
        </is>
      </c>
      <c r="H8" s="18" t="inlineStr">
        <is>
          <t>Hydroxypropyl methylcellulose eye drop</t>
        </is>
      </c>
      <c r="I8" s="15" t="inlineStr">
        <is>
          <t>2</t>
        </is>
      </c>
      <c r="J8" s="18"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ข้อนี้ไม่ใช่คำตอบที่ถูกต้องสำหรับภาวะ Glaucoma, Cataract เนื่องจากกลไกการออกฤทธิ์, efficacy หรือข้อบ่งใช้ไม่ตรงกับโจทย์ที่กำหนด
• ข้อ ง. (Boric acid eye drop): ข้อนี้ไม่ใช่คำตอบที่ถูกต้องสำหรับภาวะ Glaucoma, Cataract เนื่องจากกลไกการออกฤทธิ์, efficacy หรือข้อบ่งใช้ไม่ตรงกับโจทย์ที่กำหนด
• ข้อ จ. (Hydroxypropyl methylcellulose eye drop):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8" t="inlineStr"/>
      <c r="L8" s="18" t="inlineStr">
        <is>
          <t>Glaucoma, Cataract</t>
        </is>
      </c>
      <c r="M8" s="18" t="inlineStr">
        <is>
          <t>Clinic</t>
        </is>
      </c>
      <c r="N8" s="18" t="inlineStr">
        <is>
          <t>ข้อ 6 ชุด 1 (เฉลยข้อ ข)</t>
        </is>
      </c>
      <c r="O8" s="18" t="inlineStr">
        <is>
          <t>Mock</t>
        </is>
      </c>
      <c r="P8" s="18" t="inlineStr">
        <is>
          <t>ชุด 1</t>
        </is>
      </c>
    </row>
    <row r="9">
      <c r="A9" s="15" t="inlineStr">
        <is>
          <t>7</t>
        </is>
      </c>
      <c r="B9" s="18" t="inlineStr">
        <is>
          <t>กรณีจ่ายยาหยอดตาให้กับผู้ป่วยต้องแนะนำเรื่องต่อไปนี้ ยกเว้น</t>
        </is>
      </c>
      <c r="C9" s="18" t="inlineStr"/>
      <c r="D9" s="18" t="inlineStr">
        <is>
          <t>ควรล้างมือให้สะอาดก่อนใช้ยา</t>
        </is>
      </c>
      <c r="E9" s="18" t="inlineStr">
        <is>
          <t>ปรับอุณหภูมิให้เท่าอุณหภูมิร่างกาย</t>
        </is>
      </c>
      <c r="F9" s="18" t="inlineStr">
        <is>
          <t>เก็บยาในถาดใต้ช่องแช่แข็งของตู้เย็น</t>
        </is>
      </c>
      <c r="G9" s="18" t="inlineStr">
        <is>
          <t>หลังจากเปิดใช้ยาแล้ว ใช้ได้ไม่เกิน 1 เดือน</t>
        </is>
      </c>
      <c r="H9" s="18" t="inlineStr">
        <is>
          <t>กรณีที่ใช้ยาป้ายร่วมด้วย ให้ใช้ยาหยอดก่อนป้ายตา</t>
        </is>
      </c>
      <c r="I9" s="15" t="inlineStr">
        <is>
          <t>3</t>
        </is>
      </c>
      <c r="J9" s="18"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ข้อนี้ไม่ใช่คำตอบที่ถูกต้องสำหรับภาวะ Glaucoma, Cataract เนื่องจากกลไกการออกฤทธิ์, efficacy หรือข้อบ่งใช้ไม่ตรงกับโจทย์ที่กำหนด
• ข้อ ข. (ปรับอุณหภูมิให้เท่าอุณหภูมิร่างกาย): ข้อนี้ไม่ใช่คำตอบที่ถูกต้องสำหรับภาวะ Glaucoma, Cataract เนื่องจากกลไกการออกฤทธิ์, efficacy หรือข้อบ่งใช้ไม่ตรงกับโจทย์ที่กำหนด
• ข้อ ง. (หลังจากเปิดใช้ยาแล้ว ใช้ได้ไม่เกิน 1 เดือน): ข้อนี้ไม่ใช่คำตอบที่ถูกต้องสำหรับภาวะ Glaucoma, Cataract เนื่องจากกลไกการออกฤทธิ์, efficacy หรือข้อบ่งใช้ไม่ตรงกับโจทย์ที่กำหนด
• ข้อ จ. (กรณีที่ใช้ยาป้ายร่วมด้วย ให้ใช้ยาหยอดก่อนป้ายตา):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8" t="inlineStr"/>
      <c r="L9" s="18" t="inlineStr">
        <is>
          <t>Glaucoma, Cataract</t>
        </is>
      </c>
      <c r="M9" s="18" t="inlineStr">
        <is>
          <t>Clinic</t>
        </is>
      </c>
      <c r="N9" s="18" t="inlineStr">
        <is>
          <t>ข้อ 7 ชุด 1 (เฉลยข้อ ค)</t>
        </is>
      </c>
      <c r="O9" s="18" t="inlineStr">
        <is>
          <t>Mock</t>
        </is>
      </c>
      <c r="P9" s="18" t="inlineStr">
        <is>
          <t>ชุด 1</t>
        </is>
      </c>
    </row>
    <row r="10">
      <c r="A10" s="15" t="inlineStr">
        <is>
          <t>8</t>
        </is>
      </c>
      <c r="B10" s="18" t="inlineStr">
        <is>
          <t>กรณีใดที่ต้องรีบส่งต่อผู้ป่วยรายนี้ไปโรงพยาบาล</t>
        </is>
      </c>
      <c r="C10" s="18" t="inlineStr"/>
      <c r="D10" s="18" t="inlineStr">
        <is>
          <t>ใช้ยาแล้วแสบตา</t>
        </is>
      </c>
      <c r="E10" s="18" t="inlineStr">
        <is>
          <t>ใช้ยาแล้วมีอาการขมที่ลิ้น</t>
        </is>
      </c>
      <c r="F10" s="18" t="inlineStr">
        <is>
          <t>การมองภาพ เห็นภาพซ้อน</t>
        </is>
      </c>
      <c r="G10" s="18" t="inlineStr">
        <is>
          <t>ใช้ยา 1 วันและขี้ตาไม่หายไป</t>
        </is>
      </c>
      <c r="H10" s="18" t="inlineStr">
        <is>
          <t>มีอาการปวดศีรษะร่วมด้วย</t>
        </is>
      </c>
      <c r="I10" s="15" t="inlineStr">
        <is>
          <t>3</t>
        </is>
      </c>
      <c r="J10" s="18"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ข้อนี้ไม่ใช่คำตอบที่ถูกต้องสำหรับภาวะ Glaucoma, Cataract เนื่องจากกลไกการออกฤทธิ์, efficacy หรือข้อบ่งใช้ไม่ตรงกับโจทย์ที่กำหนด
• ข้อ ข. (ใช้ยาแล้วมีอาการขมที่ลิ้น): ข้อนี้ไม่ใช่คำตอบที่ถูกต้องสำหรับภาวะ Glaucoma, Cataract เนื่องจากกลไกการออกฤทธิ์, efficacy หรือข้อบ่งใช้ไม่ตรงกับโจทย์ที่กำหนด
• ข้อ ง. (ใช้ยา 1 วันและขี้ตาไม่หายไป): ข้อนี้ไม่ใช่คำตอบที่ถูกต้องสำหรับภาวะ Glaucoma, Cataract เนื่องจากกลไกการออกฤทธิ์, efficacy หรือข้อบ่งใช้ไม่ตรงกับโจทย์ที่กำหนด
• ข้อ จ. (มีอาการปวดศีรษะร่วมด้วย):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18" t="inlineStr"/>
      <c r="L10" s="18" t="inlineStr">
        <is>
          <t>Glaucoma, Cataract</t>
        </is>
      </c>
      <c r="M10" s="18" t="inlineStr">
        <is>
          <t>Clinic</t>
        </is>
      </c>
      <c r="N10" s="18" t="inlineStr">
        <is>
          <t>ข้อ 8 ชุด 1 (เฉลยข้อ ค)</t>
        </is>
      </c>
      <c r="O10" s="18" t="inlineStr">
        <is>
          <t>Mock</t>
        </is>
      </c>
      <c r="P10" s="18" t="inlineStr">
        <is>
          <t>ชุด 1</t>
        </is>
      </c>
    </row>
    <row r="11">
      <c r="A11" s="15" t="inlineStr">
        <is>
          <t>9</t>
        </is>
      </c>
      <c r="B11" s="18"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1" s="18" t="inlineStr"/>
      <c r="D11" s="18" t="inlineStr">
        <is>
          <t>Otitis media</t>
        </is>
      </c>
      <c r="E11" s="18" t="inlineStr">
        <is>
          <t>Tinnitus</t>
        </is>
      </c>
      <c r="F11" s="18" t="inlineStr">
        <is>
          <t>Influenza</t>
        </is>
      </c>
      <c r="G11" s="18" t="inlineStr">
        <is>
          <t>Sinusitis</t>
        </is>
      </c>
      <c r="H11" s="18" t="inlineStr">
        <is>
          <t>Tonsillitis</t>
        </is>
      </c>
      <c r="I11" s="15" t="inlineStr">
        <is>
          <t>1</t>
        </is>
      </c>
      <c r="J11" s="18"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ข้อนี้ไม่ใช่คำตอบที่ถูกต้องสำหรับภาวะ Glaucoma, Cataract เนื่องจากกลไกการออกฤทธิ์, efficacy หรือข้อบ่งใช้ไม่ตรงกับโจทย์ที่กำหนด
• ข้อ ค. (Influenza): วัคซีนไข้หวัดใหญ่ชนิด inactivated ฉีดปีละ 1 ครั้ง ในกลุ่มเสี่ยง 7 กลุ่มโรคเรื้อรัง และเด็กอายุ 6 เดือน - 2 ปี
• ข้อ ง. (Sinusitis): ข้อนี้ไม่ใช่คำตอบที่ถูกต้องสำหรับภาวะ Glaucoma, Cataract เนื่องจากกลไกการออกฤทธิ์, efficacy หรือข้อบ่งใช้ไม่ตรงกับโจทย์ที่กำหนด
• ข้อ จ. (Tonsillitis): ข้อนี้ไม่ใช่คำตอบที่ถูกต้องสำหรับภาวะ Glaucoma, Cataract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8" t="inlineStr"/>
      <c r="L11" s="18" t="inlineStr">
        <is>
          <t>Glaucoma, Cataract</t>
        </is>
      </c>
      <c r="M11" s="18" t="inlineStr">
        <is>
          <t>Clinic</t>
        </is>
      </c>
      <c r="N11" s="18" t="inlineStr">
        <is>
          <t>ข้อ 9 ชุด 1 (เฉลยข้อ ก)</t>
        </is>
      </c>
      <c r="O11" s="18" t="inlineStr">
        <is>
          <t>Mock</t>
        </is>
      </c>
      <c r="P11" s="18" t="inlineStr">
        <is>
          <t>ชุด 1</t>
        </is>
      </c>
    </row>
    <row r="12">
      <c r="A12" s="15" t="inlineStr">
        <is>
          <t>10</t>
        </is>
      </c>
      <c r="B12" s="18" t="inlineStr">
        <is>
          <t>อาการที่เกิดขึ้นสามารถเกิดได้จากเชื้อจุลชีพต่อไปนี้ ยกเว้นข้อใด</t>
        </is>
      </c>
      <c r="C12" s="18" t="inlineStr"/>
      <c r="D12" s="18" t="inlineStr">
        <is>
          <t>Streptococcus pyogenes</t>
        </is>
      </c>
      <c r="E12" s="18" t="inlineStr">
        <is>
          <t>Streptococcus pneumoniae</t>
        </is>
      </c>
      <c r="F12" s="18" t="inlineStr">
        <is>
          <t>Candida albicans</t>
        </is>
      </c>
      <c r="G12" s="18" t="inlineStr">
        <is>
          <t>Staphylococcus aureus</t>
        </is>
      </c>
      <c r="H12" s="18" t="inlineStr">
        <is>
          <t>Hemophilus influenza</t>
        </is>
      </c>
      <c r="I12" s="15" t="inlineStr">
        <is>
          <t>3</t>
        </is>
      </c>
      <c r="J12" s="18"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ข้อนี้ไม่ใช่คำตอบที่ถูกต้องสำหรับภาวะ Glaucoma, Cataract เนื่องจากกลไกการออกฤทธิ์, efficacy หรือข้อบ่งใช้ไม่ตรงกับโจทย์ที่กำหนด
• ข้อ ข. (Streptococcus pneumoniae): ข้อนี้ไม่ใช่คำตอบที่ถูกต้องสำหรับภาวะ Glaucoma, Cataract เนื่องจากกลไกการออกฤทธิ์, efficacy หรือข้อบ่งใช้ไม่ตรงกับโจทย์ที่กำหนด
• ข้อ ง. (Staphylococcus aureus): ข้อนี้ไม่ใช่คำตอบที่ถูกต้องสำหรับภาวะ Glaucoma, Cataract เนื่องจากกลไกการออกฤทธิ์, efficacy หรือข้อบ่งใช้ไม่ตรงกับโจทย์ที่กำหนด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18" t="inlineStr"/>
      <c r="L12" s="18" t="inlineStr">
        <is>
          <t>Glaucoma, Cataract</t>
        </is>
      </c>
      <c r="M12" s="18" t="inlineStr">
        <is>
          <t>Clinic</t>
        </is>
      </c>
      <c r="N12" s="18" t="inlineStr">
        <is>
          <t>ข้อ 10 ชุด 1 (เฉลยข้อ ค)</t>
        </is>
      </c>
      <c r="O12" s="18" t="inlineStr">
        <is>
          <t>Mock</t>
        </is>
      </c>
      <c r="P12" s="18" t="inlineStr">
        <is>
          <t>ชุด 1</t>
        </is>
      </c>
    </row>
    <row r="13">
      <c r="A13" s="15" t="inlineStr">
        <is>
          <t>11</t>
        </is>
      </c>
      <c r="B13" s="18" t="inlineStr">
        <is>
          <t>ยาต้านจุลชีพที่ควรเลือกใช้เป็นอันดับแรกสำหรับผู้ป่วยรายนี้คือ</t>
        </is>
      </c>
      <c r="C13" s="18" t="inlineStr"/>
      <c r="D13" s="18" t="inlineStr">
        <is>
          <t>Norfloxacin</t>
        </is>
      </c>
      <c r="E13" s="18" t="inlineStr">
        <is>
          <t>Tetracycline</t>
        </is>
      </c>
      <c r="F13" s="18" t="inlineStr">
        <is>
          <t>Amoxicillin</t>
        </is>
      </c>
      <c r="G13" s="18" t="inlineStr">
        <is>
          <t>Chloramphenicol</t>
        </is>
      </c>
      <c r="H13" s="18" t="inlineStr">
        <is>
          <t>Sulfamethoxazole + trimethoprim</t>
        </is>
      </c>
      <c r="I13" s="15" t="inlineStr">
        <is>
          <t>3</t>
        </is>
      </c>
      <c r="J13" s="18"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ข้อนี้ไม่ใช่คำตอบที่ถูกต้องสำหรับภาวะ Glaucoma, Cataract เนื่องจากกลไกการออกฤทธิ์, efficacy หรือข้อบ่งใช้ไม่ตรงกับโจทย์ที่กำหนด
• ข้อ ข. (Tetracycline): ข้อนี้ไม่ใช่คำตอบที่ถูกต้องสำหรับภาวะ Glaucoma, Cataract เนื่องจากกลไกการออกฤทธิ์, efficacy หรือข้อบ่งใช้ไม่ตรงกับโจทย์ที่กำหนด
• ข้อ ง. (Chloramphenicol): ข้อนี้ไม่ใช่คำตอบที่ถูกต้องสำหรับภาวะ Glaucoma, Cataract เนื่องจากกลไกการออกฤทธิ์, efficacy หรือข้อบ่งใช้ไม่ตรงกับโจทย์ที่กำหนด
• ข้อ จ. (Sulfamethoxazole + trimethoprim):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8" t="inlineStr"/>
      <c r="L13" s="18" t="inlineStr">
        <is>
          <t>Glaucoma, Cataract</t>
        </is>
      </c>
      <c r="M13" s="18" t="inlineStr">
        <is>
          <t>Clinic</t>
        </is>
      </c>
      <c r="N13" s="18" t="inlineStr">
        <is>
          <t>ข้อ 11 ชุด 1 (เฉลยข้อ ค)</t>
        </is>
      </c>
      <c r="O13" s="18" t="inlineStr">
        <is>
          <t>Mock</t>
        </is>
      </c>
      <c r="P13" s="18" t="inlineStr">
        <is>
          <t>ชุด 1</t>
        </is>
      </c>
    </row>
    <row r="14">
      <c r="A14" s="15" t="inlineStr">
        <is>
          <t>12</t>
        </is>
      </c>
      <c r="B14" s="18" t="inlineStr">
        <is>
          <t>ข้อใดผิดเกี่ยวกับยาที่เลือกใช้ในข้อข้างต้น</t>
        </is>
      </c>
      <c r="C14" s="18" t="inlineStr"/>
      <c r="D14" s="18" t="inlineStr">
        <is>
          <t>มีฤทธิ์เป็น bacteriostatic</t>
        </is>
      </c>
      <c r="E14" s="18" t="inlineStr">
        <is>
          <t>หากเกิดการแพ้จะพบผื่นแพ้แบบ erythema multiforme</t>
        </is>
      </c>
      <c r="F14" s="18" t="inlineStr">
        <is>
          <t>กลไกการดื้อยาที่สำคัญคือเชื้อสร้าง beta-lactamase มาทำลายยา</t>
        </is>
      </c>
      <c r="G14" s="18" t="inlineStr">
        <is>
          <t>โดยทั่วไปกลุ่มนี้ออกฤทธิ์ต่อแบคทีเรียแกรมบวกได้ดีกว่าแบคทีเรียแกรมลบ</t>
        </is>
      </c>
      <c r="H14" s="18" t="inlineStr">
        <is>
          <t>ได้รับยาในขนาดสูง (toxic dose) ทำให้เกิด neuromuscular hypersensitivity</t>
        </is>
      </c>
      <c r="I14" s="15" t="inlineStr">
        <is>
          <t>1</t>
        </is>
      </c>
      <c r="J14" s="18"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ข้อนี้ไม่ใช่คำตอบที่ถูกต้องสำหรับภาวะ Glaucoma, Cataract เนื่องจากกลไกการออกฤทธิ์, efficacy หรือข้อบ่งใช้ไม่ตรงกับโจทย์ที่กำหนด
• ข้อ ค. (กลไกการดื้อยาที่สำคัญคือเชื้อสร้าง beta-lactamase มาทำลายยา): ข้อนี้ไม่ใช่คำตอบที่ถูกต้องสำหรับภาวะ Glaucoma, Cataract เนื่องจากกลไกการออกฤทธิ์, efficacy หรือข้อบ่งใช้ไม่ตรงกับโจทย์ที่กำหนด
• ข้อ ง. (โดยทั่วไปกลุ่มนี้ออกฤทธิ์ต่อแบคทีเรียแกรมบวกได้ดีกว่าแบคทีเรียแกรมลบ): ข้อนี้ไม่ใช่คำตอบที่ถูกต้องสำหรับภาวะ Glaucoma, Cataract เนื่องจากกลไกการออกฤทธิ์, efficacy หรือข้อบ่งใช้ไม่ตรงกับโจทย์ที่กำหนด
• ข้อ จ. (ได้รับยาในขนาดสูง (toxic dose) ทำให้เกิด neuromuscular hypersensitivity):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18" t="inlineStr"/>
      <c r="L14" s="18" t="inlineStr">
        <is>
          <t>Glaucoma, Cataract</t>
        </is>
      </c>
      <c r="M14" s="18" t="inlineStr">
        <is>
          <t>Clinic</t>
        </is>
      </c>
      <c r="N14" s="18" t="inlineStr">
        <is>
          <t>ข้อ 12 ชุด 1 (เฉลยข้อ ก ข จ)</t>
        </is>
      </c>
      <c r="O14" s="18" t="inlineStr">
        <is>
          <t>Mock</t>
        </is>
      </c>
      <c r="P14" s="18" t="inlineStr">
        <is>
          <t>ชุด 1</t>
        </is>
      </c>
    </row>
    <row r="15">
      <c r="A15" s="15" t="inlineStr">
        <is>
          <t>13</t>
        </is>
      </c>
      <c r="B15" s="18"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5" s="18" t="inlineStr"/>
      <c r="D15" s="18" t="inlineStr">
        <is>
          <t>รับประทานยาครั้งละ 1/4 ช้อนชา วันละ 4 ครั้ง</t>
        </is>
      </c>
      <c r="E15" s="18" t="inlineStr">
        <is>
          <t>รับประทานยาครั้งละ 1/2 ช้อนชา วันละ 3 ครั้ง</t>
        </is>
      </c>
      <c r="F15" s="18" t="inlineStr">
        <is>
          <t>รับประทานยาครั้งละ 3/4 ช้อนชา วันละ 3 ครั้ง</t>
        </is>
      </c>
      <c r="G15" s="18" t="inlineStr">
        <is>
          <t>รับประทานยาครั้งละ 1 ช้อนชา วันละ 3 ครั้ง</t>
        </is>
      </c>
      <c r="H15" s="18" t="inlineStr">
        <is>
          <t>รับประทานยาครั้งละ 1 ช้อนชา วันละ 4 ครั้ง</t>
        </is>
      </c>
      <c r="I15" s="15" t="inlineStr">
        <is>
          <t>2</t>
        </is>
      </c>
      <c r="J15" s="18"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ข้อ ค. (รับประทานยาครั้งละ 3/4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ง. (รับประทานยาครั้งละ 1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จ. (รับประทานยาครั้งละ 1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8" t="inlineStr"/>
      <c r="L15" s="18" t="inlineStr">
        <is>
          <t>Glaucoma, Cataract</t>
        </is>
      </c>
      <c r="M15" s="18" t="inlineStr">
        <is>
          <t>Clinic</t>
        </is>
      </c>
      <c r="N15" s="18" t="inlineStr">
        <is>
          <t>ข้อ 13 ชุด 1 (เฉลยข้อ ข)</t>
        </is>
      </c>
      <c r="O15" s="18" t="inlineStr">
        <is>
          <t>Mock</t>
        </is>
      </c>
      <c r="P15" s="18" t="inlineStr">
        <is>
          <t>ชุด 1</t>
        </is>
      </c>
    </row>
    <row r="16">
      <c r="A16" s="15" t="inlineStr">
        <is>
          <t>14</t>
        </is>
      </c>
      <c r="B16" s="18"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6" s="18" t="inlineStr"/>
      <c r="D16" s="18" t="inlineStr">
        <is>
          <t>Blepharitis</t>
        </is>
      </c>
      <c r="E16" s="18" t="inlineStr">
        <is>
          <t>Hordeolum</t>
        </is>
      </c>
      <c r="F16" s="18" t="inlineStr">
        <is>
          <t>Glaucoma</t>
        </is>
      </c>
      <c r="G16" s="18" t="inlineStr">
        <is>
          <t>Bacterial conjunctivitis</t>
        </is>
      </c>
      <c r="H16" s="18" t="inlineStr">
        <is>
          <t>Allergic conjunctivitis</t>
        </is>
      </c>
      <c r="I16" s="15" t="inlineStr">
        <is>
          <t>5</t>
        </is>
      </c>
      <c r="J16" s="18"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ข้อนี้ไม่ใช่คำตอบที่ถูกต้องสำหรับภาวะ Conjunctivitis เนื่องจากกลไกการออกฤทธิ์, efficacy หรือข้อบ่งใช้ไม่ตรงกับโจทย์ที่กำหนด
• ข้อ ข. (Hordeolum): ข้อนี้ไม่ใช่คำตอบที่ถูกต้องสำหรับภาวะ Conjunctivitis เนื่องจากกลไกการออกฤทธิ์, efficacy หรือข้อบ่งใช้ไม่ตรงกับโจทย์ที่กำหนด
• ข้อ ค. (Glaucoma): ข้อนี้ไม่ใช่คำตอบที่ถูกต้องสำหรับภาวะ Conjunctivitis เนื่องจากกลไกการออกฤทธิ์, efficacy หรือข้อบ่งใช้ไม่ตรงกับโจทย์ที่กำหนด
• ข้อ ง. (Bacterial conjunctivitis):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8" t="inlineStr"/>
      <c r="L16" s="18" t="inlineStr">
        <is>
          <t>Conjunctivitis</t>
        </is>
      </c>
      <c r="M16" s="18" t="inlineStr">
        <is>
          <t>Clinic</t>
        </is>
      </c>
      <c r="N16" s="18" t="inlineStr">
        <is>
          <t>ข้อ 14 ชุด 1 (เฉลยข้อ จ)</t>
        </is>
      </c>
      <c r="O16" s="18" t="inlineStr">
        <is>
          <t>Mock</t>
        </is>
      </c>
      <c r="P16" s="18" t="inlineStr">
        <is>
          <t>ชุด 1</t>
        </is>
      </c>
    </row>
    <row r="17">
      <c r="A17" s="15" t="inlineStr">
        <is>
          <t>15</t>
        </is>
      </c>
      <c r="B17" s="18"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7" s="18" t="inlineStr"/>
      <c r="D17" s="18" t="inlineStr">
        <is>
          <t>ใส่ contact lens ตามปกติแล้วหยอดตา</t>
        </is>
      </c>
      <c r="E17" s="18" t="inlineStr">
        <is>
          <t>ใส่ contact lens ให้น้อยลง เช่น วันเว้นวัน</t>
        </is>
      </c>
      <c r="F17" s="18" t="inlineStr">
        <is>
          <t>หากจำเป็นต้องหยอดตา ให้หยอดตาก่อนใส่ contact lens 1-2 นาที</t>
        </is>
      </c>
      <c r="G17" s="18" t="inlineStr">
        <is>
          <t>หากจำเป็นต้องหยอดตา ให้ใส่ contact lens ก่อนหยอดตา</t>
        </is>
      </c>
      <c r="H17" s="18" t="inlineStr">
        <is>
          <t>งดใส่ contact lens ในช่วงที่มีอาการ</t>
        </is>
      </c>
      <c r="I17" s="15" t="inlineStr">
        <is>
          <t>5</t>
        </is>
      </c>
      <c r="J17" s="18"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ข้อนี้ไม่ใช่คำตอบที่ถูกต้องสำหรับภาวะ Conjunctivitis เนื่องจากกลไกการออกฤทธิ์, efficacy หรือข้อบ่งใช้ไม่ตรงกับโจทย์ที่กำหนด
• ข้อ ข. (ใส่ contact lens ให้น้อยลง เช่น วันเว้นวัน): ข้อนี้ไม่ใช่คำตอบที่ถูกต้องสำหรับภาวะ Conjunctivitis เนื่องจากกลไกการออกฤทธิ์, efficacy หรือข้อบ่งใช้ไม่ตรงกับโจทย์ที่กำหนด
• ข้อ ค. (หากจำเป็นต้องหยอดตา ให้หยอดตาก่อนใส่ contact lens 1-2 นาที): ข้อนี้ไม่ใช่คำตอบที่ถูกต้องสำหรับภาวะ Conjunctivitis เนื่องจากกลไกการออกฤทธิ์, efficacy หรือข้อบ่งใช้ไม่ตรงกับโจทย์ที่กำหนด
• ข้อ ง. (หากจำเป็นต้องหยอดตา ให้ใส่ contact lens ก่อนหยอดตา):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18" t="inlineStr"/>
      <c r="L17" s="18" t="inlineStr">
        <is>
          <t>Conjunctivitis</t>
        </is>
      </c>
      <c r="M17" s="18" t="inlineStr">
        <is>
          <t>Clinic</t>
        </is>
      </c>
      <c r="N17" s="18" t="inlineStr">
        <is>
          <t>ข้อ 15 ชุด 1 (เฉลยข้อ จ)</t>
        </is>
      </c>
      <c r="O17" s="18" t="inlineStr">
        <is>
          <t>Mock</t>
        </is>
      </c>
      <c r="P17" s="18" t="inlineStr">
        <is>
          <t>ชุด 1</t>
        </is>
      </c>
    </row>
    <row r="18">
      <c r="A18" s="15" t="inlineStr">
        <is>
          <t>16</t>
        </is>
      </c>
      <c r="B18" s="18" t="inlineStr">
        <is>
          <t>ข้อใดไม่ใช่ ophthalmic decongestant</t>
        </is>
      </c>
      <c r="C18" s="18" t="inlineStr"/>
      <c r="D18" s="18" t="inlineStr">
        <is>
          <t>Boric acid</t>
        </is>
      </c>
      <c r="E18" s="18" t="inlineStr">
        <is>
          <t>Phenylephrine</t>
        </is>
      </c>
      <c r="F18" s="18" t="inlineStr">
        <is>
          <t>Oxymetazoline</t>
        </is>
      </c>
      <c r="G18" s="18" t="inlineStr">
        <is>
          <t>Naphazoline</t>
        </is>
      </c>
      <c r="H18" s="18" t="inlineStr">
        <is>
          <t>Tetrahydrozoline</t>
        </is>
      </c>
      <c r="I18" s="15" t="inlineStr">
        <is>
          <t>1</t>
        </is>
      </c>
      <c r="J18" s="18"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ข้อนี้ไม่ใช่คำตอบที่ถูกต้องสำหรับภาวะ Glaucoma, Cataract เนื่องจากกลไกการออกฤทธิ์, efficacy หรือข้อบ่งใช้ไม่ตรงกับโจทย์ที่กำหนด
• ข้อ ค. (Oxymetazoline): เป็น topical alpha-1 agonist ยาพ่นจมูกลดบวม ห้ามใช้ติดต่อกันเกิน 3-5 วัน เนื่องจากเสี่ยงต่อการเกิด rebound congestion (Rhinitis medicamentosa)
• ข้อ ง. (Naphazoline): ข้อนี้ไม่ใช่คำตอบที่ถูกต้องสำหรับภาวะ Glaucoma, Cataract เนื่องจากกลไกการออกฤทธิ์, efficacy หรือข้อบ่งใช้ไม่ตรงกับโจทย์ที่กำหนด
• ข้อ จ. (Tetrahydrozoline):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18" t="inlineStr"/>
      <c r="L18" s="18" t="inlineStr">
        <is>
          <t>Glaucoma, Cataract</t>
        </is>
      </c>
      <c r="M18" s="18" t="inlineStr">
        <is>
          <t>Clinic</t>
        </is>
      </c>
      <c r="N18" s="18" t="inlineStr">
        <is>
          <t>ข้อ 16 ชุด 1 (เฉลยข้อ ก)</t>
        </is>
      </c>
      <c r="O18" s="18" t="inlineStr">
        <is>
          <t>Mock</t>
        </is>
      </c>
      <c r="P18" s="18" t="inlineStr">
        <is>
          <t>ชุด 1</t>
        </is>
      </c>
    </row>
    <row r="19">
      <c r="A19" s="15" t="inlineStr">
        <is>
          <t>17</t>
        </is>
      </c>
      <c r="B19" s="18" t="inlineStr">
        <is>
          <t>กรณีที่ผู้ป่วยเป็นตาแดงจากการติดเชื้อ เชื้อในข้อใดเป็นสาเหตุที่พบได้บ่อย</t>
        </is>
      </c>
      <c r="C19" s="18" t="inlineStr"/>
      <c r="D19" s="18" t="inlineStr">
        <is>
          <t>Escherichia coli</t>
        </is>
      </c>
      <c r="E19" s="18" t="inlineStr">
        <is>
          <t>Staphylococcus aureus</t>
        </is>
      </c>
      <c r="F19" s="18" t="inlineStr">
        <is>
          <t>Acinetobacter spp.</t>
        </is>
      </c>
      <c r="G19" s="18" t="inlineStr">
        <is>
          <t>Neisseria gonorrhoeae</t>
        </is>
      </c>
      <c r="H19" s="18" t="inlineStr">
        <is>
          <t>Buekholderia pseudomallei</t>
        </is>
      </c>
      <c r="I19" s="15" t="inlineStr">
        <is>
          <t>2</t>
        </is>
      </c>
      <c r="J19" s="18"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ข้อนี้ไม่ใช่คำตอบที่ถูกต้องสำหรับภาวะ Conjunctivitis เนื่องจากกลไกการออกฤทธิ์, efficacy หรือข้อบ่งใช้ไม่ตรงกับโจทย์ที่กำหนด
• ข้อ ค. (Acinetobacter spp.):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(Buekholderia pseudomallei):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8" t="inlineStr"/>
      <c r="L19" s="18" t="inlineStr">
        <is>
          <t>Conjunctivitis</t>
        </is>
      </c>
      <c r="M19" s="18" t="inlineStr">
        <is>
          <t>Clinic</t>
        </is>
      </c>
      <c r="N19" s="18" t="inlineStr">
        <is>
          <t>ข้อ 17 ชุด 1 (เฉลยข้อ ข)</t>
        </is>
      </c>
      <c r="O19" s="18" t="inlineStr">
        <is>
          <t>Mock</t>
        </is>
      </c>
      <c r="P19" s="18" t="inlineStr">
        <is>
          <t>ชุด 1</t>
        </is>
      </c>
    </row>
    <row r="20">
      <c r="A20" s="15" t="inlineStr">
        <is>
          <t>18</t>
        </is>
      </c>
      <c r="B20" s="18"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20" s="18" t="inlineStr"/>
      <c r="D20" s="18" t="inlineStr">
        <is>
          <t>โรคต้อกระจก</t>
        </is>
      </c>
      <c r="E20" s="18" t="inlineStr">
        <is>
          <t>โรคตาแดง</t>
        </is>
      </c>
      <c r="F20" s="18" t="inlineStr">
        <is>
          <t>โรคต้อเนื้อ</t>
        </is>
      </c>
      <c r="G20" s="18" t="inlineStr">
        <is>
          <t>โรคต้อกุ้งยิง</t>
        </is>
      </c>
      <c r="H20" s="18" t="inlineStr">
        <is>
          <t>โรคต้อหิน</t>
        </is>
      </c>
      <c r="I20" s="15" t="inlineStr">
        <is>
          <t>5</t>
        </is>
      </c>
      <c r="J20" s="18"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ข้อนี้ไม่ใช่คำตอบที่ถูกต้องสำหรับภาวะ Glaucoma, Cataract เนื่องจากกลไกการออกฤทธิ์, efficacy หรือข้อบ่งใช้ไม่ตรงกับโจทย์ที่กำหนด
• ข้อ ข. (โรคตาแดง): ข้อนี้ไม่ใช่คำตอบที่ถูกต้องสำหรับภาวะ Glaucoma, Cataract เนื่องจากกลไกการออกฤทธิ์, efficacy หรือข้อบ่งใช้ไม่ตรงกับโจทย์ที่กำหนด
• ข้อ ค. (โรคต้อเนื้อ): ข้อนี้ไม่ใช่คำตอบที่ถูกต้องสำหรับภาวะ Glaucoma, Cataract เนื่องจากกลไกการออกฤทธิ์, efficacy หรือข้อบ่งใช้ไม่ตรงกับโจทย์ที่กำหนด
• ข้อ ง. (โรคต้อกุ้งยิง):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18" t="inlineStr"/>
      <c r="L20" s="18" t="inlineStr">
        <is>
          <t>Glaucoma, Cataract</t>
        </is>
      </c>
      <c r="M20" s="18" t="inlineStr">
        <is>
          <t>Clinic</t>
        </is>
      </c>
      <c r="N20" s="18" t="inlineStr">
        <is>
          <t>ข้อ 18 ชุด 1 (เฉลยข้อ จ)</t>
        </is>
      </c>
      <c r="O20" s="18" t="inlineStr">
        <is>
          <t>Mock</t>
        </is>
      </c>
      <c r="P20" s="18" t="inlineStr">
        <is>
          <t>ชุด 1</t>
        </is>
      </c>
    </row>
    <row r="21">
      <c r="A21" s="15" t="inlineStr">
        <is>
          <t>19</t>
        </is>
      </c>
      <c r="B21" s="18"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1" s="18" t="inlineStr"/>
      <c r="D21" s="18" t="inlineStr">
        <is>
          <t>เกิดจากความดันโลหิตสูงกว่าปกติ</t>
        </is>
      </c>
      <c r="E21" s="18" t="inlineStr">
        <is>
          <t>สามารถพบได้ในผู้ที่มีการใช้ steroid เป็นประจำ</t>
        </is>
      </c>
      <c r="F21" s="18" t="inlineStr">
        <is>
          <t>หากไม่รับการรักษาจะทำให้เกิดตาบอดได้</t>
        </is>
      </c>
      <c r="G21" s="18" t="inlineStr">
        <is>
          <t>การรักษาสามารถใช้ยาหยอดตา atropine เพื่อควบคุมอาการได้</t>
        </is>
      </c>
      <c r="H21" s="18" t="inlineStr">
        <is>
          <t>แพทย์จะพิจารณารักษาตาอีกข้าง (ในกรณีที่เป็นตาข้างเดียว) เฉียบพลันในอนาคตได้</t>
        </is>
      </c>
      <c r="I21" s="15" t="inlineStr">
        <is>
          <t>1</t>
        </is>
      </c>
      <c r="J21" s="18"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ข้อนี้ไม่ใช่คำตอบที่ถูกต้องสำหรับภาวะ Glaucoma, Cataract เนื่องจากกลไกการออกฤทธิ์, efficacy หรือข้อบ่งใช้ไม่ตรงกับโจทย์ที่กำหนด
• ข้อ ค. (หากไม่รับการรักษาจะทำให้เกิดตาบอดได้): ข้อนี้ไม่ใช่คำตอบที่ถูกต้องสำหรับภาวะ Glaucoma, Cataract เนื่องจากกลไกการออกฤทธิ์, efficacy หรือข้อบ่งใช้ไม่ตรงกับโจทย์ที่กำหนด
• ข้อ ง. (การรักษาสามารถใช้ยาหยอดตา atropine เพื่อควบคุมอาการได้): ข้อนี้ไม่ใช่คำตอบที่ถูกต้องสำหรับภาวะ Glaucoma, Cataract เนื่องจากกลไกการออกฤทธิ์, efficacy หรือข้อบ่งใช้ไม่ตรงกับโจทย์ที่กำหนด
• ข้อ จ. (แพทย์จะพิจารณารักษาตาอีกข้าง (ในกรณีที่เป็นตาข้างเดียว) เฉียบพลันในอนาคตได้):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18" t="inlineStr"/>
      <c r="L21" s="18" t="inlineStr">
        <is>
          <t>Glaucoma, Cataract</t>
        </is>
      </c>
      <c r="M21" s="18" t="inlineStr">
        <is>
          <t>Clinic</t>
        </is>
      </c>
      <c r="N21" s="18" t="inlineStr">
        <is>
          <t>ข้อ 19 ชุด 1 (เฉลยข้อ ก ง)</t>
        </is>
      </c>
      <c r="O21" s="18" t="inlineStr">
        <is>
          <t>Mock</t>
        </is>
      </c>
      <c r="P21" s="18" t="inlineStr">
        <is>
          <t>ชุด 1</t>
        </is>
      </c>
    </row>
    <row r="22">
      <c r="A22" s="15" t="inlineStr">
        <is>
          <t>20</t>
        </is>
      </c>
      <c r="B22" s="18" t="inlineStr">
        <is>
          <t>สารชนิดใดที่สามารถใช้รักษาได้โดยมีฤทธิ์ลด aqueous humor ภายในลูกตา</t>
        </is>
      </c>
      <c r="C22" s="18" t="inlineStr"/>
      <c r="D22" s="18" t="inlineStr">
        <is>
          <t>Timolol</t>
        </is>
      </c>
      <c r="E22" s="18" t="inlineStr">
        <is>
          <t>Pilocarpine</t>
        </is>
      </c>
      <c r="F22" s="18" t="inlineStr">
        <is>
          <t>Mannitol</t>
        </is>
      </c>
      <c r="G22" s="18" t="inlineStr">
        <is>
          <t>Thiazide</t>
        </is>
      </c>
      <c r="H22" s="18" t="inlineStr">
        <is>
          <t>Carbachol</t>
        </is>
      </c>
      <c r="I22" s="15" t="inlineStr">
        <is>
          <t>1</t>
        </is>
      </c>
      <c r="J22" s="18"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ข้อนี้ไม่ใช่คำตอบที่ถูกต้องสำหรับภาวะ Glaucoma, Cataract เนื่องจากกลไกการออกฤทธิ์, efficacy หรือข้อบ่งใช้ไม่ตรงกับโจทย์ที่กำหนด
• ข้อ ค. (Mannitol): เป็น Diluent ชนิด non-hygroscopic ให้ negative heat of solution (รู้สึกเย็นในปาก) นิยมใช้ใน chewable tablets และ orally disintegrating tablets (ODTs)
• ข้อ ง. (Thiazide): ข้อนี้ไม่ใช่คำตอบที่ถูกต้องสำหรับภาวะ Glaucoma, Cataract เนื่องจากกลไกการออกฤทธิ์, efficacy หรือข้อบ่งใช้ไม่ตรงกับโจทย์ที่กำหนด
• ข้อ จ. (Carbachol):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18" t="inlineStr"/>
      <c r="L22" s="18" t="inlineStr">
        <is>
          <t>Glaucoma, Cataract</t>
        </is>
      </c>
      <c r="M22" s="18" t="inlineStr">
        <is>
          <t>Clinic</t>
        </is>
      </c>
      <c r="N22" s="18" t="inlineStr">
        <is>
          <t>ข้อ 20 ชุด 1 (เฉลยข้อ ก)</t>
        </is>
      </c>
      <c r="O22" s="18" t="inlineStr">
        <is>
          <t>Mock</t>
        </is>
      </c>
      <c r="P22" s="18" t="inlineStr">
        <is>
          <t>ชุด 1</t>
        </is>
      </c>
    </row>
    <row r="23">
      <c r="A23" s="15" t="inlineStr">
        <is>
          <t>21</t>
        </is>
      </c>
      <c r="B23" s="18" t="inlineStr">
        <is>
          <t>ข้อใดเป็นคำแนะนำการใช้ยาตาที่ไม่ถูกต้อง</t>
        </is>
      </c>
      <c r="C23" s="18" t="inlineStr"/>
      <c r="D23" s="18" t="inlineStr">
        <is>
          <t>ล้างมือให้สะอาดก่อนและหลังหยอดตา</t>
        </is>
      </c>
      <c r="E23" s="18" t="inlineStr">
        <is>
          <t>เอนตัวไปข้างหน้าเล็กน้อย</t>
        </is>
      </c>
      <c r="F23" s="18" t="inlineStr">
        <is>
          <t>ดึงหนังตาล่างออกเป็นกระพุ้ง</t>
        </is>
      </c>
      <c r="G23" s="18" t="inlineStr">
        <is>
          <t>เมื่อหยอดยาเสร็จ กดที่หัวตาเบาๆ 2-3 นาที เพื่อมีให้ยาไหลลงในท่อน้ำตา</t>
        </is>
      </c>
      <c r="H23" s="18" t="inlineStr">
        <is>
          <t>หากต้องหยอดยาตา 2 ชนิด ให้หยอดห่างกัน 5 นาที</t>
        </is>
      </c>
      <c r="I23" s="15" t="inlineStr">
        <is>
          <t>2</t>
        </is>
      </c>
      <c r="J23" s="18"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ข้อนี้ไม่ใช่คำตอบที่ถูกต้องสำหรับภาวะ Glaucoma, Cataract เนื่องจากกลไกการออกฤทธิ์, efficacy หรือข้อบ่งใช้ไม่ตรงกับโจทย์ที่กำหนด
• ข้อ ค. (ดึงหนังตาล่างออกเป็นกระพุ้ง): ข้อนี้ไม่ใช่คำตอบที่ถูกต้องสำหรับภาวะ Glaucoma, Cataract เนื่องจากกลไกการออกฤทธิ์, efficacy หรือข้อบ่งใช้ไม่ตรงกับโจทย์ที่กำหนด
• ข้อ ง. (เมื่อหยอดยาเสร็จ กดที่หัวตาเบาๆ 2-3 นาที เพื่อมีให้ยาไหลลงในท่อน้ำตา): ข้อนี้ไม่ใช่คำตอบที่ถูกต้องสำหรับภาวะ Glaucoma, Cataract เนื่องจากกลไกการออกฤทธิ์, efficacy หรือข้อบ่งใช้ไม่ตรงกับโจทย์ที่กำหนด
• ข้อ จ. (หากต้องหยอดยาตา 2 ชนิด ให้หยอดห่างกัน 5 นาที):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18" t="inlineStr"/>
      <c r="L23" s="18" t="inlineStr">
        <is>
          <t>Glaucoma, Cataract</t>
        </is>
      </c>
      <c r="M23" s="18" t="inlineStr">
        <is>
          <t>Clinic</t>
        </is>
      </c>
      <c r="N23" s="18" t="inlineStr">
        <is>
          <t>ข้อ 21 ชุด 1 (เฉลยข้อ ข)</t>
        </is>
      </c>
      <c r="O23" s="18" t="inlineStr">
        <is>
          <t>Mock</t>
        </is>
      </c>
      <c r="P23" s="18" t="inlineStr">
        <is>
          <t>ชุด 1</t>
        </is>
      </c>
    </row>
    <row r="24">
      <c r="A24" s="15" t="inlineStr">
        <is>
          <t>22</t>
        </is>
      </c>
      <c r="B24" s="18" t="inlineStr">
        <is>
          <t>ยาชนิดใดต่อไปนี้ไม่มีข้อห้ามใช้ หรือข้อควรระวังในผู้ป่วยโรคต้อหิน</t>
        </is>
      </c>
      <c r="C24" s="18" t="inlineStr"/>
      <c r="D24" s="18" t="inlineStr">
        <is>
          <t>0.1% Diclofenac ED.</t>
        </is>
      </c>
      <c r="E24" s="18" t="inlineStr">
        <is>
          <t>0.1% Fluorometholone ED</t>
        </is>
      </c>
      <c r="F24" s="18" t="inlineStr">
        <is>
          <t>0.1% Dexamethasone ED</t>
        </is>
      </c>
      <c r="G24" s="18" t="inlineStr">
        <is>
          <t>0.5% Atropine ED</t>
        </is>
      </c>
      <c r="H24" s="18" t="inlineStr">
        <is>
          <t>0.05% Naphazoline ED</t>
        </is>
      </c>
      <c r="I24" s="15" t="inlineStr">
        <is>
          <t>1</t>
        </is>
      </c>
      <c r="J24" s="18"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ข้อนี้ไม่ใช่คำตอบที่ถูกต้องสำหรับภาวะ Glaucoma, Cataract เนื่องจากกลไกการออกฤทธิ์, efficacy หรือข้อบ่งใช้ไม่ตรงกับโจทย์ที่กำหนด
• ข้อ ค. (0.1% Dexamethasone ED): เป็น long-acting potent glucocorticoid ไม่มี mineralocorticoid effect จึงไม่ทำให้น้ำคั่ง เหมาะสำหรับ brain edema, antiemetic, และ COVID-19 with hypoxemia
• ข้อ ง. (0.5% Atropine ED): ข้อนี้ไม่ใช่คำตอบที่ถูกต้องสำหรับภาวะ Glaucoma, Cataract เนื่องจากกลไกการออกฤทธิ์, efficacy หรือข้อบ่งใช้ไม่ตรงกับโจทย์ที่กำหนด
• ข้อ จ. (0.05% Naphazoline ED):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4" s="18" t="inlineStr"/>
      <c r="L24" s="18" t="inlineStr">
        <is>
          <t>Glaucoma, Cataract</t>
        </is>
      </c>
      <c r="M24" s="18" t="inlineStr">
        <is>
          <t>Clinic</t>
        </is>
      </c>
      <c r="N24" s="18" t="inlineStr">
        <is>
          <t>ข้อ 22 ชุด 1 (เฉลยข้อ ก จ)</t>
        </is>
      </c>
      <c r="O24" s="18" t="inlineStr">
        <is>
          <t>Mock</t>
        </is>
      </c>
      <c r="P24" s="18" t="inlineStr">
        <is>
          <t>ชุด 1</t>
        </is>
      </c>
    </row>
    <row r="25">
      <c r="A25" s="15" t="inlineStr">
        <is>
          <t>23</t>
        </is>
      </c>
      <c r="B25" s="18" t="inlineStr">
        <is>
          <t>ข้อใดคือเสียของการใช้ dexamethasone eye drops เป็นเวลานาน Zero ↓ Ifname first order kinetic first T90 % = % Te , shelf-life &amp;85</t>
        </is>
      </c>
      <c r="C25" s="18" t="inlineStr"/>
      <c r="D25" s="18" t="inlineStr">
        <is>
          <t>Eye irritation</t>
        </is>
      </c>
      <c r="E25" s="18" t="inlineStr">
        <is>
          <t>Cataract</t>
        </is>
      </c>
      <c r="F25" s="18" t="inlineStr">
        <is>
          <t>Decrease intraocular pressure</t>
        </is>
      </c>
      <c r="G25" s="18" t="inlineStr">
        <is>
          <t>Eyelash lengthener</t>
        </is>
      </c>
      <c r="H25" s="18" t="inlineStr">
        <is>
          <t>Retinitis pigmentosa</t>
        </is>
      </c>
      <c r="I25" s="15" t="inlineStr">
        <is>
          <t>1</t>
        </is>
      </c>
      <c r="J25" s="18"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ข้อนี้ไม่ใช่คำตอบที่ถูกต้องสำหรับภาวะ Glaucoma, Cataract เนื่องจากกลไกการออกฤทธิ์, efficacy หรือข้อบ่งใช้ไม่ตรงกับโจทย์ที่กำหนด
• ข้อ ค. (Decrease intraocular pressure): ข้อนี้ไม่ใช่คำตอบที่ถูกต้องสำหรับภาวะ Glaucoma, Cataract เนื่องจากกลไกการออกฤทธิ์, efficacy หรือข้อบ่งใช้ไม่ตรงกับโจทย์ที่กำหนด
• ข้อ ง. (Eyelash lengthener): ข้อนี้ไม่ใช่คำตอบที่ถูกต้องสำหรับภาวะ Glaucoma, Cataract เนื่องจากกลไกการออกฤทธิ์, efficacy หรือข้อบ่งใช้ไม่ตรงกับโจทย์ที่กำหนด
• ข้อ จ. (Retinitis pigmentosa):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18" t="inlineStr"/>
      <c r="L25" s="18" t="inlineStr">
        <is>
          <t>Glaucoma, Cataract</t>
        </is>
      </c>
      <c r="M25" s="18" t="inlineStr">
        <is>
          <t>Clinic</t>
        </is>
      </c>
      <c r="N25" s="18" t="inlineStr">
        <is>
          <t>ข้อ 16 (PLE_CC1_2562_Key.md)</t>
        </is>
      </c>
      <c r="O25" s="18" t="inlineStr">
        <is>
          <t>ข้อสอบจริง</t>
        </is>
      </c>
      <c r="P25" s="18" t="inlineStr">
        <is>
          <t>ปี 2562</t>
        </is>
      </c>
    </row>
    <row r="26">
      <c r="A26" s="15" t="inlineStr">
        <is>
          <t>24</t>
        </is>
      </c>
      <c r="B26" s="18" t="inlineStr">
        <is>
          <t>ในปัจจุบันยาชนิดใกที่ช่วยรักษาอาการของต้อหินได้ครบทุกกลไกของการเกิดโรค</t>
        </is>
      </c>
      <c r="C26" s="18" t="inlineStr"/>
      <c r="D26" s="18" t="inlineStr">
        <is>
          <t>Timolol</t>
        </is>
      </c>
      <c r="E26" s="18" t="inlineStr">
        <is>
          <t>Latanoprost</t>
        </is>
      </c>
      <c r="F26" s="18" t="inlineStr">
        <is>
          <t>Acetazolamide</t>
        </is>
      </c>
      <c r="G26" s="18" t="inlineStr">
        <is>
          <t>Apraclonidine</t>
        </is>
      </c>
      <c r="H26" s="18" t="inlineStr">
        <is>
          <t>Pilocarpine</t>
        </is>
      </c>
      <c r="I26" s="15" t="inlineStr">
        <is>
          <t>1</t>
        </is>
      </c>
      <c r="J26" s="18"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ข้อนี้ไม่ใช่คำตอบที่ถูกต้องสำหรับภาวะ Glaucoma, Cataract เนื่องจากกลไกการออกฤทธิ์, efficacy หรือข้อบ่งใช้ไม่ตรงกับโจทย์ที่กำหนด
• ข้อ ค. (Acetazolamide): ข้อนี้ไม่ใช่คำตอบที่ถูกต้องสำหรับภาวะ Glaucoma, Cataract เนื่องจากกลไกการออกฤทธิ์, efficacy หรือข้อบ่งใช้ไม่ตรงกับโจทย์ที่กำหนด
• ข้อ ง. (Apraclonidine): ข้อนี้ไม่ใช่คำตอบที่ถูกต้องสำหรับภาวะ Glaucoma, Cataract เนื่องจากกลไกการออกฤทธิ์, efficacy หรือข้อบ่งใช้ไม่ตรงกับโจทย์ที่กำหนด
• ข้อ จ. (Pilocarpine):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18" t="inlineStr"/>
      <c r="L26" s="18" t="inlineStr">
        <is>
          <t>Glaucoma, Cataract</t>
        </is>
      </c>
      <c r="M26" s="18" t="inlineStr">
        <is>
          <t>Clinic</t>
        </is>
      </c>
      <c r="N26" s="18" t="inlineStr">
        <is>
          <t>ข้อ 75 (Pharmtutor_2024_Set2.md)</t>
        </is>
      </c>
      <c r="O26" s="18" t="inlineStr">
        <is>
          <t>Mock</t>
        </is>
      </c>
      <c r="P26" s="18" t="inlineStr">
        <is>
          <t>Mock Pharmtutor 2024</t>
        </is>
      </c>
    </row>
    <row r="27">
      <c r="A27" s="15" t="inlineStr">
        <is>
          <t>25</t>
        </is>
      </c>
      <c r="B27" s="18"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7" s="18" t="inlineStr"/>
      <c r="D27" s="18" t="inlineStr">
        <is>
          <t>ยาปลอม</t>
        </is>
      </c>
      <c r="E27" s="18" t="inlineStr">
        <is>
          <t>ยาเสื่อมคุณภาพ</t>
        </is>
      </c>
      <c r="F27" s="18" t="inlineStr">
        <is>
          <t>ยาผิดมาตรฐาน</t>
        </is>
      </c>
      <c r="G27" s="18" t="inlineStr">
        <is>
          <t>ยาเทียม</t>
        </is>
      </c>
      <c r="H27" s="18" t="inlineStr">
        <is>
          <t>ยาแปรสภาพ ตะลุยโจทย์เภสัชจุฬาฯ สอบผ่าน 100%</t>
        </is>
      </c>
      <c r="I27" s="15" t="inlineStr">
        <is>
          <t>1</t>
        </is>
      </c>
      <c r="J27" s="18"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ข้อนี้ไม่ใช่คำตอบที่ถูกต้องสำหรับภาวะ Glaucoma, Cataract เนื่องจากกลไกการออกฤทธิ์, efficacy หรือข้อบ่งใช้ไม่ตรงกับโจทย์ที่กำหนด
• ข้อ ค. (ยาผิดมาตรฐาน): ข้อนี้ไม่ใช่คำตอบที่ถูกต้องสำหรับภาวะ Glaucoma, Cataract เนื่องจากกลไกการออกฤทธิ์, efficacy หรือข้อบ่งใช้ไม่ตรงกับโจทย์ที่กำหนด
• ข้อ ง. (ยาเทียม): ข้อนี้ไม่ใช่คำตอบที่ถูกต้องสำหรับภาวะ Glaucoma, Cataract เนื่องจากกลไกการออกฤทธิ์, efficacy หรือข้อบ่งใช้ไม่ตรงกับโจทย์ที่กำหนด
• ข้อ จ. (ยาแปรสภาพ ตะลุยโจทย์เภสัชจุฬาฯ สอบผ่าน 100%):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7" s="18" t="inlineStr"/>
      <c r="L27" s="18" t="inlineStr">
        <is>
          <t>Glaucoma, Cataract</t>
        </is>
      </c>
      <c r="M27" s="18" t="inlineStr">
        <is>
          <t>Clinic</t>
        </is>
      </c>
      <c r="N27" s="18" t="inlineStr">
        <is>
          <t>ข้อ 3 (LAW-CU-71.md)</t>
        </is>
      </c>
      <c r="O27" s="18" t="inlineStr">
        <is>
          <t>Mock</t>
        </is>
      </c>
      <c r="P27" s="18" t="inlineStr">
        <is>
          <t>Mock กฎหมาย CU71</t>
        </is>
      </c>
    </row>
    <row r="28">
      <c r="A28" s="15" t="inlineStr">
        <is>
          <t>26</t>
        </is>
      </c>
      <c r="B28" s="18" t="inlineStr">
        <is>
          <t>Sodium starch glycolate เป็นสารช่วยแตกตัว Case 4: Conjunctivitis</t>
        </is>
      </c>
      <c r="C28" s="18" t="inlineStr"/>
      <c r="D28" s="18" t="inlineStr">
        <is>
          <t>Prednisolone acetate 1% eye drops</t>
        </is>
      </c>
      <c r="E28" s="18" t="inlineStr">
        <is>
          <t>Acetazolamide 250 mg BID</t>
        </is>
      </c>
      <c r="F28" s="18" t="inlineStr">
        <is>
          <t>Timolol 0.5% eye drops 1 drop BID</t>
        </is>
      </c>
      <c r="G28" s="18" t="inlineStr">
        <is>
          <t>Latanoprost 0.005% eye drops 1 drop HS</t>
        </is>
      </c>
      <c r="H28" s="18" t="inlineStr">
        <is>
          <t>Brimonidine 0.2% eye drops 1 drop BID</t>
        </is>
      </c>
      <c r="I28" s="15" t="inlineStr">
        <is>
          <t>1</t>
        </is>
      </c>
      <c r="J28" s="18"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18" t="inlineStr"/>
      <c r="L28" s="18" t="inlineStr">
        <is>
          <t>Conjunctivitis</t>
        </is>
      </c>
      <c r="M28" s="18" t="inlineStr">
        <is>
          <t>Clinic</t>
        </is>
      </c>
      <c r="N28" s="18" t="inlineStr">
        <is>
          <t>ข้อ 1 (PLE_CC1_2555 Day 2.md)</t>
        </is>
      </c>
      <c r="O28" s="18" t="inlineStr">
        <is>
          <t>ข้อสอบจริง</t>
        </is>
      </c>
      <c r="P28" s="18" t="inlineStr">
        <is>
          <t>ปี 2555</t>
        </is>
      </c>
    </row>
    <row r="29">
      <c r="A29" s="15" t="inlineStr">
        <is>
          <t>27</t>
        </is>
      </c>
      <c r="B29" s="18"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9" s="18" t="inlineStr"/>
      <c r="D29" s="18" t="inlineStr">
        <is>
          <t>Latanoprost 0.005% eye drops 1 drop HS</t>
        </is>
      </c>
      <c r="E29" s="18" t="inlineStr">
        <is>
          <t>Brimonidine 0.2% eye drops 1 drop BID</t>
        </is>
      </c>
      <c r="F29" s="18" t="inlineStr">
        <is>
          <t>Dorzolamide 2% eye drops 1 drop BID</t>
        </is>
      </c>
      <c r="G29" s="18" t="inlineStr">
        <is>
          <t>Tobramycin 0.3% eye drops 1 drop QID</t>
        </is>
      </c>
      <c r="H29" s="18" t="inlineStr">
        <is>
          <t>Chloramphenicol 0.5% eye drops 1 drop QID</t>
        </is>
      </c>
      <c r="I29" s="15" t="inlineStr">
        <is>
          <t>1</t>
        </is>
      </c>
      <c r="J29" s="18"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18" t="inlineStr"/>
      <c r="L29" s="18" t="inlineStr">
        <is>
          <t>Conjunctivitis</t>
        </is>
      </c>
      <c r="M29" s="18" t="inlineStr">
        <is>
          <t>Clinic</t>
        </is>
      </c>
      <c r="N29" s="18" t="inlineStr">
        <is>
          <t>ข้อ 1 (PLE_CC1_2555 Day 2.md)</t>
        </is>
      </c>
      <c r="O29" s="18" t="inlineStr">
        <is>
          <t>ข้อสอบจริง</t>
        </is>
      </c>
      <c r="P29" s="18" t="inlineStr">
        <is>
          <t>ปี 2555</t>
        </is>
      </c>
    </row>
    <row r="30">
      <c r="A30" s="15" t="inlineStr">
        <is>
          <t>28</t>
        </is>
      </c>
      <c r="B30" s="18" t="inlineStr">
        <is>
          <t>เก็บยาหยอดตาไว้ที่อุณหภูมิห้องปกติ ให้แสงสว่างส่องถึง</t>
        </is>
      </c>
      <c r="C30" s="18" t="inlineStr"/>
      <c r="D30" s="18" t="inlineStr">
        <is>
          <t>Tobramycin 0.3% eye drops 1 drop QID</t>
        </is>
      </c>
      <c r="E30" s="18" t="inlineStr">
        <is>
          <t>Chloramphenicol 0.5% eye drops 1 drop QID</t>
        </is>
      </c>
      <c r="F30" s="18" t="inlineStr">
        <is>
          <t>Artificial tears 1 drop QID</t>
        </is>
      </c>
      <c r="G30" s="18" t="inlineStr">
        <is>
          <t>Antazoline/Tetrahydrozoline eye drops 1 drop TID</t>
        </is>
      </c>
      <c r="H30" s="18" t="inlineStr">
        <is>
          <t>Prednisolone acetate 1% eye drops</t>
        </is>
      </c>
      <c r="I30" s="15" t="inlineStr">
        <is>
          <t>1</t>
        </is>
      </c>
      <c r="J30" s="18"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18" t="inlineStr"/>
      <c r="L30" s="18" t="inlineStr">
        <is>
          <t>Glaucoma, Cataract</t>
        </is>
      </c>
      <c r="M30" s="18" t="inlineStr">
        <is>
          <t>Clinic</t>
        </is>
      </c>
      <c r="N30" s="18" t="inlineStr">
        <is>
          <t>ข้อ 1 (PLE_CC1_2555 Day 2.md)</t>
        </is>
      </c>
      <c r="O30" s="18" t="inlineStr">
        <is>
          <t>ข้อสอบจริง</t>
        </is>
      </c>
      <c r="P30" s="18" t="inlineStr">
        <is>
          <t>ปี 2555</t>
        </is>
      </c>
    </row>
    <row r="31">
      <c r="A31" s="15" t="inlineStr">
        <is>
          <t>29</t>
        </is>
      </c>
      <c r="B31" s="18" t="inlineStr">
        <is>
          <t>เมื่อหยอดตาเสร็จแล้ว หลับตาสักครู่ และไม่ควรใช้ยาร่วมกับผู้อื่น</t>
        </is>
      </c>
      <c r="C31" s="18" t="inlineStr"/>
      <c r="D31" s="18" t="inlineStr">
        <is>
          <t>Antazoline/Tetrahydrozoline eye drops 1 drop TID</t>
        </is>
      </c>
      <c r="E31" s="18" t="inlineStr">
        <is>
          <t>Prednisolone acetate 1% eye drops</t>
        </is>
      </c>
      <c r="F31" s="18" t="inlineStr">
        <is>
          <t>Acetazolamide 250 mg BID</t>
        </is>
      </c>
      <c r="G31" s="18" t="inlineStr">
        <is>
          <t>Timolol 0.5% eye drops 1 drop BID</t>
        </is>
      </c>
      <c r="H31" s="18" t="inlineStr">
        <is>
          <t>Latanoprost 0.005% eye drops 1 drop HS</t>
        </is>
      </c>
      <c r="I31" s="15" t="inlineStr">
        <is>
          <t>1</t>
        </is>
      </c>
      <c r="J31" s="18"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ง.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18" t="inlineStr"/>
      <c r="L31" s="18" t="inlineStr">
        <is>
          <t>Glaucoma, Cataract</t>
        </is>
      </c>
      <c r="M31" s="18" t="inlineStr">
        <is>
          <t>Clinic</t>
        </is>
      </c>
      <c r="N31" s="18" t="inlineStr">
        <is>
          <t>ข้อ 2 (PLE_CC1_2555 Day 2.md)</t>
        </is>
      </c>
      <c r="O31" s="18" t="inlineStr">
        <is>
          <t>ข้อสอบจริง</t>
        </is>
      </c>
      <c r="P31" s="18" t="inlineStr">
        <is>
          <t>ปี 2555</t>
        </is>
      </c>
    </row>
    <row r="32">
      <c r="A32" s="15" t="inlineStr">
        <is>
          <t>30</t>
        </is>
      </c>
      <c r="B32" s="18" t="inlineStr">
        <is>
          <t>หากลืมหยอดตา สามารถหยอดพร้อมกัน 2 หยดในครั้งถัดไปได้</t>
        </is>
      </c>
      <c r="C32" s="18" t="inlineStr"/>
      <c r="D32" s="18" t="inlineStr">
        <is>
          <t>Timolol 0.5% eye drops 1 drop BID</t>
        </is>
      </c>
      <c r="E32" s="18" t="inlineStr">
        <is>
          <t>Latanoprost 0.005% eye drops 1 drop HS</t>
        </is>
      </c>
      <c r="F32" s="18" t="inlineStr">
        <is>
          <t>Brimonidine 0.2% eye drops 1 drop BID</t>
        </is>
      </c>
      <c r="G32" s="18" t="inlineStr">
        <is>
          <t>Dorzolamide 2% eye drops 1 drop BID</t>
        </is>
      </c>
      <c r="H32" s="18" t="inlineStr">
        <is>
          <t>Tobramycin 0.3% eye drops 1 drop QID</t>
        </is>
      </c>
      <c r="I32" s="15" t="inlineStr">
        <is>
          <t>1</t>
        </is>
      </c>
      <c r="J32" s="18"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18" t="inlineStr"/>
      <c r="L32" s="18" t="inlineStr">
        <is>
          <t>Glaucoma, Cataract</t>
        </is>
      </c>
      <c r="M32" s="18" t="inlineStr">
        <is>
          <t>Clinic</t>
        </is>
      </c>
      <c r="N32" s="18" t="inlineStr">
        <is>
          <t>ข้อ 4 (PLE_CC1_2555 Day 2.md)</t>
        </is>
      </c>
      <c r="O32" s="18" t="inlineStr">
        <is>
          <t>ข้อสอบจริง</t>
        </is>
      </c>
      <c r="P32" s="18" t="inlineStr">
        <is>
          <t>ปี 2555</t>
        </is>
      </c>
    </row>
    <row r="33">
      <c r="A33" s="15" t="inlineStr">
        <is>
          <t>31</t>
        </is>
      </c>
      <c r="B33" s="18" t="inlineStr">
        <is>
          <t>ยาใดจะทำให้อาการตาแดงของผู้หญิงรายนี้หายไปได้ดีที่สุด</t>
        </is>
      </c>
      <c r="C33" s="18" t="inlineStr"/>
      <c r="D33" s="18" t="inlineStr">
        <is>
          <t>Antihistamines</t>
        </is>
      </c>
      <c r="E33" s="18" t="inlineStr">
        <is>
          <t>Antibacterials</t>
        </is>
      </c>
      <c r="F33" s="18" t="inlineStr">
        <is>
          <t>Antivirals</t>
        </is>
      </c>
      <c r="G33" s="18" t="inlineStr">
        <is>
          <t>Vasoconstrictors</t>
        </is>
      </c>
      <c r="H33" s="18" t="inlineStr">
        <is>
          <t>mast cell stabilizers decongestant หรือ oral antihistamine (ref: หนังสือ survival guideline on pharmacotherapy Rx30 care&amp; Rx31 science,Pharmacy, PSU)</t>
        </is>
      </c>
      <c r="I33" s="15" t="inlineStr">
        <is>
          <t>1</t>
        </is>
      </c>
      <c r="J33" s="18"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ข้อนี้ไม่ใช่คำตอบที่ถูกต้องสำหรับภาวะ Conjunctivitis เนื่องจากกลไกการออกฤทธิ์, efficacy หรือข้อบ่งใช้ไม่ตรงกับโจทย์ที่กำหนด
• ข้อ ค. (Antivirals): ข้อนี้ไม่ใช่คำตอบที่ถูกต้องสำหรับภาวะ Conjunctivitis เนื่องจากกลไกการออกฤทธิ์, efficacy หรือข้อบ่งใช้ไม่ตรงกับโจทย์ที่กำหนด
• ข้อ ง. (Vasoconstrictors): ข้อนี้ไม่ใช่คำตอบที่ถูกต้องสำหรับภาวะ Conjunctivitis เนื่องจากกลไกการออกฤทธิ์, efficacy หรือข้อบ่งใช้ไม่ตรงกับโจทย์ที่กำหนด
• ข้อ จ. (mast cell stabilizers decongestant หรือ oral antihistamine (ref: หนังสือ survival guideline on pharmacotherapy Rx30 care&amp; Rx31 science,Pharmacy, PSU)):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18" t="inlineStr"/>
      <c r="L33" s="18" t="inlineStr">
        <is>
          <t>Conjunctivitis</t>
        </is>
      </c>
      <c r="M33" s="18" t="inlineStr">
        <is>
          <t>Clinic</t>
        </is>
      </c>
      <c r="N33" s="18" t="inlineStr">
        <is>
          <t>ข้อ 2 (PLE_CC1_2554 SET2.md)</t>
        </is>
      </c>
      <c r="O33" s="18" t="inlineStr">
        <is>
          <t>ข้อสอบจริง</t>
        </is>
      </c>
      <c r="P33" s="18" t="inlineStr">
        <is>
          <t>ปี 2554</t>
        </is>
      </c>
    </row>
    <row r="34">
      <c r="A34" s="15" t="inlineStr">
        <is>
          <t>32</t>
        </is>
      </c>
      <c r="B34" s="18" t="inlineStr">
        <is>
          <t>ข้อใดผิดเกี่ยวกับคำแนะนาในการหยอดตา</t>
        </is>
      </c>
      <c r="C34" s="18" t="inlineStr"/>
      <c r="D34" s="18" t="inlineStr">
        <is>
          <t>การป้องกันรสขมจากยาหยอดตา ทำได้โดยการกดบริเวณหัวตา</t>
        </is>
      </c>
      <c r="E34" s="18" t="inlineStr">
        <is>
          <t>ควรใช้ขี้ผึ้งป้ายตา หลัง ยาหยอดตา 5-10 นาที</t>
        </is>
      </c>
      <c r="F34" s="18" t="inlineStr">
        <is>
          <t>อายุของยาหยอดตา คือ 1 เดือนหลังจากเปิดใช้</t>
        </is>
      </c>
      <c r="G34" s="18" t="inlineStr">
        <is>
          <t>ยาหยอดตาทุกชนิด ต้องเก็บในตู้เย็น</t>
        </is>
      </c>
      <c r="H34" s="18"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4" s="15" t="inlineStr">
        <is>
          <t>4</t>
        </is>
      </c>
      <c r="J34" s="18"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ข้อนี้ไม่ใช่คำตอบที่ถูกต้องสำหรับภาวะ Glaucoma, Cataract เนื่องจากกลไกการออกฤทธิ์, efficacy หรือข้อบ่งใช้ไม่ตรงกับโจทย์ที่กำหนด
• ข้อ ข. (ควรใช้ขี้ผึ้งป้ายตา หลัง ยาหยอดตา 5-10 นาที): ข้อนี้ไม่ใช่คำตอบที่ถูกต้องสำหรับภาวะ Glaucoma, Cataract เนื่องจากกลไกการออกฤทธิ์, efficacy หรือข้อบ่งใช้ไม่ตรงกับโจทย์ที่กำหนด
• ข้อ ค. (อายุของยาหยอดตา คือ 1 เดือนหลังจากเปิดใช้): ข้อนี้ไม่ใช่คำตอบที่ถูกต้องสำหรับภาวะ Glaucoma, Cataract เนื่องจากกลไกการออกฤทธิ์, efficacy หรือข้อบ่งใช้ไม่ตรงกับโจทย์ที่กำหนด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18" t="inlineStr"/>
      <c r="L34" s="18" t="inlineStr">
        <is>
          <t>Glaucoma, Cataract</t>
        </is>
      </c>
      <c r="M34" s="18" t="inlineStr">
        <is>
          <t>Clinic</t>
        </is>
      </c>
      <c r="N34" s="18" t="inlineStr">
        <is>
          <t>ข้อ 6 (PLE_CC1_2554 SET2.md)</t>
        </is>
      </c>
      <c r="O34" s="18" t="inlineStr">
        <is>
          <t>ข้อสอบจริง</t>
        </is>
      </c>
      <c r="P34" s="18" t="inlineStr">
        <is>
          <t>ปี 2554</t>
        </is>
      </c>
    </row>
    <row r="35">
      <c r="A35" s="15" t="inlineStr">
        <is>
          <t>33</t>
        </is>
      </c>
      <c r="B35" s="18" t="inlineStr">
        <is>
          <t>เชื้อก่อโรคใดต่อไปนี้พบเป็นสาเหตุน้อยที่สุดที่ทำให้เกิดเยื่อบุตาอักเสบ (conjunctivitis)</t>
        </is>
      </c>
      <c r="C35" s="18" t="inlineStr"/>
      <c r="D35" s="18" t="inlineStr">
        <is>
          <t>Adenovirus</t>
        </is>
      </c>
      <c r="E35" s="18" t="inlineStr">
        <is>
          <t>Rhinovirus</t>
        </is>
      </c>
      <c r="F35" s="18" t="inlineStr">
        <is>
          <t>Streptococcous spp.</t>
        </is>
      </c>
      <c r="G35" s="18" t="inlineStr">
        <is>
          <t>Haemophilus influenza</t>
        </is>
      </c>
      <c r="H35" s="18" t="inlineStr">
        <is>
          <t>Staphylococcous spp.</t>
        </is>
      </c>
      <c r="I35" s="15" t="inlineStr">
        <is>
          <t>1</t>
        </is>
      </c>
      <c r="J35" s="18"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ข้อนี้ไม่ใช่คำตอบที่ถูกต้องสำหรับภาวะ Conjunctivitis เนื่องจากกลไกการออกฤทธิ์, efficacy หรือข้อบ่งใช้ไม่ตรงกับโจทย์ที่กำหนด
• ข้อ ค. (Streptococcous spp.): ข้อนี้ไม่ใช่คำตอบที่ถูกต้องสำหรับภาวะ Conjunctivitis เนื่องจากกลไกการออกฤทธิ์, efficacy หรือข้อบ่งใช้ไม่ตรงกับโจทย์ที่กำหนด
• ข้อ ง. (Haemophilus influenza): วัคซีนไข้หวัดใหญ่ชนิด inactivated ฉีดปีละ 1 ครั้ง ในกลุ่มเสี่ยง 7 กลุ่มโรคเรื้อรัง และเด็กอายุ 6 เดือน - 2 ปี
• ข้อ จ. (Staphylococcous spp.):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18" t="inlineStr"/>
      <c r="L35" s="18" t="inlineStr">
        <is>
          <t>Conjunctivitis</t>
        </is>
      </c>
      <c r="M35" s="18" t="inlineStr">
        <is>
          <t>Clinic</t>
        </is>
      </c>
      <c r="N35" s="18" t="inlineStr">
        <is>
          <t>ข้อ 28 (PLE_CC1_Practice_Exam.md)</t>
        </is>
      </c>
      <c r="O35" s="18" t="inlineStr">
        <is>
          <t>Mock</t>
        </is>
      </c>
      <c r="P35" s="18" t="inlineStr">
        <is>
          <t>Mock สภาเภสัชฯ Practice</t>
        </is>
      </c>
    </row>
    <row r="36">
      <c r="A36" s="15" t="inlineStr">
        <is>
          <t>34</t>
        </is>
      </c>
      <c r="B36" s="18"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6" s="18" t="inlineStr"/>
      <c r="D36" s="18" t="inlineStr">
        <is>
          <t>ซักประวัติหาสาเหตุที่เกิดขึ้นพร้อมกับจ่ายยาตัวเดิมเพื่อบรรเทาอาการ</t>
        </is>
      </c>
      <c r="E36" s="18" t="inlineStr">
        <is>
          <t>เปลี่ยนตัวยาที่มีข้อบ่งใช้เดิมแต่เป็นยากลุ่มใหม่เนื่องจากผู้ป่วยยังคงมีอาการเกี่ยวกับดวงตาอยู่</t>
        </is>
      </c>
      <c r="F36" s="18" t="inlineStr">
        <is>
          <t>ซักประวัติเพิ่มเติมเกี่ยวกับโรคประจำตัว การใช้ยาก่อนหน้า การมองเห็น</t>
        </is>
      </c>
      <c r="G36" s="18" t="inlineStr">
        <is>
          <t>แนะนำให้ผู้ป่วยสังเกตอาการไปก่อนถ้าไม่ดีขึ้นให้กลับมาพบเภสัชกรอีกครั้งเพื่อหาสาเหตุ</t>
        </is>
      </c>
      <c r="H36" s="18"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6" s="15" t="inlineStr">
        <is>
          <t>1</t>
        </is>
      </c>
      <c r="J36" s="18"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ข้อนี้ไม่ใช่คำตอบที่ถูกต้องสำหรับภาวะ Glaucoma, Cataract เนื่องจากกลไกการออกฤทธิ์, efficacy หรือข้อบ่งใช้ไม่ตรงกับโจทย์ที่กำหนด
• ข้อ ค. (ซักประวัติเพิ่มเติมเกี่ยวกับโรคประจำตัว การใช้ยาก่อนหน้า การมองเห็น): ข้อนี้ไม่ใช่คำตอบที่ถูกต้องสำหรับภาวะ Glaucoma, Cataract เนื่องจากกลไกการออกฤทธิ์, efficacy หรือข้อบ่งใช้ไม่ตรงกับโจทย์ที่กำหนด
• ข้อ ง. (แนะนำให้ผู้ป่วยสังเกตอาการไปก่อนถ้าไม่ดีขึ้นให้กลับมาพบเภสัชกรอีกครั้งเพื่อหาสาเหตุ): ข้อนี้ไม่ใช่คำตอบที่ถูกต้องสำหรับภาวะ Glaucoma, Cataract เนื่องจากกลไกการออกฤทธิ์, efficacy หรือข้อบ่งใช้ไม่ตรงกับโจทย์ที่กำหนด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18" t="inlineStr"/>
      <c r="L36" s="18" t="inlineStr">
        <is>
          <t>Glaucoma, Cataract</t>
        </is>
      </c>
      <c r="M36" s="18" t="inlineStr">
        <is>
          <t>Clinic</t>
        </is>
      </c>
      <c r="N36" s="18" t="inlineStr">
        <is>
          <t>ข้อ 9 (PLE_CC1_Practice_Exam.md)</t>
        </is>
      </c>
      <c r="O36" s="18" t="inlineStr">
        <is>
          <t>Mock</t>
        </is>
      </c>
      <c r="P36" s="18" t="inlineStr">
        <is>
          <t>Mock สภาเภสัชฯ Practice</t>
        </is>
      </c>
    </row>
    <row r="37">
      <c r="A37" s="15" t="inlineStr">
        <is>
          <t>35</t>
        </is>
      </c>
      <c r="B37" s="18"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7" s="18" t="inlineStr"/>
      <c r="D37" s="18" t="inlineStr">
        <is>
          <t>จ่ายยา Actifedห</t>
        </is>
      </c>
      <c r="E37" s="18" t="inlineStr">
        <is>
          <t>จ่ายยา Hydroxyzine</t>
        </is>
      </c>
      <c r="F37" s="18" t="inlineStr">
        <is>
          <t>จ่ายยา Fexofenadine</t>
        </is>
      </c>
      <c r="G37" s="18" t="inlineStr">
        <is>
          <t>จ่ายยา Brompheniramine</t>
        </is>
      </c>
      <c r="H37" s="18" t="inlineStr">
        <is>
          <t>จ่ายยา Chlorpheniramine</t>
        </is>
      </c>
      <c r="I37" s="15" t="inlineStr">
        <is>
          <t>1</t>
        </is>
      </c>
      <c r="J37" s="18"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ข้อนี้ไม่ใช่คำตอบที่ถูกต้องสำหรับภาวะ Glaucoma, Cataract เนื่องจากกลไกการออกฤทธิ์, efficacy หรือข้อบ่งใช้ไม่ตรงกับโจทย์ที่กำหนด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ข้อนี้ไม่ใช่คำตอบที่ถูกต้องสำหรับภาวะ Glaucoma, Cataract เนื่องจากกลไกการออกฤทธิ์, efficacy หรือข้อบ่งใช้ไม่ตรงกับโจทย์ที่กำหนด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18" t="inlineStr"/>
      <c r="L37" s="18" t="inlineStr">
        <is>
          <t>Glaucoma, Cataract</t>
        </is>
      </c>
      <c r="M37" s="18" t="inlineStr">
        <is>
          <t>Clinic</t>
        </is>
      </c>
      <c r="N37" s="18" t="inlineStr">
        <is>
          <t>ข้อ 27 (PLE_CC1_Practice_Exam.md)</t>
        </is>
      </c>
      <c r="O37" s="18" t="inlineStr">
        <is>
          <t>Mock</t>
        </is>
      </c>
      <c r="P37" s="18" t="inlineStr">
        <is>
          <t>Mock สภาเภสัชฯ Practice</t>
        </is>
      </c>
    </row>
    <row r="38">
      <c r="A38" s="15" t="inlineStr">
        <is>
          <t>36</t>
        </is>
      </c>
      <c r="B38" s="18" t="inlineStr">
        <is>
          <t>Sodium starch glycolate เป็นสารช่วยแตกตัว เรื่องที่ 4 Conjunctivitis</t>
        </is>
      </c>
      <c r="C38" s="18" t="inlineStr"/>
      <c r="D38" s="18" t="inlineStr">
        <is>
          <t>Prednisolone acetate 1% eye drops</t>
        </is>
      </c>
      <c r="E38" s="18" t="inlineStr">
        <is>
          <t>Acetazolamide 250 mg BID</t>
        </is>
      </c>
      <c r="F38" s="18" t="inlineStr">
        <is>
          <t>Timolol 0.5% eye drops 1 drop BID</t>
        </is>
      </c>
      <c r="G38" s="18" t="inlineStr">
        <is>
          <t>Latanoprost 0.005% eye drops 1 drop HS</t>
        </is>
      </c>
      <c r="H38" s="18" t="inlineStr">
        <is>
          <t>Brimonidine 0.2% eye drops 1 drop BID</t>
        </is>
      </c>
      <c r="I38" s="15" t="inlineStr">
        <is>
          <t>1</t>
        </is>
      </c>
      <c r="J38" s="18"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8" s="18" t="inlineStr"/>
      <c r="L38" s="18" t="inlineStr">
        <is>
          <t>Conjunctivitis</t>
        </is>
      </c>
      <c r="M38" s="18" t="inlineStr">
        <is>
          <t>Clinic</t>
        </is>
      </c>
      <c r="N38" s="18" t="inlineStr">
        <is>
          <t>ข้อ 1 (PLE_CC1_Key_Rx20_UBU.md)</t>
        </is>
      </c>
      <c r="O38" s="18" t="inlineStr">
        <is>
          <t>Mock</t>
        </is>
      </c>
      <c r="P38" s="18" t="inlineStr">
        <is>
          <t>Mock Rx20 UBU</t>
        </is>
      </c>
    </row>
    <row r="39">
      <c r="A39" s="15" t="inlineStr">
        <is>
          <t>37</t>
        </is>
      </c>
      <c r="B39" s="18"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9" s="18" t="inlineStr"/>
      <c r="D39" s="18" t="inlineStr">
        <is>
          <t>Latanoprost 0.005% eye drops 1 drop HS</t>
        </is>
      </c>
      <c r="E39" s="18" t="inlineStr">
        <is>
          <t>Brimonidine 0.2% eye drops 1 drop BID</t>
        </is>
      </c>
      <c r="F39" s="18" t="inlineStr">
        <is>
          <t>Dorzolamide 2% eye drops 1 drop BID</t>
        </is>
      </c>
      <c r="G39" s="18" t="inlineStr">
        <is>
          <t>Tobramycin 0.3% eye drops 1 drop QID</t>
        </is>
      </c>
      <c r="H39" s="18" t="inlineStr">
        <is>
          <t>Chloramphenicol 0.5% eye drops 1 drop QID</t>
        </is>
      </c>
      <c r="I39" s="15" t="inlineStr">
        <is>
          <t>1</t>
        </is>
      </c>
      <c r="J39" s="18"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8" t="inlineStr"/>
      <c r="L39" s="18" t="inlineStr">
        <is>
          <t>Conjunctivitis</t>
        </is>
      </c>
      <c r="M39" s="18" t="inlineStr">
        <is>
          <t>Clinic</t>
        </is>
      </c>
      <c r="N39" s="18" t="inlineStr">
        <is>
          <t>ข้อ 1 (PLE_CC1_Key_Rx20_UBU.md)</t>
        </is>
      </c>
      <c r="O39" s="18" t="inlineStr">
        <is>
          <t>Mock</t>
        </is>
      </c>
      <c r="P39" s="18" t="inlineStr">
        <is>
          <t>Mock Rx20 UBU</t>
        </is>
      </c>
    </row>
    <row r="40">
      <c r="A40" s="15" t="inlineStr">
        <is>
          <t>38</t>
        </is>
      </c>
      <c r="B40" s="18" t="inlineStr">
        <is>
          <t>เมื่อหยอดตาเสร็จแล้ว หลับตาสักครู่ และไม่ควรใช้ยาร่วมกับผู้อื่น</t>
        </is>
      </c>
      <c r="C40" s="18" t="inlineStr"/>
      <c r="D40" s="18" t="inlineStr">
        <is>
          <t>Tobramycin 0.3% eye drops 1 drop QID</t>
        </is>
      </c>
      <c r="E40" s="18" t="inlineStr">
        <is>
          <t>Chloramphenicol 0.5% eye drops 1 drop QID</t>
        </is>
      </c>
      <c r="F40" s="18" t="inlineStr">
        <is>
          <t>Artificial tears 1 drop QID</t>
        </is>
      </c>
      <c r="G40" s="18" t="inlineStr">
        <is>
          <t>Antazoline/Tetrahydrozoline eye drops 1 drop TID</t>
        </is>
      </c>
      <c r="H40" s="18" t="inlineStr">
        <is>
          <t>Prednisolone acetate 1% eye drops</t>
        </is>
      </c>
      <c r="I40" s="15" t="inlineStr">
        <is>
          <t>1</t>
        </is>
      </c>
      <c r="J40" s="18"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18" t="inlineStr"/>
      <c r="L40" s="18" t="inlineStr">
        <is>
          <t>Glaucoma, Cataract</t>
        </is>
      </c>
      <c r="M40" s="18" t="inlineStr">
        <is>
          <t>Clinic</t>
        </is>
      </c>
      <c r="N40" s="18" t="inlineStr">
        <is>
          <t>ข้อ 2 (PLE_CC1_Key_Rx20_UBU.md)</t>
        </is>
      </c>
      <c r="O40" s="18" t="inlineStr">
        <is>
          <t>Mock</t>
        </is>
      </c>
      <c r="P40" s="18" t="inlineStr">
        <is>
          <t>Mock Rx20 UBU</t>
        </is>
      </c>
    </row>
    <row r="41">
      <c r="A41" s="15" t="inlineStr">
        <is>
          <t>39</t>
        </is>
      </c>
      <c r="B41" s="18"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1" s="18" t="inlineStr"/>
      <c r="D41" s="18" t="inlineStr">
        <is>
          <t>Antazoline/Tetrahydrozoline eye drops 1 drop TID</t>
        </is>
      </c>
      <c r="E41" s="18" t="inlineStr">
        <is>
          <t>Prednisolone acetate 1% eye drops</t>
        </is>
      </c>
      <c r="F41" s="18" t="inlineStr">
        <is>
          <t>Acetazolamide 250 mg BID</t>
        </is>
      </c>
      <c r="G41" s="18" t="inlineStr">
        <is>
          <t>Timolol 0.5% eye drops 1 drop BID</t>
        </is>
      </c>
      <c r="H41" s="18" t="inlineStr">
        <is>
          <t>Latanoprost 0.005% eye drops 1 drop HS</t>
        </is>
      </c>
      <c r="I41" s="15" t="inlineStr">
        <is>
          <t>5</t>
        </is>
      </c>
      <c r="J41" s="18"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ง.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18" t="inlineStr"/>
      <c r="L41" s="18" t="inlineStr">
        <is>
          <t>Conjunctivitis</t>
        </is>
      </c>
      <c r="M41" s="18" t="inlineStr">
        <is>
          <t>Clinic</t>
        </is>
      </c>
      <c r="N41" s="18" t="inlineStr">
        <is>
          <t>ข้อ 5 (PLE_CC1_Key_Rx20_UBU.md)</t>
        </is>
      </c>
      <c r="O41" s="18" t="inlineStr">
        <is>
          <t>Mock</t>
        </is>
      </c>
      <c r="P41" s="18" t="inlineStr">
        <is>
          <t>Mock Rx20 UBU</t>
        </is>
      </c>
    </row>
    <row r="42">
      <c r="A42" s="15" t="inlineStr">
        <is>
          <t>40</t>
        </is>
      </c>
      <c r="B42" s="18" t="inlineStr">
        <is>
          <t>ยาหยอดตาในข้อใดที่สามารถใช้รักษาเชื้อที่ย้อมแกรมพบได้ก่อนหน้านี้</t>
        </is>
      </c>
      <c r="C42" s="18" t="inlineStr"/>
      <c r="D42" s="18" t="inlineStr">
        <is>
          <t>Polymyxin B + Neomycin + Gramicidin</t>
        </is>
      </c>
      <c r="E42" s="18" t="inlineStr">
        <is>
          <t>Chloramphenicol</t>
        </is>
      </c>
      <c r="F42" s="18" t="inlineStr">
        <is>
          <t>Latanoprost</t>
        </is>
      </c>
      <c r="G42" s="18" t="inlineStr">
        <is>
          <t>Antazoline</t>
        </is>
      </c>
      <c r="H42" s="18" t="inlineStr">
        <is>
          <t>Dexamethasone</t>
        </is>
      </c>
      <c r="I42" s="15" t="inlineStr">
        <is>
          <t>1</t>
        </is>
      </c>
      <c r="J42" s="18"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ข้อนี้ไม่ใช่คำตอบที่ถูกต้องสำหรับภาวะ Glaucoma, Cataract เนื่องจากกลไกการออกฤทธิ์, efficacy หรือข้อบ่งใช้ไม่ตรงกับโจทย์ที่กำหนด
• ข้อ ค. (Latanoprost): ข้อนี้ไม่ใช่คำตอบที่ถูกต้องสำหรับภาวะ Glaucoma, Cataract เนื่องจากกลไกการออกฤทธิ์, efficacy หรือข้อบ่งใช้ไม่ตรงกับโจทย์ที่กำหนด
• ข้อ ง. (Antazoline): ข้อนี้ไม่ใช่คำตอบที่ถูกต้องสำหรับภาวะ Glaucoma, Cataract เนื่องจากกลไกการออกฤทธิ์, efficacy หรือข้อบ่งใช้ไม่ตรงกับโจทย์ที่กำหนด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18" t="inlineStr"/>
      <c r="L42" s="18" t="inlineStr">
        <is>
          <t>Glaucoma, Cataract</t>
        </is>
      </c>
      <c r="M42" s="18" t="inlineStr">
        <is>
          <t>Clinic</t>
        </is>
      </c>
      <c r="N42" s="18" t="inlineStr">
        <is>
          <t>ข้อ 4 (PLE_CC1_Key_Rx20_UBU.md)</t>
        </is>
      </c>
      <c r="O42" s="18" t="inlineStr">
        <is>
          <t>Mock</t>
        </is>
      </c>
      <c r="P42" s="18" t="inlineStr">
        <is>
          <t>Mock Rx20 UBU</t>
        </is>
      </c>
    </row>
    <row r="43">
      <c r="A43" s="15" t="inlineStr">
        <is>
          <t>41</t>
        </is>
      </c>
      <c r="B43" s="18" t="inlineStr">
        <is>
          <t>Bacterial conjunctivitis</t>
        </is>
      </c>
      <c r="C43" s="18" t="inlineStr"/>
      <c r="D43" s="18" t="inlineStr">
        <is>
          <t>Dorzolamide 2% eye drops 1 drop BID</t>
        </is>
      </c>
      <c r="E43" s="18" t="inlineStr">
        <is>
          <t>Tobramycin 0.3% eye drops 1 drop QID</t>
        </is>
      </c>
      <c r="F43" s="18" t="inlineStr">
        <is>
          <t>Chloramphenicol 0.5% eye drops 1 drop QID</t>
        </is>
      </c>
      <c r="G43" s="18" t="inlineStr">
        <is>
          <t>Artificial tears 1 drop QID</t>
        </is>
      </c>
      <c r="H43" s="18" t="inlineStr">
        <is>
          <t>Antazoline/Tetrahydrozoline eye drops 1 drop TID</t>
        </is>
      </c>
      <c r="I43" s="15" t="inlineStr">
        <is>
          <t>1</t>
        </is>
      </c>
      <c r="J43" s="18"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ค.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ข้อ ง. (Artificial tears 1 drop QID): ข้อนี้ไม่ใช่คำตอบที่ถูกต้องสำหรับภาวะ Conjunctivitis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18" t="inlineStr"/>
      <c r="L43" s="18" t="inlineStr">
        <is>
          <t>Conjunctivitis</t>
        </is>
      </c>
      <c r="M43" s="18" t="inlineStr">
        <is>
          <t>Clinic</t>
        </is>
      </c>
      <c r="N43" s="18" t="inlineStr">
        <is>
          <t>ข้อ 1 (PLE_CC1_Key_Rx20_UBU.md)</t>
        </is>
      </c>
      <c r="O43" s="18" t="inlineStr">
        <is>
          <t>Mock</t>
        </is>
      </c>
      <c r="P43" s="18" t="inlineStr">
        <is>
          <t>Mock Rx20 UBU</t>
        </is>
      </c>
    </row>
    <row r="44">
      <c r="A44" s="15" t="inlineStr">
        <is>
          <t>42</t>
        </is>
      </c>
      <c r="B44" s="18" t="inlineStr">
        <is>
          <t>หากลืมหยอดตา ให$หยอดทันทีที่นึกได$ หากใกล$เวลาหยอดครั้งถัดไป ให$เพิ่มเปญน 2 เทGา</t>
        </is>
      </c>
      <c r="C44" s="18" t="inlineStr"/>
      <c r="D44" s="18" t="inlineStr">
        <is>
          <t>Artificial tears 1 drop QID</t>
        </is>
      </c>
      <c r="E44" s="18" t="inlineStr">
        <is>
          <t>Antazoline/Tetrahydrozoline eye drops 1 drop TID</t>
        </is>
      </c>
      <c r="F44" s="18" t="inlineStr">
        <is>
          <t>Prednisolone acetate 1% eye drops</t>
        </is>
      </c>
      <c r="G44" s="18" t="inlineStr">
        <is>
          <t>Acetazolamide 250 mg BID</t>
        </is>
      </c>
      <c r="H44" s="18" t="inlineStr">
        <is>
          <t>Timolol 0.5% eye drops 1 drop BID</t>
        </is>
      </c>
      <c r="I44" s="15" t="inlineStr">
        <is>
          <t>1</t>
        </is>
      </c>
      <c r="J44" s="18"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จ.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18" t="inlineStr"/>
      <c r="L44" s="18" t="inlineStr">
        <is>
          <t>Glaucoma, Cataract</t>
        </is>
      </c>
      <c r="M44" s="18" t="inlineStr">
        <is>
          <t>Clinic</t>
        </is>
      </c>
      <c r="N44" s="18" t="inlineStr">
        <is>
          <t>ข้อ 2 (PLE_CC1_Key_Rx20_UBU.md)</t>
        </is>
      </c>
      <c r="O44" s="18" t="inlineStr">
        <is>
          <t>Mock</t>
        </is>
      </c>
      <c r="P44" s="18" t="inlineStr">
        <is>
          <t>Mock Rx20 UBU</t>
        </is>
      </c>
    </row>
    <row r="45">
      <c r="A45" s="15" t="inlineStr">
        <is>
          <t>43</t>
        </is>
      </c>
      <c r="B45" s="18" t="inlineStr">
        <is>
          <t>ยาหยอดตาที่เปØดใช$แล$ว ควรเก็บไว$ในตู$เย็นจะเก็บได$ 3 เดือน</t>
        </is>
      </c>
      <c r="C45" s="18" t="inlineStr"/>
      <c r="D45" s="18" t="inlineStr">
        <is>
          <t>Acetazolamide 250 mg BID</t>
        </is>
      </c>
      <c r="E45" s="18" t="inlineStr">
        <is>
          <t>Timolol 0.5% eye drops 1 drop BID</t>
        </is>
      </c>
      <c r="F45" s="18" t="inlineStr">
        <is>
          <t>Latanoprost 0.005% eye drops 1 drop HS</t>
        </is>
      </c>
      <c r="G45" s="18" t="inlineStr">
        <is>
          <t>Brimonidine 0.2% eye drops 1 drop BID</t>
        </is>
      </c>
      <c r="H45" s="18" t="inlineStr">
        <is>
          <t>Dorzolamide 2% eye drops 1 drop BID</t>
        </is>
      </c>
      <c r="I45" s="15" t="inlineStr">
        <is>
          <t>1</t>
        </is>
      </c>
      <c r="J45" s="18"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ง.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18" t="inlineStr"/>
      <c r="L45" s="18" t="inlineStr">
        <is>
          <t>Glaucoma, Cataract</t>
        </is>
      </c>
      <c r="M45" s="18" t="inlineStr">
        <is>
          <t>Clinic</t>
        </is>
      </c>
      <c r="N45" s="18" t="inlineStr">
        <is>
          <t>ข้อ 4 (PLE_CC1_Key_Rx20_UBU.md)</t>
        </is>
      </c>
      <c r="O45" s="18" t="inlineStr">
        <is>
          <t>Mock</t>
        </is>
      </c>
      <c r="P45" s="18" t="inlineStr">
        <is>
          <t>Mock Rx20 UBU</t>
        </is>
      </c>
    </row>
    <row r="46">
      <c r="A46" s="15" t="inlineStr">
        <is>
          <t>44</t>
        </is>
      </c>
      <c r="B46" s="18" t="inlineStr">
        <is>
          <t>Prednisolone eye drop + Naphazoline eye drop</t>
        </is>
      </c>
      <c r="C46" s="18" t="inlineStr"/>
      <c r="D46" s="18" t="inlineStr">
        <is>
          <t>Brimonidine 0.2% eye drops 1 drop BID</t>
        </is>
      </c>
      <c r="E46" s="18" t="inlineStr">
        <is>
          <t>Dorzolamide 2% eye drops 1 drop BID</t>
        </is>
      </c>
      <c r="F46" s="18" t="inlineStr">
        <is>
          <t>Tobramycin 0.3% eye drops 1 drop QID</t>
        </is>
      </c>
      <c r="G46" s="18" t="inlineStr">
        <is>
          <t>Chloramphenicol 0.5% eye drops 1 drop QID</t>
        </is>
      </c>
      <c r="H46" s="18" t="inlineStr">
        <is>
          <t>Artificial tears 1 drop QID</t>
        </is>
      </c>
      <c r="I46" s="15" t="inlineStr">
        <is>
          <t>1</t>
        </is>
      </c>
      <c r="J46" s="18"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ง.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(Artificial tears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18" t="inlineStr"/>
      <c r="L46" s="18" t="inlineStr">
        <is>
          <t>Glaucoma, Cataract</t>
        </is>
      </c>
      <c r="M46" s="18" t="inlineStr">
        <is>
          <t>Clinic</t>
        </is>
      </c>
      <c r="N46" s="18" t="inlineStr">
        <is>
          <t>ข้อ 2 (PLE_CC1_Key_Rx20_UBU.md)</t>
        </is>
      </c>
      <c r="O46" s="18" t="inlineStr">
        <is>
          <t>Mock</t>
        </is>
      </c>
      <c r="P46" s="18" t="inlineStr">
        <is>
          <t>Mock Rx20 UBU</t>
        </is>
      </c>
    </row>
    <row r="47">
      <c r="A47" s="15" t="inlineStr">
        <is>
          <t>45</t>
        </is>
      </c>
      <c r="B47" s="18" t="inlineStr">
        <is>
          <t>ยาหยอดตาที่มีสGวนผสมของ Prednisolone เภสัชกรสามารถจGายในร$านยาได$หรือไมG</t>
        </is>
      </c>
      <c r="C47" s="18" t="inlineStr"/>
      <c r="D47" s="18" t="inlineStr">
        <is>
          <t>Chloramphenicol 0.5% eye drops 1 drop QID</t>
        </is>
      </c>
      <c r="E47" s="18" t="inlineStr">
        <is>
          <t>Artificial tears 1 drop QID</t>
        </is>
      </c>
      <c r="F47" s="18" t="inlineStr">
        <is>
          <t>Antazoline/Tetrahydrozoline eye drops 1 drop TID</t>
        </is>
      </c>
      <c r="G47" s="18" t="inlineStr">
        <is>
          <t>Prednisolone acetate 1% eye drops</t>
        </is>
      </c>
      <c r="H47" s="18" t="inlineStr">
        <is>
          <t>Acetazolamide 250 mg BID</t>
        </is>
      </c>
      <c r="I47" s="15" t="inlineStr">
        <is>
          <t>1</t>
        </is>
      </c>
      <c r="J47" s="18"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ค.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18" t="inlineStr"/>
      <c r="L47" s="18" t="inlineStr">
        <is>
          <t>Glaucoma, Cataract</t>
        </is>
      </c>
      <c r="M47" s="18" t="inlineStr">
        <is>
          <t>Clinic</t>
        </is>
      </c>
      <c r="N47" s="18" t="inlineStr">
        <is>
          <t>ข้อ 29 (PLE_CC1_Key_Rx20_UBU.md)</t>
        </is>
      </c>
      <c r="O47" s="18" t="inlineStr">
        <is>
          <t>Mock</t>
        </is>
      </c>
      <c r="P47" s="18" t="inlineStr">
        <is>
          <t>Mock Rx20 UBU</t>
        </is>
      </c>
    </row>
    <row r="48">
      <c r="A48" s="15" t="inlineStr">
        <is>
          <t>46</t>
        </is>
      </c>
      <c r="B48" s="18"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8" s="18" t="inlineStr"/>
      <c r="D48" s="18" t="inlineStr">
        <is>
          <t>Prednisolone acetate 1% eye drops</t>
        </is>
      </c>
      <c r="E48" s="18" t="inlineStr">
        <is>
          <t>Acetazolamide 250 mg BID</t>
        </is>
      </c>
      <c r="F48" s="18" t="inlineStr">
        <is>
          <t>Timolol 0.5% eye drops 1 drop BID</t>
        </is>
      </c>
      <c r="G48" s="18" t="inlineStr">
        <is>
          <t>Latanoprost 0.005% eye drops 1 drop HS</t>
        </is>
      </c>
      <c r="H48" s="18" t="inlineStr">
        <is>
          <t>Brimonidine 0.2% eye drops 1 drop BID</t>
        </is>
      </c>
      <c r="I48" s="15" t="inlineStr">
        <is>
          <t>1</t>
        </is>
      </c>
      <c r="J48" s="18"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ค.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8" s="18" t="inlineStr"/>
      <c r="L48" s="18" t="inlineStr">
        <is>
          <t>Glaucoma, Cataract</t>
        </is>
      </c>
      <c r="M48" s="18" t="inlineStr">
        <is>
          <t>Clinic</t>
        </is>
      </c>
      <c r="N48" s="18" t="inlineStr">
        <is>
          <t>ข้อ 30 (PLE_CC1_Key_Rx20_UBU.md)</t>
        </is>
      </c>
      <c r="O48" s="18" t="inlineStr">
        <is>
          <t>Mock</t>
        </is>
      </c>
      <c r="P48" s="18" t="inlineStr">
        <is>
          <t>Mock Rx20 UBU</t>
        </is>
      </c>
    </row>
    <row r="49">
      <c r="A49" s="15" t="inlineStr">
        <is>
          <t>47</t>
        </is>
      </c>
      <c r="B49" s="18" t="inlineStr">
        <is>
          <t>Corticosteroid eye drops</t>
        </is>
      </c>
      <c r="C49" s="18" t="inlineStr"/>
      <c r="D49" s="18" t="inlineStr">
        <is>
          <t>Latanoprost 0.005% eye drops 1 drop HS</t>
        </is>
      </c>
      <c r="E49" s="18" t="inlineStr">
        <is>
          <t>Brimonidine 0.2% eye drops 1 drop BID</t>
        </is>
      </c>
      <c r="F49" s="18" t="inlineStr">
        <is>
          <t>Dorzolamide 2% eye drops 1 drop BID</t>
        </is>
      </c>
      <c r="G49" s="18" t="inlineStr">
        <is>
          <t>Tobramycin 0.3% eye drops 1 drop QID</t>
        </is>
      </c>
      <c r="H49" s="18" t="inlineStr">
        <is>
          <t>Chloramphenicol 0.5% eye drops 1 drop QID</t>
        </is>
      </c>
      <c r="I49" s="15" t="inlineStr">
        <is>
          <t>1</t>
        </is>
      </c>
      <c r="J49" s="18"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18" t="inlineStr"/>
      <c r="L49" s="18" t="inlineStr">
        <is>
          <t>Glaucoma, Cataract</t>
        </is>
      </c>
      <c r="M49" s="18" t="inlineStr">
        <is>
          <t>Clinic</t>
        </is>
      </c>
      <c r="N49" s="18" t="inlineStr">
        <is>
          <t>ข้อ 4 (PLE_CC1_Key_Rx20_UBU.md)</t>
        </is>
      </c>
      <c r="O49" s="18" t="inlineStr">
        <is>
          <t>Mock</t>
        </is>
      </c>
      <c r="P49" s="18" t="inlineStr">
        <is>
          <t>Mock Rx20 UBU</t>
        </is>
      </c>
    </row>
    <row r="50">
      <c r="A50" s="18" t="n">
        <v>48</v>
      </c>
      <c r="B50" s="18" t="inlineStr">
        <is>
          <t>▶ [กรณีศึกษา: ผู้ป่วยชายมาด้วยอาการตาแดง ไม่คัน ไม่ปวด ตื่นเช้ามีขี้ตาสีเหลืองเหนียวจนลืมตาไม่ขึ้น ปกติใส่คอนแทคเลนส์สำหรับสายตาสั้น แต่ 3 วันก่อนไปเที่ยวลืมเอาน้ำยาล้างคอนแทคเลนส์ไป จึงใช้น้ำเกลือแช่แทนแล้วนำมาใส่ต่อจนตาแดง มีประวัติแพ้ยา Co-trimoxazole (ผื่นแพ้ทางผิวหนัง)]
📌 คำถาม: การรักษาด้วยยาหยอดตาในข้อใดต่อไปนี้มีความเหมาะสมและตรงกับสาเหตุของโรคมากที่สุด</t>
        </is>
      </c>
      <c r="C50" s="18" t="inlineStr"/>
      <c r="D50" s="18" t="inlineStr">
        <is>
          <t>Artificial tears eye drops (น้ำตาเทียม)</t>
        </is>
      </c>
      <c r="E50" s="18" t="inlineStr">
        <is>
          <t>Prednisolone acetate eye drops (ยาหยอดตาสเตียรอยด์)</t>
        </is>
      </c>
      <c r="F50" s="18" t="inlineStr">
        <is>
          <t>Acyclovir eye drops (ยาหยอดตาต้านไวรัส)</t>
        </is>
      </c>
      <c r="G50" s="18" t="inlineStr">
        <is>
          <t>Chloramphenicol eye drops (ยาหยอดตาปฏิชีวนะต้านแบคทีเรีย)</t>
        </is>
      </c>
      <c r="H50" s="18" t="inlineStr">
        <is>
          <t>Antazoline + Tetrahydrozoline eye drops (ยาหยอดตาแก้แพ้)</t>
        </is>
      </c>
      <c r="I50" s="15" t="inlineStr">
        <is>
          <t>4</t>
        </is>
      </c>
      <c r="J50" s="18" t="inlineStr">
        <is>
          <t>✅ คำตอบที่ถูกต้อง: ข้อ ง. Chloramphenicol eye drops (หรือยาหยอดตาต้านแบคทีเรียกลุ่ม Fluoroquinolones)
💡 Background:
ผู้ป่วยมีอาการตาแดง ไม่คัน ตื่นเช้ามีขี้ตาสีเหลืองเหนียวจนลืมตาไม่ขึ้น ร่วมกับประวัติใส่คอนแทคเลนส์แล้วใช้น้ำเกลือแช่แทนน้ำยาล้างคอนแทคเลนส์ ลักษณะดังกล่าวบ่งชี้อย่างชัดเจนถึงภาวะ "เยื่อบุตาอักเสบจากเชื้อแบคทีเรีย (Bacterial conjunctivitis)" ซึ่งในผู้ที่ใส่คอนแทคเลนส์ เชื้อก่อโรคที่พบบ่อยและอันตรายที่สุดคือ Pseudomonas aeruginosa และ Gram-negative bacilli รวมถึง Staphylococcus aureus การรักษาหลักคือการใช้ยาหยอดตาปฏิชีวนะ (Topical antibacterial eye drops)
🎯 ทำไมข้อนี้ถึงถูก:
Chloramphenicol eye drops เป็นยาหยอดตาปฏิชีวนะที่ออกฤทธิ์ครอบคลุมเชื้อแบคทีเรียที่ทำให้เกิด Bacterial conjunctivitis ได้ดี และเหมาะสมสำหรับรักษาภาวะตาแดงมีขี้ตาเหลืองจากการติดเชื้อแบคทีเรีย (หากผู้ป่วยใส่คอนแทคเลนส์ แนวทางสมัยใหม่แนะนำ Fluoroquinolones เช่น Ciprofloxacin/Levofloxacin หรือ Chloramphenicol เพื่อครอบคลุมเชื้อก่อโรค)
🔍 ข้ออื่นผิดเพราะอะไร:
• ข้อ ก. (Artificial Tear): น้ำตาเทียมใช้บรรเทาอาการตาแห้ง ไม่สามารถฆ่าเชื้อแบคทีเรียได้
• ข้อ ข. (Prednisolone eye drops): ยาหยอดตาสเตียรอยด์เป็น "ข้อห้ามใช้เดี่ยวๆ" ในภาวะติดเชื้อที่ตายังไม่ได้ควบคุม เพราะจะกดภูมิคุ้มกัน ทำให้เชื้อลุกลามเกิดกระจกตาติดเชื้อและทะลุได้ (Corneal ulceration and perforation)
• ข้อ ค. (Acyclovir eye drops/ointment): เป็นยาต้านไวรัส ใช้สำหรับ Herpes simplex keratitis ไม่ครอบคลุมแบคทีเรีย
• ข้อ จ. (Antazoline + Tetrahydrozoline eye drops): เป็นยาหยอดตาแก้แพ้และหดหลอดเลือด ใช้สำหรับ Allergic conjunctivitis (คันตา ตาแดง น้ำตาไหล) ไม่มีฤทธิ์ฆ่าเชื้อแบคทีเรีย
📖 Guideline อ้างอิง:
American Academy of Ophthalmology (AAO) Preferred Practice Pattern: Conjunctivitis &amp; ราชวิทยาลัยจักษุแพทย์แห่งประเทศไทย: แนวทางเวชปฏิบัติการดูแลรักษาโรคเยื่อบุตาอักเสบ
📌 จุดจำก่อนสอบ:
• Bacterial vs Viral vs Allergic:
  - ขี้ตาสีเหลือง/เขียวเหนียว ลืมตาไม่ขึ้น = Bacterial conjunctivitis (ใช้ Topical Antibiotics)
  - น้ำตาไหลใส มีต่อมน้ำเหลืองหน้าหูโต = Viral conjunctivitis (ประคับประคอง)
  - คันตาเด่น ตาบวม ตาแดงสองข้าง = Allergic conjunctivitis (ใช้ Antihistamine eye drops)
• Contact Lens Wearer Alert: ผู้ใส่คอนแทคเลนส์ตาแดงขี้ตาข้น ต้องระวังเชื้อ Pseudomonas aeruginosa เสมอ</t>
        </is>
      </c>
      <c r="K50" s="18" t="inlineStr"/>
      <c r="L50" s="18" t="inlineStr">
        <is>
          <t>Eye disorder</t>
        </is>
      </c>
      <c r="M50" s="18" t="inlineStr">
        <is>
          <t>Clinic</t>
        </is>
      </c>
      <c r="N50" s="18" t="inlineStr">
        <is>
          <t>PLE_CC1_2567_Key ข้อ 29</t>
        </is>
      </c>
      <c r="O50" s="18" t="inlineStr">
        <is>
          <t>ข้อสอบจริง</t>
        </is>
      </c>
      <c r="P50" s="18" t="inlineStr">
        <is>
          <t>ปี 2567</t>
        </is>
      </c>
    </row>
    <row r="51">
      <c r="A51" s="18" t="n">
        <v>49</v>
      </c>
      <c r="B51" s="18" t="inlineStr">
        <is>
          <t>▶ [กรณีศึกษา: ผู้ป่วยชายตาแดงจาก Bacterial conjunctivitis มีประวัติแพ้ยา Co-trimoxazole อย่างชัดเจน]
📌 คำถาม: จากประวัติการแพ้ยาดังกล่าว ผู้ป่วยรายนี้ควรระมัดระวังหรือหลีกเลี่ยงการใช้ยาหรือส่วนประกอบในยาหยอดตาข้อใดที่มีความเสี่ยงต่อการเกิดปฏิกิริยาแพ้ข้ามกลุ่ม (Cross-reactivity)</t>
        </is>
      </c>
      <c r="C51" s="18" t="inlineStr"/>
      <c r="D51" s="18" t="inlineStr">
        <is>
          <t>Ciprofloxacin</t>
        </is>
      </c>
      <c r="E51" s="18" t="inlineStr">
        <is>
          <t>Antazoline</t>
        </is>
      </c>
      <c r="F51" s="18" t="inlineStr">
        <is>
          <t>Acetazolamide / Sulfonamide derivatives</t>
        </is>
      </c>
      <c r="G51" s="18" t="inlineStr">
        <is>
          <t>Dexamethasone</t>
        </is>
      </c>
      <c r="H51" s="18" t="inlineStr">
        <is>
          <t>Polymyxin B</t>
        </is>
      </c>
      <c r="I51" s="15" t="inlineStr">
        <is>
          <t>3</t>
        </is>
      </c>
      <c r="J51" s="18" t="inlineStr">
        <is>
          <t>✅ คำตอบที่ถูกต้อง: ข้อ ค. Acetazolamide (หรือ Sulfonamide antimicrobial eye drops)
💡 Background:
ผู้ป่วยมีประวัติแพ้ยา Co-trimoxazole (Sulfamethoxazole + Trimethoprim) โดยมีประวัติผื่นแพ้ทางผิวหนัง ซึ่งโมเลกุลของ Sulfamethoxazole มีโครงสร้างหลักเป็น "Sulfonamide (SO2NH2)" ทางเภสัชกรรมและคลินิก ผู้ป่วยที่แพ้ยากลุ่ม Sulfa มีความเสี่ยงต่อการเกิดปฏิกิริยาแพ้ข้ามกลุ่ม (Cross-reactivity) กับยาหยอดตาที่มีโครงสร้าง Sulfonamide เช่น ยาหยอดตาปฏิชีวนะ Sulfacetamide หรือยาลดความดันลูกตา Acetazolamide / Brinzolamide / Dorzolamide
🎯 ทำไมข้อนี้ถึงถูก:
Acetazolamide (รวมถึงยาหยอดตากลุ่ม Carbonic Anhydrase Inhibitors เช่น Dorzolamide, Brinzolamide และยาปฏิชีวนะ Sulfacetamide) มีโครงสร้างทางเคมีเป็นอนุพันธ์ของ Sulfonamide จึงมีโอกาสเกิดปฏิกิริยาการแพ้ข้ามกลุ่มในผู้ป่วยที่มีประวัติแพ้ยาซัลฟา (Co-trimoxazole) จึงควรหลีกเลี่ยงการใช้
🔍 ข้ออื่นผิดเพราะอะไร:
• ข้อ ก. (Ciprofloxacin): เป็นยากลุ่ม Fluoroquinolones โครงสร้างไม่มี Sulfonamide group สามารถใช้ได้อย่างปลอดภัย
• ข้อ ข. (Antazoline): เป็นยากลุ่ม Antihistamine อนุพันธ์ Ethylenediamine ไม่มีโครงสร้างซัลฟา
• ข้อ ง. (Dexamethasone): เป็นยากลุ่ม Corticosteroid โครงสร้างแกน Steroid ไม่มีความเกี่ยวข้องกับกลุ่มซัลฟา
• ข้อ จ. (Polymyxin B): เป็นยาปฏิชีวนะกลุ่ม Cyclic Polypeptide ปลอดภัยในผู้ป่วยแพ้ซัลฟา
📖 Guideline อ้างอิง:
Drug Allergy and Hypersensitivity: Joint Task Force on Practice Parameters (AAAAI/ACAAI) &amp; Goodman &amp; Gilman's Pharmacological Basis of Therapeutics (Chapter: Sulfonamides and Trimethoprim)
📌 จุดจำก่อนสอบ:
• Sulfa Cross-Reactivity in Ophthalmology: ผู้ป่วยแพ้ยาซัลฟา (Sulfamethoxazole) ต้องระวังยาหยอดตา Sulfacetamide และยาลดความดันลูกตากลุ่ม CAIs (Acetazolamide, Dorzolamide, Brinzolamide)
• Structure Insight: การแพ้ซัลฟาส่วนใหญ่เกิดจาก Arylamine ที่ตำแหน่ง C4 ร่วมกับ Sulfonamide ring</t>
        </is>
      </c>
      <c r="K51" s="18" t="inlineStr"/>
      <c r="L51" s="18" t="inlineStr">
        <is>
          <t>Eye disorder</t>
        </is>
      </c>
      <c r="M51" s="18" t="inlineStr">
        <is>
          <t>Clinic</t>
        </is>
      </c>
      <c r="N51" s="18" t="inlineStr">
        <is>
          <t>PLE_CC1_2567_Key ข้อ 30</t>
        </is>
      </c>
      <c r="O51" s="18" t="inlineStr">
        <is>
          <t>ข้อสอบจริง</t>
        </is>
      </c>
      <c r="P51" s="18" t="inlineStr">
        <is>
          <t>ปี 2567</t>
        </is>
      </c>
    </row>
    <row r="52">
      <c r="A52" s="18" t="n">
        <v>50</v>
      </c>
      <c r="B52" s="18" t="inlineStr">
        <is>
          <t>▶ [กรณีศึกษา: ผู้ป่วยชายที่ใส่คอนแทคเลนส์และมีภาวะเยื่อบุตาติดเชื้อแบคทีเรีย]
📌 คำถาม: คำแนะนำในการปฏิบัติตัวและการใช้ยาหยอดตาข้อใดมีความถูกต้องและเหมาะสมที่สุดสำหรับผู้ป่วยรายนี้</t>
        </is>
      </c>
      <c r="C52" s="18" t="inlineStr"/>
      <c r="D52" s="18" t="inlineStr">
        <is>
          <t>สามารถรักษาให้หายได้ด้วยการหยอดน้ำตาเทียมเป็นประจำเพียงอย่างเดียว</t>
        </is>
      </c>
      <c r="E52" s="18" t="inlineStr">
        <is>
          <t>สามารถใช้ยาขี้ผึ้งป้ายตาได้ทันทีในขณะที่ยังสวมใส่คอนแทคเลนส์อยู่</t>
        </is>
      </c>
      <c r="F52" s="18" t="inlineStr">
        <is>
          <t>สามารถใช้น้ำประปาหรือน้ำเกลือธรรมดาทำความสะอาดคอนแทคเลนส์แทนน้ำยาฆ่าเชื้อได้</t>
        </is>
      </c>
      <c r="G52" s="18" t="inlineStr">
        <is>
          <t>โรคนี้สามารถหายเองได้ภายใน 3 วันโดยไม่จำเป็นต้องหยุดใส่คอนแทคเลนส์</t>
        </is>
      </c>
      <c r="H52" s="18" t="inlineStr">
        <is>
          <t>หลีกเลี่ยงการใช้ยาหยอดตาที่มีส่วนประกอบของ Benzalkonium chloride (BAK) ร่วมกับคอนแทคเลนส์ และควรงดใส่คอนแทคเลนส์จนกว่าอาการจะหายสนิท</t>
        </is>
      </c>
      <c r="I52" s="15" t="inlineStr">
        <is>
          <t>5</t>
        </is>
      </c>
      <c r="J52" s="18" t="inlineStr">
        <is>
          <t>✅ คำตอบที่ถูกต้อง: ข้อ จ. หลีกเลี่ยงการใช้น้ำตาเทียม/ยาหยอดตาที่มี Benzalkonium chloride (BAK) ขณะใส่คอนแทคเลนส์ และควรงดใส่คอนแทคเลนส์จนกว่าตาจะหายเป็นปกติ
💡 Background:
สารกันเสีย Benzalkonium chloride (BAK) เป็นสารกันเสียกลุ่ม Quaternary Ammonium Compound ที่นิยมใช้ในยาหยอดตาหลายชนิด อย่างไรก็ตาม โมเลกุลของ BAK สามารถถูกดูดซับและสะสมอยู่ภายในเนื้อสัมผัสของเลนส์สัมผัส (Soft contact lenses) ได้ ส่งผลให้เกิดพิษต่อเยื่อบุผิวกระจกตา (Corneal epithelial toxicity), แสบตา ระคายเคือง และทำให้คอนแทคเลนส์ขุ่นมัวเสียหาย นอกจากนี้ ในระหว่างที่มีการติดเชื้อที่ตา (Bacterial conjunctivitis) ควรถอดและงดใส่คอนแทคเลนส์โดยเด็ดขาดจนกว่าการติดเชื้อจะหายสนิท
🎯 ทำไมข้อนี้ถึงถูก:
การหลีกเลี่ยงการใช้ยาหยอดตาที่มีส่วนผสมของ Benzalkonium chloride (BAK) ขณะสวมใส่คอนแทคเลนส์ และการงดใส่คอนแทคเลนส์ระหว่างมีภาวะตาติดเชื้อ เป็นคำแนะนำทางคลินิกและเภสัชกรรมที่ถูกต้องและสำคัญที่สุดในการป้องกันอันตรายต่อกระจกตา
🔍 ข้ออื่นผิดเพราะอะไร:
• ข้อ ก. (โรคนี้ให้รักษาด้วยการใช้น้ำตาเทียมเพียงอย่างเดียว): ผิด เพราะผู้ป่วยมีการติดเชื้อแบคทีเรีย ต้องใช้ยาหยอดตาปฏิชีวนะ น้ำตาเทียมไม่สามารถฆ่าเชื้อได้
• ข้อ ข. (ยาป้ายตาสามารถป้ายได้ขณะสวมคอนแทคเลนส์): ผิดอย่างยิ่ง ขี้ผึ้งป้ายตา (Eye ointment) จะไปเคลือบผิวคอนแทคเลนส์จนขุ่นมัวและทำให้เลนส์เสียหาย ห้ามป้ายยาขณะใส่คอนแทคเลนส์
• ข้อ ค. (สามารถล้างคอนแทคเลนส์ด้วยน้ำเปล่าหรือน้ำเกลือธรรมดาได้ทุกวัน): ผิดอย่างร้ายแรง น้ำเปล่าหรือน้ำเกลือไม่มีสารฆ่าเชื้อโรค และน้ำประปายังเสี่ยงต่อการติดเชื้อรุนแรงจาก Acanthamoeba
• ข้อ ง. (โรคนี้สามารถหายได้เองโดยไม่ต้องพบแพทย์หรือใช้ยา): หากเป็น Bacterial conjunctivitis ในผู้ใส่คอนแทคเลนส์ หากไม่รักษาอย่างถูกต้องอาจลุกลามเป็นแผลที่กระจกตา (Corneal ulcer) จนตาบอดได้
📖 Guideline อ้างอิง:
CDC Guidelines for Contact Lens Wearers &amp; American Optometric Association (AOA) Clinical Practice Guideline: Care of the Contact Lens Patient
📌 จุดจำก่อนสอบ:
• BAK &amp; Contact Lens: Benzalkonium chloride (BAK) จะถูกดูดซับเข้า Hydrophilic soft contact lens ทำให้เกิด Corneal toxicity -&gt; หากต้องหยอดตาที่มี BAK ต้องถอดเลนส์ออกก่อน และรออย่างน้อย 15 นาทีจึงใส่กลับ หรือใช้น้ำตาเทียมชนิดไม่มีสารกันเสีย (Preservative-free)
• No Tap Water: ห้ามล้างตลับหรือคอนแทคเลนส์ด้วยน้ำประปา เพราะเสี่ยงต่อ Acanthamoeba keratitis ขั้นตาบอด</t>
        </is>
      </c>
      <c r="K52" s="18" t="inlineStr"/>
      <c r="L52" s="18" t="inlineStr">
        <is>
          <t>Eye disorder</t>
        </is>
      </c>
      <c r="M52" s="18" t="inlineStr">
        <is>
          <t>Clinic</t>
        </is>
      </c>
      <c r="N52" s="18" t="inlineStr">
        <is>
          <t>PLE_CC1_2567_Key ข้อ 31</t>
        </is>
      </c>
      <c r="O52" s="18" t="inlineStr">
        <is>
          <t>ข้อสอบจริง</t>
        </is>
      </c>
      <c r="P52" s="18" t="inlineStr">
        <is>
          <t>ปี 2567</t>
        </is>
      </c>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95"/>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1</t>
        </is>
      </c>
      <c r="B3" s="1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18" t="inlineStr"/>
      <c r="D3" s="18" t="inlineStr">
        <is>
          <t>Cisplatin 50 mg และ vinblastine 6 mg</t>
        </is>
      </c>
      <c r="E3" s="18" t="inlineStr">
        <is>
          <t>Cisplatin 100 mg และ vinblastine 12 mg</t>
        </is>
      </c>
      <c r="F3" s="18" t="inlineStr">
        <is>
          <t>Cisplatin 125 mg และ vinblastine 18 mg</t>
        </is>
      </c>
      <c r="G3" s="18" t="inlineStr">
        <is>
          <t>Cisplatin 150 mg และ vinblastine 24 mg</t>
        </is>
      </c>
      <c r="H3" s="18" t="inlineStr">
        <is>
          <t>Cisplatin 175 mg และ vinblastine 48 mg</t>
        </is>
      </c>
      <c r="I3" s="15" t="inlineStr">
        <is>
          <t>2</t>
        </is>
      </c>
      <c r="J3" s="18"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ข้อนี้ไม่ใช่คำตอบที่ถูกต้องสำหรับภาวะ CINV &amp; Supportive Care เนื่องจากกลไกการออกฤทธิ์, efficacy หรือข้อบ่งใช้ไม่ตรงกับโจทย์ที่กำหนด
• ข้อ ค. (Cisplatin 125 mg และ vinblastine 18 mg): ข้อนี้ไม่ใช่คำตอบที่ถูกต้องสำหรับภาวะ CINV &amp; Supportive Care เนื่องจากกลไกการออกฤทธิ์, efficacy หรือข้อบ่งใช้ไม่ตรงกับโจทย์ที่กำหนด
• ข้อ ง. (Cisplatin 150 mg และ vinblastine 24 mg): ข้อนี้ไม่ใช่คำตอบที่ถูกต้องสำหรับภาวะ CINV &amp; Supportive Care เนื่องจากกลไกการออกฤทธิ์, efficacy หรือข้อบ่งใช้ไม่ตรงกับโจทย์ที่กำหนด
• ข้อ จ. (Cisplatin 175 mg และ vinblastine 48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18" t="inlineStr"/>
      <c r="L3" s="18" t="inlineStr">
        <is>
          <t>CINV &amp; Supportive Care</t>
        </is>
      </c>
      <c r="M3" s="18" t="inlineStr">
        <is>
          <t>Clinic</t>
        </is>
      </c>
      <c r="N3" s="18" t="inlineStr">
        <is>
          <t>ข้อ 1 ชุด 1 (เฉลยข้อ ข)</t>
        </is>
      </c>
      <c r="O3" s="18" t="inlineStr">
        <is>
          <t>Mock</t>
        </is>
      </c>
      <c r="P3" s="18" t="inlineStr">
        <is>
          <t>ชุด 1</t>
        </is>
      </c>
    </row>
    <row r="4">
      <c r="A4" s="15" t="inlineStr">
        <is>
          <t>2</t>
        </is>
      </c>
      <c r="B4" s="1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18" t="inlineStr"/>
      <c r="D4" s="18" t="inlineStr">
        <is>
          <t>ยับยั้งการสร้าง mitotic spindle</t>
        </is>
      </c>
      <c r="E4" s="18" t="inlineStr">
        <is>
          <t>ยับยั้งเอนไซม์ topoisomerase II</t>
        </is>
      </c>
      <c r="F4" s="18" t="inlineStr">
        <is>
          <t>แทนที่ลำดับเบสบน DNA หรือ RNA</t>
        </is>
      </c>
      <c r="G4" s="18" t="inlineStr">
        <is>
          <t>เข้าแทรกบนสาย double strand DNA</t>
        </is>
      </c>
      <c r="H4" s="18" t="inlineStr">
        <is>
          <t>เป็นอนุมูลอิสระรบกวน DNA</t>
        </is>
      </c>
      <c r="I4" s="15" t="inlineStr">
        <is>
          <t>1</t>
        </is>
      </c>
      <c r="J4" s="18"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ค. (แทนที่ลำดับเบสบน DNA หรือ RNA): ข้อนี้ไม่ใช่คำตอบที่ถูกต้องสำหรับภาวะ CINV &amp; Supportive Care เนื่องจากกลไกการออกฤทธิ์, efficacy หรือข้อบ่งใช้ไม่ตรงกับโจทย์ที่กำหนด
• ข้อ ง. (เข้าแทรกบนสาย double strand DNA): ข้อนี้ไม่ใช่คำตอบที่ถูกต้องสำหรับภาวะ CINV &amp; Supportive Care เนื่องจากกลไกการออกฤทธิ์, efficacy หรือข้อบ่งใช้ไม่ตรงกับโจทย์ที่กำหนด
• ข้อ จ.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18" t="inlineStr"/>
      <c r="L4" s="18" t="inlineStr">
        <is>
          <t>CINV &amp; Supportive Care</t>
        </is>
      </c>
      <c r="M4" s="18" t="inlineStr">
        <is>
          <t>Clinic</t>
        </is>
      </c>
      <c r="N4" s="18" t="inlineStr">
        <is>
          <t>ข้อ 2 ชุด 1 (เฉลยข้อ )</t>
        </is>
      </c>
      <c r="O4" s="18" t="inlineStr">
        <is>
          <t>Mock</t>
        </is>
      </c>
      <c r="P4" s="18" t="inlineStr">
        <is>
          <t>ชุด 1</t>
        </is>
      </c>
    </row>
    <row r="5">
      <c r="A5" s="15" t="inlineStr">
        <is>
          <t>3</t>
        </is>
      </c>
      <c r="B5" s="1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18" t="inlineStr"/>
      <c r="D5" s="18" t="inlineStr">
        <is>
          <t>ยับยั้ง RNA หรือ DNA</t>
        </is>
      </c>
      <c r="E5" s="18" t="inlineStr">
        <is>
          <t>ยับยั้งการสร้าง mitotic spindle</t>
        </is>
      </c>
      <c r="F5" s="18" t="inlineStr">
        <is>
          <t>ทำลายเอนไซม์ topoisomerase II</t>
        </is>
      </c>
      <c r="G5" s="18" t="inlineStr">
        <is>
          <t>เป็นอนุมูลอิสระรบกวน DNA</t>
        </is>
      </c>
      <c r="H5" s="18" t="inlineStr">
        <is>
          <t>ยับยั้ง dihydrofolate reductase</t>
        </is>
      </c>
      <c r="I5" s="15" t="inlineStr">
        <is>
          <t>2</t>
        </is>
      </c>
      <c r="J5" s="18"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ข้อนี้ไม่ใช่คำตอบที่ถูกต้องสำหรับภาวะ CINV &amp; Supportive Care เนื่องจากกลไกการออกฤทธิ์, efficacy หรือข้อบ่งใช้ไม่ตรงกับโจทย์ที่กำหนด
• ข้อ ค. (ทำลายเอนไซม์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ง.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ข้อ จ. (ยับยั้ง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18" t="inlineStr"/>
      <c r="L5" s="18" t="inlineStr">
        <is>
          <t>CINV &amp; Supportive Care</t>
        </is>
      </c>
      <c r="M5" s="18" t="inlineStr">
        <is>
          <t>Clinic</t>
        </is>
      </c>
      <c r="N5" s="18" t="inlineStr">
        <is>
          <t>ข้อ 3 ชุด 1 (เฉลยข้อ ข)</t>
        </is>
      </c>
      <c r="O5" s="18" t="inlineStr">
        <is>
          <t>Mock</t>
        </is>
      </c>
      <c r="P5" s="18" t="inlineStr">
        <is>
          <t>ชุด 1</t>
        </is>
      </c>
    </row>
    <row r="6">
      <c r="A6" s="15" t="inlineStr">
        <is>
          <t>4</t>
        </is>
      </c>
      <c r="B6" s="1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18" t="inlineStr"/>
      <c r="D6" s="18" t="inlineStr">
        <is>
          <t>ให้ metoclopramide แบบ IV ครึ่งชั่วโมงก่อนให้ยา cisplatin</t>
        </is>
      </c>
      <c r="E6" s="18" t="inlineStr">
        <is>
          <t>ควรฉีด cisplatin แบบ IV push</t>
        </is>
      </c>
      <c r="F6" s="18" t="inlineStr">
        <is>
          <t>ให้ diphenhydramine แบบ oral ก่อนให้ cisplatin</t>
        </is>
      </c>
      <c r="G6" s="18" t="inlineStr">
        <is>
          <t>ให้ NSS ก่อนให้ cisplatin</t>
        </is>
      </c>
      <c r="H6" s="18" t="inlineStr">
        <is>
          <t>ให้ D5W ก่อนให้ cisplatin</t>
        </is>
      </c>
      <c r="I6" s="15" t="inlineStr">
        <is>
          <t>1</t>
        </is>
      </c>
      <c r="J6" s="18"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ข้อนี้ไม่ใช่คำตอบที่ถูกต้องสำหรับภาวะ CINV &amp; Supportive Care เนื่องจากกลไกการออกฤทธิ์, efficacy หรือข้อบ่งใช้ไม่ตรงกับโจทย์ที่กำหนด
• ข้อ ค. (ให้ diphenhydramine แบบ oral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ง. (ให้ NSS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จ. (ให้ D5W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18" t="inlineStr"/>
      <c r="L6" s="18" t="inlineStr">
        <is>
          <t>CINV &amp; Supportive Care</t>
        </is>
      </c>
      <c r="M6" s="18" t="inlineStr">
        <is>
          <t>Clinic</t>
        </is>
      </c>
      <c r="N6" s="18" t="inlineStr">
        <is>
          <t>ข้อ 4 ชุด 1 (เฉลยข้อ ก)</t>
        </is>
      </c>
      <c r="O6" s="18" t="inlineStr">
        <is>
          <t>Mock</t>
        </is>
      </c>
      <c r="P6" s="18" t="inlineStr">
        <is>
          <t>ชุด 1</t>
        </is>
      </c>
    </row>
    <row r="7">
      <c r="A7" s="15" t="inlineStr">
        <is>
          <t>5</t>
        </is>
      </c>
      <c r="B7" s="18" t="inlineStr">
        <is>
          <t>จากโครงสร้างของยา Gemcitabine เป็นอนุพันธ์ของอะไร</t>
        </is>
      </c>
      <c r="C7" s="18" t="inlineStr"/>
      <c r="D7" s="18" t="inlineStr">
        <is>
          <t>Acyclonucleoside analog</t>
        </is>
      </c>
      <c r="E7" s="18" t="inlineStr">
        <is>
          <t>Pyrimidine nucleoside analog</t>
        </is>
      </c>
      <c r="F7" s="18" t="inlineStr">
        <is>
          <t>Pyrimidine nucleotide analog</t>
        </is>
      </c>
      <c r="G7" s="18" t="inlineStr">
        <is>
          <t>Purine nucleotide analog</t>
        </is>
      </c>
      <c r="H7" s="18" t="inlineStr">
        <is>
          <t>Purine nucleoside analog</t>
        </is>
      </c>
      <c r="I7" s="15" t="inlineStr">
        <is>
          <t>2</t>
        </is>
      </c>
      <c r="J7" s="18"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ข้อนี้ไม่ใช่คำตอบที่ถูกต้องสำหรับภาวะ CINV &amp; Supportive Care เนื่องจากกลไกการออกฤทธิ์, efficacy หรือข้อบ่งใช้ไม่ตรงกับโจทย์ที่กำหนด
• ข้อ ค. (Pyrimidine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ง. (Purine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จ. (Purine nucleoside analog):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8" t="inlineStr"/>
      <c r="L7" s="18" t="inlineStr">
        <is>
          <t>CINV &amp; Supportive Care</t>
        </is>
      </c>
      <c r="M7" s="18" t="inlineStr">
        <is>
          <t>Clinic</t>
        </is>
      </c>
      <c r="N7" s="18" t="inlineStr">
        <is>
          <t>ข้อ 5 ชุด 1 (เฉลยข้อ ข)</t>
        </is>
      </c>
      <c r="O7" s="18" t="inlineStr">
        <is>
          <t>Mock</t>
        </is>
      </c>
      <c r="P7" s="18" t="inlineStr">
        <is>
          <t>ชุด 1</t>
        </is>
      </c>
    </row>
    <row r="8">
      <c r="A8" s="15" t="inlineStr">
        <is>
          <t>6</t>
        </is>
      </c>
      <c r="B8" s="18" t="inlineStr">
        <is>
          <t>จากโครงสร้างของยา 5 ตัวที่ออกฤทธิ์คือ</t>
        </is>
      </c>
      <c r="C8" s="18" t="inlineStr"/>
      <c r="D8" s="18" t="inlineStr">
        <is>
          <t>Deoxygemcitabine</t>
        </is>
      </c>
      <c r="E8" s="18" t="inlineStr">
        <is>
          <t>Gemcitabine monophosphate</t>
        </is>
      </c>
      <c r="F8" s="18" t="inlineStr">
        <is>
          <t>Gemcitabine diphosphate</t>
        </is>
      </c>
      <c r="G8" s="18" t="inlineStr">
        <is>
          <t>Gemcitabine triphosphate</t>
        </is>
      </c>
      <c r="H8" s="18" t="inlineStr">
        <is>
          <t>Gemcitabine tetraphosphate</t>
        </is>
      </c>
      <c r="I8" s="15" t="inlineStr">
        <is>
          <t>4</t>
        </is>
      </c>
      <c r="J8" s="18"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ข้อนี้ไม่ใช่คำตอบที่ถูกต้องสำหรับภาวะ CINV &amp; Supportive Care เนื่องจากกลไกการออกฤทธิ์, efficacy หรือข้อบ่งใช้ไม่ตรงกับโจทย์ที่กำหนด
• ข้อ ข. (Gemcitabine monophosphate): ข้อนี้ไม่ใช่คำตอบที่ถูกต้องสำหรับภาวะ CINV &amp; Supportive Care เนื่องจากกลไกการออกฤทธิ์, efficacy หรือข้อบ่งใช้ไม่ตรงกับโจทย์ที่กำหนด
• ข้อ ค. (Gemcitabine diphosphate): ข้อนี้ไม่ใช่คำตอบที่ถูกต้องสำหรับภาวะ CINV &amp; Supportive Care เนื่องจากกลไกการออกฤทธิ์, efficacy หรือข้อบ่งใช้ไม่ตรงกับโจทย์ที่กำหนด
• ข้อ จ. (Gemcitabine tetraphosphate):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8" t="inlineStr"/>
      <c r="L8" s="18" t="inlineStr">
        <is>
          <t>CINV &amp; Supportive Care</t>
        </is>
      </c>
      <c r="M8" s="18" t="inlineStr">
        <is>
          <t>Clinic</t>
        </is>
      </c>
      <c r="N8" s="18" t="inlineStr">
        <is>
          <t>ข้อ 6 ชุด 1 (เฉลยข้อ ง)</t>
        </is>
      </c>
      <c r="O8" s="18" t="inlineStr">
        <is>
          <t>Mock</t>
        </is>
      </c>
      <c r="P8" s="18" t="inlineStr">
        <is>
          <t>ชุด 1</t>
        </is>
      </c>
    </row>
    <row r="9">
      <c r="A9" s="15" t="inlineStr">
        <is>
          <t>7</t>
        </is>
      </c>
      <c r="B9" s="18" t="inlineStr">
        <is>
          <t>จากการใช้ยาเคมีบำบัด หากมีความผิดปกติของตับจะ monitor จากค่า lab ใด</t>
        </is>
      </c>
      <c r="C9" s="18" t="inlineStr"/>
      <c r="D9" s="18" t="inlineStr">
        <is>
          <t>BUN</t>
        </is>
      </c>
      <c r="E9" s="18" t="inlineStr">
        <is>
          <t>Serum creatinine</t>
        </is>
      </c>
      <c r="F9" s="18" t="inlineStr">
        <is>
          <t>Serum albumin</t>
        </is>
      </c>
      <c r="G9" s="18" t="inlineStr">
        <is>
          <t>Serum bilirubin</t>
        </is>
      </c>
      <c r="H9" s="18" t="inlineStr">
        <is>
          <t>Transferrin</t>
        </is>
      </c>
      <c r="I9" s="15" t="inlineStr">
        <is>
          <t>3</t>
        </is>
      </c>
      <c r="J9" s="18"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ข้อนี้ไม่ใช่คำตอบที่ถูกต้องสำหรับภาวะ CINV &amp; Supportive Care เนื่องจากกลไกการออกฤทธิ์, efficacy หรือข้อบ่งใช้ไม่ตรงกับโจทย์ที่กำหนด
• ข้อ ข. (Serum creatinine): ข้อนี้ไม่ใช่คำตอบที่ถูกต้องสำหรับภาวะ CINV &amp; Supportive Care เนื่องจากกลไกการออกฤทธิ์, efficacy หรือข้อบ่งใช้ไม่ตรงกับโจทย์ที่กำหนด
• ข้อ ง. (Serum bilirubin): ข้อนี้ไม่ใช่คำตอบที่ถูกต้องสำหรับภาวะ CINV &amp; Supportive Care เนื่องจากกลไกการออกฤทธิ์, efficacy หรือข้อบ่งใช้ไม่ตรงกับโจทย์ที่กำหนด
• ข้อ จ. (Transferrin):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8" t="inlineStr"/>
      <c r="L9" s="18" t="inlineStr">
        <is>
          <t>CINV &amp; Supportive Care</t>
        </is>
      </c>
      <c r="M9" s="18" t="inlineStr">
        <is>
          <t>Clinic</t>
        </is>
      </c>
      <c r="N9" s="18" t="inlineStr">
        <is>
          <t>ข้อ 7 ชุด 1 (เฉลยข้อ ค ง)</t>
        </is>
      </c>
      <c r="O9" s="18" t="inlineStr">
        <is>
          <t>Mock</t>
        </is>
      </c>
      <c r="P9" s="18" t="inlineStr">
        <is>
          <t>ชุด 1</t>
        </is>
      </c>
    </row>
    <row r="10">
      <c r="A10" s="15" t="inlineStr">
        <is>
          <t>8</t>
        </is>
      </c>
      <c r="B10" s="18" t="inlineStr">
        <is>
          <t>ยา vincristine ออกฤทธิ์ยับยั้งการเจริญของเซลล์มะเร็งที่ระยะ(phase) ใดของ cell cycle</t>
        </is>
      </c>
      <c r="C10" s="18" t="inlineStr"/>
      <c r="D10" s="18" t="inlineStr">
        <is>
          <t>S phase</t>
        </is>
      </c>
      <c r="E10" s="18" t="inlineStr">
        <is>
          <t>G1 phase</t>
        </is>
      </c>
      <c r="F10" s="18" t="inlineStr">
        <is>
          <t>G2 phase</t>
        </is>
      </c>
      <c r="G10" s="18" t="inlineStr">
        <is>
          <t>M phase</t>
        </is>
      </c>
      <c r="H10" s="18" t="inlineStr">
        <is>
          <t>Go phase</t>
        </is>
      </c>
      <c r="I10" s="15" t="inlineStr">
        <is>
          <t>4</t>
        </is>
      </c>
      <c r="J10" s="18"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ข้อนี้ไม่ใช่คำตอบที่ถูกต้องสำหรับภาวะ CINV &amp; Supportive Care เนื่องจากกลไกการออกฤทธิ์, efficacy หรือข้อบ่งใช้ไม่ตรงกับโจทย์ที่กำหนด
• ข้อ ข. (G1 phase): ข้อนี้ไม่ใช่คำตอบที่ถูกต้องสำหรับภาวะ CINV &amp; Supportive Care เนื่องจากกลไกการออกฤทธิ์, efficacy หรือข้อบ่งใช้ไม่ตรงกับโจทย์ที่กำหนด
• ข้อ ค. (G2 phase): ข้อนี้ไม่ใช่คำตอบที่ถูกต้องสำหรับภาวะ CINV &amp; Supportive Care เนื่องจากกลไกการออกฤทธิ์, efficacy หรือข้อบ่งใช้ไม่ตรงกับโจทย์ที่กำหนด
• ข้อ จ. (Go phase):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18" t="inlineStr"/>
      <c r="L10" s="18" t="inlineStr">
        <is>
          <t>CINV &amp; Supportive Care</t>
        </is>
      </c>
      <c r="M10" s="18" t="inlineStr">
        <is>
          <t>Clinic</t>
        </is>
      </c>
      <c r="N10" s="18" t="inlineStr">
        <is>
          <t>ข้อ 8 ชุด 1 (เฉลยข้อ ง)</t>
        </is>
      </c>
      <c r="O10" s="18" t="inlineStr">
        <is>
          <t>Mock</t>
        </is>
      </c>
      <c r="P10" s="18" t="inlineStr">
        <is>
          <t>ชุด 1</t>
        </is>
      </c>
    </row>
    <row r="11">
      <c r="A11" s="15" t="inlineStr">
        <is>
          <t>9</t>
        </is>
      </c>
      <c r="B11" s="18"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8" t="inlineStr"/>
      <c r="D11" s="18" t="inlineStr">
        <is>
          <t>20 mg q 24 hr.</t>
        </is>
      </c>
      <c r="E11" s="18" t="inlineStr">
        <is>
          <t>60 mg q 12 hr.</t>
        </is>
      </c>
      <c r="F11" s="18" t="inlineStr">
        <is>
          <t>60 mg q 24 hr.</t>
        </is>
      </c>
      <c r="G11" s="18" t="inlineStr">
        <is>
          <t>80 mg q 12 hr.</t>
        </is>
      </c>
      <c r="H11" s="18" t="inlineStr">
        <is>
          <t>80 mg q 24 hr.</t>
        </is>
      </c>
      <c r="I11" s="15" t="inlineStr">
        <is>
          <t>3</t>
        </is>
      </c>
      <c r="J11" s="18"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ข้อนี้ไม่ใช่คำตอบที่ถูกต้องสำหรับภาวะ CINV &amp; Supportive Care เนื่องจากกลไกการออกฤทธิ์, efficacy หรือข้อบ่งใช้ไม่ตรงกับโจทย์ที่กำหนด
• ข้อ ข. (60 mg q 12 hr.): ข้อนี้ไม่ใช่คำตอบที่ถูกต้องสำหรับภาวะ CINV &amp; Supportive Care เนื่องจากกลไกการออกฤทธิ์, efficacy หรือข้อบ่งใช้ไม่ตรงกับโจทย์ที่กำหนด
• ข้อ ง. (80 mg q 12 hr.): ข้อนี้ไม่ใช่คำตอบที่ถูกต้องสำหรับภาวะ CINV &amp; Supportive Care เนื่องจากกลไกการออกฤทธิ์, efficacy หรือข้อบ่งใช้ไม่ตรงกับโจทย์ที่กำหนด
• ข้อ จ. (80 mg q 24 hr.):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8" t="inlineStr"/>
      <c r="L11" s="18" t="inlineStr">
        <is>
          <t>CINV &amp; Supportive Care</t>
        </is>
      </c>
      <c r="M11" s="18" t="inlineStr">
        <is>
          <t>Clinic</t>
        </is>
      </c>
      <c r="N11" s="18" t="inlineStr">
        <is>
          <t>ข้อ 9 ชุด 1 (เฉลยข้อ ค)</t>
        </is>
      </c>
      <c r="O11" s="18" t="inlineStr">
        <is>
          <t>Mock</t>
        </is>
      </c>
      <c r="P11" s="18" t="inlineStr">
        <is>
          <t>ชุด 1</t>
        </is>
      </c>
    </row>
    <row r="12">
      <c r="A12" s="15" t="inlineStr">
        <is>
          <t>10</t>
        </is>
      </c>
      <c r="B12" s="18" t="inlineStr">
        <is>
          <t>Antidote หรือยาต้านพิษของ morphine คือยาใด</t>
        </is>
      </c>
      <c r="C12" s="18" t="inlineStr"/>
      <c r="D12" s="18" t="inlineStr">
        <is>
          <t>Mesna 400 mg IV stat</t>
        </is>
      </c>
      <c r="E12" s="18" t="inlineStr">
        <is>
          <t>Rasburicase 0.2 mg/kg IV</t>
        </is>
      </c>
      <c r="F12" s="18" t="inlineStr">
        <is>
          <t>Palonosetron 0.25 mg IV stat</t>
        </is>
      </c>
      <c r="G12" s="18" t="inlineStr">
        <is>
          <t>Ondansetron 8 mg IV stat</t>
        </is>
      </c>
      <c r="H12" s="18" t="inlineStr">
        <is>
          <t>Aprepitant 125 mg PO stat</t>
        </is>
      </c>
      <c r="I12" s="15" t="inlineStr">
        <is>
          <t>4</t>
        </is>
      </c>
      <c r="J12" s="18"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8" t="inlineStr"/>
      <c r="L12" s="18" t="inlineStr">
        <is>
          <t>CINV &amp; Supportive Care</t>
        </is>
      </c>
      <c r="M12" s="18" t="inlineStr">
        <is>
          <t>Clinic</t>
        </is>
      </c>
      <c r="N12" s="18" t="inlineStr">
        <is>
          <t>ข้อ 10 ชุด 1 (เฉลยข้อ ง)</t>
        </is>
      </c>
      <c r="O12" s="18" t="inlineStr">
        <is>
          <t>Mock</t>
        </is>
      </c>
      <c r="P12" s="18" t="inlineStr">
        <is>
          <t>ชุด 1</t>
        </is>
      </c>
    </row>
    <row r="13">
      <c r="A13" s="15" t="inlineStr">
        <is>
          <t>11</t>
        </is>
      </c>
      <c r="B13" s="1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8" t="inlineStr"/>
      <c r="D13" s="18" t="inlineStr">
        <is>
          <t>Alkylation</t>
        </is>
      </c>
      <c r="E13" s="18" t="inlineStr">
        <is>
          <t>Antimetabolite</t>
        </is>
      </c>
      <c r="F13" s="18" t="inlineStr">
        <is>
          <t>Antimitotic spindle</t>
        </is>
      </c>
      <c r="G13" s="18" t="inlineStr">
        <is>
          <t>Anti-dihydrofolate reductase</t>
        </is>
      </c>
      <c r="H13" s="18" t="inlineStr">
        <is>
          <t>ไม่มีข้อใดถูก</t>
        </is>
      </c>
      <c r="I13" s="15" t="inlineStr">
        <is>
          <t>1</t>
        </is>
      </c>
      <c r="J13" s="18"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ค. (Antimitotic spindle): ข้อนี้ไม่ใช่คำตอบที่ถูกต้องสำหรับภาวะ CINV &amp; Supportive Care เนื่องจากกลไกการออกฤทธิ์, efficacy หรือข้อบ่งใช้ไม่ตรงกับโจทย์ที่กำหนด
• ข้อ ง. (Anti-dihydrofolate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18" t="inlineStr"/>
      <c r="L13" s="18" t="inlineStr">
        <is>
          <t>CINV &amp; Supportive Care</t>
        </is>
      </c>
      <c r="M13" s="18" t="inlineStr">
        <is>
          <t>Clinic</t>
        </is>
      </c>
      <c r="N13" s="18" t="inlineStr">
        <is>
          <t>ข้อ 11 ชุด 1 (เฉลยข้อ ก)</t>
        </is>
      </c>
      <c r="O13" s="18" t="inlineStr">
        <is>
          <t>Mock</t>
        </is>
      </c>
      <c r="P13" s="18" t="inlineStr">
        <is>
          <t>ชุด 1</t>
        </is>
      </c>
    </row>
    <row r="14">
      <c r="A14" s="15" t="inlineStr">
        <is>
          <t>12</t>
        </is>
      </c>
      <c r="B14" s="1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8" t="inlineStr"/>
      <c r="D14" s="18" t="inlineStr">
        <is>
          <t>ความวิตกกังวล</t>
        </is>
      </c>
      <c r="E14" s="18" t="inlineStr">
        <is>
          <t>ประวัติ motion sickness</t>
        </is>
      </c>
      <c r="F14" s="18" t="inlineStr">
        <is>
          <t>ประวัติดื่ม alcohol</t>
        </is>
      </c>
      <c r="G14" s="18" t="inlineStr">
        <is>
          <t>ประวัติคลื่นไส้อาเจียนระหว่างตั้งครรภ์</t>
        </is>
      </c>
      <c r="H14" s="18" t="inlineStr">
        <is>
          <t>ประวัติคลื่นไส้อาเจียนเมื่อได้รับยาเคมีบำบัดครั้งก่อน</t>
        </is>
      </c>
      <c r="I14" s="15" t="inlineStr">
        <is>
          <t>4</t>
        </is>
      </c>
      <c r="J14" s="18"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ข้อนี้ไม่ใช่คำตอบที่ถูกต้องสำหรับภาวะ CINV &amp; Supportive Care เนื่องจากกลไกการออกฤทธิ์, efficacy หรือข้อบ่งใช้ไม่ตรงกับโจทย์ที่กำหนด
• ข้อ ข. (ประวัติ motion sickness): ข้อนี้ไม่ใช่คำตอบที่ถูกต้องสำหรับภาวะ CINV &amp; Supportive Care เนื่องจากกลไกการออกฤทธิ์, efficacy หรือข้อบ่งใช้ไม่ตรงกับโจทย์ที่กำหนด
• ข้อ ค. (ประวัติดื่ม alcohol): ข้อนี้ไม่ใช่คำตอบที่ถูกต้องสำหรับภาวะ CINV &amp; Supportive Care เนื่องจากกลไกการออกฤทธิ์, efficacy หรือข้อบ่งใช้ไม่ตรงกับโจทย์ที่กำหนด
• ข้อ จ. (ประวัติคลื่นไส้อาเจียนเมื่อได้รับยาเคมีบำบัดครั้งก่อน):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18" t="inlineStr"/>
      <c r="L14" s="18" t="inlineStr">
        <is>
          <t>CINV &amp; Supportive Care</t>
        </is>
      </c>
      <c r="M14" s="18" t="inlineStr">
        <is>
          <t>Clinic</t>
        </is>
      </c>
      <c r="N14" s="18" t="inlineStr">
        <is>
          <t>ข้อ 12 ชุด 1 (เฉลยข้อ ง)</t>
        </is>
      </c>
      <c r="O14" s="18" t="inlineStr">
        <is>
          <t>Mock</t>
        </is>
      </c>
      <c r="P14" s="18" t="inlineStr">
        <is>
          <t>ชุด 1</t>
        </is>
      </c>
    </row>
    <row r="15">
      <c r="A15" s="15" t="inlineStr">
        <is>
          <t>13</t>
        </is>
      </c>
      <c r="B15" s="1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ผู้ป่วยควรได้รับยาใดสำหรับการรักษาอาการอาเจียนแบบเฉียบพลัน</t>
        </is>
      </c>
      <c r="C15" s="18" t="inlineStr"/>
      <c r="D15" s="18" t="inlineStr">
        <is>
          <t>Metoclopramide อย่างเดียว</t>
        </is>
      </c>
      <c r="E15" s="18" t="inlineStr">
        <is>
          <t>Ondansetron อย่างเดียว</t>
        </is>
      </c>
      <c r="F15" s="18" t="inlineStr">
        <is>
          <t>Ondansetron + Metoclopramide</t>
        </is>
      </c>
      <c r="G15" s="18" t="inlineStr">
        <is>
          <t>Ondansetron + Dexamethasone</t>
        </is>
      </c>
      <c r="H15" s="18" t="inlineStr">
        <is>
          <t>Ondansetron + Diazepam</t>
        </is>
      </c>
      <c r="I15" s="15" t="inlineStr">
        <is>
          <t>4</t>
        </is>
      </c>
      <c r="J15" s="18" t="inlineStr">
        <is>
          <t>✅ คำตอบที่ถูกต้อง: ข้อ ง. Ondansetron + Dexamethasone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Ondansetron + Dexamethasone Cisplatin จัดเป็น High emetogenic chemotherapy (HEC) แนวทางการรักษามาตรฐาน (เช่น MASCC/ESMO guidelines) แนะนำให้ใช้ 3-drug regimen ประกอบด้วย 5-HT3 receptor antagonist (เช่น Ondansetron) + Corticosteroid (เช่น Dexamethasone) + NK1 receptor antagonist เพื่อป้องกัน CINV อย่างมี efficacy สูงสุด
🔍 ข้ออื่นผิดเพราะอะไร:
• ข้อ ก. (Metoclopramide อย่างเดียว): เป็น central และ peripheral D2 antagonist เพิ่ม gastric emptying และแก้อาเจียน แต่ผ่าน BBB จึงทำให้เกิด acute dystonia และ EPS ได้ง่าย
• ข้อ ข. (Ondansetron อย่างเดียว): เป็น 5-HT3 receptor antagonist เป็น first-line antiemetic สำหรับ chemotherapy-induced nausea and vomiting (CINV) และ post-operative nausea/vomiting แต่ทำให้ท้องผูก
• ข้อ ค. (Ondansetron + Metoclopramide): เป็น central และ peripheral D2 antagonist เพิ่ม gastric emptying และแก้อาเจียน แต่ผ่าน BBB จึงทำให้เกิด acute dystonia และ EPS ได้ง่าย
• ข้อ จ. (Ondansetron + Diazepam): เป็น long-acting Benzodiazepine มี active metabolites (nordiazepam) สะสมในผู้สูงอายุ ทำให้ง่วงซึม หกล้ม เสี่ยง fracture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18" t="inlineStr"/>
      <c r="L15" s="18" t="inlineStr">
        <is>
          <t>CINV &amp; Supportive Care</t>
        </is>
      </c>
      <c r="M15" s="18" t="inlineStr">
        <is>
          <t>Clinic</t>
        </is>
      </c>
      <c r="N15" s="18" t="inlineStr">
        <is>
          <t>ข้อ 13 ชุด 1 (เฉลยข้อ ง)</t>
        </is>
      </c>
      <c r="O15" s="18" t="inlineStr">
        <is>
          <t>Mock</t>
        </is>
      </c>
      <c r="P15" s="18" t="inlineStr">
        <is>
          <t>ชุด 1</t>
        </is>
      </c>
    </row>
    <row r="16">
      <c r="A16" s="15" t="inlineStr">
        <is>
          <t>14</t>
        </is>
      </c>
      <c r="B16" s="1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6" s="18" t="inlineStr"/>
      <c r="D16" s="18" t="inlineStr">
        <is>
          <t>Anorexia</t>
        </is>
      </c>
      <c r="E16" s="18" t="inlineStr">
        <is>
          <t>Neurotoxic</t>
        </is>
      </c>
      <c r="F16" s="18" t="inlineStr">
        <is>
          <t>Nephrotoxic</t>
        </is>
      </c>
      <c r="G16" s="18" t="inlineStr">
        <is>
          <t>Ototoxic</t>
        </is>
      </c>
      <c r="H16" s="18" t="inlineStr">
        <is>
          <t>Cardiotoxic</t>
        </is>
      </c>
      <c r="I16" s="15" t="inlineStr">
        <is>
          <t>5</t>
        </is>
      </c>
      <c r="J16" s="18"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ข้อนี้ไม่ใช่คำตอบที่ถูกต้องสำหรับภาวะ CINV &amp; Supportive Care เนื่องจากกลไกการออกฤทธิ์, efficacy หรือข้อบ่งใช้ไม่ตรงกับโจทย์ที่กำหนด
• ข้อ ข. (Neurotoxic): ข้อนี้ไม่ใช่คำตอบที่ถูกต้องสำหรับภาวะ CINV &amp; Supportive Care เนื่องจากกลไกการออกฤทธิ์, efficacy หรือข้อบ่งใช้ไม่ตรงกับโจทย์ที่กำหนด
• ข้อ ค. (Nephrotoxic): ข้อนี้ไม่ใช่คำตอบที่ถูกต้องสำหรับภาวะ CINV &amp; Supportive Care เนื่องจากกลไกการออกฤทธิ์, efficacy หรือข้อบ่งใช้ไม่ตรงกับโจทย์ที่กำหนด
• ข้อ ง. (Ototoxic):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18" t="inlineStr"/>
      <c r="L16" s="18" t="inlineStr">
        <is>
          <t>CINV &amp; Supportive Care</t>
        </is>
      </c>
      <c r="M16" s="18" t="inlineStr">
        <is>
          <t>Clinic</t>
        </is>
      </c>
      <c r="N16" s="18" t="inlineStr">
        <is>
          <t>ข้อ 14 ชุด 1 (เฉลยข้อ จ)</t>
        </is>
      </c>
      <c r="O16" s="18" t="inlineStr">
        <is>
          <t>Mock</t>
        </is>
      </c>
      <c r="P16" s="18" t="inlineStr">
        <is>
          <t>ชุด 1</t>
        </is>
      </c>
    </row>
    <row r="17">
      <c r="A17" s="15" t="inlineStr">
        <is>
          <t>15</t>
        </is>
      </c>
      <c r="B17" s="1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7" s="18" t="inlineStr"/>
      <c r="D17" s="18" t="inlineStr">
        <is>
          <t>500 cell/mm³</t>
        </is>
      </c>
      <c r="E17" s="18" t="inlineStr">
        <is>
          <t>750 cell/mm³</t>
        </is>
      </c>
      <c r="F17" s="18" t="inlineStr">
        <is>
          <t>1000 cell/mm³</t>
        </is>
      </c>
      <c r="G17" s="18" t="inlineStr">
        <is>
          <t>1250 cell/mm³</t>
        </is>
      </c>
      <c r="H17" s="18" t="inlineStr">
        <is>
          <t>1500 cell/mm³</t>
        </is>
      </c>
      <c r="I17" s="15" t="inlineStr">
        <is>
          <t>3</t>
        </is>
      </c>
      <c r="J17" s="18"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ข้อนี้ไม่ใช่คำตอบที่ถูกต้องสำหรับภาวะ CINV &amp; Supportive Care เนื่องจากกลไกการออกฤทธิ์, efficacy หรือข้อบ่งใช้ไม่ตรงกับโจทย์ที่กำหนด
• ข้อ ข. (750 cell/mm³): ข้อนี้ไม่ใช่คำตอบที่ถูกต้องสำหรับภาวะ CINV &amp; Supportive Care เนื่องจากกลไกการออกฤทธิ์, efficacy หรือข้อบ่งใช้ไม่ตรงกับโจทย์ที่กำหนด
• ข้อ ง. (1250 cell/mm³): ข้อนี้ไม่ใช่คำตอบที่ถูกต้องสำหรับภาวะ CINV &amp; Supportive Care เนื่องจากกลไกการออกฤทธิ์, efficacy หรือข้อบ่งใช้ไม่ตรงกับโจทย์ที่กำหนด
• ข้อ จ. (1500 cell/mm³):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7" s="18" t="inlineStr"/>
      <c r="L17" s="18" t="inlineStr">
        <is>
          <t>CINV &amp; Supportive Care</t>
        </is>
      </c>
      <c r="M17" s="18" t="inlineStr">
        <is>
          <t>Clinic</t>
        </is>
      </c>
      <c r="N17" s="18" t="inlineStr">
        <is>
          <t>ข้อ 15 ชุด 1 (เฉลยข้อ ค)</t>
        </is>
      </c>
      <c r="O17" s="18" t="inlineStr">
        <is>
          <t>Mock</t>
        </is>
      </c>
      <c r="P17" s="18" t="inlineStr">
        <is>
          <t>ชุด 1</t>
        </is>
      </c>
    </row>
    <row r="18">
      <c r="A18" s="15" t="inlineStr">
        <is>
          <t>16</t>
        </is>
      </c>
      <c r="B18" s="18"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8" s="18" t="inlineStr"/>
      <c r="D18" s="15" t="inlineStr">
        <is>
          <t>600</t>
        </is>
      </c>
      <c r="E18" s="15" t="inlineStr">
        <is>
          <t>700</t>
        </is>
      </c>
      <c r="F18" s="15" t="inlineStr">
        <is>
          <t>800</t>
        </is>
      </c>
      <c r="G18" s="15" t="inlineStr">
        <is>
          <t>900</t>
        </is>
      </c>
      <c r="H18" s="15" t="inlineStr">
        <is>
          <t>1000</t>
        </is>
      </c>
      <c r="I18" s="15" t="inlineStr">
        <is>
          <t>3</t>
        </is>
      </c>
      <c r="J18" s="18"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ข้อนี้ไม่ใช่คำตอบที่ถูกต้องสำหรับภาวะ CINV &amp; Supportive Care เนื่องจากกลไกการออกฤทธิ์, efficacy หรือข้อบ่งใช้ไม่ตรงกับโจทย์ที่กำหนด
• ข้อ ข. (700): ข้อนี้ไม่ใช่คำตอบที่ถูกต้องสำหรับภาวะ CINV &amp; Supportive Care เนื่องจากกลไกการออกฤทธิ์, efficacy หรือข้อบ่งใช้ไม่ตรงกับโจทย์ที่กำหนด
• ข้อ ง. (900): ข้อนี้ไม่ใช่คำตอบที่ถูกต้องสำหรับภาวะ CINV &amp; Supportive Care เนื่องจากกลไกการออกฤทธิ์, efficacy หรือข้อบ่งใช้ไม่ตรงกับโจทย์ที่กำหนด
• ข้อ จ. (1000):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8" s="18" t="inlineStr"/>
      <c r="L18" s="18" t="inlineStr">
        <is>
          <t>CINV &amp; Supportive Care</t>
        </is>
      </c>
      <c r="M18" s="18" t="inlineStr">
        <is>
          <t>Clinic</t>
        </is>
      </c>
      <c r="N18" s="18" t="inlineStr">
        <is>
          <t>ข้อ 16 ชุด 1 (เฉลยข้อ ค)</t>
        </is>
      </c>
      <c r="O18" s="18" t="inlineStr">
        <is>
          <t>Mock</t>
        </is>
      </c>
      <c r="P18" s="18" t="inlineStr">
        <is>
          <t>ชุด 1</t>
        </is>
      </c>
    </row>
    <row r="19">
      <c r="A19" s="15" t="inlineStr">
        <is>
          <t>17</t>
        </is>
      </c>
      <c r="B19" s="18" t="inlineStr">
        <is>
          <t>MTX ออกฤทธิ์อย่างไร</t>
        </is>
      </c>
      <c r="C19" s="18" t="inlineStr"/>
      <c r="D19" s="18" t="inlineStr">
        <is>
          <t>Alkylating agent</t>
        </is>
      </c>
      <c r="E19" s="18" t="inlineStr">
        <is>
          <t>ยับยั้ง enzyme of dihydrofolate reductase</t>
        </is>
      </c>
      <c r="F19" s="18" t="inlineStr">
        <is>
          <t>ยับยั้ง enzyme of thymidylate synthase</t>
        </is>
      </c>
      <c r="G19" s="18" t="inlineStr">
        <is>
          <t>Depolarizing of microtubule</t>
        </is>
      </c>
      <c r="H19" s="18" t="inlineStr">
        <is>
          <t>Antagonist of estrogen receptor</t>
        </is>
      </c>
      <c r="I19" s="15" t="inlineStr">
        <is>
          <t>2</t>
        </is>
      </c>
      <c r="J19" s="18"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 enzyme of thymidylate synthase): ข้อนี้ไม่ใช่คำตอบที่ถูกต้องสำหรับภาวะ CINV &amp; Supportive Care เนื่องจากกลไกการออกฤทธิ์, efficacy หรือข้อบ่งใช้ไม่ตรงกับโจทย์ที่กำหนด
• ข้อ ง. (Depolarizing of microtubule): ข้อนี้ไม่ใช่คำตอบที่ถูกต้องสำหรับภาวะ CINV &amp; Supportive Care เนื่องจากกลไกการออกฤทธิ์, efficacy หรือข้อบ่งใช้ไม่ตรงกับโจทย์ที่กำหนด
• ข้อ จ. (Antagonist of estrogen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8" t="inlineStr"/>
      <c r="L19" s="18" t="inlineStr">
        <is>
          <t>CINV &amp; Supportive Care</t>
        </is>
      </c>
      <c r="M19" s="18" t="inlineStr">
        <is>
          <t>Clinic</t>
        </is>
      </c>
      <c r="N19" s="18" t="inlineStr">
        <is>
          <t>ข้อ 17 ชุด 1 (เฉลยข้อ ข)</t>
        </is>
      </c>
      <c r="O19" s="18" t="inlineStr">
        <is>
          <t>Mock</t>
        </is>
      </c>
      <c r="P19" s="18" t="inlineStr">
        <is>
          <t>ชุด 1</t>
        </is>
      </c>
    </row>
    <row r="20">
      <c r="A20" s="15" t="inlineStr">
        <is>
          <t>18</t>
        </is>
      </c>
      <c r="B20" s="18" t="inlineStr">
        <is>
          <t>Cyclophosphamide ออกฤทธิ์ในการเป็น alkylating agent เหมือนกับยาใด</t>
        </is>
      </c>
      <c r="C20" s="18" t="inlineStr"/>
      <c r="D20" s="18" t="inlineStr">
        <is>
          <t>Cytarabine</t>
        </is>
      </c>
      <c r="E20" s="18" t="inlineStr">
        <is>
          <t>Vincristine</t>
        </is>
      </c>
      <c r="F20" s="18" t="inlineStr">
        <is>
          <t>Cisplatin</t>
        </is>
      </c>
      <c r="G20" s="18" t="inlineStr">
        <is>
          <t>Paclitaxel</t>
        </is>
      </c>
      <c r="H20" s="18" t="inlineStr">
        <is>
          <t>Tamoxifen</t>
        </is>
      </c>
      <c r="I20" s="15" t="inlineStr">
        <is>
          <t>3</t>
        </is>
      </c>
      <c r="J20" s="18"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ข้อนี้ไม่ใช่คำตอบที่ถูกต้องสำหรับภาวะ CINV &amp; Supportive Care เนื่องจากกลไกการออกฤทธิ์, efficacy หรือข้อบ่งใช้ไม่ตรงกับโจทย์ที่กำหนด
• ข้อ ข. (Vincristine): ข้อนี้ไม่ใช่คำตอบที่ถูกต้องสำหรับภาวะ CINV &amp; Supportive Care เนื่องจากกลไกการออกฤทธิ์, efficacy หรือข้อบ่งใช้ไม่ตรงกับโจทย์ที่กำหนด
• ข้อ ง. (Paclitaxel): ข้อนี้ไม่ใช่คำตอบที่ถูกต้องสำหรับภาวะ CINV &amp; Supportive Care เนื่องจากกลไกการออกฤทธิ์, efficacy หรือข้อบ่งใช้ไม่ตรงกับโจทย์ที่กำหนด
• ข้อ จ. (Tamoxifen):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8" t="inlineStr"/>
      <c r="L20" s="18" t="inlineStr">
        <is>
          <t>CINV &amp; Supportive Care</t>
        </is>
      </c>
      <c r="M20" s="18" t="inlineStr">
        <is>
          <t>Clinic</t>
        </is>
      </c>
      <c r="N20" s="18" t="inlineStr">
        <is>
          <t>ข้อ 18 ชุด 1 (เฉลยข้อ ค)</t>
        </is>
      </c>
      <c r="O20" s="18" t="inlineStr">
        <is>
          <t>Mock</t>
        </is>
      </c>
      <c r="P20" s="18" t="inlineStr">
        <is>
          <t>ชุด 1</t>
        </is>
      </c>
    </row>
    <row r="21">
      <c r="A21" s="15" t="inlineStr">
        <is>
          <t>19</t>
        </is>
      </c>
      <c r="B21" s="18" t="inlineStr">
        <is>
          <t>ข้อใดใช้ในการป้องกันการเกิด stomatitis ในปากและทางเดินอาหารจากการได้รับยา 5-FU</t>
        </is>
      </c>
      <c r="C21" s="18" t="inlineStr"/>
      <c r="D21" s="18" t="inlineStr">
        <is>
          <t>Sucralfate</t>
        </is>
      </c>
      <c r="E21" s="18" t="inlineStr">
        <is>
          <t>Mesna</t>
        </is>
      </c>
      <c r="F21" s="18" t="inlineStr">
        <is>
          <t>Leucovorin</t>
        </is>
      </c>
      <c r="G21" s="18" t="inlineStr">
        <is>
          <t>Prednisolone</t>
        </is>
      </c>
      <c r="H21" s="18" t="inlineStr">
        <is>
          <t>Hyaluronidase</t>
        </is>
      </c>
      <c r="I21" s="15" t="inlineStr">
        <is>
          <t>1</t>
        </is>
      </c>
      <c r="J21" s="18"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ข้อนี้ไม่ใช่คำตอบที่ถูกต้องสำหรับภาวะ CINV &amp; Supportive Care เนื่องจากกลไกการออกฤทธิ์, efficacy หรือข้อบ่งใช้ไม่ตรงกับโจทย์ที่กำหนด
• ข้อ ค. (Leucovorin): ข้อนี้ไม่ใช่คำตอบที่ถูกต้องสำหรับภาวะ CINV &amp; Supportive Care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(Hyaluronidase):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8" t="inlineStr"/>
      <c r="L21" s="18" t="inlineStr">
        <is>
          <t>CINV &amp; Supportive Care</t>
        </is>
      </c>
      <c r="M21" s="18" t="inlineStr">
        <is>
          <t>Clinic</t>
        </is>
      </c>
      <c r="N21" s="18" t="inlineStr">
        <is>
          <t>ข้อ 19 ชุด 1 (เฉลยข้อ ก)</t>
        </is>
      </c>
      <c r="O21" s="18" t="inlineStr">
        <is>
          <t>Mock</t>
        </is>
      </c>
      <c r="P21" s="18" t="inlineStr">
        <is>
          <t>ชุด 1</t>
        </is>
      </c>
    </row>
    <row r="22">
      <c r="A22" s="15" t="inlineStr">
        <is>
          <t>20</t>
        </is>
      </c>
      <c r="B22" s="18"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2" s="18" t="inlineStr"/>
      <c r="D22" s="15" t="inlineStr">
        <is>
          <t>150</t>
        </is>
      </c>
      <c r="E22" s="15" t="inlineStr">
        <is>
          <t>175</t>
        </is>
      </c>
      <c r="F22" s="15" t="inlineStr">
        <is>
          <t>200</t>
        </is>
      </c>
      <c r="G22" s="15" t="inlineStr">
        <is>
          <t>225</t>
        </is>
      </c>
      <c r="H22" s="15" t="inlineStr">
        <is>
          <t>250</t>
        </is>
      </c>
      <c r="I22" s="15" t="inlineStr">
        <is>
          <t>2</t>
        </is>
      </c>
      <c r="J22" s="18"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18" t="inlineStr"/>
      <c r="L22" s="18" t="inlineStr">
        <is>
          <t>CINV &amp; Supportive Care</t>
        </is>
      </c>
      <c r="M22" s="18" t="inlineStr">
        <is>
          <t>Clinic</t>
        </is>
      </c>
      <c r="N22" s="18" t="inlineStr">
        <is>
          <t>ข้อ 20 ชุด 1 (เฉลยข้อ ข)</t>
        </is>
      </c>
      <c r="O22" s="18" t="inlineStr">
        <is>
          <t>Mock</t>
        </is>
      </c>
      <c r="P22" s="18" t="inlineStr">
        <is>
          <t>ชุด 1</t>
        </is>
      </c>
    </row>
    <row r="23">
      <c r="A23" s="15" t="inlineStr">
        <is>
          <t>21</t>
        </is>
      </c>
      <c r="B23" s="18" t="inlineStr">
        <is>
          <t>ยาใดต่อไปนี้เหมาะสมที่สุดในการป้องกัน acute Emetic</t>
        </is>
      </c>
      <c r="C23" s="18" t="inlineStr"/>
      <c r="D23" s="18" t="inlineStr">
        <is>
          <t>Ondansetron</t>
        </is>
      </c>
      <c r="E23" s="18" t="inlineStr">
        <is>
          <t>Dexamethasone</t>
        </is>
      </c>
      <c r="F23" s="18" t="inlineStr">
        <is>
          <t>Metoclopramide</t>
        </is>
      </c>
      <c r="G23" s="18" t="inlineStr">
        <is>
          <t>Ondansetron + Dexamethasone</t>
        </is>
      </c>
      <c r="H23" s="18" t="inlineStr">
        <is>
          <t>Metoclopramide + Dexamethasone</t>
        </is>
      </c>
      <c r="I23" s="15" t="inlineStr">
        <is>
          <t>4</t>
        </is>
      </c>
      <c r="J23" s="18" t="inlineStr">
        <is>
          <t>✅ คำตอบที่ถูกต้อง: ข้อ ง.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การป้องกัน acute CINV ในสูตรยาที่มีความเสี่ยงสูง (High emetogenic chemotherapy) แนะนำให้ใช้ 5-HT3 receptor antagonist (เช่น Ondansetron) ร่วมกับ Dexamethasone และ NK1 receptor antagonist เพื่อ efficacy สูงสุดตามแนวทาง MASCC/ESMO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เป็น long-acting potent glucocorticoid ไม่มี mineralocorticoid effect จึงไม่ทำให้น้ำคั่ง เหมาะสำหรับ brain edema, antiemetic, และ COVID-19 with hypoxemia
• ข้อ ค. (Metoclopramide): เป็น central และ peripheral D2 antagonist เพิ่ม gastric emptying และแก้อาเจียน แต่ผ่าน BBB จึงทำให้เกิด acute dystonia และ EPS ได้ง่าย
• ข้อ จ. (Metoclopramide + Dexamethasone):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8" t="inlineStr"/>
      <c r="L23" s="18" t="inlineStr">
        <is>
          <t>CINV &amp; Supportive Care</t>
        </is>
      </c>
      <c r="M23" s="18" t="inlineStr">
        <is>
          <t>Clinic</t>
        </is>
      </c>
      <c r="N23" s="18" t="inlineStr">
        <is>
          <t>ข้อ 21 ชุด 1 (เฉลยข้อ ง)</t>
        </is>
      </c>
      <c r="O23" s="18" t="inlineStr">
        <is>
          <t>Mock</t>
        </is>
      </c>
      <c r="P23" s="18" t="inlineStr">
        <is>
          <t>ชุด 1</t>
        </is>
      </c>
    </row>
    <row r="24">
      <c r="A24" s="15" t="inlineStr">
        <is>
          <t>22</t>
        </is>
      </c>
      <c r="B24" s="18" t="inlineStr">
        <is>
          <t>กลไกการออกฤทธิ์ของยา cisplatin คือ</t>
        </is>
      </c>
      <c r="C24" s="18" t="inlineStr"/>
      <c r="D24" s="18" t="inlineStr">
        <is>
          <t>Alkylating agent</t>
        </is>
      </c>
      <c r="E24" s="18" t="inlineStr">
        <is>
          <t>Topoisomerase II inhibitor</t>
        </is>
      </c>
      <c r="F24" s="18" t="inlineStr">
        <is>
          <t>Antimetabolite</t>
        </is>
      </c>
      <c r="G24" s="18" t="inlineStr">
        <is>
          <t>Intercalating agent</t>
        </is>
      </c>
      <c r="H24" s="18" t="inlineStr">
        <is>
          <t>Inhibitor of mitosis</t>
        </is>
      </c>
      <c r="I24" s="15" t="inlineStr">
        <is>
          <t>1</t>
        </is>
      </c>
      <c r="J24" s="18"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ข้อนี้ไม่ใช่คำตอบที่ถูกต้องสำหรับภาวะ CINV &amp; Supportive Care เนื่องจากกลไกการออกฤทธิ์, efficacy หรือข้อบ่งใช้ไม่ตรงกับโจทย์ที่กำหนด
• ข้อ ค.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ง. (Intercalating agent): ข้อนี้ไม่ใช่คำตอบที่ถูกต้องสำหรับภาวะ CINV &amp; Supportive Care เนื่องจากกลไกการออกฤทธิ์, efficacy หรือข้อบ่งใช้ไม่ตรงกับโจทย์ที่กำหนด
• ข้อ จ. (Inhibitor of mitosis):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 s="18" t="inlineStr"/>
      <c r="L24" s="18" t="inlineStr">
        <is>
          <t>CINV &amp; Supportive Care</t>
        </is>
      </c>
      <c r="M24" s="18" t="inlineStr">
        <is>
          <t>Clinic</t>
        </is>
      </c>
      <c r="N24" s="18" t="inlineStr">
        <is>
          <t>ข้อ 22 ชุด 1 (เฉลยข้อ ก)</t>
        </is>
      </c>
      <c r="O24" s="18" t="inlineStr">
        <is>
          <t>Mock</t>
        </is>
      </c>
      <c r="P24" s="18" t="inlineStr">
        <is>
          <t>ชุด 1</t>
        </is>
      </c>
    </row>
    <row r="25">
      <c r="A25" s="15" t="inlineStr">
        <is>
          <t>23</t>
        </is>
      </c>
      <c r="B25" s="18" t="inlineStr">
        <is>
          <t>ยา cisplatin เป็นยาที่มีผลพิษต่อไต (nephrotoxicity) การป้องกันสามารถทำได้หลายประการต่อไปนี้ ยกเว้น</t>
        </is>
      </c>
      <c r="C25" s="18" t="inlineStr"/>
      <c r="D25" s="18" t="inlineStr">
        <is>
          <t>การให้สารน้ำปริมาตรมากก่อนและหลังให้ยา</t>
        </is>
      </c>
      <c r="E25" s="18" t="inlineStr">
        <is>
          <t>ให้สารละลายปริมาตรมากพร้อม magnesium</t>
        </is>
      </c>
      <c r="F25" s="18" t="inlineStr">
        <is>
          <t>การให้ osmotic diuretic เช่น mannitol</t>
        </is>
      </c>
      <c r="G25" s="18" t="inlineStr">
        <is>
          <t>การเตรียม cisplatin ด้วยสารละลาย sodium chloride</t>
        </is>
      </c>
      <c r="H25" s="18" t="inlineStr">
        <is>
          <t>ให้สารละลายปริมาตรมากร่วมกับ sodium</t>
        </is>
      </c>
      <c r="I25" s="15" t="inlineStr">
        <is>
          <t>3</t>
        </is>
      </c>
      <c r="J25" s="18"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ข้อนี้ไม่ใช่คำตอบที่ถูกต้องสำหรับภาวะ CINV &amp; Supportive Care เนื่องจากกลไกการออกฤทธิ์, efficacy หรือข้อบ่งใช้ไม่ตรงกับโจทย์ที่กำหนด
• ข้อ ข. (ให้สารละลายปริมาตรมากพร้อม magnesium): ข้อนี้ไม่ใช่คำตอบที่ถูกต้องสำหรับภาวะ CINV &amp; Supportive Care เนื่องจากกลไกการออกฤทธิ์, efficacy หรือข้อบ่งใช้ไม่ตรงกับโจทย์ที่กำหนด
• ข้อ ง. (การเตรียม cisplatin ด้วยสารละลาย sodium chloride): ข้อนี้ไม่ใช่คำตอบที่ถูกต้องสำหรับภาวะ CINV &amp; Supportive Care เนื่องจากกลไกการออกฤทธิ์, efficacy หรือข้อบ่งใช้ไม่ตรงกับโจทย์ที่กำหนด
• ข้อ จ. (ให้สารละลายปริมาตรมากร่วมกับ sodium):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5" s="18" t="inlineStr"/>
      <c r="L25" s="18" t="inlineStr">
        <is>
          <t>CINV &amp; Supportive Care</t>
        </is>
      </c>
      <c r="M25" s="18" t="inlineStr">
        <is>
          <t>Clinic</t>
        </is>
      </c>
      <c r="N25" s="18" t="inlineStr">
        <is>
          <t>ข้อ 23 ชุด 1 (เฉลยข้อ ค จ)</t>
        </is>
      </c>
      <c r="O25" s="18" t="inlineStr">
        <is>
          <t>Mock</t>
        </is>
      </c>
      <c r="P25" s="18" t="inlineStr">
        <is>
          <t>ชุด 1</t>
        </is>
      </c>
    </row>
    <row r="26">
      <c r="A26" s="15" t="inlineStr">
        <is>
          <t>24</t>
        </is>
      </c>
      <c r="B26" s="18"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6" s="18" t="inlineStr"/>
      <c r="D26" s="18" t="inlineStr">
        <is>
          <t>ให้ยากลุ่ม weak opioid ร่วมกับ fentanyl transdermal patch</t>
        </is>
      </c>
      <c r="E26" s="18" t="inlineStr">
        <is>
          <t>เริ่มด้วย aspirin หรือ piroxicam หากไม่ดีขึ้นจึงใช้ tramadol หรือ morphine</t>
        </is>
      </c>
      <c r="F26" s="18" t="inlineStr">
        <is>
          <t>ให้ fentanyl ร่วมกับยากลุ่ม COX2-Inhibitor เนื่องจาก vincristine มีผลข้างเคียงกับระบบทางเดินอาหาร</t>
        </is>
      </c>
      <c r="G26" s="18" t="inlineStr">
        <is>
          <t>ให้ได้เฉพาะยากลุ่ม NSAIDs เนื่องจากผลข้างเคียงของ vincristine มีฤทธิ์กดการหายใจ</t>
        </is>
      </c>
      <c r="H26" s="18" t="inlineStr">
        <is>
          <t>ให้ morphine เพราะ vincristine จะทำให้เกิดอาการปวดอย่างรุนแรง</t>
        </is>
      </c>
      <c r="I26" s="15" t="inlineStr">
        <is>
          <t>2</t>
        </is>
      </c>
      <c r="J26" s="18"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6" s="18" t="inlineStr"/>
      <c r="L26" s="18" t="inlineStr">
        <is>
          <t>CINV &amp; Supportive Care</t>
        </is>
      </c>
      <c r="M26" s="18" t="inlineStr">
        <is>
          <t>Clinic</t>
        </is>
      </c>
      <c r="N26" s="18" t="inlineStr">
        <is>
          <t>ข้อ 24 ชุด 1 (เฉลยข้อ ข)</t>
        </is>
      </c>
      <c r="O26" s="18" t="inlineStr">
        <is>
          <t>Mock</t>
        </is>
      </c>
      <c r="P26" s="18" t="inlineStr">
        <is>
          <t>ชุด 1</t>
        </is>
      </c>
    </row>
    <row r="27">
      <c r="A27" s="15" t="inlineStr">
        <is>
          <t>25</t>
        </is>
      </c>
      <c r="B27" s="18"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7" s="18" t="inlineStr"/>
      <c r="D27" s="18" t="inlineStr">
        <is>
          <t>คลื่นไส้ อาเจียน</t>
        </is>
      </c>
      <c r="E27" s="18" t="inlineStr">
        <is>
          <t>ง่วงซึม</t>
        </is>
      </c>
      <c r="F27" s="18" t="inlineStr">
        <is>
          <t>กดการหายใจ</t>
        </is>
      </c>
      <c r="G27" s="18" t="inlineStr">
        <is>
          <t>สับสน มึนงง</t>
        </is>
      </c>
      <c r="H27" s="18" t="inlineStr">
        <is>
          <t>ท้องผูก</t>
        </is>
      </c>
      <c r="I27" s="15" t="inlineStr">
        <is>
          <t>1</t>
        </is>
      </c>
      <c r="J27" s="18"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ข้อนี้ไม่ใช่คำตอบที่ถูกต้องสำหรับภาวะ CINV &amp; Supportive Care เนื่องจากกลไกการออกฤทธิ์, efficacy หรือข้อบ่งใช้ไม่ตรงกับโจทย์ที่กำหนด
• ข้อ ค. (กดการหายใจ):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ง. (สับสน มึนงง): ข้อนี้ไม่ใช่คำตอบที่ถูกต้องสำหรับภาวะ CINV &amp; Supportive Care เนื่องจากกลไกการออกฤทธิ์, efficacy หรือข้อบ่งใช้ไม่ตรงกับโจทย์ที่กำหนด
• ข้อ จ. (ท้องผูก):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18" t="inlineStr"/>
      <c r="L27" s="18" t="inlineStr">
        <is>
          <t>CINV &amp; Supportive Care</t>
        </is>
      </c>
      <c r="M27" s="18" t="inlineStr">
        <is>
          <t>Clinic</t>
        </is>
      </c>
      <c r="N27" s="18" t="inlineStr">
        <is>
          <t>ข้อ 25 ชุด 1 (เฉลยข้อ )</t>
        </is>
      </c>
      <c r="O27" s="18" t="inlineStr">
        <is>
          <t>Mock</t>
        </is>
      </c>
      <c r="P27" s="18" t="inlineStr">
        <is>
          <t>ชุด 1</t>
        </is>
      </c>
    </row>
    <row r="28">
      <c r="A28" s="15" t="inlineStr">
        <is>
          <t>26</t>
        </is>
      </c>
      <c r="B28" s="18"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8" s="18" t="inlineStr"/>
      <c r="D28" s="18" t="inlineStr">
        <is>
          <t>Aspirin</t>
        </is>
      </c>
      <c r="E28" s="18" t="inlineStr">
        <is>
          <t>Ketamine</t>
        </is>
      </c>
      <c r="F28" s="18" t="inlineStr">
        <is>
          <t>Pethidine</t>
        </is>
      </c>
      <c r="G28" s="18" t="inlineStr">
        <is>
          <t>Fentanyl transdermal patch</t>
        </is>
      </c>
      <c r="H28" s="18" t="inlineStr">
        <is>
          <t>Tramadol</t>
        </is>
      </c>
      <c r="I28" s="15" t="inlineStr">
        <is>
          <t>5</t>
        </is>
      </c>
      <c r="J28" s="18"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ข้อนี้ไม่ใช่คำตอบที่ถูกต้องสำหรับภาวะ CINV &amp; Supportive Care เนื่องจากกลไกการออกฤทธิ์, efficacy หรือข้อบ่งใช้ไม่ตรงกับโจทย์ที่กำหนด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8" s="18" t="inlineStr"/>
      <c r="L28" s="18" t="inlineStr">
        <is>
          <t>CINV &amp; Supportive Care</t>
        </is>
      </c>
      <c r="M28" s="18" t="inlineStr">
        <is>
          <t>Clinic</t>
        </is>
      </c>
      <c r="N28" s="18" t="inlineStr">
        <is>
          <t>ข้อ 26 ชุด 1 (เฉลยข้อ จ)</t>
        </is>
      </c>
      <c r="O28" s="18" t="inlineStr">
        <is>
          <t>Mock</t>
        </is>
      </c>
      <c r="P28" s="18" t="inlineStr">
        <is>
          <t>ชุด 1</t>
        </is>
      </c>
    </row>
    <row r="29">
      <c r="A29" s="15" t="inlineStr">
        <is>
          <t>27</t>
        </is>
      </c>
      <c r="B29" s="18"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9" s="18" t="inlineStr"/>
      <c r="D29" s="18" t="inlineStr">
        <is>
          <t>ผมร่วง</t>
        </is>
      </c>
      <c r="E29" s="18" t="inlineStr">
        <is>
          <t>อาการปวด</t>
        </is>
      </c>
      <c r="F29" s="18" t="inlineStr">
        <is>
          <t>เยื่อบุทางเดินอาหารอักเสบ</t>
        </is>
      </c>
      <c r="G29" s="18" t="inlineStr">
        <is>
          <t>คลื่นไส้ อาเจียน</t>
        </is>
      </c>
      <c r="H29" s="18" t="inlineStr">
        <is>
          <t>ข้อ ค และ ง ถูก</t>
        </is>
      </c>
      <c r="I29" s="15" t="inlineStr">
        <is>
          <t>5</t>
        </is>
      </c>
      <c r="J29" s="18"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(อาการปวด): ข้อนี้ไม่ใช่คำตอบที่ถูกต้องสำหรับภาวะ CINV &amp; Supportive Care เนื่องจากกลไกการออกฤทธิ์, efficacy หรือข้อบ่งใช้ไม่ตรงกับโจทย์ที่กำหนด
• ข้อ ค. (เยื่อบุทางเดินอาหารอักเสบ): ข้อนี้ไม่ใช่คำตอบที่ถูกต้องสำหรับภาวะ CINV &amp; Supportive Care เนื่องจากกลไกการออกฤทธิ์, efficacy หรือข้อบ่งใช้ไม่ตรงกับโจทย์ที่กำหนด
• ข้อ ง. (คลื่นไส้ อาเจียน):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18" t="inlineStr"/>
      <c r="L29" s="18" t="inlineStr">
        <is>
          <t>CINV &amp; Supportive Care</t>
        </is>
      </c>
      <c r="M29" s="18" t="inlineStr">
        <is>
          <t>Clinic</t>
        </is>
      </c>
      <c r="N29" s="18" t="inlineStr">
        <is>
          <t>ข้อ 27 ชุด 1 (เฉลยข้อ จ)</t>
        </is>
      </c>
      <c r="O29" s="18" t="inlineStr">
        <is>
          <t>Mock</t>
        </is>
      </c>
      <c r="P29" s="18" t="inlineStr">
        <is>
          <t>ชุด 1</t>
        </is>
      </c>
    </row>
    <row r="30">
      <c r="A30" s="15" t="inlineStr">
        <is>
          <t>28</t>
        </is>
      </c>
      <c r="B30" s="18" t="inlineStr">
        <is>
          <t>ผู้ป่วยมะเร็ง มีอาการอาเจียนอย่างมาก ภายหลังการให้ยาเคมีบำบัด 2-4 วัน ท่านคิดว่าหลังจากให้ยาเคมีบำบัดครั้งต่อไปควรให้ยาต้านการอาเจียนในข้อใดต่อไปนี้
การป้องกันอาการคลื่นไส้อาเจียนแบบล่าช้า (Delayed CINV)</t>
        </is>
      </c>
      <c r="C30" s="18" t="inlineStr"/>
      <c r="D30" s="18" t="inlineStr">
        <is>
          <t>Dexamethasone เดี่ยว ๆ</t>
        </is>
      </c>
      <c r="E30" s="18" t="inlineStr">
        <is>
          <t>Ondansetron + metoclopramide</t>
        </is>
      </c>
      <c r="F30" s="18" t="inlineStr">
        <is>
          <t>Dexamethasone + domperidone</t>
        </is>
      </c>
      <c r="G30" s="18" t="inlineStr">
        <is>
          <t>Dexamethasone + metoclopramide</t>
        </is>
      </c>
      <c r="H30" s="18" t="inlineStr">
        <is>
          <t>Dexamethasone + ondansetron</t>
        </is>
      </c>
      <c r="I30" s="15" t="inlineStr">
        <is>
          <t>1</t>
        </is>
      </c>
      <c r="J30" s="18"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อาการคลื่นไส้อาเจียนที่เกิดขึ้นในวันที่ 2-4 หลังได้รับยาเคมีบำบัดเรียกว่า Delayed CINV แนวทางการรักษาหลักคือการใช้ Dexamethasone ร่วมกับ 5-HT3 receptor antagonist หรือยากลุ่มอื่นตามระดับความเสี่ยง แต่มาตรฐานสำหรับ Delayed CINV มักประกอบด้วย Dexamethasone ร่วมกับยากลุ่มอื่น เช่น 5-HT3 antagonist หรือ NK1 receptor antagonist แต่ในตัวเลือกนี้ Dexamethasone + ondansetron หรือ Dexamethasone เดี่ยว/ร่วมกับยาอื่นครอบคลุมการป้องกัน delayed emesis ได้ดีตาม guideline (MASCC/ESMO)
🔍 ข้ออื่นผิดเพราะอะไร:
• ข้อ ข. (Ondansetron + metoclopramide): เป็น central และ peripheral D2 antagonist เพิ่ม gastric emptying และแก้อาเจียน แต่ผ่าน BBB จึงทำให้เกิด acute dystonia และ EPS ได้ง่าย
• ข้อ ค. (Dexamethasone + domperidone): เป็น long-acting potent glucocorticoid ไม่มี mineralocorticoid effect จึงไม่ทำให้น้ำคั่ง เหมาะสำหรับ brain edema, antiemetic, และ COVID-19 with hypoxemia
• ข้อ ง. (Dexamethasone + metoclopramide): เป็น long-acting potent glucocorticoid ไม่มี mineralocorticoid effect จึงไม่ทำให้น้ำคั่ง เหมาะสำหรับ brain edema, antiemetic, และ COVID-19 with hypoxemia
• ข้อ จ. (Dexamethasone + ondansetron):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0" s="18" t="inlineStr"/>
      <c r="L30" s="18" t="inlineStr">
        <is>
          <t>CINV &amp; Supportive Care</t>
        </is>
      </c>
      <c r="M30" s="18" t="inlineStr">
        <is>
          <t>Clinic</t>
        </is>
      </c>
      <c r="N30" s="18" t="inlineStr">
        <is>
          <t>ข้อ 28 ชุด 1 (เฉลยข้อ ก)</t>
        </is>
      </c>
      <c r="O30" s="18" t="inlineStr">
        <is>
          <t>Mock</t>
        </is>
      </c>
      <c r="P30" s="18" t="inlineStr">
        <is>
          <t>ชุด 1</t>
        </is>
      </c>
    </row>
    <row r="31">
      <c r="A31" s="15" t="inlineStr">
        <is>
          <t>29</t>
        </is>
      </c>
      <c r="B31" s="18"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31" s="18" t="inlineStr"/>
      <c r="D31" s="18" t="inlineStr">
        <is>
          <t>Dexamethasone เดี่ยว ๆ</t>
        </is>
      </c>
      <c r="E31" s="18" t="inlineStr">
        <is>
          <t>Ondansetron</t>
        </is>
      </c>
      <c r="F31" s="18" t="inlineStr">
        <is>
          <t>Enalapril</t>
        </is>
      </c>
      <c r="G31" s="18" t="inlineStr">
        <is>
          <t>ยากลุ่ม opioid</t>
        </is>
      </c>
      <c r="H31" s="18" t="inlineStr">
        <is>
          <t>ไม่ต้องรับยาอะไร เพียงแต่ให้ผู้ป่วยอมน้ำแข็งระหว่างการให้ยาให้ถูกวิธี</t>
        </is>
      </c>
      <c r="I31" s="15" t="inlineStr">
        <is>
          <t>1</t>
        </is>
      </c>
      <c r="J31" s="18"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ข้อนี้ไม่ใช่คำตอบที่ถูกต้องสำหรับภาวะ CINV &amp; Supportive Care เนื่องจากกลไกการออกฤทธิ์, efficacy หรือข้อบ่งใช้ไม่ตรงกับโจทย์ที่กำหนด
• ข้อ จ. (ไม่ต้องรับยาอะไร เพียงแต่ให้ผู้ป่วยอมน้ำแข็งระหว่างการให้ยาให้ถูกวิธี):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1" s="18" t="inlineStr"/>
      <c r="L31" s="18" t="inlineStr">
        <is>
          <t>CINV &amp; Supportive Care</t>
        </is>
      </c>
      <c r="M31" s="18" t="inlineStr">
        <is>
          <t>Clinic</t>
        </is>
      </c>
      <c r="N31" s="18" t="inlineStr">
        <is>
          <t>ข้อ 29 ชุด 1 (เฉลยข้อ )</t>
        </is>
      </c>
      <c r="O31" s="18" t="inlineStr">
        <is>
          <t>Mock</t>
        </is>
      </c>
      <c r="P31" s="18" t="inlineStr">
        <is>
          <t>ชุด 1</t>
        </is>
      </c>
    </row>
    <row r="32">
      <c r="A32" s="15" t="inlineStr">
        <is>
          <t>30</t>
        </is>
      </c>
      <c r="B32" s="18"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32" s="18" t="inlineStr"/>
      <c r="D32" s="18" t="inlineStr">
        <is>
          <t>ในการให้ยาเคมีบำบัดครั้งต่อไป ให้ผู้ป่วยอมน้ำแข็งก่อนให้ยา 30 นาทีและอมต่อให้ยาอีก 30 นาที</t>
        </is>
      </c>
      <c r="E32" s="18" t="inlineStr">
        <is>
          <t>Dimenhydrinate + lidocaine + sucralfate แล้วตามด้วยยากลุ่ม NSAIDs</t>
        </is>
      </c>
      <c r="F32" s="18" t="inlineStr">
        <is>
          <t>Diphenhydramine + lidocaine + sucralfate แล้วตามด้วยยากลุ่ม opioids</t>
        </is>
      </c>
      <c r="G32" s="18" t="inlineStr">
        <is>
          <t>Diphenhydramine + lidocaine + antacid</t>
        </is>
      </c>
      <c r="H32" s="18" t="inlineStr">
        <is>
          <t>ไม่มีข้อใดถูก</t>
        </is>
      </c>
      <c r="I32" s="15" t="inlineStr">
        <is>
          <t>1</t>
        </is>
      </c>
      <c r="J32" s="18"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18" t="inlineStr"/>
      <c r="L32" s="18" t="inlineStr">
        <is>
          <t>CINV &amp; Supportive Care</t>
        </is>
      </c>
      <c r="M32" s="18" t="inlineStr">
        <is>
          <t>Clinic</t>
        </is>
      </c>
      <c r="N32" s="18" t="inlineStr">
        <is>
          <t>ข้อ 30 ชุด 1 (เฉลยข้อ ก ง)</t>
        </is>
      </c>
      <c r="O32" s="18" t="inlineStr">
        <is>
          <t>Mock</t>
        </is>
      </c>
      <c r="P32" s="18" t="inlineStr">
        <is>
          <t>ชุด 1</t>
        </is>
      </c>
    </row>
    <row r="33">
      <c r="A33" s="15" t="inlineStr">
        <is>
          <t>31</t>
        </is>
      </c>
      <c r="B33" s="18" t="inlineStr">
        <is>
          <t>ข้อใดเป็นยาต้านการอาเจียนที่ดีที่สุดในผู้ป่วยที่ได้รับยาเคมีบำบัด
ยาต้านการอาเจียนที่มีประสิทธิภาพสูงสุดสำหรับ CINV</t>
        </is>
      </c>
      <c r="C33" s="18" t="inlineStr"/>
      <c r="D33" s="18" t="inlineStr">
        <is>
          <t>Metoclopramide</t>
        </is>
      </c>
      <c r="E33" s="18" t="inlineStr">
        <is>
          <t>Ondansetron</t>
        </is>
      </c>
      <c r="F33" s="18" t="inlineStr">
        <is>
          <t>Lorazepam</t>
        </is>
      </c>
      <c r="G33" s="18" t="inlineStr">
        <is>
          <t>ข้อ ก และ ค ถูก</t>
        </is>
      </c>
      <c r="H33" s="18" t="inlineStr">
        <is>
          <t>ข้อ ก, ข, และ ค ถูก</t>
        </is>
      </c>
      <c r="I33" s="15" t="inlineStr">
        <is>
          <t>2</t>
        </is>
      </c>
      <c r="J33" s="18"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8" t="inlineStr"/>
      <c r="L33" s="18" t="inlineStr">
        <is>
          <t>CINV &amp; Supportive Care</t>
        </is>
      </c>
      <c r="M33" s="18" t="inlineStr">
        <is>
          <t>Clinic</t>
        </is>
      </c>
      <c r="N33" s="18" t="inlineStr">
        <is>
          <t>ข้อ 31 ชุด 1 (เฉลยข้อ ข)</t>
        </is>
      </c>
      <c r="O33" s="18" t="inlineStr">
        <is>
          <t>Mock</t>
        </is>
      </c>
      <c r="P33" s="18" t="inlineStr">
        <is>
          <t>ชุด 1</t>
        </is>
      </c>
    </row>
    <row r="34">
      <c r="A34" s="15" t="inlineStr">
        <is>
          <t>32</t>
        </is>
      </c>
      <c r="B34" s="18"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4" s="18" t="inlineStr"/>
      <c r="D34" s="18" t="inlineStr">
        <is>
          <t>หากผู้ป่วยมีตุ่มใส และมีอาการเจ็บ แสบร้อน ร่วมด้วย ให้ผู้ป่วยบ้วนปากด้วย stomatitis cocktail ก่อนรับประทานอาหาร 5-15 นาที</t>
        </is>
      </c>
      <c r="E34" s="18" t="inlineStr">
        <is>
          <t>หากมีการติดเชื้อร่วมด้วยให้ผู้ป่วยกินยาต้านเชื้อรา</t>
        </is>
      </c>
      <c r="F34" s="18" t="inlineStr">
        <is>
          <t>ในการให้ยาเคมีบำบัดครั้งต่อไป ให้ผู้ป่วยอมน้ำแข็งก่อนให้ยา 30 นาที และหลังให้ยา 30 นาที</t>
        </is>
      </c>
      <c r="G34" s="18" t="inlineStr">
        <is>
          <t>ข้อ ก และ ข ถูก</t>
        </is>
      </c>
      <c r="H34" s="18" t="inlineStr">
        <is>
          <t>ข้อ ก และ ค ถูก</t>
        </is>
      </c>
      <c r="I34" s="15" t="inlineStr">
        <is>
          <t>2</t>
        </is>
      </c>
      <c r="J34" s="18"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ข้อนี้ไม่ใช่คำตอบที่ถูกต้องสำหรับภาวะ CINV &amp; Supportive Care เนื่องจากกลไกการออกฤทธิ์, efficacy หรือข้อบ่งใช้ไม่ตรงกับโจทย์ที่กำหนด
• ข้อ ค. (ในการให้ยาเคมีบำบัดครั้งต่อไป ให้ผู้ป่วยอมน้ำแข็งก่อนให้ยา 30 นาที และหลังให้ยา 30 นาที): ข้อนี้ไม่ใช่คำตอบที่ถูกต้องสำหรับภาวะ CINV &amp; Supportive Care เนื่องจากกลไกการออกฤทธิ์, efficacy หรือข้อบ่งใช้ไม่ตรงกับโจทย์ที่กำหนด
• ข้อ ง. (ข้อ ก และ ข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8" t="inlineStr"/>
      <c r="L34" s="18" t="inlineStr">
        <is>
          <t>CINV &amp; Supportive Care</t>
        </is>
      </c>
      <c r="M34" s="18" t="inlineStr">
        <is>
          <t>Clinic</t>
        </is>
      </c>
      <c r="N34" s="18" t="inlineStr">
        <is>
          <t>ข้อ 32 ชุด 1 (เฉลยข้อ ข ค)</t>
        </is>
      </c>
      <c r="O34" s="18" t="inlineStr">
        <is>
          <t>Mock</t>
        </is>
      </c>
      <c r="P34" s="18" t="inlineStr">
        <is>
          <t>ชุด 1</t>
        </is>
      </c>
    </row>
    <row r="35">
      <c r="A35" s="15" t="inlineStr">
        <is>
          <t>33</t>
        </is>
      </c>
      <c r="B35" s="18" t="inlineStr">
        <is>
          <t>ข้อใดไม่ใช่ adjuvant drug ในการบรรเทาอาการปวดของผู้ป่วยมะเร็งจากการได้รับยาเคมีบำบัด</t>
        </is>
      </c>
      <c r="C35" s="18" t="inlineStr"/>
      <c r="D35" s="18" t="inlineStr">
        <is>
          <t>Phenytoin</t>
        </is>
      </c>
      <c r="E35" s="18" t="inlineStr">
        <is>
          <t>Diazepam</t>
        </is>
      </c>
      <c r="F35" s="18" t="inlineStr">
        <is>
          <t>Dexamethasone</t>
        </is>
      </c>
      <c r="G35" s="18" t="inlineStr">
        <is>
          <t>Amitriptyline</t>
        </is>
      </c>
      <c r="H35" s="18" t="inlineStr">
        <is>
          <t>ไม่มีข้อใดถูก</t>
        </is>
      </c>
      <c r="I35" s="15" t="inlineStr">
        <is>
          <t>1</t>
        </is>
      </c>
      <c r="J35" s="18" t="inlineStr">
        <is>
          <t>✅ คำตอบที่ถูกต้อง: ข้อ ก. Phenytoin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Phenytoin เป็นยากันชัก (anticonvulsant) แต่ในทางคลินิกมักไม่นิยมใช้เป็น adjuvant analgesic สำหรับ neuropathic pain จาก chemotherapy แตกต่างจาก Gabapentin, Pregabalin, หรือ Tricyclic antidepressants เช่น Amitriptyline รวมถึง Dexamethasone ที่ใช้ลดอาการปวดจาก peritumoral edema หรือ bone pain
🔍 ข้ออื่นผิดเพราะอะไร:
• ข้อ ข. (Diazepam): เป็น long-acting Benzodiazepine มี active metabolites (nordiazepam) สะสมในผู้สูงอายุ ทำให้ง่วงซึม หกล้ม เสี่ยง fracture
• ข้อ ค. (Dexamethasone): เป็น long-acting potent glucocorticoid ไม่มี mineralocorticoid effect จึงไม่ทำให้น้ำคั่ง เหมาะสำหรับ brain edema, antiemetic, และ COVID-19 with hypoxemia
• ข้อ ง. (Amitriptyline): เป็น Tricyclic antidepressant (TCA) มี anticholinergic ADRs สูง, antihistaminic (ง่วงซึม น้ำหนักขึ้น), alpha-1 blockade (orthostatic hypotension) และเสี่ยงต่อ fatal cardiotoxicity เมื่อ overdose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5" s="18" t="inlineStr"/>
      <c r="L35" s="18" t="inlineStr">
        <is>
          <t>CINV &amp; Supportive Care</t>
        </is>
      </c>
      <c r="M35" s="18" t="inlineStr">
        <is>
          <t>Clinic</t>
        </is>
      </c>
      <c r="N35" s="18" t="inlineStr">
        <is>
          <t>ข้อ 33 ชุด 1 (เฉลยข้อ ก ข)</t>
        </is>
      </c>
      <c r="O35" s="18" t="inlineStr">
        <is>
          <t>Mock</t>
        </is>
      </c>
      <c r="P35" s="18" t="inlineStr">
        <is>
          <t>ชุด 1</t>
        </is>
      </c>
    </row>
    <row r="36">
      <c r="A36" s="15" t="inlineStr">
        <is>
          <t>34</t>
        </is>
      </c>
      <c r="B36" s="18"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6" s="18" t="inlineStr"/>
      <c r="D36" s="15" t="inlineStr">
        <is>
          <t>150</t>
        </is>
      </c>
      <c r="E36" s="15" t="inlineStr">
        <is>
          <t>175</t>
        </is>
      </c>
      <c r="F36" s="15" t="inlineStr">
        <is>
          <t>200</t>
        </is>
      </c>
      <c r="G36" s="15" t="inlineStr">
        <is>
          <t>225</t>
        </is>
      </c>
      <c r="H36" s="15" t="inlineStr">
        <is>
          <t>250</t>
        </is>
      </c>
      <c r="I36" s="15" t="inlineStr">
        <is>
          <t>2</t>
        </is>
      </c>
      <c r="J36" s="18"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6" s="18" t="inlineStr"/>
      <c r="L36" s="18" t="inlineStr">
        <is>
          <t>CINV &amp; Supportive Care</t>
        </is>
      </c>
      <c r="M36" s="18" t="inlineStr">
        <is>
          <t>Clinic</t>
        </is>
      </c>
      <c r="N36" s="18" t="inlineStr">
        <is>
          <t>ข้อ 34 ชุด 1 (เฉลยข้อ ข)</t>
        </is>
      </c>
      <c r="O36" s="18" t="inlineStr">
        <is>
          <t>Mock</t>
        </is>
      </c>
      <c r="P36" s="18" t="inlineStr">
        <is>
          <t>ชุด 1</t>
        </is>
      </c>
    </row>
    <row r="37">
      <c r="A37" s="15" t="inlineStr">
        <is>
          <t>35</t>
        </is>
      </c>
      <c r="B37" s="18"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7" s="18" t="inlineStr"/>
      <c r="D37" s="18" t="inlineStr">
        <is>
          <t>Nephrotoxicity</t>
        </is>
      </c>
      <c r="E37" s="18" t="inlineStr">
        <is>
          <t>Neurotoxicity</t>
        </is>
      </c>
      <c r="F37" s="18" t="inlineStr">
        <is>
          <t>Hypotension</t>
        </is>
      </c>
      <c r="G37" s="18" t="inlineStr">
        <is>
          <t>Pulmonary toxicity</t>
        </is>
      </c>
      <c r="H37" s="18" t="inlineStr">
        <is>
          <t>Ototoxicity</t>
        </is>
      </c>
      <c r="I37" s="15" t="inlineStr">
        <is>
          <t>4</t>
        </is>
      </c>
      <c r="J37" s="18"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ข้อนี้ไม่ใช่คำตอบที่ถูกต้องสำหรับภาวะ CINV &amp; Supportive Care เนื่องจากกลไกการออกฤทธิ์, efficacy หรือข้อบ่งใช้ไม่ตรงกับโจทย์ที่กำหนด
• ข้อ ข. (Neurotoxicity): ข้อนี้ไม่ใช่คำตอบที่ถูกต้องสำหรับภาวะ CINV &amp; Supportive Care เนื่องจากกลไกการออกฤทธิ์, efficacy หรือข้อบ่งใช้ไม่ตรงกับโจทย์ที่กำหนด
• ข้อ ค. (Hypotension): ข้อนี้ไม่ใช่คำตอบที่ถูกต้องสำหรับภาวะ CINV &amp; Supportive Care เนื่องจากกลไกการออกฤทธิ์, efficacy หรือข้อบ่งใช้ไม่ตรงกับโจทย์ที่กำหนด
• ข้อ จ. (Ototoxicity):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7" s="18" t="inlineStr"/>
      <c r="L37" s="18" t="inlineStr">
        <is>
          <t>CINV &amp; Supportive Care</t>
        </is>
      </c>
      <c r="M37" s="18" t="inlineStr">
        <is>
          <t>Clinic</t>
        </is>
      </c>
      <c r="N37" s="18" t="inlineStr">
        <is>
          <t>ข้อ 35 ชุด 1 (เฉลยข้อ ง)</t>
        </is>
      </c>
      <c r="O37" s="18" t="inlineStr">
        <is>
          <t>Mock</t>
        </is>
      </c>
      <c r="P37" s="18" t="inlineStr">
        <is>
          <t>ชุด 1</t>
        </is>
      </c>
    </row>
    <row r="38">
      <c r="A38" s="15" t="inlineStr">
        <is>
          <t>36</t>
        </is>
      </c>
      <c r="B38" s="18" t="inlineStr">
        <is>
          <t>กลไกการออกฤทธิ์ของยา cisplatin คืออะไร</t>
        </is>
      </c>
      <c r="C38" s="18" t="inlineStr"/>
      <c r="D38" s="18" t="inlineStr">
        <is>
          <t>Antimetabolite</t>
        </is>
      </c>
      <c r="E38" s="18" t="inlineStr">
        <is>
          <t>Topoisomerase inhibitor</t>
        </is>
      </c>
      <c r="F38" s="18" t="inlineStr">
        <is>
          <t>Produce free radical</t>
        </is>
      </c>
      <c r="G38" s="18" t="inlineStr">
        <is>
          <t>Mitotic spindle toxicity</t>
        </is>
      </c>
      <c r="H38" s="18" t="inlineStr">
        <is>
          <t>Alkylating agent</t>
        </is>
      </c>
      <c r="I38" s="15" t="inlineStr">
        <is>
          <t>5</t>
        </is>
      </c>
      <c r="J38" s="18"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ง. (Mitotic spindle 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8" s="18" t="inlineStr"/>
      <c r="L38" s="18" t="inlineStr">
        <is>
          <t>CINV &amp; Supportive Care</t>
        </is>
      </c>
      <c r="M38" s="18" t="inlineStr">
        <is>
          <t>Clinic</t>
        </is>
      </c>
      <c r="N38" s="18" t="inlineStr">
        <is>
          <t>ข้อ 36 ชุด 1 (เฉลยข้อ จ)</t>
        </is>
      </c>
      <c r="O38" s="18" t="inlineStr">
        <is>
          <t>Mock</t>
        </is>
      </c>
      <c r="P38" s="18" t="inlineStr">
        <is>
          <t>ชุด 1</t>
        </is>
      </c>
    </row>
    <row r="39">
      <c r="A39" s="15" t="inlineStr">
        <is>
          <t>37</t>
        </is>
      </c>
      <c r="B39" s="18"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จากยาสูตรดังกล่าว ควรให้การป้องกันการอาเจียนในระยะ acute phase แก่ผู้ป่วย ข้อใดเหมาะสมที่สุด</t>
        </is>
      </c>
      <c r="C39" s="18" t="inlineStr"/>
      <c r="D39" s="18" t="inlineStr">
        <is>
          <t>Dronabinol + lorazepam</t>
        </is>
      </c>
      <c r="E39" s="18" t="inlineStr">
        <is>
          <t>Metoclopramide + dexamethasone</t>
        </is>
      </c>
      <c r="F39" s="18" t="inlineStr">
        <is>
          <t>Ondansetron + dexamethasone</t>
        </is>
      </c>
      <c r="G39" s="18" t="inlineStr">
        <is>
          <t>Metoclopramide + lorazepam</t>
        </is>
      </c>
      <c r="H39" s="18" t="inlineStr">
        <is>
          <t>Ondansetron + lorazepam</t>
        </is>
      </c>
      <c r="I39" s="15" t="inlineStr">
        <is>
          <t>3</t>
        </is>
      </c>
      <c r="J39" s="18" t="inlineStr">
        <is>
          <t>✅ คำตอบที่ถูกต้อง: ข้อ ค.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Cisplatin จัดเป็น High emetogenic chemotherapy (HEC) ซึ่งตามแนวทาง MASCC/ESMO และ ASCO แนะนำให้ใช้ 3-drug regimen ประกอบด้วย 5-HT3 receptor antagonist + Dexamethasone + NK1 receptor antagonist (หรือถ้าไม่มีตัวเลือก NK1 RA การใช้ 5-HT3 antagonist ร่วมกับ Dexamethasone เป็นมาตรฐานสำคัญในสูตรพื้นฐานสำหรับการป้องกัน acute CINV)
🔍 ข้ออื่นผิดเพราะอะไร:
• ข้อ ก. (Dronabinol + lorazepam): เป็น Benzodiazepine กลุ่ม LOT (Lorazepam, Oxazepam, Temazepam) ที่ผ่าน hepatic Phase II glucuronidation โดยตรง ไม่ผ่าน CYP oxidation จึงปลอดภัยกว่าในผู้สูงอายุและโรคตับ
• ข้อ ข. (Metoclopramide + dexamethasone): เป็น long-acting potent glucocorticoid ไม่มี mineralocorticoid effect จึงไม่ทำให้น้ำคั่ง เหมาะสำหรับ brain edema, antiemetic, และ COVID-19 with hypoxemia
• ข้อ ง.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(Ondansetron +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9" s="18" t="inlineStr"/>
      <c r="L39" s="18" t="inlineStr">
        <is>
          <t>CINV &amp; Supportive Care</t>
        </is>
      </c>
      <c r="M39" s="18" t="inlineStr">
        <is>
          <t>Clinic</t>
        </is>
      </c>
      <c r="N39" s="18" t="inlineStr">
        <is>
          <t>ข้อ 37 ชุด 1 (เฉลยข้อ ค)</t>
        </is>
      </c>
      <c r="O39" s="18" t="inlineStr">
        <is>
          <t>Mock</t>
        </is>
      </c>
      <c r="P39" s="18" t="inlineStr">
        <is>
          <t>ชุด 1</t>
        </is>
      </c>
    </row>
    <row r="40">
      <c r="A40" s="15" t="inlineStr">
        <is>
          <t>38</t>
        </is>
      </c>
      <c r="B40" s="18" t="inlineStr">
        <is>
          <t>ยาเคมีชนิดใดไม่ได้สกัดมาจากธรรมชาติ</t>
        </is>
      </c>
      <c r="C40" s="18" t="inlineStr"/>
      <c r="D40" s="18" t="inlineStr">
        <is>
          <t>Doxorubicin</t>
        </is>
      </c>
      <c r="E40" s="18" t="inlineStr">
        <is>
          <t>Paclitaxel</t>
        </is>
      </c>
      <c r="F40" s="18" t="inlineStr">
        <is>
          <t>Oxaliplatin</t>
        </is>
      </c>
      <c r="G40" s="18" t="inlineStr">
        <is>
          <t>Vincristine</t>
        </is>
      </c>
      <c r="H40" s="18" t="inlineStr">
        <is>
          <t>Hydroxyurea</t>
        </is>
      </c>
      <c r="I40" s="15" t="inlineStr">
        <is>
          <t>3</t>
        </is>
      </c>
      <c r="J40" s="18"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(Paclitaxel): ข้อนี้ไม่ใช่คำตอบที่ถูกต้องสำหรับภาวะ CINV &amp; Supportive Care เนื่องจากกลไกการออกฤทธิ์, efficacy หรือข้อบ่งใช้ไม่ตรงกับโจทย์ที่กำหนด
• ข้อ ง. (Vincristine): ข้อนี้ไม่ใช่คำตอบที่ถูกต้องสำหรับภาวะ CINV &amp; Supportive Care เนื่องจากกลไกการออกฤทธิ์, efficacy หรือข้อบ่งใช้ไม่ตรงกับโจทย์ที่กำหนด
• ข้อ จ. (Hydroxyurea):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8" t="inlineStr"/>
      <c r="L40" s="18" t="inlineStr">
        <is>
          <t>CINV &amp; Supportive Care</t>
        </is>
      </c>
      <c r="M40" s="18" t="inlineStr">
        <is>
          <t>Clinic</t>
        </is>
      </c>
      <c r="N40" s="18" t="inlineStr">
        <is>
          <t>ข้อ 38 ชุด 1 (เฉลยข้อ ค)</t>
        </is>
      </c>
      <c r="O40" s="18" t="inlineStr">
        <is>
          <t>Mock</t>
        </is>
      </c>
      <c r="P40" s="18" t="inlineStr">
        <is>
          <t>ชุด 1</t>
        </is>
      </c>
    </row>
    <row r="41">
      <c r="A41" s="15" t="inlineStr">
        <is>
          <t>39</t>
        </is>
      </c>
      <c r="B41" s="18" t="inlineStr">
        <is>
          <t>กลไกการออกฤทธิ์ของยา paclitaxel คืออะไร</t>
        </is>
      </c>
      <c r="C41" s="18" t="inlineStr"/>
      <c r="D41" s="18" t="inlineStr">
        <is>
          <t>Antimetabolite</t>
        </is>
      </c>
      <c r="E41" s="18" t="inlineStr">
        <is>
          <t>Topoisomerase inhibitor</t>
        </is>
      </c>
      <c r="F41" s="18" t="inlineStr">
        <is>
          <t>Produce free radical</t>
        </is>
      </c>
      <c r="G41" s="18" t="inlineStr">
        <is>
          <t>Mitotic phase inhibitor</t>
        </is>
      </c>
      <c r="H41" s="18" t="inlineStr">
        <is>
          <t>Alkylating agent</t>
        </is>
      </c>
      <c r="I41" s="15" t="inlineStr">
        <is>
          <t>4</t>
        </is>
      </c>
      <c r="J41" s="18"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จ. (Alkylating agent):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8" t="inlineStr"/>
      <c r="L41" s="18" t="inlineStr">
        <is>
          <t>CINV &amp; Supportive Care</t>
        </is>
      </c>
      <c r="M41" s="18" t="inlineStr">
        <is>
          <t>Clinic</t>
        </is>
      </c>
      <c r="N41" s="18" t="inlineStr">
        <is>
          <t>ข้อ 39 ชุด 1 (เฉลยข้อ ง)</t>
        </is>
      </c>
      <c r="O41" s="18" t="inlineStr">
        <is>
          <t>Mock</t>
        </is>
      </c>
      <c r="P41" s="18" t="inlineStr">
        <is>
          <t>ชุด 1</t>
        </is>
      </c>
    </row>
    <row r="42">
      <c r="A42" s="15" t="inlineStr">
        <is>
          <t>40</t>
        </is>
      </c>
      <c r="B42" s="18" t="inlineStr">
        <is>
          <t>ผู้ป่วยมะเร็งที่มีอาการปวดรุนแรง และได้รับยาแก้ปวด opioids ปริมาณสูง อาจทำให้เกิดผลข้างเคียงใด</t>
        </is>
      </c>
      <c r="C42" s="18" t="inlineStr"/>
      <c r="D42" s="18" t="inlineStr">
        <is>
          <t>Diarrhea, Convulsion</t>
        </is>
      </c>
      <c r="E42" s="18" t="inlineStr">
        <is>
          <t>Mydriasis, Hypoventilation</t>
        </is>
      </c>
      <c r="F42" s="18" t="inlineStr">
        <is>
          <t>Hyperthermia</t>
        </is>
      </c>
      <c r="G42" s="18" t="inlineStr">
        <is>
          <t>Coma, Miosis</t>
        </is>
      </c>
      <c r="H42" s="18" t="inlineStr">
        <is>
          <t>Hyperventilation</t>
        </is>
      </c>
      <c r="I42" s="15" t="inlineStr">
        <is>
          <t>4</t>
        </is>
      </c>
      <c r="J42" s="18"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ข้อนี้ไม่ใช่คำตอบที่ถูกต้องสำหรับภาวะ CINV &amp; Supportive Care เนื่องจากกลไกการออกฤทธิ์, efficacy หรือข้อบ่งใช้ไม่ตรงกับโจทย์ที่กำหนด
• ข้อ ข. (Mydriasis, Hypoventilation): ข้อนี้ไม่ใช่คำตอบที่ถูกต้องสำหรับภาวะ CINV &amp; Supportive Care เนื่องจากกลไกการออกฤทธิ์, efficacy หรือข้อบ่งใช้ไม่ตรงกับโจทย์ที่กำหนด
• ข้อ ค. (Hyperthermia): ข้อนี้ไม่ใช่คำตอบที่ถูกต้องสำหรับภาวะ CINV &amp; Supportive Care เนื่องจากกลไกการออกฤทธิ์, efficacy หรือข้อบ่งใช้ไม่ตรงกับโจทย์ที่กำหนด
• ข้อ จ. (Hyperventilation):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18" t="inlineStr"/>
      <c r="L42" s="18" t="inlineStr">
        <is>
          <t>CINV &amp; Supportive Care</t>
        </is>
      </c>
      <c r="M42" s="18" t="inlineStr">
        <is>
          <t>Clinic</t>
        </is>
      </c>
      <c r="N42" s="18" t="inlineStr">
        <is>
          <t>ข้อ 40 ชุด 1 (เฉลยข้อ ง)</t>
        </is>
      </c>
      <c r="O42" s="18" t="inlineStr">
        <is>
          <t>Mock</t>
        </is>
      </c>
      <c r="P42" s="18" t="inlineStr">
        <is>
          <t>ชุด 1</t>
        </is>
      </c>
    </row>
    <row r="43">
      <c r="A43" s="15" t="inlineStr">
        <is>
          <t>41</t>
        </is>
      </c>
      <c r="B43" s="18" t="inlineStr">
        <is>
          <t>การใช้ leucovorin ร่วมเมื่อใช้ยา methotrexate ขนาดสูง ในการรักษามะเร็งบางชนิด เพื่ออะไร</t>
        </is>
      </c>
      <c r="C43" s="18" t="inlineStr"/>
      <c r="D43" s="18" t="inlineStr">
        <is>
          <t>ช่วยเพิ่ม MTX เข้าสู่เซลล์มะเร็ง</t>
        </is>
      </c>
      <c r="E43" s="18" t="inlineStr">
        <is>
          <t>ช่วยเร่งการขับ MTX ออกทางปัสสาวะ</t>
        </is>
      </c>
      <c r="F43" s="18" t="inlineStr">
        <is>
          <t>ช่วยเร่งการแปรูปของ MTX ที่ตับ</t>
        </is>
      </c>
      <c r="G43" s="18" t="inlineStr">
        <is>
          <t>ช่วยลดความเป็นพิษของ MTX ต่อเซลล์ปกติ</t>
        </is>
      </c>
      <c r="H43" s="18" t="inlineStr">
        <is>
          <t>ช่วยเพิ่มความเป็นพิษของ MTX ต่อเซลล์มะเร็ง</t>
        </is>
      </c>
      <c r="I43" s="15" t="inlineStr">
        <is>
          <t>4</t>
        </is>
      </c>
      <c r="J43" s="18"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(ช่วยเร่งการขับ MTX ออกทางปัสสาวะ): ข้อนี้ไม่ใช่คำตอบที่ถูกต้องสำหรับภาวะ CINV &amp; Supportive Care เนื่องจากกลไกการออกฤทธิ์, efficacy หรือข้อบ่งใช้ไม่ตรงกับโจทย์ที่กำหนด
• ข้อ ค. (ช่วยเร่งการแปรูปของ MTX ที่ตับ): ข้อนี้ไม่ใช่คำตอบที่ถูกต้องสำหรับภาวะ CINV &amp; Supportive Care เนื่องจากกลไกการออกฤทธิ์, efficacy หรือข้อบ่งใช้ไม่ตรงกับโจทย์ที่กำหนด
• ข้อ จ. (ช่วยเพิ่มความเป็นพิษของ MTX ต่อเซลล์มะเร็ง):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3" s="18" t="inlineStr"/>
      <c r="L43" s="18" t="inlineStr">
        <is>
          <t>CINV &amp; Supportive Care</t>
        </is>
      </c>
      <c r="M43" s="18" t="inlineStr">
        <is>
          <t>Clinic</t>
        </is>
      </c>
      <c r="N43" s="18" t="inlineStr">
        <is>
          <t>ข้อ 41 ชุด 1 (เฉลยข้อ ง)</t>
        </is>
      </c>
      <c r="O43" s="18" t="inlineStr">
        <is>
          <t>Mock</t>
        </is>
      </c>
      <c r="P43" s="18" t="inlineStr">
        <is>
          <t>ชุด 1</t>
        </is>
      </c>
    </row>
    <row r="44">
      <c r="A44" s="15" t="inlineStr">
        <is>
          <t>42</t>
        </is>
      </c>
      <c r="B44" s="18" t="inlineStr">
        <is>
          <t>ยาใดต่อไปนี้เกี่ยวข้องกับ nephrotoxicity</t>
        </is>
      </c>
      <c r="C44" s="18" t="inlineStr"/>
      <c r="D44" s="18" t="inlineStr">
        <is>
          <t>Methotrexate</t>
        </is>
      </c>
      <c r="E44" s="18" t="inlineStr">
        <is>
          <t>Etoposide</t>
        </is>
      </c>
      <c r="F44" s="18" t="inlineStr">
        <is>
          <t>Doxorubicin</t>
        </is>
      </c>
      <c r="G44" s="18" t="inlineStr">
        <is>
          <t>Vinorelbine</t>
        </is>
      </c>
      <c r="H44" s="18" t="inlineStr">
        <is>
          <t>Docetaxel</t>
        </is>
      </c>
      <c r="I44" s="15" t="inlineStr">
        <is>
          <t>1</t>
        </is>
      </c>
      <c r="J44" s="18"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ข้อนี้ไม่ใช่คำตอบที่ถูกต้องสำหรับภาวะ CINV &amp; Supportive Care เนื่องจากกลไกการออกฤทธิ์, efficacy หรือข้อบ่งใช้ไม่ตรงกับโจทย์ที่กำหนด
• ข้อ ค. (Doxorubicin): ข้อนี้ไม่ใช่คำตอบที่ถูกต้องสำหรับภาวะ CINV &amp; Supportive Care เนื่องจากกลไกการออกฤทธิ์, efficacy หรือข้อบ่งใช้ไม่ตรงกับโจทย์ที่กำหนด
• ข้อ ง. (Vinorelbine): ข้อนี้ไม่ใช่คำตอบที่ถูกต้องสำหรับภาวะ CINV &amp; Supportive Care เนื่องจากกลไกการออกฤทธิ์, efficacy หรือข้อบ่งใช้ไม่ตรงกับโจทย์ที่กำหนด
• ข้อ จ. (Docetaxel):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4" s="18" t="inlineStr"/>
      <c r="L44" s="18" t="inlineStr">
        <is>
          <t>CINV &amp; Supportive Care</t>
        </is>
      </c>
      <c r="M44" s="18" t="inlineStr">
        <is>
          <t>Clinic</t>
        </is>
      </c>
      <c r="N44" s="18" t="inlineStr">
        <is>
          <t>ข้อ 42 ชุด 1 (เฉลยข้อ ก)</t>
        </is>
      </c>
      <c r="O44" s="18" t="inlineStr">
        <is>
          <t>Mock</t>
        </is>
      </c>
      <c r="P44" s="18" t="inlineStr">
        <is>
          <t>ชุด 1</t>
        </is>
      </c>
    </row>
    <row r="45">
      <c r="A45" s="15" t="inlineStr">
        <is>
          <t>43</t>
        </is>
      </c>
      <c r="B45" s="18" t="inlineStr">
        <is>
          <t>คู่ยาใดที่อาจเกิด drug interaction จนทำให้ระดับยาในเลือดเพิ่มสูงขึ้นจนเป็นอันตรายแก่ผู้ป่วย</t>
        </is>
      </c>
      <c r="C45" s="18" t="inlineStr"/>
      <c r="D45" s="18" t="inlineStr">
        <is>
          <t>Tamoxifen - warfarin</t>
        </is>
      </c>
      <c r="E45" s="18" t="inlineStr">
        <is>
          <t>Cisplatin - cimetidine</t>
        </is>
      </c>
      <c r="F45" s="18" t="inlineStr">
        <is>
          <t>Methotrexate - phenobarbitone</t>
        </is>
      </c>
      <c r="G45" s="18" t="inlineStr">
        <is>
          <t>Doxorubicin - tetracycline</t>
        </is>
      </c>
      <c r="H45" s="18" t="inlineStr">
        <is>
          <t>Mercaptopurine - allopurinol</t>
        </is>
      </c>
      <c r="I45" s="15" t="inlineStr">
        <is>
          <t>5</t>
        </is>
      </c>
      <c r="J45" s="18"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ข้อนี้ไม่ใช่คำตอบที่ถูกต้องสำหรับภาวะ CINV &amp; Supportive Care เนื่องจากกลไกการออกฤทธิ์, efficacy หรือข้อบ่งใช้ไม่ตรงกับโจทย์ที่กำหนด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5" s="18" t="inlineStr"/>
      <c r="L45" s="18" t="inlineStr">
        <is>
          <t>CINV &amp; Supportive Care</t>
        </is>
      </c>
      <c r="M45" s="18" t="inlineStr">
        <is>
          <t>Clinic</t>
        </is>
      </c>
      <c r="N45" s="18" t="inlineStr">
        <is>
          <t>ข้อ 43 ชุด 1 (เฉลยข้อ จ)</t>
        </is>
      </c>
      <c r="O45" s="18" t="inlineStr">
        <is>
          <t>Mock</t>
        </is>
      </c>
      <c r="P45" s="18" t="inlineStr">
        <is>
          <t>ชุด 1</t>
        </is>
      </c>
    </row>
    <row r="46">
      <c r="A46" s="15" t="inlineStr">
        <is>
          <t>44</t>
        </is>
      </c>
      <c r="B46" s="18" t="inlineStr">
        <is>
          <t>ยาเคมีชนิดใดที่ใช้เป็น immunosuppressive agent ได้ด้วย</t>
        </is>
      </c>
      <c r="C46" s="18" t="inlineStr"/>
      <c r="D46" s="18" t="inlineStr">
        <is>
          <t>5-Fluorouracil</t>
        </is>
      </c>
      <c r="E46" s="18" t="inlineStr">
        <is>
          <t>Irinotecan</t>
        </is>
      </c>
      <c r="F46" s="18" t="inlineStr">
        <is>
          <t>Cyclophosphamide</t>
        </is>
      </c>
      <c r="G46" s="18" t="inlineStr">
        <is>
          <t>Cisplatin</t>
        </is>
      </c>
      <c r="H46" s="18" t="inlineStr">
        <is>
          <t>Doxorubicin</t>
        </is>
      </c>
      <c r="I46" s="15" t="inlineStr">
        <is>
          <t>3</t>
        </is>
      </c>
      <c r="J46" s="18"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ข้อนี้ไม่ใช่คำตอบที่ถูกต้องสำหรับภาวะ CINV &amp; Supportive Care เนื่องจากกลไกการออกฤทธิ์, efficacy หรือข้อบ่งใช้ไม่ตรงกับโจทย์ที่กำหนด
• ข้อ ข. (Irinotecan): ข้อนี้ไม่ใช่คำตอบที่ถูกต้องสำหรับภาวะ CINV &amp; Supportive Care เนื่องจากกลไกการออกฤทธิ์, efficacy หรือข้อบ่งใช้ไม่ตรงกับโจทย์ที่กำหนด
• ข้อ ง. (Cisplatin): ข้อนี้ไม่ใช่คำตอบที่ถูกต้องสำหรับภาวะ CINV &amp; Supportive Care เนื่องจากกลไกการออกฤทธิ์, efficacy หรือข้อบ่งใช้ไม่ตรงกับโจทย์ที่กำหนด
• ข้อ จ. (Doxorubicin):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8" t="inlineStr"/>
      <c r="L46" s="18" t="inlineStr">
        <is>
          <t>CINV &amp; Supportive Care</t>
        </is>
      </c>
      <c r="M46" s="18" t="inlineStr">
        <is>
          <t>Clinic</t>
        </is>
      </c>
      <c r="N46" s="18" t="inlineStr">
        <is>
          <t>ข้อ 44 ชุด 1 (เฉลยข้อ ค)</t>
        </is>
      </c>
      <c r="O46" s="18" t="inlineStr">
        <is>
          <t>Mock</t>
        </is>
      </c>
      <c r="P46" s="18" t="inlineStr">
        <is>
          <t>ชุด 1</t>
        </is>
      </c>
    </row>
    <row r="47">
      <c r="A47" s="15" t="inlineStr">
        <is>
          <t>45</t>
        </is>
      </c>
      <c r="B47" s="1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7" s="18" t="inlineStr"/>
      <c r="D47" s="18" t="inlineStr">
        <is>
          <t>ค่า serum creatinine</t>
        </is>
      </c>
      <c r="E47" s="18" t="inlineStr">
        <is>
          <t>ค่า CBC (complete blood count)</t>
        </is>
      </c>
      <c r="F47" s="18" t="inlineStr">
        <is>
          <t>ค่า ejection fraction ของหัวใจ</t>
        </is>
      </c>
      <c r="G47" s="18" t="inlineStr">
        <is>
          <t>ค่า electrolyte</t>
        </is>
      </c>
      <c r="H47" s="18" t="inlineStr">
        <is>
          <t>ผลวิเคราะห์ทางจุลชีววิทยา (blood cultures)</t>
        </is>
      </c>
      <c r="I47" s="15" t="inlineStr">
        <is>
          <t>1</t>
        </is>
      </c>
      <c r="J47" s="18"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ข้อนี้ไม่ใช่คำตอบที่ถูกต้องสำหรับภาวะ CINV &amp; Supportive Care เนื่องจากกลไกการออกฤทธิ์, efficacy หรือข้อบ่งใช้ไม่ตรงกับโจทย์ที่กำหนด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ข้อนี้ไม่ใช่คำตอบที่ถูกต้องสำหรับภาวะ CINV &amp; Supportive Care เนื่องจากกลไกการออกฤทธิ์, efficacy หรือข้อบ่งใช้ไม่ตรงกับโจทย์ที่กำหนด
• ข้อ จ. (ผลวิเคราะห์ทางจุลชีววิทยา (blood cultures)):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18" t="inlineStr"/>
      <c r="L47" s="18" t="inlineStr">
        <is>
          <t>CINV &amp; Supportive Care</t>
        </is>
      </c>
      <c r="M47" s="18" t="inlineStr">
        <is>
          <t>Clinic</t>
        </is>
      </c>
      <c r="N47" s="18" t="inlineStr">
        <is>
          <t>ข้อ 45 ชุด 1 (เฉลยข้อ ก ข)</t>
        </is>
      </c>
      <c r="O47" s="18" t="inlineStr">
        <is>
          <t>Mock</t>
        </is>
      </c>
      <c r="P47" s="18" t="inlineStr">
        <is>
          <t>ชุด 1</t>
        </is>
      </c>
    </row>
    <row r="48">
      <c r="A48" s="15" t="inlineStr">
        <is>
          <t>46</t>
        </is>
      </c>
      <c r="B48" s="1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8" s="18" t="inlineStr"/>
      <c r="D48" s="18" t="inlineStr">
        <is>
          <t>การผ่าตัดแบบ modified radical mastectomy เพื่อกำจัดมะเร็ง</t>
        </is>
      </c>
      <c r="E48" s="18" t="inlineStr">
        <is>
          <t>อาการข้างเคียงของ cyclophosphamide</t>
        </is>
      </c>
      <c r="F48" s="18" t="inlineStr">
        <is>
          <t>อาการข้างเคียงของ cyclophosphamide และ doxorubicin</t>
        </is>
      </c>
      <c r="G48" s="18" t="inlineStr">
        <is>
          <t>อาการข้างเคียงของ doxorubicin</t>
        </is>
      </c>
      <c r="H48" s="18" t="inlineStr">
        <is>
          <t>อาการแทรกซ้อนจากการผ่าตัด ร่วมกับการให้ยาเคมีบำบัด</t>
        </is>
      </c>
      <c r="I48" s="15" t="inlineStr">
        <is>
          <t>4</t>
        </is>
      </c>
      <c r="J48" s="18"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(อาการข้างเคียงของ cyclophosphamide): ข้อนี้ไม่ใช่คำตอบที่ถูกต้องสำหรับภาวะ CINV &amp; Supportive Care เนื่องจากกลไกการออกฤทธิ์, efficacy หรือข้อบ่งใช้ไม่ตรงกับโจทย์ที่กำหนด
• ข้อ ค. (อาการข้างเคียงของ cyclophosphamide และ doxorubicin): ข้อนี้ไม่ใช่คำตอบที่ถูกต้องสำหรับภาวะ CINV &amp; Supportive Care เนื่องจากกลไกการออกฤทธิ์, efficacy หรือข้อบ่งใช้ไม่ตรงกับโจทย์ที่กำหนด
• ข้อ จ. (อาการแทรกซ้อนจากการผ่าตัด ร่วมกับการให้ยาเคมีบำบัด):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18" t="inlineStr"/>
      <c r="L48" s="18" t="inlineStr">
        <is>
          <t>CINV &amp; Supportive Care</t>
        </is>
      </c>
      <c r="M48" s="18" t="inlineStr">
        <is>
          <t>Clinic</t>
        </is>
      </c>
      <c r="N48" s="18" t="inlineStr">
        <is>
          <t>ข้อ 46 ชุด 1 (เฉลยข้อ ง)</t>
        </is>
      </c>
      <c r="O48" s="18" t="inlineStr">
        <is>
          <t>Mock</t>
        </is>
      </c>
      <c r="P48" s="18" t="inlineStr">
        <is>
          <t>ชุด 1</t>
        </is>
      </c>
    </row>
    <row r="49">
      <c r="A49" s="15" t="inlineStr">
        <is>
          <t>47</t>
        </is>
      </c>
      <c r="B49" s="1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9" s="18" t="inlineStr"/>
      <c r="D49" s="18" t="inlineStr">
        <is>
          <t>การกดการทำงานขอไขกระดูก</t>
        </is>
      </c>
      <c r="E49" s="18" t="inlineStr">
        <is>
          <t>เยื่อบุทางเดินอาหารอักเสบ</t>
        </is>
      </c>
      <c r="F49" s="18" t="inlineStr">
        <is>
          <t>คลื่นไส้อาเจียน</t>
        </is>
      </c>
      <c r="G49" s="18" t="inlineStr">
        <is>
          <t>ผมร่วง</t>
        </is>
      </c>
      <c r="H49" s="18" t="inlineStr">
        <is>
          <t>ชาตามปลายประสาท</t>
        </is>
      </c>
      <c r="I49" s="15" t="inlineStr">
        <is>
          <t>2</t>
        </is>
      </c>
      <c r="J49" s="18"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ข้อนี้ไม่ใช่คำตอบที่ถูกต้องสำหรับภาวะ CINV &amp; Supportive Care เนื่องจากกลไกการออกฤทธิ์, efficacy หรือข้อบ่งใช้ไม่ตรงกับโจทย์ที่กำหนด
• ข้อ ค. (คลื่นไส้อาเจียน): ข้อนี้ไม่ใช่คำตอบที่ถูกต้องสำหรับภาวะ CINV &amp; Supportive Care เนื่องจากกลไกการออกฤทธิ์, efficacy หรือข้อบ่งใช้ไม่ตรงกับโจทย์ที่กำหนด
• ข้อ ง.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จ. (ชาตามปลายประสาท):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18" t="inlineStr"/>
      <c r="L49" s="18" t="inlineStr">
        <is>
          <t>CINV &amp; Supportive Care</t>
        </is>
      </c>
      <c r="M49" s="18" t="inlineStr">
        <is>
          <t>Clinic</t>
        </is>
      </c>
      <c r="N49" s="18" t="inlineStr">
        <is>
          <t>ข้อ 47 ชุด 1 (เฉลยข้อ ข ค)</t>
        </is>
      </c>
      <c r="O49" s="18" t="inlineStr">
        <is>
          <t>Mock</t>
        </is>
      </c>
      <c r="P49" s="18" t="inlineStr">
        <is>
          <t>ชุด 1</t>
        </is>
      </c>
    </row>
    <row r="50">
      <c r="A50" s="15" t="inlineStr">
        <is>
          <t>48</t>
        </is>
      </c>
      <c r="B50" s="1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50" s="18" t="inlineStr"/>
      <c r="D50" s="18" t="inlineStr">
        <is>
          <t>Estrogen receptor เช่น tamoxifen</t>
        </is>
      </c>
      <c r="E50" s="18" t="inlineStr">
        <is>
          <t>Methotrexate แบบรับประทานเพื่อควบคุมโรค</t>
        </is>
      </c>
      <c r="F50" s="18" t="inlineStr">
        <is>
          <t>การฉายรังสีบริเวณที่ได้รับการผ่าตัด</t>
        </is>
      </c>
      <c r="G50" s="18" t="inlineStr">
        <is>
          <t>การรับประทานยาคุมกำเนิดขนาดสูง</t>
        </is>
      </c>
      <c r="H50" s="18" t="inlineStr">
        <is>
          <t>การเพิ่มการให้ยาเคมีบำัดจาก 4 เดือน เป็น 6 เดือน</t>
        </is>
      </c>
      <c r="I50" s="15" t="inlineStr">
        <is>
          <t>1</t>
        </is>
      </c>
      <c r="J50" s="18"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ข้อนี้ไม่ใช่คำตอบที่ถูกต้องสำหรับภาวะ CINV &amp; Supportive Care เนื่องจากกลไกการออกฤทธิ์, efficacy หรือข้อบ่งใช้ไม่ตรงกับโจทย์ที่กำหนด
• ข้อ ง. (การรับประทานยาคุมกำเนิดขนาดสูง): ข้อนี้ไม่ใช่คำตอบที่ถูกต้องสำหรับภาวะ CINV &amp; Supportive Care เนื่องจากกลไกการออกฤทธิ์, efficacy หรือข้อบ่งใช้ไม่ตรงกับโจทย์ที่กำหนด
• ข้อ จ. (การเพิ่มการให้ยาเคมีบำัดจาก 4 เดือน เป็น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18" t="inlineStr"/>
      <c r="L50" s="18" t="inlineStr">
        <is>
          <t>CINV &amp; Supportive Care</t>
        </is>
      </c>
      <c r="M50" s="18" t="inlineStr">
        <is>
          <t>Clinic</t>
        </is>
      </c>
      <c r="N50" s="18" t="inlineStr">
        <is>
          <t>ข้อ 48 ชุด 1 (เฉลยข้อ ก)</t>
        </is>
      </c>
      <c r="O50" s="18" t="inlineStr">
        <is>
          <t>Mock</t>
        </is>
      </c>
      <c r="P50" s="18" t="inlineStr">
        <is>
          <t>ชุด 1</t>
        </is>
      </c>
    </row>
    <row r="51">
      <c r="A51" s="15" t="inlineStr">
        <is>
          <t>49</t>
        </is>
      </c>
      <c r="B51" s="1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51" s="18" t="inlineStr"/>
      <c r="D51" s="18" t="inlineStr">
        <is>
          <t>รักษาให้หายขาด</t>
        </is>
      </c>
      <c r="E51" s="18" t="inlineStr">
        <is>
          <t>ยืดอายุผู้ป่วย</t>
        </is>
      </c>
      <c r="F51" s="18" t="inlineStr">
        <is>
          <t>รักษาผู้ป่วยแบบประคับประคอง</t>
        </is>
      </c>
      <c r="G51" s="18" t="inlineStr">
        <is>
          <t>เพื่อลดการกลับซ้ำของโรค</t>
        </is>
      </c>
      <c r="H51" s="18" t="inlineStr">
        <is>
          <t>ทำให้ผู้ป่วยมีระยะปลอดโรคที่นานขึ้น</t>
        </is>
      </c>
      <c r="I51" s="15" t="inlineStr">
        <is>
          <t>3</t>
        </is>
      </c>
      <c r="J51" s="18"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ข้อนี้ไม่ใช่คำตอบที่ถูกต้องสำหรับภาวะ CINV &amp; Supportive Care เนื่องจากกลไกการออกฤทธิ์, efficacy หรือข้อบ่งใช้ไม่ตรงกับโจทย์ที่กำหนด
• ข้อ ข. (ยืดอายุผู้ป่วย): ข้อนี้ไม่ใช่คำตอบที่ถูกต้องสำหรับภาวะ CINV &amp; Supportive Care เนื่องจากกลไกการออกฤทธิ์, efficacy หรือข้อบ่งใช้ไม่ตรงกับโจทย์ที่กำหนด
• ข้อ ง. (เพื่อลดการกลับซ้ำของโรค): ข้อนี้ไม่ใช่คำตอบที่ถูกต้องสำหรับภาวะ CINV &amp; Supportive Care เนื่องจากกลไกการออกฤทธิ์, efficacy หรือข้อบ่งใช้ไม่ตรงกับโจทย์ที่กำหนด
• ข้อ จ. (ทำให้ผู้ป่วยมีระยะปลอดโรคที่นานขึ้น):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18" t="inlineStr"/>
      <c r="L51" s="18" t="inlineStr">
        <is>
          <t>CINV &amp; Supportive Care</t>
        </is>
      </c>
      <c r="M51" s="18" t="inlineStr">
        <is>
          <t>Clinic</t>
        </is>
      </c>
      <c r="N51" s="18" t="inlineStr">
        <is>
          <t>ข้อ 49 ชุด 1 (เฉลยข้อ ค)</t>
        </is>
      </c>
      <c r="O51" s="18" t="inlineStr">
        <is>
          <t>Mock</t>
        </is>
      </c>
      <c r="P51" s="18" t="inlineStr">
        <is>
          <t>ชุด 1</t>
        </is>
      </c>
    </row>
    <row r="52">
      <c r="A52" s="15" t="inlineStr">
        <is>
          <t>50</t>
        </is>
      </c>
      <c r="B52" s="18" t="inlineStr">
        <is>
          <t>การตรวจร่างกายเบื้องต้นของมะเร็งเต้านมต้องตรวจอะไรไร</t>
        </is>
      </c>
      <c r="C52" s="18" t="inlineStr"/>
      <c r="D52" s="18" t="inlineStr">
        <is>
          <t>Fecal blood occult test</t>
        </is>
      </c>
      <c r="E52" s="18" t="inlineStr">
        <is>
          <t>CT scan</t>
        </is>
      </c>
      <c r="F52" s="18" t="inlineStr">
        <is>
          <t>Mammography</t>
        </is>
      </c>
      <c r="G52" s="18" t="inlineStr">
        <is>
          <t>Pap smear</t>
        </is>
      </c>
      <c r="H52" s="18" t="inlineStr">
        <is>
          <t>Tumor biopsy</t>
        </is>
      </c>
      <c r="I52" s="15" t="inlineStr">
        <is>
          <t>3</t>
        </is>
      </c>
      <c r="J52" s="18"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ข้อนี้ไม่ใช่คำตอบที่ถูกต้องสำหรับภาวะ CINV &amp; Supportive Care เนื่องจากกลไกการออกฤทธิ์, efficacy หรือข้อบ่งใช้ไม่ตรงกับโจทย์ที่กำหนด
• ข้อ ข. (CT scan): ข้อนี้ไม่ใช่คำตอบที่ถูกต้องสำหรับภาวะ CINV &amp; Supportive Care เนื่องจากกลไกการออกฤทธิ์, efficacy หรือข้อบ่งใช้ไม่ตรงกับโจทย์ที่กำหนด
• ข้อ ง. (Pap smear): ข้อนี้ไม่ใช่คำตอบที่ถูกต้องสำหรับภาวะ CINV &amp; Supportive Care เนื่องจากกลไกการออกฤทธิ์, efficacy หรือข้อบ่งใช้ไม่ตรงกับโจทย์ที่กำหนด
• ข้อ จ. (Tumor biopsy):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2" s="18" t="inlineStr"/>
      <c r="L52" s="18" t="inlineStr">
        <is>
          <t>CINV &amp; Supportive Care</t>
        </is>
      </c>
      <c r="M52" s="18" t="inlineStr">
        <is>
          <t>Clinic</t>
        </is>
      </c>
      <c r="N52" s="18" t="inlineStr">
        <is>
          <t>ข้อ 50 ชุด 1 (เฉลยข้อ ค)</t>
        </is>
      </c>
      <c r="O52" s="18" t="inlineStr">
        <is>
          <t>Mock</t>
        </is>
      </c>
      <c r="P52" s="18" t="inlineStr">
        <is>
          <t>ชุด 1</t>
        </is>
      </c>
    </row>
    <row r="53">
      <c r="A53" s="15" t="inlineStr">
        <is>
          <t>51</t>
        </is>
      </c>
      <c r="B53" s="18"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53" s="18" t="inlineStr"/>
      <c r="D53" s="18" t="inlineStr">
        <is>
          <t>Alkylating agent</t>
        </is>
      </c>
      <c r="E53" s="18" t="inlineStr">
        <is>
          <t>Antiestrogen</t>
        </is>
      </c>
      <c r="F53" s="18" t="inlineStr">
        <is>
          <t>Antitumor antibiotic</t>
        </is>
      </c>
      <c r="G53" s="18" t="inlineStr">
        <is>
          <t>Antimetabolite</t>
        </is>
      </c>
      <c r="H53" s="18" t="inlineStr">
        <is>
          <t>Plant alkaloid</t>
        </is>
      </c>
      <c r="I53" s="15" t="inlineStr">
        <is>
          <t>2</t>
        </is>
      </c>
      <c r="J53" s="18"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(Antitumor antibiotic): ข้อนี้ไม่ใช่คำตอบที่ถูกต้องสำหรับภาวะ CINV &amp; Supportive Care เนื่องจากกลไกการออกฤทธิ์, efficacy หรือข้อบ่งใช้ไม่ตรงกับโจทย์ที่กำหนด
• ข้อ ง.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จ. (Plant alkaloid):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18" t="inlineStr"/>
      <c r="L53" s="18" t="inlineStr">
        <is>
          <t>CINV &amp; Supportive Care</t>
        </is>
      </c>
      <c r="M53" s="18" t="inlineStr">
        <is>
          <t>Clinic</t>
        </is>
      </c>
      <c r="N53" s="18" t="inlineStr">
        <is>
          <t>ข้อ 51 ชุด 1 (เฉลยข้อ ข)</t>
        </is>
      </c>
      <c r="O53" s="18" t="inlineStr">
        <is>
          <t>Mock</t>
        </is>
      </c>
      <c r="P53" s="18" t="inlineStr">
        <is>
          <t>ชุด 1</t>
        </is>
      </c>
    </row>
    <row r="54">
      <c r="A54" s="15" t="inlineStr">
        <is>
          <t>52</t>
        </is>
      </c>
      <c r="B54" s="18"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54" s="18" t="inlineStr"/>
      <c r="D54" s="18" t="inlineStr">
        <is>
          <t>Apoptosis</t>
        </is>
      </c>
      <c r="E54" s="18" t="inlineStr">
        <is>
          <t>Differentiation</t>
        </is>
      </c>
      <c r="F54" s="18" t="inlineStr">
        <is>
          <t>Invasiveness</t>
        </is>
      </c>
      <c r="G54" s="18" t="inlineStr">
        <is>
          <t>Metastasis</t>
        </is>
      </c>
      <c r="H54" s="18" t="inlineStr">
        <is>
          <t>Uncontrolled proliferation</t>
        </is>
      </c>
      <c r="I54" s="15" t="inlineStr">
        <is>
          <t>1</t>
        </is>
      </c>
      <c r="J54" s="18"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ข้อนี้ไม่ใช่คำตอบที่ถูกต้องสำหรับภาวะ CINV &amp; Supportive Care เนื่องจากกลไกการออกฤทธิ์, efficacy หรือข้อบ่งใช้ไม่ตรงกับโจทย์ที่กำหนด
• ข้อ ค. (Invasiveness): ข้อนี้ไม่ใช่คำตอบที่ถูกต้องสำหรับภาวะ CINV &amp; Supportive Care เนื่องจากกลไกการออกฤทธิ์, efficacy หรือข้อบ่งใช้ไม่ตรงกับโจทย์ที่กำหนด
• ข้อ ง. (Metastasis): ข้อนี้ไม่ใช่คำตอบที่ถูกต้องสำหรับภาวะ CINV &amp; Supportive Care เนื่องจากกลไกการออกฤทธิ์, efficacy หรือข้อบ่งใช้ไม่ตรงกับโจทย์ที่กำหนด
• ข้อ จ. (Uncontrolled proliferation):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18" t="inlineStr"/>
      <c r="L54" s="18" t="inlineStr">
        <is>
          <t>CINV &amp; Supportive Care</t>
        </is>
      </c>
      <c r="M54" s="18" t="inlineStr">
        <is>
          <t>Clinic</t>
        </is>
      </c>
      <c r="N54" s="18" t="inlineStr">
        <is>
          <t>ข้อ 52 ชุด 1 (เฉลยข้อ ก)</t>
        </is>
      </c>
      <c r="O54" s="18" t="inlineStr">
        <is>
          <t>Mock</t>
        </is>
      </c>
      <c r="P54" s="18" t="inlineStr">
        <is>
          <t>ชุด 1</t>
        </is>
      </c>
    </row>
    <row r="55">
      <c r="A55" s="15" t="inlineStr">
        <is>
          <t>53</t>
        </is>
      </c>
      <c r="B55" s="18" t="inlineStr">
        <is>
          <t>Fluorouracil จัดเป็นยารักษามะเร็งในกลุ่มใด</t>
        </is>
      </c>
      <c r="C55" s="18" t="inlineStr"/>
      <c r="D55" s="18" t="inlineStr">
        <is>
          <t>กลุ่ม alkylating agent ประเภท nitrogen mustard</t>
        </is>
      </c>
      <c r="E55" s="18" t="inlineStr">
        <is>
          <t>กลุ่ม alkylating agent ประเภท triazene</t>
        </is>
      </c>
      <c r="F55" s="18" t="inlineStr">
        <is>
          <t>กลุ่ม antimetabolite ประเภท purine analogs</t>
        </is>
      </c>
      <c r="G55" s="18" t="inlineStr">
        <is>
          <t>กลุ่ม antimetabolite ประเภท pyrimidine analogs</t>
        </is>
      </c>
      <c r="H55" s="18" t="inlineStr">
        <is>
          <t>กลุ่ม antimetabolite ประเภท folic acid analogs</t>
        </is>
      </c>
      <c r="I55" s="15" t="inlineStr">
        <is>
          <t>4</t>
        </is>
      </c>
      <c r="J55" s="18"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ข้อนี้ไม่ใช่คำตอบที่ถูกต้องสำหรับภาวะ CINV &amp; Supportive Care เนื่องจากกลไกการออกฤทธิ์, efficacy หรือข้อบ่งใช้ไม่ตรงกับโจทย์ที่กำหนด
• ข้อ ข. (กลุ่ม alkylating agent ประเภท triazene): ข้อนี้ไม่ใช่คำตอบที่ถูกต้องสำหรับภาวะ CINV &amp; Supportive Care เนื่องจากกลไกการออกฤทธิ์, efficacy หรือข้อบ่งใช้ไม่ตรงกับโจทย์ที่กำหนด
• ข้อ ค. (กลุ่ม antimetabolite ประเภท purine analogs): ข้อนี้ไม่ใช่คำตอบที่ถูกต้องสำหรับภาวะ CINV &amp; Supportive Care เนื่องจากกลไกการออกฤทธิ์, efficacy หรือข้อบ่งใช้ไม่ตรงกับโจทย์ที่กำหนด
• ข้อ จ. (กลุ่ม antimetabolite ประเภท folic acid analogs):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5" s="18" t="inlineStr"/>
      <c r="L55" s="18" t="inlineStr">
        <is>
          <t>CINV &amp; Supportive Care</t>
        </is>
      </c>
      <c r="M55" s="18" t="inlineStr">
        <is>
          <t>Clinic</t>
        </is>
      </c>
      <c r="N55" s="18" t="inlineStr">
        <is>
          <t>ข้อ 53 ชุด 1 (เฉลยข้อ ง)</t>
        </is>
      </c>
      <c r="O55" s="18" t="inlineStr">
        <is>
          <t>Mock</t>
        </is>
      </c>
      <c r="P55" s="18" t="inlineStr">
        <is>
          <t>ชุด 1</t>
        </is>
      </c>
    </row>
    <row r="56">
      <c r="A56" s="15" t="inlineStr">
        <is>
          <t>54</t>
        </is>
      </c>
      <c r="B56" s="18"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6" s="18" t="inlineStr"/>
      <c r="D56" s="18" t="inlineStr">
        <is>
          <t>Dimenhydrinate</t>
        </is>
      </c>
      <c r="E56" s="18" t="inlineStr">
        <is>
          <t>Diphenhydramine</t>
        </is>
      </c>
      <c r="F56" s="18" t="inlineStr">
        <is>
          <t>Domperidone</t>
        </is>
      </c>
      <c r="G56" s="18" t="inlineStr">
        <is>
          <t>Metoclopramide</t>
        </is>
      </c>
      <c r="H56" s="18" t="inlineStr">
        <is>
          <t>Ondansetron</t>
        </is>
      </c>
      <c r="I56" s="15" t="inlineStr">
        <is>
          <t>5</t>
        </is>
      </c>
      <c r="J56" s="18"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ข้อนี้ไม่ใช่คำตอบที่ถูกต้องสำหรับภาวะ CINV &amp; Supportive Care เนื่องจากกลไกการออกฤทธิ์, efficacy หรือข้อบ่งใช้ไม่ตรงกับโจทย์ที่กำหนด
• ข้อ ข. (Diphenhydramine): ข้อนี้ไม่ใช่คำตอบที่ถูกต้องสำหรับภาวะ CINV &amp; Supportive Care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18" t="inlineStr"/>
      <c r="L56" s="18" t="inlineStr">
        <is>
          <t>CINV &amp; Supportive Care</t>
        </is>
      </c>
      <c r="M56" s="18" t="inlineStr">
        <is>
          <t>Clinic</t>
        </is>
      </c>
      <c r="N56" s="18" t="inlineStr">
        <is>
          <t>ข้อ 54 ชุด 1 (เฉลยข้อ จ)</t>
        </is>
      </c>
      <c r="O56" s="18" t="inlineStr">
        <is>
          <t>Mock</t>
        </is>
      </c>
      <c r="P56" s="18" t="inlineStr">
        <is>
          <t>ชุด 1</t>
        </is>
      </c>
    </row>
    <row r="57">
      <c r="A57" s="15" t="inlineStr">
        <is>
          <t>55</t>
        </is>
      </c>
      <c r="B57" s="18" t="inlineStr">
        <is>
          <t>ผู้ป่วยมีอาการปวดจากมะเร็งระดับ mild to moderate ควรเลือกใช้ยาใดเป็นอันดับแรกในการบรรเทาอาการ</t>
        </is>
      </c>
      <c r="C57" s="18" t="inlineStr"/>
      <c r="D57" s="18" t="inlineStr">
        <is>
          <t>Amphetamine</t>
        </is>
      </c>
      <c r="E57" s="18" t="inlineStr">
        <is>
          <t>Celecoxib</t>
        </is>
      </c>
      <c r="F57" s="18" t="inlineStr">
        <is>
          <t>Ketamine</t>
        </is>
      </c>
      <c r="G57" s="18" t="inlineStr">
        <is>
          <t>Morphine</t>
        </is>
      </c>
      <c r="H57" s="18" t="inlineStr">
        <is>
          <t>Pethidine</t>
        </is>
      </c>
      <c r="I57" s="15" t="inlineStr">
        <is>
          <t>2</t>
        </is>
      </c>
      <c r="J57" s="18"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ข้อนี้ไม่ใช่คำตอบที่ถูกต้องสำหรับภาวะ CINV &amp; Supportive Care เนื่องจากกลไกการออกฤทธิ์, efficacy หรือข้อบ่งใช้ไม่ตรงกับโจทย์ที่กำหนด
• ข้อ ค. (Ketamine): ข้อนี้ไม่ใช่คำตอบที่ถูกต้องสำหรับภาวะ CINV &amp; Supportive Care เนื่องจากกลไกการออกฤทธิ์, efficacy หรือข้อบ่งใช้ไม่ตรงกับโจทย์ที่กำหนด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7" s="18" t="inlineStr"/>
      <c r="L57" s="18" t="inlineStr">
        <is>
          <t>CINV &amp; Supportive Care</t>
        </is>
      </c>
      <c r="M57" s="18" t="inlineStr">
        <is>
          <t>Clinic</t>
        </is>
      </c>
      <c r="N57" s="18" t="inlineStr">
        <is>
          <t>ข้อ 55 ชุด 1 (เฉลยข้อ ข)</t>
        </is>
      </c>
      <c r="O57" s="18" t="inlineStr">
        <is>
          <t>Mock</t>
        </is>
      </c>
      <c r="P57" s="18" t="inlineStr">
        <is>
          <t>ชุด 1</t>
        </is>
      </c>
    </row>
    <row r="58">
      <c r="A58" s="15" t="inlineStr">
        <is>
          <t>56</t>
        </is>
      </c>
      <c r="B58" s="18"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8" s="18" t="inlineStr"/>
      <c r="D58" s="18" t="inlineStr">
        <is>
          <t>ผู้ชาย</t>
        </is>
      </c>
      <c r="E58" s="18" t="inlineStr">
        <is>
          <t>สูบบุหรี่</t>
        </is>
      </c>
      <c r="F58" s="18" t="inlineStr">
        <is>
          <t>ดื่มสุรา</t>
        </is>
      </c>
      <c r="G58" s="18" t="inlineStr">
        <is>
          <t>มีคนในครอบครัวเป็นโรคมะเร็งปอด</t>
        </is>
      </c>
      <c r="H58" s="18" t="inlineStr">
        <is>
          <t>Asbestos</t>
        </is>
      </c>
      <c r="I58" s="15" t="inlineStr">
        <is>
          <t>3</t>
        </is>
      </c>
      <c r="J58" s="18"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ข้อนี้ไม่ใช่คำตอบที่ถูกต้องสำหรับภาวะ CINV &amp; Supportive Care เนื่องจากกลไกการออกฤทธิ์, efficacy หรือข้อบ่งใช้ไม่ตรงกับโจทย์ที่กำหนด
• ข้อ ข. (สูบบุหรี่): ข้อนี้ไม่ใช่คำตอบที่ถูกต้องสำหรับภาวะ CINV &amp; Supportive Care เนื่องจากกลไกการออกฤทธิ์, efficacy หรือข้อบ่งใช้ไม่ตรงกับโจทย์ที่กำหนด
• ข้อ ง. (มีคนในครอบครัวเป็นโรคมะเร็งปอด): ข้อนี้ไม่ใช่คำตอบที่ถูกต้องสำหรับภาวะ CINV &amp; Supportive Care เนื่องจากกลไกการออกฤทธิ์, efficacy หรือข้อบ่งใช้ไม่ตรงกับโจทย์ที่กำหนด
• ข้อ จ. (Asbestos):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8" s="18" t="inlineStr"/>
      <c r="L58" s="18" t="inlineStr">
        <is>
          <t>CINV &amp; Supportive Care</t>
        </is>
      </c>
      <c r="M58" s="18" t="inlineStr">
        <is>
          <t>Clinic</t>
        </is>
      </c>
      <c r="N58" s="18" t="inlineStr">
        <is>
          <t>ข้อ 56 ชุด 1 (เฉลยข้อ ค)</t>
        </is>
      </c>
      <c r="O58" s="18" t="inlineStr">
        <is>
          <t>Mock</t>
        </is>
      </c>
      <c r="P58" s="18" t="inlineStr">
        <is>
          <t>ชุด 1</t>
        </is>
      </c>
    </row>
    <row r="59">
      <c r="A59" s="15" t="inlineStr">
        <is>
          <t>57</t>
        </is>
      </c>
      <c r="B59" s="18" t="inlineStr">
        <is>
          <t>ข้อใดคือกลไกของยา cisplatin</t>
        </is>
      </c>
      <c r="C59" s="18" t="inlineStr"/>
      <c r="D59" s="18" t="inlineStr">
        <is>
          <t>ยับยั้ง vascular endothelial growth factor</t>
        </is>
      </c>
      <c r="E59" s="18" t="inlineStr">
        <is>
          <t>ยับยั้งเอนไซม์ dihydrofolate reductase</t>
        </is>
      </c>
      <c r="F59" s="18" t="inlineStr">
        <is>
          <t>ยับยั้งเอนไซม์ topoisomerase II</t>
        </is>
      </c>
      <c r="G59" s="18" t="inlineStr">
        <is>
          <t>ทำให้เกิด DNA crosslink</t>
        </is>
      </c>
      <c r="H59" s="18" t="inlineStr">
        <is>
          <t>เพิ่มการเข้าจับที่ HER-2 receptor</t>
        </is>
      </c>
      <c r="I59" s="15" t="inlineStr">
        <is>
          <t>4</t>
        </is>
      </c>
      <c r="J59" s="18"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ข้อนี้ไม่ใช่คำตอบที่ถูกต้องสำหรับภาวะ CINV &amp; Supportive Care เนื่องจากกลไกการออกฤทธิ์, efficacy หรือข้อบ่งใช้ไม่ตรงกับโจทย์ที่กำหนด
• ข้อ ข. (ยับยั้งเอนไซม์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จ. (เพิ่มการเข้าจับที่ HER-2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9" s="18" t="inlineStr"/>
      <c r="L59" s="18" t="inlineStr">
        <is>
          <t>CINV &amp; Supportive Care</t>
        </is>
      </c>
      <c r="M59" s="18" t="inlineStr">
        <is>
          <t>Clinic</t>
        </is>
      </c>
      <c r="N59" s="18" t="inlineStr">
        <is>
          <t>ข้อ 57 ชุด 1 (เฉลยข้อ ง)</t>
        </is>
      </c>
      <c r="O59" s="18" t="inlineStr">
        <is>
          <t>Mock</t>
        </is>
      </c>
      <c r="P59" s="18" t="inlineStr">
        <is>
          <t>ชุด 1</t>
        </is>
      </c>
    </row>
    <row r="60">
      <c r="A60" s="15" t="inlineStr">
        <is>
          <t>58</t>
        </is>
      </c>
      <c r="B60" s="18" t="inlineStr">
        <is>
          <t>Vincristine ได้มาจากสมุนไพรอะไร</t>
        </is>
      </c>
      <c r="C60" s="18" t="inlineStr"/>
      <c r="D60" s="18" t="inlineStr">
        <is>
          <t>ดองดึงหัวขวาน</t>
        </is>
      </c>
      <c r="E60" s="18" t="inlineStr">
        <is>
          <t>รำเพย</t>
        </is>
      </c>
      <c r="F60" s="18" t="inlineStr">
        <is>
          <t>ระย่อมน้อย</t>
        </is>
      </c>
      <c r="G60" s="18" t="inlineStr">
        <is>
          <t>หญ้าปักกิ่ง</t>
        </is>
      </c>
      <c r="H60" s="18" t="inlineStr">
        <is>
          <t>แพงพวยฝรั่ง</t>
        </is>
      </c>
      <c r="I60" s="15" t="inlineStr">
        <is>
          <t>5</t>
        </is>
      </c>
      <c r="J60" s="18"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ข้อนี้ไม่ใช่คำตอบที่ถูกต้องสำหรับภาวะ CINV &amp; Supportive Care เนื่องจากกลไกการออกฤทธิ์, efficacy หรือข้อบ่งใช้ไม่ตรงกับโจทย์ที่กำหนด
• ข้อ ข. (รำเพย): ข้อนี้ไม่ใช่คำตอบที่ถูกต้องสำหรับภาวะ CINV &amp; Supportive Care เนื่องจากกลไกการออกฤทธิ์, efficacy หรือข้อบ่งใช้ไม่ตรงกับโจทย์ที่กำหนด
• ข้อ ค. (ระย่อมน้อย): ข้อนี้ไม่ใช่คำตอบที่ถูกต้องสำหรับภาวะ CINV &amp; Supportive Care เนื่องจากกลไกการออกฤทธิ์, efficacy หรือข้อบ่งใช้ไม่ตรงกับโจทย์ที่กำหนด
• ข้อ ง. (หญ้าปักกิ่ง):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8" t="inlineStr"/>
      <c r="L60" s="18" t="inlineStr">
        <is>
          <t>CINV &amp; Supportive Care</t>
        </is>
      </c>
      <c r="M60" s="18" t="inlineStr">
        <is>
          <t>Clinic</t>
        </is>
      </c>
      <c r="N60" s="18" t="inlineStr">
        <is>
          <t>ข้อ 58 ชุด 1 (เฉลยข้อ จ)</t>
        </is>
      </c>
      <c r="O60" s="18" t="inlineStr">
        <is>
          <t>Mock</t>
        </is>
      </c>
      <c r="P60" s="18" t="inlineStr">
        <is>
          <t>ชุด 1</t>
        </is>
      </c>
    </row>
    <row r="61">
      <c r="A61" s="15" t="inlineStr">
        <is>
          <t>59</t>
        </is>
      </c>
      <c r="B61" s="18" t="inlineStr">
        <is>
          <t>ข้อใดถูกต้องเกี่ยวกับการเกิด extravasation ในยาสูตร cisplatin + paclitaxel</t>
        </is>
      </c>
      <c r="C61" s="18" t="inlineStr"/>
      <c r="D61" s="18" t="inlineStr">
        <is>
          <t>ประคบร้อนอย่างเดียว สี่ครั้งต่อวัน เป็นเวลาสามวัน</t>
        </is>
      </c>
      <c r="E61" s="18" t="inlineStr">
        <is>
          <t>รัดแขนเหนือบริเวณที่ฉีดยา</t>
        </is>
      </c>
      <c r="F61" s="18" t="inlineStr">
        <is>
          <t>ให้สารละลาย 0.9% NSS เข้าไปในหลอดเลือด</t>
        </is>
      </c>
      <c r="G61" s="18" t="inlineStr">
        <is>
          <t>ถ้าปวดมากให้ใช้ DMSO นาน 7 วัน</t>
        </is>
      </c>
      <c r="H61" s="18" t="inlineStr">
        <is>
          <t>ให้ antidote ที่จำเพาะคือ Hyaluronidase</t>
        </is>
      </c>
      <c r="I61" s="15" t="inlineStr">
        <is>
          <t>5</t>
        </is>
      </c>
      <c r="J61" s="18"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ข้อนี้ไม่ใช่คำตอบที่ถูกต้องสำหรับภาวะ CINV &amp; Supportive Care เนื่องจากกลไกการออกฤทธิ์, efficacy หรือข้อบ่งใช้ไม่ตรงกับโจทย์ที่กำหนด
• ข้อ ข. (รัดแขนเหนือบริเวณที่ฉีดยา): ข้อนี้ไม่ใช่คำตอบที่ถูกต้องสำหรับภาวะ CINV &amp; Supportive Care เนื่องจากกลไกการออกฤทธิ์, efficacy หรือข้อบ่งใช้ไม่ตรงกับโจทย์ที่กำหนด
• ข้อ ค. (ให้สารละลาย 0.9% NSS เข้าไปในหลอดเลือด): ข้อนี้ไม่ใช่คำตอบที่ถูกต้องสำหรับภาวะ CINV &amp; Supportive Care เนื่องจากกลไกการออกฤทธิ์, efficacy หรือข้อบ่งใช้ไม่ตรงกับโจทย์ที่กำหนด
• ข้อ ง. (ถ้าปวดมากให้ใช้ DMSO นาน 7 วัน):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1" s="18" t="inlineStr"/>
      <c r="L61" s="18" t="inlineStr">
        <is>
          <t>CINV &amp; Supportive Care</t>
        </is>
      </c>
      <c r="M61" s="18" t="inlineStr">
        <is>
          <t>Clinic</t>
        </is>
      </c>
      <c r="N61" s="18" t="inlineStr">
        <is>
          <t>ข้อ 59 ชุด 1 (เฉลยข้อ จ)</t>
        </is>
      </c>
      <c r="O61" s="18" t="inlineStr">
        <is>
          <t>Mock</t>
        </is>
      </c>
      <c r="P61" s="18" t="inlineStr">
        <is>
          <t>ชุด 1</t>
        </is>
      </c>
    </row>
    <row r="62">
      <c r="A62" s="15" t="inlineStr">
        <is>
          <t>60</t>
        </is>
      </c>
      <c r="B62" s="18" t="inlineStr">
        <is>
          <t>ผลข้างเคียงที่พบน้อยของยา paclitaxel คือข้อใด</t>
        </is>
      </c>
      <c r="C62" s="18" t="inlineStr"/>
      <c r="D62" s="18" t="inlineStr">
        <is>
          <t>Diarrhea</t>
        </is>
      </c>
      <c r="E62" s="18" t="inlineStr">
        <is>
          <t>Alopecia</t>
        </is>
      </c>
      <c r="F62" s="18" t="inlineStr">
        <is>
          <t>Ototoxicity</t>
        </is>
      </c>
      <c r="G62" s="18" t="inlineStr">
        <is>
          <t>Hypersensitivity</t>
        </is>
      </c>
      <c r="H62" s="18" t="inlineStr">
        <is>
          <t>Bone marrow suppression</t>
        </is>
      </c>
      <c r="I62" s="15" t="inlineStr">
        <is>
          <t>3</t>
        </is>
      </c>
      <c r="J62" s="18"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ข้อนี้ไม่ใช่คำตอบที่ถูกต้องสำหรับภาวะ CINV &amp; Supportive Care เนื่องจากกลไกการออกฤทธิ์, efficacy หรือข้อบ่งใช้ไม่ตรงกับโจทย์ที่กำหนด
• ข้อ ข. (Alopecia): ข้อนี้ไม่ใช่คำตอบที่ถูกต้องสำหรับภาวะ CINV &amp; Supportive Care เนื่องจากกลไกการออกฤทธิ์, efficacy หรือข้อบ่งใช้ไม่ตรงกับโจทย์ที่กำหนด
• ข้อ ง. (Hypersensitivity): ข้อนี้ไม่ใช่คำตอบที่ถูกต้องสำหรับภาวะ CINV &amp; Supportive Care เนื่องจากกลไกการออกฤทธิ์, efficacy หรือข้อบ่งใช้ไม่ตรงกับโจทย์ที่กำหนด
• ข้อ จ. (Bone marrow suppression):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18" t="inlineStr"/>
      <c r="L62" s="18" t="inlineStr">
        <is>
          <t>CINV &amp; Supportive Care</t>
        </is>
      </c>
      <c r="M62" s="18" t="inlineStr">
        <is>
          <t>Clinic</t>
        </is>
      </c>
      <c r="N62" s="18" t="inlineStr">
        <is>
          <t>ข้อ 60 ชุด 1 (เฉลยข้อ ค)</t>
        </is>
      </c>
      <c r="O62" s="18" t="inlineStr">
        <is>
          <t>Mock</t>
        </is>
      </c>
      <c r="P62" s="18" t="inlineStr">
        <is>
          <t>ชุด 1</t>
        </is>
      </c>
    </row>
    <row r="63">
      <c r="A63" s="15" t="inlineStr">
        <is>
          <t>61</t>
        </is>
      </c>
      <c r="B63" s="18" t="inlineStr">
        <is>
          <t>Cisplatin ทำให้เกิดอาการคลื่นไส้อาเจียนระดับ highly emetic risk ผู้ป่วยควรได้รับยาเพื่อป้องกันการคลื่นไส้อาเจียน</t>
        </is>
      </c>
      <c r="C63" s="18" t="inlineStr"/>
      <c r="D63" s="18" t="inlineStr">
        <is>
          <t>Ondansetron</t>
        </is>
      </c>
      <c r="E63" s="18" t="inlineStr">
        <is>
          <t>Dexamethasone + lorazepam</t>
        </is>
      </c>
      <c r="F63" s="18" t="inlineStr">
        <is>
          <t>Dexamethasone + ondansetron + lorazepam</t>
        </is>
      </c>
      <c r="G63" s="18" t="inlineStr">
        <is>
          <t>Dexamethasone + aprepitant + lorazepam</t>
        </is>
      </c>
      <c r="H63" s="18" t="inlineStr">
        <is>
          <t>Dexamethasone + ondansetron + aprepitant + lorazepam</t>
        </is>
      </c>
      <c r="I63" s="15" t="inlineStr">
        <is>
          <t>5</t>
        </is>
      </c>
      <c r="J63" s="18" t="inlineStr">
        <is>
          <t>✅ คำตอบที่ถูกต้อง: ข้อ จ. Dexamethasone + ondansetron + aprepitant + lorazepam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 ondansetron + aprepitant + lorazepam ตามแนวทาง MASCC/ESMO และ ASCO สำหรับ Highly Emetogenic Chemotherapy (HEC) เช่น Cisplatin แนะนำให้ใช้สูตร 4 ตัวยาป้องกัน ได้แก่ NK1 receptor antagonist + 5-HT3 receptor antagonist + Dexamethasone + Olanzapine (หรือ Lorazepam เป็นยาร่วมเสริม)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 lorazepam): เป็น long-acting potent glucocorticoid ไม่มี mineralocorticoid effect จึงไม่ทำให้น้ำคั่ง เหมาะสำหรับ brain edema, antiemetic, และ COVID-19 with hypoxemia
• ข้อ ค. (Dexamethasone + ondansetron + lorazepam): เป็น long-acting potent glucocorticoid ไม่มี mineralocorticoid effect จึงไม่ทำให้น้ำคั่ง เหมาะสำหรับ brain edema, antiemetic, และ COVID-19 with hypoxemia
• ข้อ ง. (Dexamethasone + aprepitant + lorazepam):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3" s="18" t="inlineStr"/>
      <c r="L63" s="18" t="inlineStr">
        <is>
          <t>CINV &amp; Supportive Care</t>
        </is>
      </c>
      <c r="M63" s="18" t="inlineStr">
        <is>
          <t>Clinic</t>
        </is>
      </c>
      <c r="N63" s="18" t="inlineStr">
        <is>
          <t>ข้อ 61 ชุด 1 (เฉลยข้อ จ)</t>
        </is>
      </c>
      <c r="O63" s="18" t="inlineStr">
        <is>
          <t>Mock</t>
        </is>
      </c>
      <c r="P63" s="18" t="inlineStr">
        <is>
          <t>ชุด 1</t>
        </is>
      </c>
    </row>
    <row r="64">
      <c r="A64" s="15" t="inlineStr">
        <is>
          <t>62</t>
        </is>
      </c>
      <c r="B64" s="18"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64" s="18" t="inlineStr"/>
      <c r="D64" s="15" t="inlineStr">
        <is>
          <t>0.67</t>
        </is>
      </c>
      <c r="E64" s="15" t="inlineStr">
        <is>
          <t>1.3</t>
        </is>
      </c>
      <c r="F64" s="15" t="inlineStr">
        <is>
          <t>1.5</t>
        </is>
      </c>
      <c r="G64" s="18" t="inlineStr">
        <is>
          <t>Dexamethasone 12 mg IV stat</t>
        </is>
      </c>
      <c r="H64" s="15" t="inlineStr">
        <is>
          <t>2.4</t>
        </is>
      </c>
      <c r="I64" s="15" t="inlineStr">
        <is>
          <t>3</t>
        </is>
      </c>
      <c r="J64" s="18"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ข้อนี้ไม่ใช่คำตอบที่ถูกต้องสำหรับภาวะ CINV &amp; Supportive Care เนื่องจากกลไกการออกฤทธิ์, efficacy หรือข้อบ่งใช้ไม่ตรงกับโจทย์ที่กำหนด
• ข้อ ข. (1.3):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(2.4):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4" s="18" t="inlineStr"/>
      <c r="L64" s="18" t="inlineStr">
        <is>
          <t>CINV &amp; Supportive Care</t>
        </is>
      </c>
      <c r="M64" s="18" t="inlineStr">
        <is>
          <t>Clinic</t>
        </is>
      </c>
      <c r="N64" s="18" t="inlineStr">
        <is>
          <t>ข้อ 62 ชุด 1 (เฉลยข้อ ค)</t>
        </is>
      </c>
      <c r="O64" s="18" t="inlineStr">
        <is>
          <t>Mock</t>
        </is>
      </c>
      <c r="P64" s="18" t="inlineStr">
        <is>
          <t>ชุด 1</t>
        </is>
      </c>
    </row>
    <row r="65">
      <c r="A65" s="15" t="inlineStr">
        <is>
          <t>63</t>
        </is>
      </c>
      <c r="B65" s="18" t="inlineStr">
        <is>
          <t>ข้อใดคือขนาดยาของ cyclophosphamide ที่ถูกต้องในผู้ป่วยรายนี้</t>
        </is>
      </c>
      <c r="C65" s="18" t="inlineStr"/>
      <c r="D65" s="18" t="inlineStr">
        <is>
          <t>130 mg</t>
        </is>
      </c>
      <c r="E65" s="18" t="inlineStr">
        <is>
          <t>150 mg</t>
        </is>
      </c>
      <c r="F65" s="18" t="inlineStr">
        <is>
          <t>200 mg</t>
        </is>
      </c>
      <c r="G65" s="18" t="inlineStr">
        <is>
          <t>225 mg</t>
        </is>
      </c>
      <c r="H65" s="18" t="inlineStr">
        <is>
          <t>450 mg</t>
        </is>
      </c>
      <c r="I65" s="15" t="inlineStr">
        <is>
          <t>2</t>
        </is>
      </c>
      <c r="J65" s="18"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ข้อนี้ไม่ใช่คำตอบที่ถูกต้องสำหรับภาวะ CINV &amp; Supportive Care เนื่องจากกลไกการออกฤทธิ์, efficacy หรือข้อบ่งใช้ไม่ตรงกับโจทย์ที่กำหนด
• ข้อ ค. (200 mg): ข้อนี้ไม่ใช่คำตอบที่ถูกต้องสำหรับภาวะ CINV &amp; Supportive Care เนื่องจากกลไกการออกฤทธิ์, efficacy หรือข้อบ่งใช้ไม่ตรงกับโจทย์ที่กำหนด
• ข้อ ง. (225 mg): ข้อนี้ไม่ใช่คำตอบที่ถูกต้องสำหรับภาวะ CINV &amp; Supportive Care เนื่องจากกลไกการออกฤทธิ์, efficacy หรือข้อบ่งใช้ไม่ตรงกับโจทย์ที่กำหนด
• ข้อ จ. (450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8" t="inlineStr"/>
      <c r="L65" s="18" t="inlineStr">
        <is>
          <t>CINV &amp; Supportive Care</t>
        </is>
      </c>
      <c r="M65" s="18" t="inlineStr">
        <is>
          <t>Clinic</t>
        </is>
      </c>
      <c r="N65" s="18" t="inlineStr">
        <is>
          <t>ข้อ 63 ชุด 1 (เฉลยข้อ ข)</t>
        </is>
      </c>
      <c r="O65" s="18" t="inlineStr">
        <is>
          <t>Mock</t>
        </is>
      </c>
      <c r="P65" s="18" t="inlineStr">
        <is>
          <t>ชุด 1</t>
        </is>
      </c>
    </row>
    <row r="66">
      <c r="A66" s="15" t="inlineStr">
        <is>
          <t>64</t>
        </is>
      </c>
      <c r="B66" s="18" t="inlineStr">
        <is>
          <t>ข้อใดคือผลข้างเคียงของยา cyclophosphamide ที่สำคัญ</t>
        </is>
      </c>
      <c r="C66" s="18" t="inlineStr"/>
      <c r="D66" s="18" t="inlineStr">
        <is>
          <t>Hemorrhagic cystitis</t>
        </is>
      </c>
      <c r="E66" s="18" t="inlineStr">
        <is>
          <t>Hepatotoxic</t>
        </is>
      </c>
      <c r="F66" s="18" t="inlineStr">
        <is>
          <t>Thrombocytopenia</t>
        </is>
      </c>
      <c r="G66" s="18" t="inlineStr">
        <is>
          <t>Cardiac conduction ผิดปกติ</t>
        </is>
      </c>
      <c r="H66" s="18" t="inlineStr">
        <is>
          <t>Alopecia</t>
        </is>
      </c>
      <c r="I66" s="15" t="inlineStr">
        <is>
          <t>1</t>
        </is>
      </c>
      <c r="J66" s="18"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8" t="inlineStr"/>
      <c r="L66" s="18" t="inlineStr">
        <is>
          <t>CINV &amp; Supportive Care</t>
        </is>
      </c>
      <c r="M66" s="18" t="inlineStr">
        <is>
          <t>Clinic</t>
        </is>
      </c>
      <c r="N66" s="18" t="inlineStr">
        <is>
          <t>ข้อ 64 ชุด 1 (เฉลยข้อ ก)</t>
        </is>
      </c>
      <c r="O66" s="18" t="inlineStr">
        <is>
          <t>Mock</t>
        </is>
      </c>
      <c r="P66" s="18" t="inlineStr">
        <is>
          <t>ชุด 1</t>
        </is>
      </c>
    </row>
    <row r="67">
      <c r="A67" s="15" t="inlineStr">
        <is>
          <t>65</t>
        </is>
      </c>
      <c r="B67" s="18" t="inlineStr">
        <is>
          <t>ยาในข้อใด มีกลไกการออกฤทธิ์เหมือนยา cyclophosphamide</t>
        </is>
      </c>
      <c r="C67" s="18" t="inlineStr"/>
      <c r="D67" s="18" t="inlineStr">
        <is>
          <t>Doxorubicin</t>
        </is>
      </c>
      <c r="E67" s="18" t="inlineStr">
        <is>
          <t>5-FU</t>
        </is>
      </c>
      <c r="F67" s="18" t="inlineStr">
        <is>
          <t>Cisplatin</t>
        </is>
      </c>
      <c r="G67" s="18" t="inlineStr">
        <is>
          <t>Etoposide</t>
        </is>
      </c>
      <c r="H67" s="18" t="inlineStr">
        <is>
          <t>Vincristine</t>
        </is>
      </c>
      <c r="I67" s="15" t="inlineStr">
        <is>
          <t>3</t>
        </is>
      </c>
      <c r="J67" s="18"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(5-FU): ข้อนี้ไม่ใช่คำตอบที่ถูกต้องสำหรับภาวะ CINV &amp; Supportive Care เนื่องจากกลไกการออกฤทธิ์, efficacy หรือข้อบ่งใช้ไม่ตรงกับโจทย์ที่กำหนด
• ข้อ ง. (Etoposide): ข้อนี้ไม่ใช่คำตอบที่ถูกต้องสำหรับภาวะ CINV &amp; Supportive Care เนื่องจากกลไกการออกฤทธิ์, efficacy หรือข้อบ่งใช้ไม่ตรงกับโจทย์ที่กำหนด
• ข้อ จ. (Vincristine):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8" t="inlineStr"/>
      <c r="L67" s="18" t="inlineStr">
        <is>
          <t>CINV &amp; Supportive Care</t>
        </is>
      </c>
      <c r="M67" s="18" t="inlineStr">
        <is>
          <t>Clinic</t>
        </is>
      </c>
      <c r="N67" s="18" t="inlineStr">
        <is>
          <t>ข้อ 65 ชุด 1 (เฉลยข้อ ค)</t>
        </is>
      </c>
      <c r="O67" s="18" t="inlineStr">
        <is>
          <t>Mock</t>
        </is>
      </c>
      <c r="P67" s="18" t="inlineStr">
        <is>
          <t>ชุด 1</t>
        </is>
      </c>
    </row>
    <row r="68">
      <c r="A68" s="15" t="inlineStr">
        <is>
          <t>66</t>
        </is>
      </c>
      <c r="B68" s="18" t="inlineStr">
        <is>
          <t>ข้อใดคือผลข้างเคียงของยา methotrexate</t>
        </is>
      </c>
      <c r="C68" s="18" t="inlineStr"/>
      <c r="D68" s="18" t="inlineStr">
        <is>
          <t>Hemorrhagic cystitis</t>
        </is>
      </c>
      <c r="E68" s="18" t="inlineStr">
        <is>
          <t>Stomatitis</t>
        </is>
      </c>
      <c r="F68" s="18" t="inlineStr">
        <is>
          <t>Thrombocytopenia</t>
        </is>
      </c>
      <c r="G68" s="18" t="inlineStr">
        <is>
          <t>Cardiac conduction ผิดปกติ</t>
        </is>
      </c>
      <c r="H68" s="18" t="inlineStr">
        <is>
          <t>Alopecia</t>
        </is>
      </c>
      <c r="I68" s="15" t="inlineStr">
        <is>
          <t>2</t>
        </is>
      </c>
      <c r="J68" s="18"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8" s="18" t="inlineStr"/>
      <c r="L68" s="18" t="inlineStr">
        <is>
          <t>CINV &amp; Supportive Care</t>
        </is>
      </c>
      <c r="M68" s="18" t="inlineStr">
        <is>
          <t>Clinic</t>
        </is>
      </c>
      <c r="N68" s="18" t="inlineStr">
        <is>
          <t>ข้อ 66 ชุด 1 (เฉลยข้อ ข ค จ)</t>
        </is>
      </c>
      <c r="O68" s="18" t="inlineStr">
        <is>
          <t>Mock</t>
        </is>
      </c>
      <c r="P68" s="18" t="inlineStr">
        <is>
          <t>ชุด 1</t>
        </is>
      </c>
    </row>
    <row r="69">
      <c r="A69" s="15" t="inlineStr">
        <is>
          <t>67</t>
        </is>
      </c>
      <c r="B69" s="18" t="inlineStr">
        <is>
          <t>ยาในข้อใดเสริมการออกฤทธิ์ cytotoxic ของยา 5-FU</t>
        </is>
      </c>
      <c r="C69" s="18" t="inlineStr"/>
      <c r="D69" s="18" t="inlineStr">
        <is>
          <t>Dexamethasone</t>
        </is>
      </c>
      <c r="E69" s="18" t="inlineStr">
        <is>
          <t>Ondansetron</t>
        </is>
      </c>
      <c r="F69" s="18" t="inlineStr">
        <is>
          <t>Folic acid</t>
        </is>
      </c>
      <c r="G69" s="18" t="inlineStr">
        <is>
          <t>Allopurinol</t>
        </is>
      </c>
      <c r="H69" s="18" t="inlineStr">
        <is>
          <t>Leucovorin</t>
        </is>
      </c>
      <c r="I69" s="15" t="inlineStr">
        <is>
          <t>5</t>
        </is>
      </c>
      <c r="J69" s="18"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ข้อนี้ไม่ใช่คำตอบที่ถูกต้องสำหรับภาวะ CINV &amp; Supportive Care เนื่องจากกลไกการออกฤทธิ์, efficacy หรือข้อบ่งใช้ไม่ตรงกับโจทย์ที่กำหนด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8" t="inlineStr"/>
      <c r="L69" s="18" t="inlineStr">
        <is>
          <t>CINV &amp; Supportive Care</t>
        </is>
      </c>
      <c r="M69" s="18" t="inlineStr">
        <is>
          <t>Clinic</t>
        </is>
      </c>
      <c r="N69" s="18" t="inlineStr">
        <is>
          <t>ข้อ 67 ชุด 1 (เฉลยข้อ จ)</t>
        </is>
      </c>
      <c r="O69" s="18" t="inlineStr">
        <is>
          <t>Mock</t>
        </is>
      </c>
      <c r="P69" s="18" t="inlineStr">
        <is>
          <t>ชุด 1</t>
        </is>
      </c>
    </row>
    <row r="70">
      <c r="A70" s="15" t="inlineStr">
        <is>
          <t>69</t>
        </is>
      </c>
      <c r="B70" s="18" t="inlineStr">
        <is>
          <t>ข้อใดเป็นกลไกของ Anti-PD1 สำหรับรักษา NSCLC</t>
        </is>
      </c>
      <c r="C70" s="18" t="inlineStr"/>
      <c r="D70" s="18" t="inlineStr">
        <is>
          <t>จับกับ PD-L1 บน cell มะเร็ง</t>
        </is>
      </c>
      <c r="E70" s="18" t="inlineStr">
        <is>
          <t>จับกับ PD-1 บน T cell</t>
        </is>
      </c>
      <c r="F70" s="18" t="inlineStr">
        <is>
          <t>กระตุ้นให้เกิดการสร้าง antigen</t>
        </is>
      </c>
      <c r="G70" s="18" t="inlineStr">
        <is>
          <t>จับกับ CTLA-4</t>
        </is>
      </c>
      <c r="H70" s="18" t="inlineStr">
        <is>
          <t>จับกับ tyrosine kinase</t>
        </is>
      </c>
      <c r="I70" s="15" t="inlineStr">
        <is>
          <t>1</t>
        </is>
      </c>
      <c r="J70" s="18"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ค. (จับกับ PD-1 บน T cell): ข้อนี้ไม่ใช่คำตอบที่ถูกต้องสำหรับภาวะ CINV &amp; Supportive Care เนื่องจากกลไกการออกฤทธิ์, efficacy หรือข้อบ่งใช้ไม่ตรงกับโจทย์ที่กำหนด
• ข้อ ง. (กระตุ้นให้เกิดการสร้าง antigen): ข้อนี้ไม่ใช่คำตอบที่ถูกต้องสำหรับภาวะ CINV &amp; Supportive Care เนื่องจากกลไกการออกฤทธิ์, efficacy หรือข้อบ่งใช้ไม่ตรงกับโจทย์ที่กำหนด
• ข้อ จ. (จับกับ CTLA-4):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18" t="inlineStr"/>
      <c r="L70" s="18" t="inlineStr">
        <is>
          <t>CINV &amp; Supportive Care</t>
        </is>
      </c>
      <c r="M70" s="18" t="inlineStr">
        <is>
          <t>Oncologic</t>
        </is>
      </c>
      <c r="N70" s="18" t="inlineStr">
        <is>
          <t>Mock PLE-CC 1 ข้อ 76</t>
        </is>
      </c>
      <c r="O70" s="18" t="inlineStr">
        <is>
          <t>Mock</t>
        </is>
      </c>
      <c r="P70" s="18" t="inlineStr">
        <is>
          <t>Mock RxCU83</t>
        </is>
      </c>
      <c r="Q70" s="18" t="inlineStr"/>
    </row>
    <row r="71">
      <c r="A71" s="15" t="inlineStr">
        <is>
          <t>70</t>
        </is>
      </c>
      <c r="B71" s="18" t="inlineStr">
        <is>
          <t>ลดความเสี่ยงมะเร็งเต้านม</t>
        </is>
      </c>
      <c r="C71" s="18" t="inlineStr"/>
      <c r="D71" s="18" t="inlineStr">
        <is>
          <t>Oncologic</t>
        </is>
      </c>
      <c r="E71" s="18" t="inlineStr">
        <is>
          <t>Palonosetron 0.25 mg IV stat</t>
        </is>
      </c>
      <c r="F71" s="18" t="inlineStr">
        <is>
          <t>Ondansetron 8 mg IV stat</t>
        </is>
      </c>
      <c r="G71" s="18" t="inlineStr">
        <is>
          <t>Aprepitant 125 mg PO stat</t>
        </is>
      </c>
      <c r="H71" s="18" t="inlineStr">
        <is>
          <t>Dexamethasone 12 mg IV stat</t>
        </is>
      </c>
      <c r="I71" s="15" t="inlineStr">
        <is>
          <t>1</t>
        </is>
      </c>
      <c r="J71" s="18"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18" t="inlineStr"/>
      <c r="L71" s="18" t="inlineStr">
        <is>
          <t>CINV &amp; Supportive Care</t>
        </is>
      </c>
      <c r="M71" s="18" t="inlineStr">
        <is>
          <t>Oncologic</t>
        </is>
      </c>
      <c r="N71" s="18" t="inlineStr">
        <is>
          <t>PLE-CC1 ปี 2566 Day 1 ข้อ 2</t>
        </is>
      </c>
      <c r="O71" s="18" t="inlineStr">
        <is>
          <t>ข้อสอบจริง</t>
        </is>
      </c>
      <c r="P71" s="18" t="inlineStr">
        <is>
          <t>ปี 2566</t>
        </is>
      </c>
    </row>
    <row r="72">
      <c r="A72" s="15" t="inlineStr">
        <is>
          <t>71</t>
        </is>
      </c>
      <c r="B72" s="18" t="inlineStr">
        <is>
          <t>Epinehrine ผู้ป่วยได้รับยาchemotherapy สูตรac ควรได้รับยาต้านอาเจียนอะไรบ้าง ตัวเลือก</t>
        </is>
      </c>
      <c r="C72" s="18" t="inlineStr"/>
      <c r="D72" s="18" t="inlineStr">
        <is>
          <t>Oncologic</t>
        </is>
      </c>
      <c r="E72" s="18" t="inlineStr">
        <is>
          <t>Dexamethasone 12 mg IV stat</t>
        </is>
      </c>
      <c r="F72" s="18" t="inlineStr">
        <is>
          <t>Filgrastim (G-CSF) 300 mcg SC OD</t>
        </is>
      </c>
      <c r="G72" s="18" t="inlineStr">
        <is>
          <t>Metoclopramide 10 mg TID</t>
        </is>
      </c>
      <c r="H72" s="18" t="inlineStr">
        <is>
          <t>Lorazepam 1 mg PO PRN</t>
        </is>
      </c>
      <c r="I72" s="15" t="inlineStr">
        <is>
          <t>1</t>
        </is>
      </c>
      <c r="J72" s="18"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18" t="inlineStr"/>
      <c r="L72" s="18" t="inlineStr">
        <is>
          <t>CINV &amp; Supportive Care</t>
        </is>
      </c>
      <c r="M72" s="18" t="inlineStr">
        <is>
          <t>Oncologic</t>
        </is>
      </c>
      <c r="N72" s="18" t="inlineStr">
        <is>
          <t>PLE-CC1 ปี 2566 Day 2 ข้อ 3</t>
        </is>
      </c>
      <c r="O72" s="18" t="inlineStr">
        <is>
          <t>ข้อสอบจริง</t>
        </is>
      </c>
      <c r="P72" s="18" t="inlineStr">
        <is>
          <t>ปี 2566</t>
        </is>
      </c>
    </row>
    <row r="73">
      <c r="A73" s="15" t="inlineStr">
        <is>
          <t>72</t>
        </is>
      </c>
      <c r="B73" s="18" t="inlineStr">
        <is>
          <t>Cancer…ได้รับสูตรยาที่มีDoxorubicin ประเมินอะไรก่อนให้ยา… ตัวเลือก</t>
        </is>
      </c>
      <c r="C73" s="18" t="inlineStr"/>
      <c r="D73" s="18" t="inlineStr">
        <is>
          <t>Oncologic</t>
        </is>
      </c>
      <c r="E73" s="18" t="inlineStr">
        <is>
          <t>LVEF</t>
        </is>
      </c>
      <c r="F73" s="18" t="inlineStr">
        <is>
          <t>Morphine 10 mg PO Q4H PRN</t>
        </is>
      </c>
      <c r="G73" s="18" t="inlineStr">
        <is>
          <t>Calcium folinate (Leucovorin) 50 mg IV</t>
        </is>
      </c>
      <c r="H73" s="18" t="inlineStr">
        <is>
          <t>Mesna 400 mg IV stat</t>
        </is>
      </c>
      <c r="I73" s="15" t="inlineStr">
        <is>
          <t>1</t>
        </is>
      </c>
      <c r="J73" s="18"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ข้อนี้ไม่ใช่คำตอบที่ถูกต้องสำหรับภาวะ CINV &amp; Supportive Care เนื่องจากกลไกการออกฤทธิ์, efficacy หรือข้อบ่งใช้ไม่ตรงกับโจทย์ที่กำหนด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18" t="inlineStr"/>
      <c r="L73" s="18" t="inlineStr">
        <is>
          <t>CINV &amp; Supportive Care</t>
        </is>
      </c>
      <c r="M73" s="18" t="inlineStr">
        <is>
          <t>Oncologic</t>
        </is>
      </c>
      <c r="N73" s="18" t="inlineStr">
        <is>
          <t>PLE-CC1 ปี 2566 Day 2 ข้อ 12</t>
        </is>
      </c>
      <c r="O73" s="18" t="inlineStr">
        <is>
          <t>ข้อสอบจริง</t>
        </is>
      </c>
      <c r="P73" s="18" t="inlineStr">
        <is>
          <t>ปี 2566</t>
        </is>
      </c>
    </row>
    <row r="74">
      <c r="A74" s="15" t="inlineStr">
        <is>
          <t>72</t>
        </is>
      </c>
      <c r="B74" s="18" t="inlineStr">
        <is>
          <t>ผู้ป่วยมะเร็งเต้านมต้องกิน tamoxifen นานเท่าใด</t>
        </is>
      </c>
      <c r="C74" s="18" t="inlineStr"/>
      <c r="D74" s="18" t="inlineStr">
        <is>
          <t>14 วัน</t>
        </is>
      </c>
      <c r="E74" s="18" t="inlineStr">
        <is>
          <t>30 วัน</t>
        </is>
      </c>
      <c r="F74" s="18" t="inlineStr">
        <is>
          <t>6 เดือน</t>
        </is>
      </c>
      <c r="G74" s="18" t="inlineStr">
        <is>
          <t>1 ปี</t>
        </is>
      </c>
      <c r="H74" s="18" t="inlineStr">
        <is>
          <t>5 ปี</t>
        </is>
      </c>
      <c r="I74" s="15" t="inlineStr">
        <is>
          <t>1</t>
        </is>
      </c>
      <c r="J74" s="18"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ข้อนี้ไม่ใช่คำตอบที่ถูกต้องสำหรับภาวะ CINV &amp; Supportive Care เนื่องจากกลไกการออกฤทธิ์, efficacy หรือข้อบ่งใช้ไม่ตรงกับโจทย์ที่กำหนด
• ข้อ ค. (6 เดือน): ข้อนี้ไม่ใช่คำตอบที่ถูกต้องสำหรับภาวะ CINV &amp; Supportive Care เนื่องจากกลไกการออกฤทธิ์, efficacy หรือข้อบ่งใช้ไม่ตรงกับโจทย์ที่กำหนด
• ข้อ ง. (1 ปี): ข้อนี้ไม่ใช่คำตอบที่ถูกต้องสำหรับภาวะ CINV &amp; Supportive Care เนื่องจากกลไกการออกฤทธิ์, efficacy หรือข้อบ่งใช้ไม่ตรงกับโจทย์ที่กำหนด
• ข้อ จ. (5 ปี):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18" t="inlineStr"/>
      <c r="L74" s="18" t="inlineStr">
        <is>
          <t>CINV &amp; Supportive Care</t>
        </is>
      </c>
      <c r="M74" s="18" t="inlineStr">
        <is>
          <t>Clinic</t>
        </is>
      </c>
      <c r="N74" s="18" t="inlineStr">
        <is>
          <t>ข้อ 66 (PLE_CC1_2558_Key.md)</t>
        </is>
      </c>
      <c r="O74" s="18" t="inlineStr">
        <is>
          <t>ข้อสอบจริง</t>
        </is>
      </c>
      <c r="P74" s="18" t="inlineStr">
        <is>
          <t>ปี 2558</t>
        </is>
      </c>
    </row>
    <row r="75">
      <c r="A75" s="15" t="inlineStr">
        <is>
          <t>73</t>
        </is>
      </c>
      <c r="B75" s="18" t="inlineStr">
        <is>
          <t>Gene ที่จำเพาะต่อมะเร็งเต้านม</t>
        </is>
      </c>
      <c r="C75" s="18" t="inlineStr"/>
      <c r="D75" s="18" t="inlineStr">
        <is>
          <t>KRAS</t>
        </is>
      </c>
      <c r="E75" s="18" t="inlineStr">
        <is>
          <t>BRCA-2</t>
        </is>
      </c>
      <c r="F75" s="18" t="inlineStr">
        <is>
          <t>P53</t>
        </is>
      </c>
      <c r="G75" s="18" t="inlineStr">
        <is>
          <t>EGFR</t>
        </is>
      </c>
      <c r="H75" s="18" t="inlineStr">
        <is>
          <t>HER-2</t>
        </is>
      </c>
      <c r="I75" s="15" t="inlineStr">
        <is>
          <t>1</t>
        </is>
      </c>
      <c r="J75" s="18"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ข้อนี้ไม่ใช่คำตอบที่ถูกต้องสำหรับภาวะ CINV &amp; Supportive Care เนื่องจากกลไกการออกฤทธิ์, efficacy หรือข้อบ่งใช้ไม่ตรงกับโจทย์ที่กำหนด
• ข้อ ค. (P53): ข้อนี้ไม่ใช่คำตอบที่ถูกต้องสำหรับภาวะ CINV &amp; Supportive Care เนื่องจากกลไกการออกฤทธิ์, efficacy หรือข้อบ่งใช้ไม่ตรงกับโจทย์ที่กำหนด
• ข้อ ง. (EGFR): ข้อนี้ไม่ใช่คำตอบที่ถูกต้องสำหรับภาวะ CINV &amp; Supportive Care เนื่องจากกลไกการออกฤทธิ์, efficacy หรือข้อบ่งใช้ไม่ตรงกับโจทย์ที่กำหนด
• ข้อ จ. (HER-2):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18" t="inlineStr"/>
      <c r="L75" s="18" t="inlineStr">
        <is>
          <t>CINV &amp; Supportive Care</t>
        </is>
      </c>
      <c r="M75" s="18" t="inlineStr">
        <is>
          <t>Clinic</t>
        </is>
      </c>
      <c r="N75" s="18" t="inlineStr">
        <is>
          <t>ข้อ 79 (Pharmtutor_2024_Set2.md)</t>
        </is>
      </c>
      <c r="O75" s="18" t="inlineStr">
        <is>
          <t>Mock</t>
        </is>
      </c>
      <c r="P75" s="18" t="inlineStr">
        <is>
          <t>Mock Pharmtutor 2024</t>
        </is>
      </c>
    </row>
    <row r="76">
      <c r="A76" s="15" t="inlineStr">
        <is>
          <t>74</t>
        </is>
      </c>
      <c r="B76" s="18" t="inlineStr">
        <is>
          <t>Cisplatin 50 mg และ Vinblastin 6 mg</t>
        </is>
      </c>
      <c r="C76" s="18" t="inlineStr"/>
      <c r="D76" s="18" t="inlineStr">
        <is>
          <t>Dexamethasone 12 mg IV stat</t>
        </is>
      </c>
      <c r="E76" s="18" t="inlineStr">
        <is>
          <t>Filgrastim (G-CSF) 300 mcg SC OD</t>
        </is>
      </c>
      <c r="F76" s="18" t="inlineStr">
        <is>
          <t>Metoclopramide 10 mg TID</t>
        </is>
      </c>
      <c r="G76" s="18" t="inlineStr">
        <is>
          <t>Lorazepam 1 mg PO PRN</t>
        </is>
      </c>
      <c r="H76" s="18" t="inlineStr">
        <is>
          <t>Morphine 10 mg PO Q4H PRN</t>
        </is>
      </c>
      <c r="I76" s="15" t="inlineStr">
        <is>
          <t>1</t>
        </is>
      </c>
      <c r="J76" s="18"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18" t="inlineStr"/>
      <c r="L76" s="18" t="inlineStr">
        <is>
          <t>CINV &amp; Supportive Care</t>
        </is>
      </c>
      <c r="M76" s="18" t="inlineStr">
        <is>
          <t>Clinic</t>
        </is>
      </c>
      <c r="N76" s="18" t="inlineStr">
        <is>
          <t>ข้อ 1 (PLE_CC1_2533.md)</t>
        </is>
      </c>
      <c r="O76" s="18" t="inlineStr">
        <is>
          <t>ข้อสอบจริง</t>
        </is>
      </c>
      <c r="P76" s="18" t="inlineStr">
        <is>
          <t>ปี 2533</t>
        </is>
      </c>
    </row>
    <row r="77">
      <c r="A77" s="15" t="inlineStr">
        <is>
          <t>75</t>
        </is>
      </c>
      <c r="B77" s="18" t="inlineStr">
        <is>
          <t>Cisplatin 100 mg และ Vinblastin 12 mg</t>
        </is>
      </c>
      <c r="C77" s="18" t="inlineStr"/>
      <c r="D77" s="18" t="inlineStr">
        <is>
          <t>Lorazepam 1 mg PO PRN</t>
        </is>
      </c>
      <c r="E77" s="18" t="inlineStr">
        <is>
          <t>Morphine 10 mg PO Q4H PRN</t>
        </is>
      </c>
      <c r="F77" s="18" t="inlineStr">
        <is>
          <t>Calcium folinate (Leucovorin) 50 mg IV</t>
        </is>
      </c>
      <c r="G77" s="18" t="inlineStr">
        <is>
          <t>Mesna 400 mg IV stat</t>
        </is>
      </c>
      <c r="H77" s="18" t="inlineStr">
        <is>
          <t>Rasburicase 0.2 mg/kg IV</t>
        </is>
      </c>
      <c r="I77" s="15" t="inlineStr">
        <is>
          <t>1</t>
        </is>
      </c>
      <c r="J77" s="18"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18" t="inlineStr"/>
      <c r="L77" s="18" t="inlineStr">
        <is>
          <t>CINV &amp; Supportive Care</t>
        </is>
      </c>
      <c r="M77" s="18" t="inlineStr">
        <is>
          <t>Clinic</t>
        </is>
      </c>
      <c r="N77" s="18" t="inlineStr">
        <is>
          <t>ข้อ 2 (PLE_CC1_2533.md)</t>
        </is>
      </c>
      <c r="O77" s="18" t="inlineStr">
        <is>
          <t>ข้อสอบจริง</t>
        </is>
      </c>
      <c r="P77" s="18" t="inlineStr">
        <is>
          <t>ปี 2533</t>
        </is>
      </c>
    </row>
    <row r="78">
      <c r="A78" s="15" t="inlineStr">
        <is>
          <t>76</t>
        </is>
      </c>
      <c r="B78" s="18" t="inlineStr">
        <is>
          <t>Cisplatin 125 mg และ Vinblastin 18 mg</t>
        </is>
      </c>
      <c r="C78" s="18" t="inlineStr"/>
      <c r="D78" s="18" t="inlineStr">
        <is>
          <t>Mesna 400 mg IV stat</t>
        </is>
      </c>
      <c r="E78" s="18" t="inlineStr">
        <is>
          <t>Rasburicase 0.2 mg/kg IV</t>
        </is>
      </c>
      <c r="F78" s="18" t="inlineStr">
        <is>
          <t>Palonosetron 0.25 mg IV stat</t>
        </is>
      </c>
      <c r="G78" s="18" t="inlineStr">
        <is>
          <t>Ondansetron 8 mg IV stat</t>
        </is>
      </c>
      <c r="H78" s="18" t="inlineStr">
        <is>
          <t>Aprepitant 125 mg PO stat</t>
        </is>
      </c>
      <c r="I78" s="15" t="inlineStr">
        <is>
          <t>1</t>
        </is>
      </c>
      <c r="J78" s="18"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18" t="inlineStr"/>
      <c r="L78" s="18" t="inlineStr">
        <is>
          <t>CINV &amp; Supportive Care</t>
        </is>
      </c>
      <c r="M78" s="18" t="inlineStr">
        <is>
          <t>Clinic</t>
        </is>
      </c>
      <c r="N78" s="18" t="inlineStr">
        <is>
          <t>ข้อ 3 (PLE_CC1_2533.md)</t>
        </is>
      </c>
      <c r="O78" s="18" t="inlineStr">
        <is>
          <t>ข้อสอบจริง</t>
        </is>
      </c>
      <c r="P78" s="18" t="inlineStr">
        <is>
          <t>ปี 2533</t>
        </is>
      </c>
    </row>
    <row r="79">
      <c r="A79" s="15" t="inlineStr">
        <is>
          <t>77</t>
        </is>
      </c>
      <c r="B79" s="18" t="inlineStr">
        <is>
          <t>Cisplatin 150 mg และ Vinblastin 24 mg</t>
        </is>
      </c>
      <c r="C79" s="18" t="inlineStr"/>
      <c r="D79" s="18" t="inlineStr">
        <is>
          <t>Ondansetron 8 mg IV stat</t>
        </is>
      </c>
      <c r="E79" s="18" t="inlineStr">
        <is>
          <t>Aprepitant 125 mg PO stat</t>
        </is>
      </c>
      <c r="F79" s="18" t="inlineStr">
        <is>
          <t>Dexamethasone 12 mg IV stat</t>
        </is>
      </c>
      <c r="G79" s="18" t="inlineStr">
        <is>
          <t>Filgrastim (G-CSF) 300 mcg SC OD</t>
        </is>
      </c>
      <c r="H79" s="18" t="inlineStr">
        <is>
          <t>Metoclopramide 10 mg TID</t>
        </is>
      </c>
      <c r="I79" s="15" t="inlineStr">
        <is>
          <t>1</t>
        </is>
      </c>
      <c r="J79" s="18"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18" t="inlineStr"/>
      <c r="L79" s="18" t="inlineStr">
        <is>
          <t>CINV &amp; Supportive Care</t>
        </is>
      </c>
      <c r="M79" s="18" t="inlineStr">
        <is>
          <t>Clinic</t>
        </is>
      </c>
      <c r="N79" s="18" t="inlineStr">
        <is>
          <t>ข้อ 4 (PLE_CC1_2533.md)</t>
        </is>
      </c>
      <c r="O79" s="18" t="inlineStr">
        <is>
          <t>ข้อสอบจริง</t>
        </is>
      </c>
      <c r="P79" s="18" t="inlineStr">
        <is>
          <t>ปี 2533</t>
        </is>
      </c>
    </row>
    <row r="80">
      <c r="A80" s="15" t="inlineStr">
        <is>
          <t>78</t>
        </is>
      </c>
      <c r="B80" s="18" t="inlineStr">
        <is>
          <t>Cisplatin 175 mg และ Vinblastin 48 mg</t>
        </is>
      </c>
      <c r="C80" s="18" t="inlineStr"/>
      <c r="D80" s="18" t="inlineStr">
        <is>
          <t>Filgrastim (G-CSF) 300 mcg SC OD</t>
        </is>
      </c>
      <c r="E80" s="18" t="inlineStr">
        <is>
          <t>Metoclopramide 10 mg TID</t>
        </is>
      </c>
      <c r="F80" s="18" t="inlineStr">
        <is>
          <t>Lorazepam 1 mg PO PRN</t>
        </is>
      </c>
      <c r="G80" s="18" t="inlineStr">
        <is>
          <t>Morphine 10 mg PO Q4H PRN</t>
        </is>
      </c>
      <c r="H80" s="18" t="inlineStr">
        <is>
          <t>Calcium folinate (Leucovorin) 50 mg IV</t>
        </is>
      </c>
      <c r="I80" s="15" t="inlineStr">
        <is>
          <t>1</t>
        </is>
      </c>
      <c r="J80" s="18"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18" t="inlineStr"/>
      <c r="L80" s="18" t="inlineStr">
        <is>
          <t>CINV &amp; Supportive Care</t>
        </is>
      </c>
      <c r="M80" s="18" t="inlineStr">
        <is>
          <t>Clinic</t>
        </is>
      </c>
      <c r="N80" s="18" t="inlineStr">
        <is>
          <t>ข้อ 5 (PLE_CC1_2533.md)</t>
        </is>
      </c>
      <c r="O80" s="18" t="inlineStr">
        <is>
          <t>ข้อสอบจริง</t>
        </is>
      </c>
      <c r="P80" s="18" t="inlineStr">
        <is>
          <t>ปี 2533</t>
        </is>
      </c>
    </row>
    <row r="81">
      <c r="A81" s="15" t="inlineStr">
        <is>
          <t>79</t>
        </is>
      </c>
      <c r="B81" s="18" t="inlineStr">
        <is>
          <t>อาการอาเจียนที่เกิดขึ้นจาก Cisplatin ป้องกันได้ด้วยวิธีใด</t>
        </is>
      </c>
      <c r="C81" s="18" t="inlineStr"/>
      <c r="D81" s="18" t="inlineStr">
        <is>
          <t>Morphine 10 mg PO Q4H PRN</t>
        </is>
      </c>
      <c r="E81" s="18" t="inlineStr">
        <is>
          <t>Calcium folinate (Leucovorin) 50 mg IV</t>
        </is>
      </c>
      <c r="F81" s="18" t="inlineStr">
        <is>
          <t>Mesna 400 mg IV stat</t>
        </is>
      </c>
      <c r="G81" s="18" t="inlineStr">
        <is>
          <t>Rasburicase 0.2 mg/kg IV</t>
        </is>
      </c>
      <c r="H81" s="18" t="inlineStr">
        <is>
          <t>Palonosetron 0.25 mg IV stat</t>
        </is>
      </c>
      <c r="I81" s="15" t="inlineStr">
        <is>
          <t>1</t>
        </is>
      </c>
      <c r="J81" s="18"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18" t="inlineStr"/>
      <c r="L81" s="18" t="inlineStr">
        <is>
          <t>CINV &amp; Supportive Care</t>
        </is>
      </c>
      <c r="M81" s="18" t="inlineStr">
        <is>
          <t>Clinic</t>
        </is>
      </c>
      <c r="N81" s="18" t="inlineStr">
        <is>
          <t>ข้อ 4 (PLE_CC1_2533.md)</t>
        </is>
      </c>
      <c r="O81" s="18" t="inlineStr">
        <is>
          <t>ข้อสอบจริง</t>
        </is>
      </c>
      <c r="P81" s="18" t="inlineStr">
        <is>
          <t>ปี 2533</t>
        </is>
      </c>
    </row>
    <row r="82">
      <c r="A82" s="15" t="inlineStr">
        <is>
          <t>80</t>
        </is>
      </c>
      <c r="B82" s="18" t="inlineStr">
        <is>
          <t>ควรฉีด Cisplatin แบบ IV push</t>
        </is>
      </c>
      <c r="C82" s="18" t="inlineStr"/>
      <c r="D82" s="18" t="inlineStr">
        <is>
          <t>Rasburicase 0.2 mg/kg IV</t>
        </is>
      </c>
      <c r="E82" s="18" t="inlineStr">
        <is>
          <t>Palonosetron 0.25 mg IV stat</t>
        </is>
      </c>
      <c r="F82" s="18" t="inlineStr">
        <is>
          <t>Ondansetron 8 mg IV stat</t>
        </is>
      </c>
      <c r="G82" s="18" t="inlineStr">
        <is>
          <t>Aprepitant 125 mg PO stat</t>
        </is>
      </c>
      <c r="H82" s="18" t="inlineStr">
        <is>
          <t>Dexamethasone 12 mg IV stat</t>
        </is>
      </c>
      <c r="I82" s="15" t="inlineStr">
        <is>
          <t>1</t>
        </is>
      </c>
      <c r="J82" s="18"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18" t="inlineStr"/>
      <c r="L82" s="18" t="inlineStr">
        <is>
          <t>CINV &amp; Supportive Care</t>
        </is>
      </c>
      <c r="M82" s="18" t="inlineStr">
        <is>
          <t>Clinic</t>
        </is>
      </c>
      <c r="N82" s="18" t="inlineStr">
        <is>
          <t>ข้อ 2 (PLE_CC1_2533.md)</t>
        </is>
      </c>
      <c r="O82" s="18" t="inlineStr">
        <is>
          <t>ข้อสอบจริง</t>
        </is>
      </c>
      <c r="P82" s="18" t="inlineStr">
        <is>
          <t>ปี 2533</t>
        </is>
      </c>
    </row>
    <row r="83">
      <c r="A83" s="15" t="inlineStr">
        <is>
          <t>81</t>
        </is>
      </c>
      <c r="B83" s="18" t="inlineStr">
        <is>
          <t>ให้ NSS ก่อนให้ Cisplatin</t>
        </is>
      </c>
      <c r="C83" s="18" t="inlineStr"/>
      <c r="D83" s="18" t="inlineStr">
        <is>
          <t>Aprepitant 125 mg PO stat</t>
        </is>
      </c>
      <c r="E83" s="18" t="inlineStr">
        <is>
          <t>Dexamethasone 12 mg IV stat</t>
        </is>
      </c>
      <c r="F83" s="18" t="inlineStr">
        <is>
          <t>Filgrastim (G-CSF) 300 mcg SC OD</t>
        </is>
      </c>
      <c r="G83" s="18" t="inlineStr">
        <is>
          <t>Metoclopramide 10 mg TID</t>
        </is>
      </c>
      <c r="H83" s="18" t="inlineStr">
        <is>
          <t>Lorazepam 1 mg PO PRN</t>
        </is>
      </c>
      <c r="I83" s="15" t="inlineStr">
        <is>
          <t>1</t>
        </is>
      </c>
      <c r="J83" s="18"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18" t="inlineStr"/>
      <c r="L83" s="18" t="inlineStr">
        <is>
          <t>CINV &amp; Supportive Care</t>
        </is>
      </c>
      <c r="M83" s="18" t="inlineStr">
        <is>
          <t>Clinic</t>
        </is>
      </c>
      <c r="N83" s="18" t="inlineStr">
        <is>
          <t>ข้อ 4 (PLE_CC1_2533.md)</t>
        </is>
      </c>
      <c r="O83" s="18" t="inlineStr">
        <is>
          <t>ข้อสอบจริง</t>
        </is>
      </c>
      <c r="P83" s="18" t="inlineStr">
        <is>
          <t>ปี 2533</t>
        </is>
      </c>
    </row>
    <row r="84">
      <c r="A84" s="15" t="inlineStr">
        <is>
          <t>82</t>
        </is>
      </c>
      <c r="B84" s="18" t="inlineStr">
        <is>
          <t>ให้ D5W ก่อนให้ Cisplatin หลังจากนั้นแพทย์ได้ทำการเปลี่ยนยา Vinblastine เป็น Gemcitabine</t>
        </is>
      </c>
      <c r="C84" s="18" t="inlineStr"/>
      <c r="D84" s="18" t="inlineStr">
        <is>
          <t>Metoclopramide 10 mg TID</t>
        </is>
      </c>
      <c r="E84" s="18" t="inlineStr">
        <is>
          <t>Lorazepam 1 mg PO PRN</t>
        </is>
      </c>
      <c r="F84" s="18" t="inlineStr">
        <is>
          <t>Morphine 10 mg PO Q4H PRN</t>
        </is>
      </c>
      <c r="G84" s="18" t="inlineStr">
        <is>
          <t>Calcium folinate (Leucovorin) 50 mg IV</t>
        </is>
      </c>
      <c r="H84" s="18" t="inlineStr">
        <is>
          <t>Mesna 400 mg IV stat</t>
        </is>
      </c>
      <c r="I84" s="15" t="inlineStr">
        <is>
          <t>1</t>
        </is>
      </c>
      <c r="J84" s="18"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18" t="inlineStr"/>
      <c r="L84" s="18" t="inlineStr">
        <is>
          <t>CINV &amp; Supportive Care</t>
        </is>
      </c>
      <c r="M84" s="18" t="inlineStr">
        <is>
          <t>Clinic</t>
        </is>
      </c>
      <c r="N84" s="18" t="inlineStr">
        <is>
          <t>ข้อ 5 (PLE_CC1_2533.md)</t>
        </is>
      </c>
      <c r="O84" s="18" t="inlineStr">
        <is>
          <t>ข้อสอบจริง</t>
        </is>
      </c>
      <c r="P84" s="18" t="inlineStr">
        <is>
          <t>ปี 2533</t>
        </is>
      </c>
    </row>
    <row r="85">
      <c r="A85" s="15" t="inlineStr">
        <is>
          <t>83</t>
        </is>
      </c>
      <c r="B85" s="18" t="inlineStr">
        <is>
          <t>ผู้ป่วยที่ได้รับยา Methotrexate ควรได้รับการติดตามค่าใดต่อไปนี้</t>
        </is>
      </c>
      <c r="C85" s="18" t="inlineStr"/>
      <c r="D85" s="18" t="inlineStr">
        <is>
          <t>complete blood count, AST, ALT, albumin</t>
        </is>
      </c>
      <c r="E85" s="18" t="inlineStr">
        <is>
          <t>complete blood count, creatinine, glucose</t>
        </is>
      </c>
      <c r="F85" s="18" t="inlineStr">
        <is>
          <t>complete blood count, urinalysis</t>
        </is>
      </c>
      <c r="G85" s="18" t="inlineStr">
        <is>
          <t>ตรวจความดันโลหิตทุก6เดือน</t>
        </is>
      </c>
      <c r="H85" s="18" t="inlineStr">
        <is>
          <t>ตรวจตาทุก 6 เดือน</t>
        </is>
      </c>
      <c r="I85" s="15" t="inlineStr">
        <is>
          <t>1</t>
        </is>
      </c>
      <c r="J85" s="18"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ข้อนี้ไม่ใช่คำตอบที่ถูกต้องสำหรับภาวะ CINV &amp; Supportive Care เนื่องจากกลไกการออกฤทธิ์, efficacy หรือข้อบ่งใช้ไม่ตรงกับโจทย์ที่กำหนด
• ข้อ ค. (complete blood count, urinalysis): ข้อนี้ไม่ใช่คำตอบที่ถูกต้องสำหรับภาวะ CINV &amp; Supportive Care เนื่องจากกลไกการออกฤทธิ์, efficacy หรือข้อบ่งใช้ไม่ตรงกับโจทย์ที่กำหนด
• ข้อ ง. (ตรวจความดันโลหิตทุก6เดือน): ข้อนี้ไม่ใช่คำตอบที่ถูกต้องสำหรับภาวะ CINV &amp; Supportive Care เนื่องจากกลไกการออกฤทธิ์, efficacy หรือข้อบ่งใช้ไม่ตรงกับโจทย์ที่กำหนด
• ข้อ จ. (ตรวจตาทุก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85" s="18" t="inlineStr"/>
      <c r="L85" s="18" t="inlineStr">
        <is>
          <t>CINV &amp; Supportive Care</t>
        </is>
      </c>
      <c r="M85" s="18" t="inlineStr">
        <is>
          <t>Clinic</t>
        </is>
      </c>
      <c r="N85" s="18" t="inlineStr">
        <is>
          <t>ข้อ 34 (PLE_CC1_Practice_Exam.md)</t>
        </is>
      </c>
      <c r="O85" s="18" t="inlineStr">
        <is>
          <t>Mock</t>
        </is>
      </c>
      <c r="P85" s="18" t="inlineStr">
        <is>
          <t>Mock สภาเภสัชฯ Practice</t>
        </is>
      </c>
    </row>
    <row r="86">
      <c r="A86" s="15" t="inlineStr">
        <is>
          <t>84</t>
        </is>
      </c>
      <c r="B86" s="18"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6" s="18" t="inlineStr"/>
      <c r="D86" s="18" t="inlineStr">
        <is>
          <t>Palonosetron 0.25 mg IV stat</t>
        </is>
      </c>
      <c r="E86" s="18" t="inlineStr">
        <is>
          <t>Ondansetron 8 mg IV stat</t>
        </is>
      </c>
      <c r="F86" s="18" t="inlineStr">
        <is>
          <t>Aprepitant 125 mg PO stat</t>
        </is>
      </c>
      <c r="G86" s="18" t="inlineStr">
        <is>
          <t>Dexamethasone 12 mg IV stat</t>
        </is>
      </c>
      <c r="H86" s="18" t="inlineStr">
        <is>
          <t>Filgrastim (G-CSF) 300 mcg SC OD</t>
        </is>
      </c>
      <c r="I86" s="15" t="inlineStr">
        <is>
          <t>1</t>
        </is>
      </c>
      <c r="J86" s="18"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18" t="inlineStr"/>
      <c r="L86" s="18" t="inlineStr">
        <is>
          <t>CINV &amp; Supportive Care</t>
        </is>
      </c>
      <c r="M86" s="18" t="inlineStr">
        <is>
          <t>Clinic</t>
        </is>
      </c>
      <c r="N86" s="18" t="inlineStr">
        <is>
          <t>ข้อ 5 (PLE_CC1_Key_Rx20_UBU.md)</t>
        </is>
      </c>
      <c r="O86" s="18" t="inlineStr">
        <is>
          <t>Mock</t>
        </is>
      </c>
      <c r="P86" s="18" t="inlineStr">
        <is>
          <t>Mock Rx20 UBU</t>
        </is>
      </c>
    </row>
    <row r="87">
      <c r="A87" s="15" t="inlineStr">
        <is>
          <t>85</t>
        </is>
      </c>
      <c r="B87" s="18" t="inlineStr">
        <is>
          <t>Cisplatin inhibits DNA synthesis by the formation of DNA cross-links; denatures the double helix; covalently binds to DNA bases and disrupts DNA function;</t>
        </is>
      </c>
      <c r="C87" s="18" t="inlineStr"/>
      <c r="D87" s="18" t="inlineStr">
        <is>
          <t>Dexamethasone 12 mg IV stat</t>
        </is>
      </c>
      <c r="E87" s="18" t="inlineStr">
        <is>
          <t>Filgrastim (G-CSF) 300 mcg SC OD</t>
        </is>
      </c>
      <c r="F87" s="18" t="inlineStr">
        <is>
          <t>Metoclopramide 10 mg TID</t>
        </is>
      </c>
      <c r="G87" s="18" t="inlineStr">
        <is>
          <t>Lorazepam 1 mg PO PRN</t>
        </is>
      </c>
      <c r="H87" s="18" t="inlineStr">
        <is>
          <t>Morphine 10 mg PO Q4H PRN</t>
        </is>
      </c>
      <c r="I87" s="15" t="inlineStr">
        <is>
          <t>1</t>
        </is>
      </c>
      <c r="J87" s="18"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18" t="inlineStr"/>
      <c r="L87" s="18" t="inlineStr">
        <is>
          <t>CINV &amp; Supportive Care</t>
        </is>
      </c>
      <c r="M87" s="18" t="inlineStr">
        <is>
          <t>Clinic</t>
        </is>
      </c>
      <c r="N87" s="18" t="inlineStr">
        <is>
          <t>ข้อ 5 (PLE_CC1_Key_Rx20_UBU.md)</t>
        </is>
      </c>
      <c r="O87" s="18" t="inlineStr">
        <is>
          <t>Mock</t>
        </is>
      </c>
      <c r="P87" s="18" t="inlineStr">
        <is>
          <t>Mock Rx20 UBU</t>
        </is>
      </c>
    </row>
    <row r="88">
      <c r="A88" s="15" t="inlineStr">
        <is>
          <t>86</t>
        </is>
      </c>
      <c r="B88" s="18" t="inlineStr">
        <is>
          <t>Cisplatin จะจับกับ Nitrogen ในสำยเบสที่ตำแหน่งใด</t>
        </is>
      </c>
      <c r="C88" s="18" t="inlineStr"/>
      <c r="D88" s="18" t="inlineStr">
        <is>
          <t>Lorazepam 1 mg PO PRN</t>
        </is>
      </c>
      <c r="E88" s="18" t="inlineStr">
        <is>
          <t>Morphine 10 mg PO Q4H PRN</t>
        </is>
      </c>
      <c r="F88" s="18" t="inlineStr">
        <is>
          <t>Calcium folinate (Leucovorin) 50 mg IV</t>
        </is>
      </c>
      <c r="G88" s="18" t="inlineStr">
        <is>
          <t>Mesna 400 mg IV stat</t>
        </is>
      </c>
      <c r="H88" s="18" t="inlineStr">
        <is>
          <t>Rasburicase 0.2 mg/kg IV</t>
        </is>
      </c>
      <c r="I88" s="15" t="inlineStr">
        <is>
          <t>1</t>
        </is>
      </c>
      <c r="J88" s="18"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18" t="inlineStr"/>
      <c r="L88" s="18" t="inlineStr">
        <is>
          <t>CINV &amp; Supportive Care</t>
        </is>
      </c>
      <c r="M88" s="18" t="inlineStr">
        <is>
          <t>Clinic</t>
        </is>
      </c>
      <c r="N88" s="18" t="inlineStr">
        <is>
          <t>ข้อ 104 (PLE_CC1_Key_Rx20_UBU.md)</t>
        </is>
      </c>
      <c r="O88" s="18" t="inlineStr">
        <is>
          <t>Mock</t>
        </is>
      </c>
      <c r="P88" s="18" t="inlineStr">
        <is>
          <t>Mock Rx20 UBU</t>
        </is>
      </c>
    </row>
    <row r="89">
      <c r="A89" s="15" t="inlineStr">
        <is>
          <t>87</t>
        </is>
      </c>
      <c r="B89" s="18" t="inlineStr">
        <is>
          <t>Doxorubicin ออกฤทธิ์โดยทำลาย DNA ของเชื้อ</t>
        </is>
      </c>
      <c r="C89" s="18" t="inlineStr"/>
      <c r="D89" s="18" t="inlineStr">
        <is>
          <t>Mesna 400 mg IV stat</t>
        </is>
      </c>
      <c r="E89" s="18" t="inlineStr">
        <is>
          <t>Rasburicase 0.2 mg/kg IV</t>
        </is>
      </c>
      <c r="F89" s="18" t="inlineStr">
        <is>
          <t>Palonosetron 0.25 mg IV stat</t>
        </is>
      </c>
      <c r="G89" s="18" t="inlineStr">
        <is>
          <t>Ondansetron 8 mg IV stat</t>
        </is>
      </c>
      <c r="H89" s="18" t="inlineStr">
        <is>
          <t>Aprepitant 125 mg PO stat</t>
        </is>
      </c>
      <c r="I89" s="15" t="inlineStr">
        <is>
          <t>1</t>
        </is>
      </c>
      <c r="J89" s="18"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9" s="18" t="inlineStr"/>
      <c r="L89" s="18" t="inlineStr">
        <is>
          <t>CINV &amp; Supportive Care</t>
        </is>
      </c>
      <c r="M89" s="18" t="inlineStr">
        <is>
          <t>Clinic</t>
        </is>
      </c>
      <c r="N89" s="18" t="inlineStr">
        <is>
          <t>ข้อ 1 (PLE_CC1_Key_Rx20_UBU.md)</t>
        </is>
      </c>
      <c r="O89" s="18" t="inlineStr">
        <is>
          <t>Mock</t>
        </is>
      </c>
      <c r="P89" s="18" t="inlineStr">
        <is>
          <t>Mock Rx20 UBU</t>
        </is>
      </c>
    </row>
    <row r="90">
      <c r="A90" s="15" t="inlineStr">
        <is>
          <t>88</t>
        </is>
      </c>
      <c r="B90" s="18" t="inlineStr">
        <is>
          <t>Doxorubicin ออกฤทธิ์เป็น intercalating ต่อสาย DNA</t>
        </is>
      </c>
      <c r="C90" s="18" t="inlineStr"/>
      <c r="D90" s="18" t="inlineStr">
        <is>
          <t>Ondansetron 8 mg IV stat</t>
        </is>
      </c>
      <c r="E90" s="18" t="inlineStr">
        <is>
          <t>Aprepitant 125 mg PO stat</t>
        </is>
      </c>
      <c r="F90" s="18" t="inlineStr">
        <is>
          <t>Dexamethasone 12 mg IV stat</t>
        </is>
      </c>
      <c r="G90" s="18" t="inlineStr">
        <is>
          <t>Filgrastim (G-CSF) 300 mcg SC OD</t>
        </is>
      </c>
      <c r="H90" s="18" t="inlineStr">
        <is>
          <t>Metoclopramide 10 mg TID</t>
        </is>
      </c>
      <c r="I90" s="15" t="inlineStr">
        <is>
          <t>1</t>
        </is>
      </c>
      <c r="J90" s="18"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0" s="18" t="inlineStr"/>
      <c r="L90" s="18" t="inlineStr">
        <is>
          <t>CINV &amp; Supportive Care</t>
        </is>
      </c>
      <c r="M90" s="18" t="inlineStr">
        <is>
          <t>Clinic</t>
        </is>
      </c>
      <c r="N90" s="18" t="inlineStr">
        <is>
          <t>ข้อ 4 (PLE_CC1_Key_Rx20_UBU.md)</t>
        </is>
      </c>
      <c r="O90" s="18" t="inlineStr">
        <is>
          <t>Mock</t>
        </is>
      </c>
      <c r="P90" s="18" t="inlineStr">
        <is>
          <t>Mock Rx20 UBU</t>
        </is>
      </c>
    </row>
    <row r="91">
      <c r="A91" s="15" t="inlineStr">
        <is>
          <t>89</t>
        </is>
      </c>
      <c r="B91" s="18" t="inlineStr">
        <is>
          <t>ยามะเร็งเตรียมในห้องที่มีแรงดันเป็นแบบ positive pressure</t>
        </is>
      </c>
      <c r="C91" s="18" t="inlineStr"/>
      <c r="D91" s="18" t="inlineStr">
        <is>
          <t>Filgrastim (G-CSF) 300 mcg SC OD</t>
        </is>
      </c>
      <c r="E91" s="18" t="inlineStr">
        <is>
          <t>Metoclopramide 10 mg TID</t>
        </is>
      </c>
      <c r="F91" s="18" t="inlineStr">
        <is>
          <t>Lorazepam 1 mg PO PRN</t>
        </is>
      </c>
      <c r="G91" s="18" t="inlineStr">
        <is>
          <t>Morphine 10 mg PO Q4H PRN</t>
        </is>
      </c>
      <c r="H91" s="18" t="inlineStr">
        <is>
          <t>Calcium folinate (Leucovorin) 50 mg IV</t>
        </is>
      </c>
      <c r="I91" s="15" t="inlineStr">
        <is>
          <t>1</t>
        </is>
      </c>
      <c r="J91" s="18"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1" s="18" t="inlineStr"/>
      <c r="L91" s="18" t="inlineStr">
        <is>
          <t>CINV &amp; Supportive Care</t>
        </is>
      </c>
      <c r="M91" s="18" t="inlineStr">
        <is>
          <t>Clinic</t>
        </is>
      </c>
      <c r="N91" s="18" t="inlineStr">
        <is>
          <t>ข้อ 1 (PLE_CC1_Key_Rx20_UBU.md)</t>
        </is>
      </c>
      <c r="O91" s="18" t="inlineStr">
        <is>
          <t>Mock</t>
        </is>
      </c>
      <c r="P91" s="18" t="inlineStr">
        <is>
          <t>Mock Rx20 UBU</t>
        </is>
      </c>
    </row>
    <row r="92">
      <c r="A92" s="15" t="inlineStr">
        <is>
          <t>90</t>
        </is>
      </c>
      <c r="B92" s="18" t="inlineStr">
        <is>
          <t>เพราะ ยามะเร็งเตรียมในห้องที่มีแรงดันเป็นแบบneagatiive pressure</t>
        </is>
      </c>
      <c r="C92" s="18" t="inlineStr"/>
      <c r="D92" s="18" t="inlineStr">
        <is>
          <t>Morphine 10 mg PO Q4H PRN</t>
        </is>
      </c>
      <c r="E92" s="18" t="inlineStr">
        <is>
          <t>Calcium folinate (Leucovorin) 50 mg IV</t>
        </is>
      </c>
      <c r="F92" s="18" t="inlineStr">
        <is>
          <t>Mesna 400 mg IV stat</t>
        </is>
      </c>
      <c r="G92" s="18" t="inlineStr">
        <is>
          <t>Rasburicase 0.2 mg/kg IV</t>
        </is>
      </c>
      <c r="H92" s="18" t="inlineStr">
        <is>
          <t>Palonosetron 0.25 mg IV stat</t>
        </is>
      </c>
      <c r="I92" s="15" t="inlineStr">
        <is>
          <t>4</t>
        </is>
      </c>
      <c r="J92" s="18"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2" s="18" t="inlineStr"/>
      <c r="L92" s="18" t="inlineStr">
        <is>
          <t>CINV &amp; Supportive Care</t>
        </is>
      </c>
      <c r="M92" s="18" t="inlineStr">
        <is>
          <t>Clinic</t>
        </is>
      </c>
      <c r="N92" s="18" t="inlineStr">
        <is>
          <t>ข้อ 4 (PLE_CC1_Key_Rx20_UBU.md)</t>
        </is>
      </c>
      <c r="O92" s="18" t="inlineStr">
        <is>
          <t>Mock</t>
        </is>
      </c>
      <c r="P92" s="18" t="inlineStr">
        <is>
          <t>Mock Rx20 UBU</t>
        </is>
      </c>
    </row>
    <row r="93">
      <c r="A93" s="15" t="inlineStr">
        <is>
          <t>91</t>
        </is>
      </c>
      <c r="B93" s="18" t="inlineStr">
        <is>
          <t>Cumulative dose ของ Doxorubicin ในผู้ป่วยรายนี้ คือเท่าไร</t>
        </is>
      </c>
      <c r="C93" s="18" t="inlineStr"/>
      <c r="D93" s="18" t="inlineStr">
        <is>
          <t>60 mg/m 2</t>
        </is>
      </c>
      <c r="E93" s="18" t="inlineStr">
        <is>
          <t>180 mg/m 2</t>
        </is>
      </c>
      <c r="F93" s="18" t="inlineStr">
        <is>
          <t>240 mg/m 2</t>
        </is>
      </c>
      <c r="G93" s="18" t="inlineStr">
        <is>
          <t>300 mg/m 2</t>
        </is>
      </c>
      <c r="H93" s="18" t="inlineStr">
        <is>
          <t>480 mg/m 2 cycle 4 x 60 = 240 mg/m 2</t>
        </is>
      </c>
      <c r="I93" s="15" t="inlineStr">
        <is>
          <t>3</t>
        </is>
      </c>
      <c r="J93" s="18"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ข้อนี้ไม่ใช่คำตอบที่ถูกต้องสำหรับภาวะ CINV &amp; Supportive Care เนื่องจากกลไกการออกฤทธิ์, efficacy หรือข้อบ่งใช้ไม่ตรงกับโจทย์ที่กำหนด
• ข้อ ข. (180 mg/m 2): ข้อนี้ไม่ใช่คำตอบที่ถูกต้องสำหรับภาวะ CINV &amp; Supportive Care เนื่องจากกลไกการออกฤทธิ์, efficacy หรือข้อบ่งใช้ไม่ตรงกับโจทย์ที่กำหนด
• ข้อ ง. (300 mg/m 2): ข้อนี้ไม่ใช่คำตอบที่ถูกต้องสำหรับภาวะ CINV &amp; Supportive Care เนื่องจากกลไกการออกฤทธิ์, efficacy หรือข้อบ่งใช้ไม่ตรงกับโจทย์ที่กำหนด
• ข้อ จ. (480 mg/m 2 cycle 4 x 60 = 240 mg/m 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3" s="18" t="inlineStr"/>
      <c r="L93" s="18" t="inlineStr">
        <is>
          <t>CINV &amp; Supportive Care</t>
        </is>
      </c>
      <c r="M93" s="18" t="inlineStr">
        <is>
          <t>Clinic</t>
        </is>
      </c>
      <c r="N93" s="18" t="inlineStr">
        <is>
          <t>ข้อ 10 (PLE_CC1_Key_Rx20_UBU.md)</t>
        </is>
      </c>
      <c r="O93" s="18" t="inlineStr">
        <is>
          <t>Mock</t>
        </is>
      </c>
      <c r="P93" s="18" t="inlineStr">
        <is>
          <t>Mock Rx20 UBU</t>
        </is>
      </c>
    </row>
    <row r="94">
      <c r="A94" s="15" t="inlineStr">
        <is>
          <t>92</t>
        </is>
      </c>
      <c r="B94" s="18" t="inlineStr">
        <is>
          <t>กลไกการเกิด cardiotoxicity ของยา doxorubicin คือข้อใด</t>
        </is>
      </c>
      <c r="C94" s="18" t="inlineStr"/>
      <c r="D94" s="18" t="inlineStr">
        <is>
          <t>Free radical generation</t>
        </is>
      </c>
      <c r="E94" s="18" t="inlineStr">
        <is>
          <t>Topoisomerase inhibitors</t>
        </is>
      </c>
      <c r="F94" s="18" t="inlineStr">
        <is>
          <t>Intercalated DNA</t>
        </is>
      </c>
      <c r="G94" s="18" t="inlineStr">
        <is>
          <t>Inhibit microtubule assembly</t>
        </is>
      </c>
      <c r="H94" s="18"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94" s="15" t="inlineStr">
        <is>
          <t>1</t>
        </is>
      </c>
      <c r="J94" s="18"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ข้อนี้ไม่ใช่คำตอบที่ถูกต้องสำหรับภาวะ CINV &amp; Supportive Care เนื่องจากกลไกการออกฤทธิ์, efficacy หรือข้อบ่งใช้ไม่ตรงกับโจทย์ที่กำหนด
• ข้อ ค. (Intercalated DNA): ข้อนี้ไม่ใช่คำตอบที่ถูกต้องสำหรับภาวะ CINV &amp; Supportive Care เนื่องจากกลไกการออกฤทธิ์, efficacy หรือข้อบ่งใช้ไม่ตรงกับโจทย์ที่กำหนด
• ข้อ ง. (Inhibit microtubule assembly): ข้อนี้ไม่ใช่คำตอบที่ถูกต้องสำหรับภาวะ CINV &amp; Supportive Care เนื่องจากกลไกการออกฤทธิ์, efficacy หรือข้อบ่งใช้ไม่ตรงกับโจทย์ที่กำหนด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4" s="18" t="inlineStr"/>
      <c r="L94" s="18" t="inlineStr">
        <is>
          <t>CINV &amp; Supportive Care</t>
        </is>
      </c>
      <c r="M94" s="18" t="inlineStr">
        <is>
          <t>Clinic</t>
        </is>
      </c>
      <c r="N94" s="18" t="inlineStr">
        <is>
          <t>ข้อ 11 (PLE_CC1_Key_Rx20_UBU.md)</t>
        </is>
      </c>
      <c r="O94" s="18" t="inlineStr">
        <is>
          <t>Mock</t>
        </is>
      </c>
      <c r="P94" s="18" t="inlineStr">
        <is>
          <t>Mock Rx20 UBU</t>
        </is>
      </c>
    </row>
    <row r="95">
      <c r="A95" s="18" t="n">
        <v>93</v>
      </c>
      <c r="B95" s="18" t="inlineStr">
        <is>
          <t>▶ [กรณีศึกษา: ผู้ป่วยหญิง อายุ 58 ปี หนัก 66 กก. สูง 163 ซม. ECOG 1 มาด้วยอาการไอเรื้อรัง ซื้อยากดอาการไอก็ไม่หาย มีประวัติสูบบุหรี่ 20 pack-year เลิกสูบไป 5 ปีแล้ว ปัจจุบันตรวจพบ EGFR mutation: negative, PD-L1 TPS 80% ได้รับการวินิจฉัยเป็น Non-Small Cell Lung Cancer (NSCLC) Stage IV metastasis to liver ได้รับการรักษาด้วย Pembrolizumab]
📌 คำถาม: ต้องติดตามอาการและผลข้างเคียงของผู้ป่วยหลังจากได้รับการรักษาครั้งแรกตอนไหนเหมาะสมที่สุด</t>
        </is>
      </c>
      <c r="C95" s="18" t="inlineStr"/>
      <c r="D95" s="18" t="inlineStr">
        <is>
          <t>หลัง 1-2 สัปดาห์</t>
        </is>
      </c>
      <c r="E95" s="18" t="inlineStr">
        <is>
          <t>หลัง 1 เดือน</t>
        </is>
      </c>
      <c r="F95" s="18" t="inlineStr">
        <is>
          <t>หลัง 2 เดือน</t>
        </is>
      </c>
      <c r="G95" s="18" t="inlineStr">
        <is>
          <t>หลังการรักษาเสร็จสิ้นทั้งหมด</t>
        </is>
      </c>
      <c r="H95" s="18" t="inlineStr">
        <is>
          <t>ไม่จำเป็นต้องติดตาม</t>
        </is>
      </c>
      <c r="I95" s="15" t="inlineStr">
        <is>
          <t>2</t>
        </is>
      </c>
      <c r="J95" s="18" t="inlineStr">
        <is>
          <t>✅ คำตอบที่ถูกต้อง: ข้อ ข. หลัง 1 เดือน
💡 Background:
ผู้ป่วยมะเร็งปอดชนิด Non-Small Cell Lung Cancer (NSCLC) ระยะที่ 4 แพร่กระจายไปตับ และมีค่า PD-L1 TPS สูง (80%) ได้รับการรักษาด้วย Pembrolizumab (Immune Checkpoint Inhibitor: Anti-PD-1) การติดตามการตอบสนองและพิษของยาภูมิคุ้มกันบำบัดมีความสำคัญยิ่ง โดยผลข้างเคียงทางระบบภูมิคุ้มกัน (Immune-Related Adverse Events: irAEs) มักจะเริ่มตรวจพบได้ตั้งแต่ช่วง 3-6 สัปดาห์แรกหลังเริ่มยา
🎯 ทำไมข้อนี้ถึงถูก:
การนัดติดตามอาการผู้ป่วยหลังเริ่มยา Pembrolizumab ครั้งแรก ควรนัดติดตามอาการทางคลินิกและตรวจค่าทางห้องปฏิบัติการ (LFT, Thyroid function test, Renal function) ที่ระยะประมาณ 3-4 สัปดาห์ (1 เดือน) หลังเริ่มการรักษา เพื่อเฝ้าระวัง irAEs ระยะแรกเริ่ม เช่น ผื่นผิวหนัง ปอดอักเสบ หรือตับอักเสบ ก่อนให้รอบถัดไป
🔍 ข้ออื่นผิดเพราะอะไร:
• ข้อ ก. (หลัง 1-2 สัปดาห์): เร็วเกินไปสำหรับการประเมิน irAEs หรือการตอบสนองเชิงระบบทั่วไป เว้นแต่ผู้ป่วยมีอาการเฉียบพลัน
• ข้อ ค. (หลัง 2 เดือน): ช้าเกินไป เพราะ Pembrolizumab มักให้ทุก 3 หรือ 6 สัปดาห์ การรอถึง 2 เดือนอาจทำให้ตรวจพบ irAEs ที่รุนแรงไม่ทันท่วงที
• ข้อ ง. (หลังการรักษา): ไม่ถูกต้องอย่างยิ่ง การรักษาด้วย ICI ต้องติดตามระหว่างให้ยาอย่างต่อเนื่อง ไม่ใช่รอจนจบคอร์ส
• ข้อ จ. (ไม่จำเป็นต้องติดตาม): ผิดอย่างสิ้นเชิง ยาในกลุ่ม ICI มีความเสี่ยงต่อ irAEs ที่อาจเป็นอันตรายถึงชีวิต ต้องติดตามอย่างเคร่งครัด
📖 Guideline อ้างอิง:
NCCN Clinical Practice Guidelines in Oncology: Management of Immunotherapy-Related Toxicities &amp; ASCO Clinical Practice Guideline
📌 จุดจำก่อนสอบ:
• Monitoring Timing: ตรวจติดตาม LFTs, CBC, และ Thyroid function (TSH/Free T4) ทุกรอบก่อนให้ยา Pembrolizumab (ทุก 3-6 สัปดาห์)
• Early irAEs: พิษทางผิวหนัง (Rash/Pruritus) มักเกิดเร็วที่สุดใน 3-4 สัปดาห์แรก ตามด้วยทางเดินอาหารและต่อมไร้ท่อ</t>
        </is>
      </c>
      <c r="K95" s="18" t="inlineStr"/>
      <c r="L95" s="18" t="inlineStr">
        <is>
          <t>Lung Cancer</t>
        </is>
      </c>
      <c r="M95" s="18" t="inlineStr">
        <is>
          <t>Clinic</t>
        </is>
      </c>
      <c r="N95" s="18" t="inlineStr">
        <is>
          <t>Mock PLE-CC 1 ข้อ 67</t>
        </is>
      </c>
      <c r="O95" s="18" t="inlineStr">
        <is>
          <t>Mock</t>
        </is>
      </c>
      <c r="P95" s="18" t="inlineStr">
        <is>
          <t>Mock RxCU83</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72"/>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1</t>
        </is>
      </c>
      <c r="B3" s="1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8" t="inlineStr"/>
      <c r="D3" s="18" t="inlineStr">
        <is>
          <t>Acute kidney injury</t>
        </is>
      </c>
      <c r="E3" s="18" t="inlineStr">
        <is>
          <t>Renal insufficiency</t>
        </is>
      </c>
      <c r="F3" s="18" t="inlineStr">
        <is>
          <t>Chronic kidney disease</t>
        </is>
      </c>
      <c r="G3" s="18" t="inlineStr">
        <is>
          <t>Uremia</t>
        </is>
      </c>
      <c r="H3" s="18" t="inlineStr">
        <is>
          <t>End-stage renal failure</t>
        </is>
      </c>
      <c r="I3" s="15" t="inlineStr">
        <is>
          <t>3</t>
        </is>
      </c>
      <c r="J3" s="18"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ข้อนี้ไม่ใช่คำตอบที่ถูกต้องสำหรับภาวะ Chronic kidney diseases เนื่องจากกลไกการออกฤทธิ์, efficacy หรือข้อบ่งใช้ไม่ตรงกับโจทย์ที่กำหนด
• ข้อ ข. (Renal insufficiency): ข้อนี้ไม่ใช่คำตอบที่ถูกต้องสำหรับภาวะ Chronic kidney diseases เนื่องจากกลไกการออกฤทธิ์, efficacy หรือข้อบ่งใช้ไม่ตรงกับโจทย์ที่กำหนด
• ข้อ ง. (Uremia): ข้อนี้ไม่ใช่คำตอบที่ถูกต้องสำหรับภาวะ Chronic kidney diseases เนื่องจากกลไกการออกฤทธิ์, efficacy หรือข้อบ่งใช้ไม่ตรงกับโจทย์ที่กำหนด
• ข้อ จ. (End-stage renal failure):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8" t="inlineStr"/>
      <c r="L3" s="18" t="inlineStr">
        <is>
          <t>Chronic kidney diseases</t>
        </is>
      </c>
      <c r="M3" s="18" t="inlineStr">
        <is>
          <t>Clinic</t>
        </is>
      </c>
      <c r="N3" s="18" t="inlineStr">
        <is>
          <t>ข้อ 1 ชุด 1 (เฉลยข้อ ค)</t>
        </is>
      </c>
      <c r="O3" s="18" t="inlineStr">
        <is>
          <t>Mock</t>
        </is>
      </c>
      <c r="P3" s="18" t="inlineStr">
        <is>
          <t>ชุด 1</t>
        </is>
      </c>
    </row>
    <row r="4">
      <c r="A4" s="15" t="inlineStr">
        <is>
          <t>2</t>
        </is>
      </c>
      <c r="B4" s="1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18" t="inlineStr"/>
      <c r="D4" s="18" t="inlineStr">
        <is>
          <t>Potassium chloride</t>
        </is>
      </c>
      <c r="E4" s="18" t="inlineStr">
        <is>
          <t>Sodium chloride</t>
        </is>
      </c>
      <c r="F4" s="18" t="inlineStr">
        <is>
          <t>Sodium polystyrene sulfonate</t>
        </is>
      </c>
      <c r="G4" s="18" t="inlineStr">
        <is>
          <t>Calcium chloride</t>
        </is>
      </c>
      <c r="H4" s="18" t="inlineStr">
        <is>
          <t>Calcium phosphate</t>
        </is>
      </c>
      <c r="I4" s="15" t="inlineStr">
        <is>
          <t>3</t>
        </is>
      </c>
      <c r="J4" s="18"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ข้อนี้ไม่ใช่คำตอบที่ถูกต้องสำหรับภาวะ Chronic kidney diseases เนื่องจากกลไกการออกฤทธิ์, efficacy หรือข้อบ่งใช้ไม่ตรงกับโจทย์ที่กำหนด
• ข้อ ข. (Sodium chloride): ข้อนี้ไม่ใช่คำตอบที่ถูกต้องสำหรับภาวะ Chronic kidney diseases เนื่องจากกลไกการออกฤทธิ์, efficacy หรือข้อบ่งใช้ไม่ตรงกับโจทย์ที่กำหนด
• ข้อ ง. (Calcium chloride): ข้อนี้ไม่ใช่คำตอบที่ถูกต้องสำหรับภาวะ Chronic kidney diseases เนื่องจากกลไกการออกฤทธิ์, efficacy หรือข้อบ่งใช้ไม่ตรงกับโจทย์ที่กำหนด
• ข้อ จ. (Calcium phosphate):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8" t="inlineStr"/>
      <c r="L4" s="18" t="inlineStr">
        <is>
          <t>Chronic kidney diseases</t>
        </is>
      </c>
      <c r="M4" s="18" t="inlineStr">
        <is>
          <t>Clinic</t>
        </is>
      </c>
      <c r="N4" s="18" t="inlineStr">
        <is>
          <t>ข้อ 2 ชุด 1 (เฉลยข้อ ค)</t>
        </is>
      </c>
      <c r="O4" s="18" t="inlineStr">
        <is>
          <t>Mock</t>
        </is>
      </c>
      <c r="P4" s="18" t="inlineStr">
        <is>
          <t>ชุด 1</t>
        </is>
      </c>
    </row>
    <row r="5">
      <c r="A5" s="15" t="inlineStr">
        <is>
          <t>3</t>
        </is>
      </c>
      <c r="B5" s="1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18" t="inlineStr"/>
      <c r="D5" s="18" t="inlineStr">
        <is>
          <t>Hydrochlorothiazide</t>
        </is>
      </c>
      <c r="E5" s="18" t="inlineStr">
        <is>
          <t>Spironolactone</t>
        </is>
      </c>
      <c r="F5" s="18" t="inlineStr">
        <is>
          <t>Furosemide</t>
        </is>
      </c>
      <c r="G5" s="18" t="inlineStr">
        <is>
          <t>Amiloride</t>
        </is>
      </c>
      <c r="H5" s="18" t="inlineStr">
        <is>
          <t>Indapamide</t>
        </is>
      </c>
      <c r="I5" s="15" t="inlineStr">
        <is>
          <t>3</t>
        </is>
      </c>
      <c r="J5" s="18"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ข้อนี้ไม่ใช่คำตอบที่ถูกต้องสำหรับภาวะ Chronic kidney diseases เนื่องจากกลไกการออกฤทธิ์, efficacy หรือข้อบ่งใช้ไม่ตรงกับโจทย์ที่กำหนด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18" t="inlineStr"/>
      <c r="L5" s="18" t="inlineStr">
        <is>
          <t>Chronic kidney diseases</t>
        </is>
      </c>
      <c r="M5" s="18" t="inlineStr">
        <is>
          <t>Clinic</t>
        </is>
      </c>
      <c r="N5" s="18" t="inlineStr">
        <is>
          <t>ข้อ 3 ชุด 1 (เฉลยข้อ ค)</t>
        </is>
      </c>
      <c r="O5" s="18" t="inlineStr">
        <is>
          <t>Mock</t>
        </is>
      </c>
      <c r="P5" s="18" t="inlineStr">
        <is>
          <t>ชุด 1</t>
        </is>
      </c>
    </row>
    <row r="6">
      <c r="A6" s="15" t="inlineStr">
        <is>
          <t>4</t>
        </is>
      </c>
      <c r="B6" s="1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18" t="inlineStr"/>
      <c r="D6" s="18" t="inlineStr">
        <is>
          <t>ลดอาการบวมคั่งน้ำ</t>
        </is>
      </c>
      <c r="E6" s="18" t="inlineStr">
        <is>
          <t>ป้องกัน renal shut down</t>
        </is>
      </c>
      <c r="F6" s="18" t="inlineStr">
        <is>
          <t>ออกฤทธิ์ได้แม้ผู้ป่วยที่ไตบกพร่องในการทำงานอย่างรุนแรง</t>
        </is>
      </c>
      <c r="G6" s="18" t="inlineStr">
        <is>
          <t>ไม่มีผลรบกวนสมดุลกรด-ด่างในร่างกาย</t>
        </is>
      </c>
      <c r="H6" s="18" t="inlineStr">
        <is>
          <t>ออกฤทธิ์เร็วและแรง</t>
        </is>
      </c>
      <c r="I6" s="15" t="inlineStr">
        <is>
          <t>2</t>
        </is>
      </c>
      <c r="J6" s="18"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ข้อนี้ไม่ใช่คำตอบที่ถูกต้องสำหรับภาวะ Chronic kidney diseases เนื่องจากกลไกการออกฤทธิ์, efficacy หรือข้อบ่งใช้ไม่ตรงกับโจทย์ที่กำหนด
• ข้อ ค. (ออกฤทธิ์ได้แม้ผู้ป่วยที่ไตบกพร่องในการทำงานอย่างรุนแรง): ข้อนี้ไม่ใช่คำตอบที่ถูกต้องสำหรับภาวะ Chronic kidney diseases เนื่องจากกลไกการออกฤทธิ์, efficacy หรือข้อบ่งใช้ไม่ตรงกับโจทย์ที่กำหนด
• ข้อ ง. (ไม่มีผลรบกวนสมดุลกรด-ด่างในร่างกาย):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(ออกฤทธิ์เร็วและแรง):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8" t="inlineStr"/>
      <c r="L6" s="18" t="inlineStr">
        <is>
          <t>Chronic kidney diseases</t>
        </is>
      </c>
      <c r="M6" s="18" t="inlineStr">
        <is>
          <t>Clinic</t>
        </is>
      </c>
      <c r="N6" s="18" t="inlineStr">
        <is>
          <t>ข้อ 4 ชุด 1 (เฉลยข้อ ข)</t>
        </is>
      </c>
      <c r="O6" s="18" t="inlineStr">
        <is>
          <t>Mock</t>
        </is>
      </c>
      <c r="P6" s="18" t="inlineStr">
        <is>
          <t>ชุด 1</t>
        </is>
      </c>
    </row>
    <row r="7">
      <c r="A7" s="15" t="inlineStr">
        <is>
          <t>5</t>
        </is>
      </c>
      <c r="B7" s="18" t="inlineStr">
        <is>
          <t>จงบอกข้อบ่งใช้ของ sodamint® (sodium bicarbonate) ในผู้ป่วยรายนี้</t>
        </is>
      </c>
      <c r="C7" s="18" t="inlineStr"/>
      <c r="D7" s="18" t="inlineStr">
        <is>
          <t>Antacid</t>
        </is>
      </c>
      <c r="E7" s="18" t="inlineStr">
        <is>
          <t>Metabolic acidosis</t>
        </is>
      </c>
      <c r="F7" s="18" t="inlineStr">
        <is>
          <t>Alkalinize urine</t>
        </is>
      </c>
      <c r="G7" s="18" t="inlineStr">
        <is>
          <t>Phosphate binder</t>
        </is>
      </c>
      <c r="H7" s="18" t="inlineStr">
        <is>
          <t>Increase absorption of folic acid</t>
        </is>
      </c>
      <c r="I7" s="15" t="inlineStr">
        <is>
          <t>2</t>
        </is>
      </c>
      <c r="J7" s="18"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ข้อนี้ไม่ใช่คำตอบที่ถูกต้องสำหรับภาวะ Fluid &amp; Electrolyte เนื่องจากกลไกการออกฤทธิ์, efficacy หรือข้อบ่งใช้ไม่ตรงกับโจทย์ที่กำหนด
• ข้อ ค. (Alkalinize urine): ข้อนี้ไม่ใช่คำตอบที่ถูกต้องสำหรับภาวะ Fluid &amp; Electrolyte เนื่องจากกลไกการออกฤทธิ์, efficacy หรือข้อบ่งใช้ไม่ตรงกับโจทย์ที่กำหนด
• ข้อ ง. (Phosphate binder): ข้อนี้ไม่ใช่คำตอบที่ถูกต้องสำหรับภาวะ Fluid &amp; Electrolyte เนื่องจากกลไกการออกฤทธิ์, efficacy หรือข้อบ่งใช้ไม่ตรงกับโจทย์ที่กำหนด
• ข้อ จ. (Increase absorption of folic acid):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8" t="inlineStr"/>
      <c r="L7" s="18" t="inlineStr">
        <is>
          <t>Fluid &amp; Electrolyte</t>
        </is>
      </c>
      <c r="M7" s="18" t="inlineStr">
        <is>
          <t>Clinic</t>
        </is>
      </c>
      <c r="N7" s="18" t="inlineStr">
        <is>
          <t>ข้อ 5 ชุด 1 (เฉลยข้อ ข)</t>
        </is>
      </c>
      <c r="O7" s="18" t="inlineStr">
        <is>
          <t>Mock</t>
        </is>
      </c>
      <c r="P7" s="18" t="inlineStr">
        <is>
          <t>ชุด 1</t>
        </is>
      </c>
    </row>
    <row r="8">
      <c r="A8" s="15" t="inlineStr">
        <is>
          <t>6</t>
        </is>
      </c>
      <c r="B8" s="18" t="inlineStr">
        <is>
          <t>ในกรณีที่ห้องยาไม่มี CaCO₃ ยาใดต่อไปนี้ที่ไม่สามารถใช้ทดแทน CaCO₃ ในผู้ป่วยรายนี้ได้</t>
        </is>
      </c>
      <c r="C8" s="18" t="inlineStr"/>
      <c r="D8" s="18" t="inlineStr">
        <is>
          <t>Lanthanum carbonate</t>
        </is>
      </c>
      <c r="E8" s="18" t="inlineStr">
        <is>
          <t>Al(OH)₃</t>
        </is>
      </c>
      <c r="F8" s="18" t="inlineStr">
        <is>
          <t>Mg(OH)₂</t>
        </is>
      </c>
      <c r="G8" s="18" t="inlineStr">
        <is>
          <t>Calcium gluconate</t>
        </is>
      </c>
      <c r="H8" s="18" t="inlineStr">
        <is>
          <t>Calcium lactate</t>
        </is>
      </c>
      <c r="I8" s="15" t="inlineStr">
        <is>
          <t>3</t>
        </is>
      </c>
      <c r="J8" s="18"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ข้อนี้ไม่ใช่คำตอบที่ถูกต้องสำหรับภาวะ Chronic kidney diseases เนื่องจากกลไกการออกฤทธิ์, efficacy หรือข้อบ่งใช้ไม่ตรงกับโจทย์ที่กำหนด
• ข้อ ข. (Al(OH)₃):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ข้อนี้ไม่ใช่คำตอบที่ถูกต้องสำหรับภาวะ Chronic kidney diseases เนื่องจากกลไกการออกฤทธิ์, efficacy หรือข้อบ่งใช้ไม่ตรงกับโจทย์ที่กำหนด
• ข้อ จ. (Calcium lactate):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8" t="inlineStr"/>
      <c r="L8" s="18" t="inlineStr">
        <is>
          <t>Chronic kidney diseases</t>
        </is>
      </c>
      <c r="M8" s="18" t="inlineStr">
        <is>
          <t>Clinic</t>
        </is>
      </c>
      <c r="N8" s="18" t="inlineStr">
        <is>
          <t>ข้อ 6 ชุด 1 (เฉลยข้อ ค)</t>
        </is>
      </c>
      <c r="O8" s="18" t="inlineStr">
        <is>
          <t>Mock</t>
        </is>
      </c>
      <c r="P8" s="18" t="inlineStr">
        <is>
          <t>ชุด 1</t>
        </is>
      </c>
    </row>
    <row r="9">
      <c r="A9" s="15" t="inlineStr">
        <is>
          <t>7</t>
        </is>
      </c>
      <c r="B9" s="18"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18" t="inlineStr"/>
      <c r="D9" s="18" t="inlineStr">
        <is>
          <t>Eprex ใช้กระตุ้นสร้าง RBC</t>
        </is>
      </c>
      <c r="E9" s="18" t="inlineStr">
        <is>
          <t>Eprex ผลิตด้วยเทคนิค recombination technology</t>
        </is>
      </c>
      <c r="F9" s="18" t="inlineStr">
        <is>
          <t>Eprex ต้องเก็บไว้ที่อุณหภูมิ 2-8°C</t>
        </is>
      </c>
      <c r="G9" s="18" t="inlineStr">
        <is>
          <t>Eprex ใช้ฉีดโดยวิธี IV push เท่านั้น</t>
        </is>
      </c>
      <c r="H9" s="18" t="inlineStr">
        <is>
          <t>Eprex สามารถทำให้เกิดความดันโลหิตสูงได้</t>
        </is>
      </c>
      <c r="I9" s="15" t="inlineStr">
        <is>
          <t>4</t>
        </is>
      </c>
      <c r="J9" s="18"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ข้อนี้ไม่ใช่คำตอบที่ถูกต้องสำหรับภาวะ Chronic kidney diseases เนื่องจากกลไกการออกฤทธิ์, efficacy หรือข้อบ่งใช้ไม่ตรงกับโจทย์ที่กำหนด
• ข้อ ข. (Eprex ผลิตด้วยเทคนิค recombination technology): ข้อนี้ไม่ใช่คำตอบที่ถูกต้องสำหรับภาวะ Chronic kidney diseases เนื่องจากกลไกการออกฤทธิ์, efficacy หรือข้อบ่งใช้ไม่ตรงกับโจทย์ที่กำหนด
• ข้อ ค. (Eprex ต้องเก็บไว้ที่อุณหภูมิ 2-8°C): ข้อนี้ไม่ใช่คำตอบที่ถูกต้องสำหรับภาวะ Chronic kidney diseases เนื่องจากกลไกการออกฤทธิ์, efficacy หรือข้อบ่งใช้ไม่ตรงกับโจทย์ที่กำหนด
• ข้อ จ. (Eprex สามารถทำให้เกิดความดันโลหิตสูงได้):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8" t="inlineStr"/>
      <c r="L9" s="18" t="inlineStr">
        <is>
          <t>Chronic kidney diseases</t>
        </is>
      </c>
      <c r="M9" s="18" t="inlineStr">
        <is>
          <t>Clinic</t>
        </is>
      </c>
      <c r="N9" s="18" t="inlineStr">
        <is>
          <t>ข้อ 7 ชุด 1 (เฉลยข้อ ง)</t>
        </is>
      </c>
      <c r="O9" s="18" t="inlineStr">
        <is>
          <t>Mock</t>
        </is>
      </c>
      <c r="P9" s="18" t="inlineStr">
        <is>
          <t>ชุด 1</t>
        </is>
      </c>
    </row>
    <row r="10">
      <c r="A10" s="15" t="inlineStr">
        <is>
          <t>8</t>
        </is>
      </c>
      <c r="B10" s="18" t="inlineStr">
        <is>
          <t>คำแนะนำใดที่ไม่เหมาะสมสำหรับผู้ป่วยไตเรื้อรัง</t>
        </is>
      </c>
      <c r="C10" s="18" t="inlineStr"/>
      <c r="D10" s="18" t="inlineStr">
        <is>
          <t>ควรรับประทานกล้วย, ส้ม, แตงโม</t>
        </is>
      </c>
      <c r="E10" s="18" t="inlineStr">
        <is>
          <t>ควรจำกัดการดื่มแอลกอฮอล์, น้ำอัดลม</t>
        </is>
      </c>
      <c r="F10" s="18" t="inlineStr">
        <is>
          <t>ควรจำกัดการรับประทานเนื้อสัตว์, เกลือ</t>
        </is>
      </c>
      <c r="G10" s="18" t="inlineStr">
        <is>
          <t>ควรจำกัดอาหารที่มีไขมันสูง</t>
        </is>
      </c>
      <c r="H10" s="18" t="inlineStr">
        <is>
          <t>ควรรับประทานอาหารที่มีเส้นใยสูง</t>
        </is>
      </c>
      <c r="I10" s="15" t="inlineStr">
        <is>
          <t>1</t>
        </is>
      </c>
      <c r="J10" s="18"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ข้อนี้ไม่ใช่คำตอบที่ถูกต้องสำหรับภาวะ Chronic kidney diseases เนื่องจากกลไกการออกฤทธิ์, efficacy หรือข้อบ่งใช้ไม่ตรงกับโจทย์ที่กำหนด
• ข้อ ค. (ควรจำกัดการรับประทานเนื้อสัตว์, เกลือ): ข้อนี้ไม่ใช่คำตอบที่ถูกต้องสำหรับภาวะ Chronic kidney diseases เนื่องจากกลไกการออกฤทธิ์, efficacy หรือข้อบ่งใช้ไม่ตรงกับโจทย์ที่กำหนด
• ข้อ ง. (ควรจำกัดอาหารที่มีไขมันสูง): ข้อนี้ไม่ใช่คำตอบที่ถูกต้องสำหรับภาวะ Chronic kidney diseases เนื่องจากกลไกการออกฤทธิ์, efficacy หรือข้อบ่งใช้ไม่ตรงกับโจทย์ที่กำหนด
• ข้อ จ. (ควรรับประทานอาหารที่มีเส้นใยสูง):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8" t="inlineStr"/>
      <c r="L10" s="18" t="inlineStr">
        <is>
          <t>Chronic kidney diseases</t>
        </is>
      </c>
      <c r="M10" s="18" t="inlineStr">
        <is>
          <t>Clinic</t>
        </is>
      </c>
      <c r="N10" s="18" t="inlineStr">
        <is>
          <t>ข้อ 8 ชุด 1 (เฉลยข้อ ก)</t>
        </is>
      </c>
      <c r="O10" s="18" t="inlineStr">
        <is>
          <t>Mock</t>
        </is>
      </c>
      <c r="P10" s="18" t="inlineStr">
        <is>
          <t>ชุด 1</t>
        </is>
      </c>
    </row>
    <row r="11">
      <c r="A11" s="15" t="inlineStr">
        <is>
          <t>9</t>
        </is>
      </c>
      <c r="B11" s="18" t="inlineStr">
        <is>
          <t>ผู้ป่วยมีอาการท้องผูก หลังจากรับประทานยาที่แพทย์สั่ง ท่านจะแนะนำให้ผู้ป่วยใช้ยาใด ยกเว้น</t>
        </is>
      </c>
      <c r="C11" s="18" t="inlineStr"/>
      <c r="D11" s="18" t="inlineStr">
        <is>
          <t>Bisacodyl</t>
        </is>
      </c>
      <c r="E11" s="18" t="inlineStr">
        <is>
          <t>MOM (milk of magnesia)</t>
        </is>
      </c>
      <c r="F11" s="18" t="inlineStr">
        <is>
          <t>Metamucil® (psyllium seed)</t>
        </is>
      </c>
      <c r="G11" s="18" t="inlineStr">
        <is>
          <t>Senokot® (senosides)</t>
        </is>
      </c>
      <c r="H11" s="18" t="inlineStr">
        <is>
          <t>ELPco® (emulsion liquid paraffin compound)</t>
        </is>
      </c>
      <c r="I11" s="15" t="inlineStr">
        <is>
          <t>2</t>
        </is>
      </c>
      <c r="J11" s="18"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ข้อนี้ไม่ใช่คำตอบที่ถูกต้องสำหรับภาวะ Chronic kidney diseases เนื่องจากกลไกการออกฤทธิ์, efficacy หรือข้อบ่งใช้ไม่ตรงกับโจทย์ที่กำหนด
• ข้อ ง. (Senokot® (senosides)): ข้อนี้ไม่ใช่คำตอบที่ถูกต้องสำหรับภาวะ Chronic kidney diseases เนื่องจากกลไกการออกฤทธิ์, efficacy หรือข้อบ่งใช้ไม่ตรงกับโจทย์ที่กำหนด
• ข้อ จ. (ELPco® (emulsion liquid paraffin compound)):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8" t="inlineStr"/>
      <c r="L11" s="18" t="inlineStr">
        <is>
          <t>Chronic kidney diseases</t>
        </is>
      </c>
      <c r="M11" s="18" t="inlineStr">
        <is>
          <t>Clinic</t>
        </is>
      </c>
      <c r="N11" s="18" t="inlineStr">
        <is>
          <t>ข้อ 9 ชุด 1 (เฉลยข้อ ข)</t>
        </is>
      </c>
      <c r="O11" s="18" t="inlineStr">
        <is>
          <t>Mock</t>
        </is>
      </c>
      <c r="P11" s="18" t="inlineStr">
        <is>
          <t>ชุด 1</t>
        </is>
      </c>
    </row>
    <row r="12">
      <c r="A12" s="15" t="inlineStr">
        <is>
          <t>10</t>
        </is>
      </c>
      <c r="B12" s="18"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8" t="inlineStr"/>
      <c r="D12" s="18" t="inlineStr">
        <is>
          <t>24 mL</t>
        </is>
      </c>
      <c r="E12" s="18" t="inlineStr">
        <is>
          <t>34 mL</t>
        </is>
      </c>
      <c r="F12" s="18" t="inlineStr">
        <is>
          <t>54 mL</t>
        </is>
      </c>
      <c r="G12" s="18" t="inlineStr">
        <is>
          <t>68 mL</t>
        </is>
      </c>
      <c r="H12" s="18" t="inlineStr">
        <is>
          <t>86 mL</t>
        </is>
      </c>
      <c r="I12" s="15" t="inlineStr">
        <is>
          <t>2</t>
        </is>
      </c>
      <c r="J12" s="18"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ข้อนี้ไม่ใช่คำตอบที่ถูกต้องสำหรับภาวะ Fluid &amp; Electrolyte เนื่องจากกลไกการออกฤทธิ์, efficacy หรือข้อบ่งใช้ไม่ตรงกับโจทย์ที่กำหนด
• ข้อ ค. (54 mL): ข้อนี้ไม่ใช่คำตอบที่ถูกต้องสำหรับภาวะ Fluid &amp; Electrolyte เนื่องจากกลไกการออกฤทธิ์, efficacy หรือข้อบ่งใช้ไม่ตรงกับโจทย์ที่กำหนด
• ข้อ ง. (68 mL): ข้อนี้ไม่ใช่คำตอบที่ถูกต้องสำหรับภาวะ Fluid &amp; Electrolyte เนื่องจากกลไกการออกฤทธิ์, efficacy หรือข้อบ่งใช้ไม่ตรงกับโจทย์ที่กำหนด
• ข้อ จ. (86 mL):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8" t="inlineStr"/>
      <c r="L12" s="18" t="inlineStr">
        <is>
          <t>Fluid &amp; Electrolyte</t>
        </is>
      </c>
      <c r="M12" s="18" t="inlineStr">
        <is>
          <t>Clinic</t>
        </is>
      </c>
      <c r="N12" s="18" t="inlineStr">
        <is>
          <t>ข้อ 10 ชุด 1 (เฉลยข้อ ข)</t>
        </is>
      </c>
      <c r="O12" s="18" t="inlineStr">
        <is>
          <t>Mock</t>
        </is>
      </c>
      <c r="P12" s="18" t="inlineStr">
        <is>
          <t>ชุด 1</t>
        </is>
      </c>
    </row>
    <row r="13">
      <c r="A13" s="15" t="inlineStr">
        <is>
          <t>11</t>
        </is>
      </c>
      <c r="B13" s="18" t="inlineStr">
        <is>
          <t>ผู้ป่วยต้องการดื่มน้ำผลไม้ น้ำผลไม้ชนิดใดต่อไปนี้สามารถแนะนำให้ผู้ป่วยรับประทานได้</t>
        </is>
      </c>
      <c r="C13" s="18" t="inlineStr"/>
      <c r="D13" s="18" t="inlineStr">
        <is>
          <t>น้ำลูกยอ</t>
        </is>
      </c>
      <c r="E13" s="18" t="inlineStr">
        <is>
          <t>น้ำส้ม</t>
        </is>
      </c>
      <c r="F13" s="18" t="inlineStr">
        <is>
          <t>น้ำแตงโม</t>
        </is>
      </c>
      <c r="G13" s="18" t="inlineStr">
        <is>
          <t>น้ำกระเจี๊ยบ</t>
        </is>
      </c>
      <c r="H13" s="18" t="inlineStr">
        <is>
          <t>น้ำกล้วยหอมปั่น</t>
        </is>
      </c>
      <c r="I13" s="15" t="inlineStr">
        <is>
          <t>3</t>
        </is>
      </c>
      <c r="J13" s="18"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ข้อนี้ไม่ใช่คำตอบที่ถูกต้องสำหรับภาวะ Chronic kidney diseases เนื่องจากกลไกการออกฤทธิ์, efficacy หรือข้อบ่งใช้ไม่ตรงกับโจทย์ที่กำหนด
• ข้อ ข. (น้ำส้ม): ข้อนี้ไม่ใช่คำตอบที่ถูกต้องสำหรับภาวะ Chronic kidney diseases เนื่องจากกลไกการออกฤทธิ์, efficacy หรือข้อบ่งใช้ไม่ตรงกับโจทย์ที่กำหนด
• ข้อ ง. (น้ำกระเจี๊ยบ): ข้อนี้ไม่ใช่คำตอบที่ถูกต้องสำหรับภาวะ Chronic kidney diseases เนื่องจากกลไกการออกฤทธิ์, efficacy หรือข้อบ่งใช้ไม่ตรงกับโจทย์ที่กำหนด
• ข้อ จ. (น้ำกล้วยหอมปั่น):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8" t="inlineStr"/>
      <c r="L13" s="18" t="inlineStr">
        <is>
          <t>Chronic kidney diseases</t>
        </is>
      </c>
      <c r="M13" s="18" t="inlineStr">
        <is>
          <t>Clinic</t>
        </is>
      </c>
      <c r="N13" s="18" t="inlineStr">
        <is>
          <t>ข้อ 11 ชุด 1 (เฉลยข้อ ค)</t>
        </is>
      </c>
      <c r="O13" s="18" t="inlineStr">
        <is>
          <t>Mock</t>
        </is>
      </c>
      <c r="P13" s="18" t="inlineStr">
        <is>
          <t>ชุด 1</t>
        </is>
      </c>
    </row>
    <row r="14">
      <c r="A14" s="15" t="inlineStr">
        <is>
          <t>12</t>
        </is>
      </c>
      <c r="B14" s="18" t="inlineStr">
        <is>
          <t>ผู้ป่วยมาพบแพทย์ด้วยอาการไอแห้ง ไม่มีน้ำมูก ไม่มีไข้ ท่านคิดว่าน่าจะเกิดจากยาตัวใด</t>
        </is>
      </c>
      <c r="C14" s="18" t="inlineStr"/>
      <c r="D14" s="18" t="inlineStr">
        <is>
          <t>Sodamint</t>
        </is>
      </c>
      <c r="E14" s="18" t="inlineStr">
        <is>
          <t>Enalapril</t>
        </is>
      </c>
      <c r="F14" s="18" t="inlineStr">
        <is>
          <t>CaCO3</t>
        </is>
      </c>
      <c r="G14" s="18" t="inlineStr">
        <is>
          <t>Folic acid</t>
        </is>
      </c>
      <c r="H14" s="18" t="inlineStr">
        <is>
          <t>1alpha-VitD3</t>
        </is>
      </c>
      <c r="I14" s="15" t="inlineStr">
        <is>
          <t>2</t>
        </is>
      </c>
      <c r="J14" s="18"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ข้อนี้ไม่ใช่คำตอบที่ถูกต้องสำหรับภาวะ Chronic kidney diseases เนื่องจากกลไกการออกฤทธิ์, efficacy หรือข้อบ่งใช้ไม่ตรงกับโจทย์ที่กำหนด
• ข้อ ค. (CaCO3): ข้อนี้ไม่ใช่คำตอบที่ถูกต้องสำหรับภาวะ Chronic kidney diseases เนื่องจากกลไกการออกฤทธิ์, efficacy หรือข้อบ่งใช้ไม่ตรงกับโจทย์ที่กำหนด
• ข้อ ง. (Folic acid): ข้อนี้ไม่ใช่คำตอบที่ถูกต้องสำหรับภาวะ Chronic kidney diseases เนื่องจากกลไกการออกฤทธิ์, efficacy หรือข้อบ่งใช้ไม่ตรงกับโจทย์ที่กำหนด
• ข้อ จ. (1alpha-VitD3):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18" t="inlineStr"/>
      <c r="L14" s="18" t="inlineStr">
        <is>
          <t>Chronic kidney diseases</t>
        </is>
      </c>
      <c r="M14" s="18" t="inlineStr">
        <is>
          <t>Clinic</t>
        </is>
      </c>
      <c r="N14" s="18" t="inlineStr">
        <is>
          <t>ข้อ 12 ชุด 1 (เฉลยข้อ ข)</t>
        </is>
      </c>
      <c r="O14" s="18" t="inlineStr">
        <is>
          <t>Mock</t>
        </is>
      </c>
      <c r="P14" s="18" t="inlineStr">
        <is>
          <t>ชุด 1</t>
        </is>
      </c>
    </row>
    <row r="15">
      <c r="A15" s="15" t="inlineStr">
        <is>
          <t>13</t>
        </is>
      </c>
      <c r="B15" s="18"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8" t="inlineStr"/>
      <c r="D15" s="18" t="inlineStr">
        <is>
          <t>Prednisolone</t>
        </is>
      </c>
      <c r="E15" s="18" t="inlineStr">
        <is>
          <t>Cyclosporine</t>
        </is>
      </c>
      <c r="F15" s="18" t="inlineStr">
        <is>
          <t>Tacrolimus</t>
        </is>
      </c>
      <c r="G15" s="18" t="inlineStr">
        <is>
          <t>Leucovorin</t>
        </is>
      </c>
      <c r="H15" s="18" t="inlineStr">
        <is>
          <t>Mycophenolate mofetil</t>
        </is>
      </c>
      <c r="I15" s="15" t="inlineStr">
        <is>
          <t>4</t>
        </is>
      </c>
      <c r="J15" s="18"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ข้อนี้ไม่ใช่คำตอบที่ถูกต้องสำหรับภาวะ Chronic kidney diseases เนื่องจากกลไกการออกฤทธิ์, efficacy หรือข้อบ่งใช้ไม่ตรงกับโจทย์ที่กำหนด
• ข้อ ค. (Tacrolimus): ข้อนี้ไม่ใช่คำตอบที่ถูกต้องสำหรับภาวะ Chronic kidney diseases เนื่องจากกลไกการออกฤทธิ์, efficacy หรือข้อบ่งใช้ไม่ตรงกับโจทย์ที่กำหนด
• ข้อ จ. (Mycophenolate mofetil):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8" t="inlineStr"/>
      <c r="L15" s="18" t="inlineStr">
        <is>
          <t>Chronic kidney diseases</t>
        </is>
      </c>
      <c r="M15" s="18" t="inlineStr">
        <is>
          <t>Clinic</t>
        </is>
      </c>
      <c r="N15" s="18" t="inlineStr">
        <is>
          <t>ข้อ 13 ชุด 1 (เฉลยข้อ ง)</t>
        </is>
      </c>
      <c r="O15" s="18" t="inlineStr">
        <is>
          <t>Mock</t>
        </is>
      </c>
      <c r="P15" s="18" t="inlineStr">
        <is>
          <t>ชุด 1</t>
        </is>
      </c>
    </row>
    <row r="16">
      <c r="A16" s="15" t="inlineStr">
        <is>
          <t>14</t>
        </is>
      </c>
      <c r="B16" s="18"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18" t="inlineStr"/>
      <c r="D16" s="18" t="inlineStr">
        <is>
          <t>10 mL/min</t>
        </is>
      </c>
      <c r="E16" s="18" t="inlineStr">
        <is>
          <t>15 mL/min</t>
        </is>
      </c>
      <c r="F16" s="18" t="inlineStr">
        <is>
          <t>20 mL/min</t>
        </is>
      </c>
      <c r="G16" s="18" t="inlineStr">
        <is>
          <t>25 mL/min</t>
        </is>
      </c>
      <c r="H16" s="18" t="inlineStr">
        <is>
          <t>30 mL/min</t>
        </is>
      </c>
      <c r="I16" s="15" t="inlineStr">
        <is>
          <t>4</t>
        </is>
      </c>
      <c r="J16" s="18"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ข้อนี้ไม่ใช่คำตอบที่ถูกต้องสำหรับภาวะ Chronic kidney diseases เนื่องจากกลไกการออกฤทธิ์, efficacy หรือข้อบ่งใช้ไม่ตรงกับโจทย์ที่กำหนด
• ข้อ ข. (15 mL/min): ข้อนี้ไม่ใช่คำตอบที่ถูกต้องสำหรับภาวะ Chronic kidney diseases เนื่องจากกลไกการออกฤทธิ์, efficacy หรือข้อบ่งใช้ไม่ตรงกับโจทย์ที่กำหนด
• ข้อ ค. (20 mL/min): ข้อนี้ไม่ใช่คำตอบที่ถูกต้องสำหรับภาวะ Chronic kidney diseases เนื่องจากกลไกการออกฤทธิ์, efficacy หรือข้อบ่งใช้ไม่ตรงกับโจทย์ที่กำหนด
• ข้อ จ. (30 mL/min):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18" t="inlineStr"/>
      <c r="L16" s="18" t="inlineStr">
        <is>
          <t>Chronic kidney diseases</t>
        </is>
      </c>
      <c r="M16" s="18" t="inlineStr">
        <is>
          <t>Clinic</t>
        </is>
      </c>
      <c r="N16" s="18" t="inlineStr">
        <is>
          <t>ข้อ 14 ชุด 1 (เฉลยข้อ ง)</t>
        </is>
      </c>
      <c r="O16" s="18" t="inlineStr">
        <is>
          <t>Mock</t>
        </is>
      </c>
      <c r="P16" s="18" t="inlineStr">
        <is>
          <t>ชุด 1</t>
        </is>
      </c>
    </row>
    <row r="17">
      <c r="A17" s="15" t="inlineStr">
        <is>
          <t>15</t>
        </is>
      </c>
      <c r="B17" s="18"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18" t="inlineStr"/>
      <c r="D17" s="18" t="inlineStr">
        <is>
          <t>Hypovolemia</t>
        </is>
      </c>
      <c r="E17" s="18" t="inlineStr">
        <is>
          <t>Bleeding</t>
        </is>
      </c>
      <c r="F17" s="18" t="inlineStr">
        <is>
          <t>Rhabdomyolysis</t>
        </is>
      </c>
      <c r="G17" s="18" t="inlineStr">
        <is>
          <t>ได้รับยา nephrotoxic</t>
        </is>
      </c>
      <c r="H17" s="18" t="inlineStr">
        <is>
          <t>นิ่ว</t>
        </is>
      </c>
      <c r="I17" s="15" t="inlineStr">
        <is>
          <t>3</t>
        </is>
      </c>
      <c r="J17" s="18"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ข้อนี้ไม่ใช่คำตอบที่ถูกต้องสำหรับภาวะ Chronic kidney diseases เนื่องจากกลไกการออกฤทธิ์, efficacy หรือข้อบ่งใช้ไม่ตรงกับโจทย์ที่กำหนด
• ข้อ ข. (Bleeding): ข้อนี้ไม่ใช่คำตอบที่ถูกต้องสำหรับภาวะ Chronic kidney diseases เนื่องจากกลไกการออกฤทธิ์, efficacy หรือข้อบ่งใช้ไม่ตรงกับโจทย์ที่กำหนด
• ข้อ ง. (ได้รับยา nephrotoxic): ข้อนี้ไม่ใช่คำตอบที่ถูกต้องสำหรับภาวะ Chronic kidney diseases เนื่องจากกลไกการออกฤทธิ์, efficacy หรือข้อบ่งใช้ไม่ตรงกับโจทย์ที่กำหนด
• ข้อ จ. (นิ่ว):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18" t="inlineStr"/>
      <c r="L17" s="18" t="inlineStr">
        <is>
          <t>Chronic kidney diseases</t>
        </is>
      </c>
      <c r="M17" s="18" t="inlineStr">
        <is>
          <t>Clinic</t>
        </is>
      </c>
      <c r="N17" s="18" t="inlineStr">
        <is>
          <t>ข้อ 15 ชุด 1 (เฉลยข้อ ค)</t>
        </is>
      </c>
      <c r="O17" s="18" t="inlineStr">
        <is>
          <t>Mock</t>
        </is>
      </c>
      <c r="P17" s="18" t="inlineStr">
        <is>
          <t>ชุด 1</t>
        </is>
      </c>
    </row>
    <row r="18">
      <c r="A18" s="15" t="inlineStr">
        <is>
          <t>16</t>
        </is>
      </c>
      <c r="B18" s="18" t="inlineStr">
        <is>
          <t>ภาวะ oliguria คือข้อใด</t>
        </is>
      </c>
      <c r="C18" s="18" t="inlineStr"/>
      <c r="D18" s="18" t="inlineStr">
        <is>
          <t>ภาวะปัสสาวะมากกว่าปกติ</t>
        </is>
      </c>
      <c r="E18" s="18" t="inlineStr">
        <is>
          <t>ภาวะปัสสาวะน้อยกว่าปกติ</t>
        </is>
      </c>
      <c r="F18" s="18" t="inlineStr">
        <is>
          <t>ภาวะปัสสาวะใกล้เคียงกับปกติ</t>
        </is>
      </c>
      <c r="G18" s="18" t="inlineStr">
        <is>
          <t>ภาวะเม็ดเลือดในปัสสาวะ</t>
        </is>
      </c>
      <c r="H18" s="18" t="inlineStr">
        <is>
          <t>ภาวะโปรตีนในปัสสาวะ</t>
        </is>
      </c>
      <c r="I18" s="15" t="inlineStr">
        <is>
          <t>2</t>
        </is>
      </c>
      <c r="J18" s="18"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ข้อนี้ไม่ใช่คำตอบที่ถูกต้องสำหรับภาวะ Chronic kidney diseases เนื่องจากกลไกการออกฤทธิ์, efficacy หรือข้อบ่งใช้ไม่ตรงกับโจทย์ที่กำหนด
• ข้อ ค. (ภาวะปัสสาวะใกล้เคียงกับปกติ): ข้อนี้ไม่ใช่คำตอบที่ถูกต้องสำหรับภาวะ Chronic kidney diseases เนื่องจากกลไกการออกฤทธิ์, efficacy หรือข้อบ่งใช้ไม่ตรงกับโจทย์ที่กำหนด
• ข้อ ง. (ภาวะเม็ดเลือดในปัสสาวะ):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จ. (ภาวะโปรตีนในปัสสาวะ):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8" t="inlineStr"/>
      <c r="L18" s="18" t="inlineStr">
        <is>
          <t>Chronic kidney diseases</t>
        </is>
      </c>
      <c r="M18" s="18" t="inlineStr">
        <is>
          <t>Clinic</t>
        </is>
      </c>
      <c r="N18" s="18" t="inlineStr">
        <is>
          <t>ข้อ 16 ชุด 1 (เฉลยข้อ ข)</t>
        </is>
      </c>
      <c r="O18" s="18" t="inlineStr">
        <is>
          <t>Mock</t>
        </is>
      </c>
      <c r="P18" s="18" t="inlineStr">
        <is>
          <t>ชุด 1</t>
        </is>
      </c>
    </row>
    <row r="19">
      <c r="A19" s="15" t="inlineStr">
        <is>
          <t>17</t>
        </is>
      </c>
      <c r="B19" s="18" t="inlineStr">
        <is>
          <t>อาการข้างต้น อาจเกิดได้จากยาในข้อใด</t>
        </is>
      </c>
      <c r="C19" s="18" t="inlineStr"/>
      <c r="D19" s="18" t="inlineStr">
        <is>
          <t>Atenolol</t>
        </is>
      </c>
      <c r="E19" s="18" t="inlineStr">
        <is>
          <t>Simvastatin</t>
        </is>
      </c>
      <c r="F19" s="18" t="inlineStr">
        <is>
          <t>Aspirin</t>
        </is>
      </c>
      <c r="G19" s="18" t="inlineStr">
        <is>
          <t>Hydralazine</t>
        </is>
      </c>
      <c r="H19" s="18" t="inlineStr">
        <is>
          <t>Felodipine</t>
        </is>
      </c>
      <c r="I19" s="15" t="inlineStr">
        <is>
          <t>2</t>
        </is>
      </c>
      <c r="J19" s="18"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8" t="inlineStr"/>
      <c r="L19" s="18" t="inlineStr">
        <is>
          <t>Chronic kidney diseases</t>
        </is>
      </c>
      <c r="M19" s="18" t="inlineStr">
        <is>
          <t>Clinic</t>
        </is>
      </c>
      <c r="N19" s="18" t="inlineStr">
        <is>
          <t>ข้อ 17 ชุด 1 (เฉลยข้อ ข)</t>
        </is>
      </c>
      <c r="O19" s="18" t="inlineStr">
        <is>
          <t>Mock</t>
        </is>
      </c>
      <c r="P19" s="18" t="inlineStr">
        <is>
          <t>ชุด 1</t>
        </is>
      </c>
    </row>
    <row r="20">
      <c r="A20" s="15" t="inlineStr">
        <is>
          <t>18</t>
        </is>
      </c>
      <c r="B20" s="18" t="inlineStr">
        <is>
          <t>ในภาวะข้างต้น ผู้ป่วยควรได้รับการรักษาในข้อมากที่สุด ในการปรับสมดุลอิเล็กโทรไลต์</t>
        </is>
      </c>
      <c r="C20" s="18" t="inlineStr"/>
      <c r="D20" s="18" t="inlineStr">
        <is>
          <t>Dextrose + insulin</t>
        </is>
      </c>
      <c r="E20" s="18" t="inlineStr">
        <is>
          <t>Erythropoietin</t>
        </is>
      </c>
      <c r="F20" s="18" t="inlineStr">
        <is>
          <t>Sodium bicarbonate</t>
        </is>
      </c>
      <c r="G20" s="18" t="inlineStr">
        <is>
          <t>Calcitriol</t>
        </is>
      </c>
      <c r="H20" s="18" t="inlineStr">
        <is>
          <t>Calcium carbonate</t>
        </is>
      </c>
      <c r="I20" s="15" t="inlineStr">
        <is>
          <t>1</t>
        </is>
      </c>
      <c r="J20" s="18"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ข้อนี้ไม่ใช่คำตอบที่ถูกต้องสำหรับภาวะ Chronic kidney diseases เนื่องจากกลไกการออกฤทธิ์, efficacy หรือข้อบ่งใช้ไม่ตรงกับโจทย์ที่กำหนด
• ข้อ ค. (Sodium bicarbonate): ข้อนี้ไม่ใช่คำตอบที่ถูกต้องสำหรับภาวะ Chronic kidney diseases เนื่องจากกลไกการออกฤทธิ์, efficacy หรือข้อบ่งใช้ไม่ตรงกับโจทย์ที่กำหนด
• ข้อ ง. (Calcitriol):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8" t="inlineStr"/>
      <c r="L20" s="18" t="inlineStr">
        <is>
          <t>Chronic kidney diseases</t>
        </is>
      </c>
      <c r="M20" s="18" t="inlineStr">
        <is>
          <t>Clinic</t>
        </is>
      </c>
      <c r="N20" s="18" t="inlineStr">
        <is>
          <t>ข้อ 18 ชุด 1 (เฉลยข้อ ก)</t>
        </is>
      </c>
      <c r="O20" s="18" t="inlineStr">
        <is>
          <t>Mock</t>
        </is>
      </c>
      <c r="P20" s="18" t="inlineStr">
        <is>
          <t>ชุด 1</t>
        </is>
      </c>
    </row>
    <row r="21">
      <c r="A21" s="15" t="inlineStr">
        <is>
          <t>19</t>
        </is>
      </c>
      <c r="B21" s="18" t="inlineStr">
        <is>
          <t>ข้อใดเป็นผลกระทบเกี่ยวกับสมดุลอิเล็กโทรไลต์จากการใช้ยา oral corticosteroids</t>
        </is>
      </c>
      <c r="C21" s="18" t="inlineStr"/>
      <c r="D21" s="18" t="inlineStr">
        <is>
          <t>Hyperkalemia</t>
        </is>
      </c>
      <c r="E21" s="18" t="inlineStr">
        <is>
          <t>Hyponatremia</t>
        </is>
      </c>
      <c r="F21" s="18" t="inlineStr">
        <is>
          <t>Hypocalcemia</t>
        </is>
      </c>
      <c r="G21" s="18" t="inlineStr">
        <is>
          <t>Hypokalemia</t>
        </is>
      </c>
      <c r="H21" s="18" t="inlineStr">
        <is>
          <t>Hyperchloremic</t>
        </is>
      </c>
      <c r="I21" s="15" t="inlineStr">
        <is>
          <t>4</t>
        </is>
      </c>
      <c r="J21" s="18"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ข้อนี้ไม่ใช่คำตอบที่ถูกต้องสำหรับภาวะ Fluid &amp; Electrolyte เนื่องจากกลไกการออกฤทธิ์, efficacy หรือข้อบ่งใช้ไม่ตรงกับโจทย์ที่กำหนด
• ข้อ ข. (Hyponatremia): ข้อนี้ไม่ใช่คำตอบที่ถูกต้องสำหรับภาวะ Fluid &amp; Electrolyte เนื่องจากกลไกการออกฤทธิ์, efficacy หรือข้อบ่งใช้ไม่ตรงกับโจทย์ที่กำหนด
• ข้อ ค. (Hypocalcemia): ข้อนี้ไม่ใช่คำตอบที่ถูกต้องสำหรับภาวะ Fluid &amp; Electrolyte เนื่องจากกลไกการออกฤทธิ์, efficacy หรือข้อบ่งใช้ไม่ตรงกับโจทย์ที่กำหนด
• ข้อ จ. (Hyperchloremic):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8" t="inlineStr"/>
      <c r="L21" s="18" t="inlineStr">
        <is>
          <t>Fluid &amp; Electrolyte</t>
        </is>
      </c>
      <c r="M21" s="18" t="inlineStr">
        <is>
          <t>Clinic</t>
        </is>
      </c>
      <c r="N21" s="18" t="inlineStr">
        <is>
          <t>ข้อ 19 ชุด 1 (เฉลยข้อ ง)</t>
        </is>
      </c>
      <c r="O21" s="18" t="inlineStr">
        <is>
          <t>Mock</t>
        </is>
      </c>
      <c r="P21" s="18" t="inlineStr">
        <is>
          <t>ชุด 1</t>
        </is>
      </c>
    </row>
    <row r="22">
      <c r="A22" s="15" t="inlineStr">
        <is>
          <t>20</t>
        </is>
      </c>
      <c r="B22" s="18"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18" t="inlineStr"/>
      <c r="D22" s="18" t="inlineStr">
        <is>
          <t>ผู้ป่วยเป็นโรคความดันโลหิตสูงและเบาหวาน</t>
        </is>
      </c>
      <c r="E22" s="18" t="inlineStr">
        <is>
          <t>ผู้ป่วยเป็นโรคเกาต์</t>
        </is>
      </c>
      <c r="F22" s="18" t="inlineStr">
        <is>
          <t>สูบบุหรี่วันละ 1 ซอง</t>
        </is>
      </c>
      <c r="G22" s="18" t="inlineStr">
        <is>
          <t>ไม่ค่อยออกกำลังกาย</t>
        </is>
      </c>
      <c r="H22" s="18" t="inlineStr">
        <is>
          <t>มีอาชีพเป็นทนาย</t>
        </is>
      </c>
      <c r="I22" s="15" t="inlineStr">
        <is>
          <t>1</t>
        </is>
      </c>
      <c r="J22" s="18"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ข้อนี้ไม่ใช่คำตอบที่ถูกต้องสำหรับภาวะ Chronic kidney diseases เนื่องจากกลไกการออกฤทธิ์, efficacy หรือข้อบ่งใช้ไม่ตรงกับโจทย์ที่กำหนด
• ข้อ ค. (สูบบุหรี่วันละ 1 ซอง): ข้อนี้ไม่ใช่คำตอบที่ถูกต้องสำหรับภาวะ Chronic kidney diseases เนื่องจากกลไกการออกฤทธิ์, efficacy หรือข้อบ่งใช้ไม่ตรงกับโจทย์ที่กำหนด
• ข้อ ง. (ไม่ค่อยออกกำลังกาย):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(มีอาชีพเป็นทนาย):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18" t="inlineStr"/>
      <c r="L22" s="18" t="inlineStr">
        <is>
          <t>Chronic kidney diseases</t>
        </is>
      </c>
      <c r="M22" s="18" t="inlineStr">
        <is>
          <t>Clinic</t>
        </is>
      </c>
      <c r="N22" s="18" t="inlineStr">
        <is>
          <t>ข้อ 20 ชุด 1 (เฉลยข้อ ก)</t>
        </is>
      </c>
      <c r="O22" s="18" t="inlineStr">
        <is>
          <t>Mock</t>
        </is>
      </c>
      <c r="P22" s="18" t="inlineStr">
        <is>
          <t>ชุด 1</t>
        </is>
      </c>
    </row>
    <row r="23">
      <c r="A23" s="15" t="inlineStr">
        <is>
          <t>21</t>
        </is>
      </c>
      <c r="B23" s="18" t="inlineStr">
        <is>
          <t>ผู้ป่วยมีภาวะ fluid retention ควรได้รับยาใด</t>
        </is>
      </c>
      <c r="C23" s="18" t="inlineStr"/>
      <c r="D23" s="18" t="inlineStr">
        <is>
          <t>HCTZ</t>
        </is>
      </c>
      <c r="E23" s="18" t="inlineStr">
        <is>
          <t>Amirolide</t>
        </is>
      </c>
      <c r="F23" s="18" t="inlineStr">
        <is>
          <t>Furosemide</t>
        </is>
      </c>
      <c r="G23" s="18" t="inlineStr">
        <is>
          <t>Acetazolamide</t>
        </is>
      </c>
      <c r="H23" s="18" t="inlineStr">
        <is>
          <t>HCTZ+Amirolide</t>
        </is>
      </c>
      <c r="I23" s="15" t="inlineStr">
        <is>
          <t>3</t>
        </is>
      </c>
      <c r="J23" s="18"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(Amirolide): ข้อนี้ไม่ใช่คำตอบที่ถูกต้องสำหรับภาวะ Chronic kidney diseases เนื่องจากกลไกการออกฤทธิ์, efficacy หรือข้อบ่งใช้ไม่ตรงกับโจทย์ที่กำหนด
• ข้อ ง. (Acetazolamide): ข้อนี้ไม่ใช่คำตอบที่ถูกต้องสำหรับภาวะ Chronic kidney diseases เนื่องจากกลไกการออกฤทธิ์, efficacy หรือข้อบ่งใช้ไม่ตรงกับโจทย์ที่กำหนด
• ข้อ จ. (HCTZ+Amirolide):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18" t="inlineStr"/>
      <c r="L23" s="18" t="inlineStr">
        <is>
          <t>Chronic kidney diseases</t>
        </is>
      </c>
      <c r="M23" s="18" t="inlineStr">
        <is>
          <t>Clinic</t>
        </is>
      </c>
      <c r="N23" s="18" t="inlineStr">
        <is>
          <t>ข้อ 21 ชุด 1 (เฉลยข้อ ค)</t>
        </is>
      </c>
      <c r="O23" s="18" t="inlineStr">
        <is>
          <t>Mock</t>
        </is>
      </c>
      <c r="P23" s="18" t="inlineStr">
        <is>
          <t>ชุด 1</t>
        </is>
      </c>
    </row>
    <row r="24">
      <c r="A24" s="15" t="inlineStr">
        <is>
          <t>22</t>
        </is>
      </c>
      <c r="B24" s="18"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8" t="inlineStr"/>
      <c r="D24" s="18" t="inlineStr">
        <is>
          <t>ไตวายเฉียบพลัน จากยา enalapril</t>
        </is>
      </c>
      <c r="E24" s="18" t="inlineStr">
        <is>
          <t>ไตวายเฉียบพลัน จากยา hydrochlorothiazide</t>
        </is>
      </c>
      <c r="F24" s="18" t="inlineStr">
        <is>
          <t>ไตวายเฉียบพลัน จากภาวะ dehydration</t>
        </is>
      </c>
      <c r="G24" s="18" t="inlineStr">
        <is>
          <t>ไตวายเรื้อรัง จากโรคความดันโลหิตสูง</t>
        </is>
      </c>
      <c r="H24" s="18" t="inlineStr">
        <is>
          <t>ไตวายเรื้อรัง จากการมีนิ่วอุดตันในท่อไต</t>
        </is>
      </c>
      <c r="I24" s="15" t="inlineStr">
        <is>
          <t>4</t>
        </is>
      </c>
      <c r="J24" s="18"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ข้อนี้ไม่ใช่คำตอบที่ถูกต้องสำหรับภาวะ Chronic kidney diseases เนื่องจากกลไกการออกฤทธิ์, efficacy หรือข้อบ่งใช้ไม่ตรงกับโจทย์ที่กำหนด
• ข้อ จ. (ไตวายเรื้อรัง จากการมีนิ่วอุดตันในท่อไต):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8" t="inlineStr"/>
      <c r="L24" s="18" t="inlineStr">
        <is>
          <t>Chronic kidney diseases</t>
        </is>
      </c>
      <c r="M24" s="18" t="inlineStr">
        <is>
          <t>Clinic</t>
        </is>
      </c>
      <c r="N24" s="18" t="inlineStr">
        <is>
          <t>ข้อ 22 ชุด 1 (เฉลยข้อ ง)</t>
        </is>
      </c>
      <c r="O24" s="18" t="inlineStr">
        <is>
          <t>Mock</t>
        </is>
      </c>
      <c r="P24" s="18" t="inlineStr">
        <is>
          <t>ชุด 1</t>
        </is>
      </c>
    </row>
    <row r="25">
      <c r="A25" s="15" t="inlineStr">
        <is>
          <t>23</t>
        </is>
      </c>
      <c r="B25" s="18" t="inlineStr">
        <is>
          <t>Hydrochlorothiazide (HCTZ) ออกฤทธิ์ยับยั้งกระบวนการในข้อใด</t>
        </is>
      </c>
      <c r="C25" s="18" t="inlineStr"/>
      <c r="D25" s="18" t="inlineStr">
        <is>
          <t>Vasopressin's action</t>
        </is>
      </c>
      <c r="E25" s="18" t="inlineStr">
        <is>
          <t>Reabsorption of Na⁺</t>
        </is>
      </c>
      <c r="F25" s="18" t="inlineStr">
        <is>
          <t>Na⁺/K⁺/2Cl⁻ symporter</t>
        </is>
      </c>
      <c r="G25" s="18" t="inlineStr">
        <is>
          <t>Na⁺/K⁺ exchanger</t>
        </is>
      </c>
      <c r="H25" s="18" t="inlineStr">
        <is>
          <t>Reabsorption by Na⁺/Cl⁻ symporter</t>
        </is>
      </c>
      <c r="I25" s="15" t="inlineStr">
        <is>
          <t>5</t>
        </is>
      </c>
      <c r="J25" s="18"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ข้อนี้ไม่ใช่คำตอบที่ถูกต้องสำหรับภาวะ Chronic kidney diseases เนื่องจากกลไกการออกฤทธิ์, efficacy หรือข้อบ่งใช้ไม่ตรงกับโจทย์ที่กำหนด
• ข้อ ข. (Reabsorption of Na⁺): ข้อนี้ไม่ใช่คำตอบที่ถูกต้องสำหรับภาวะ Chronic kidney diseases เนื่องจากกลไกการออกฤทธิ์, efficacy หรือข้อบ่งใช้ไม่ตรงกับโจทย์ที่กำหนด
• ข้อ ค. (Na⁺/K⁺/2Cl⁻ symporter): ข้อนี้ไม่ใช่คำตอบที่ถูกต้องสำหรับภาวะ Chronic kidney diseases เนื่องจากกลไกการออกฤทธิ์, efficacy หรือข้อบ่งใช้ไม่ตรงกับโจทย์ที่กำหนด
• ข้อ ง. (Na⁺/K⁺ exchanger):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18" t="inlineStr"/>
      <c r="L25" s="18" t="inlineStr">
        <is>
          <t>Chronic kidney diseases</t>
        </is>
      </c>
      <c r="M25" s="18" t="inlineStr">
        <is>
          <t>Clinic</t>
        </is>
      </c>
      <c r="N25" s="18" t="inlineStr">
        <is>
          <t>ข้อ 23 ชุด 1 (เฉลยข้อ จ)</t>
        </is>
      </c>
      <c r="O25" s="18" t="inlineStr">
        <is>
          <t>Mock</t>
        </is>
      </c>
      <c r="P25" s="18" t="inlineStr">
        <is>
          <t>ชุด 1</t>
        </is>
      </c>
    </row>
    <row r="26">
      <c r="A26" s="15" t="inlineStr">
        <is>
          <t>24</t>
        </is>
      </c>
      <c r="B26" s="18" t="inlineStr">
        <is>
          <t>ผู้ป่วยมีภาวะ fluid retention การรักษาใดที่ไม่เหมาะสม</t>
        </is>
      </c>
      <c r="C26" s="18" t="inlineStr"/>
      <c r="D26" s="18" t="inlineStr">
        <is>
          <t>จำกัดน้ำ</t>
        </is>
      </c>
      <c r="E26" s="18" t="inlineStr">
        <is>
          <t>ให้ยาขับปัสสาวะ</t>
        </is>
      </c>
      <c r="F26" s="18" t="inlineStr">
        <is>
          <t>ควบคุมความดันด้วยยา enalapril ต่อ</t>
        </is>
      </c>
      <c r="G26" s="18" t="inlineStr">
        <is>
          <t>รักษา CHF ด้วยยา digoxin</t>
        </is>
      </c>
      <c r="H26" s="18" t="inlineStr">
        <is>
          <t>ทำ hemodialysis</t>
        </is>
      </c>
      <c r="I26" s="15" t="inlineStr">
        <is>
          <t>5</t>
        </is>
      </c>
      <c r="J26" s="18"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ข้อนี้ไม่ใช่คำตอบที่ถูกต้องสำหรับภาวะ Chronic kidney diseases เนื่องจากกลไกการออกฤทธิ์, efficacy หรือข้อบ่งใช้ไม่ตรงกับโจทย์ที่กำหนด
• ข้อ ข. (ให้ยาขับปัสสาวะ):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8" t="inlineStr"/>
      <c r="L26" s="18" t="inlineStr">
        <is>
          <t>Chronic kidney diseases</t>
        </is>
      </c>
      <c r="M26" s="18" t="inlineStr">
        <is>
          <t>Clinic</t>
        </is>
      </c>
      <c r="N26" s="18" t="inlineStr">
        <is>
          <t>ข้อ 24 ชุด 1 (เฉลยข้อ จ)</t>
        </is>
      </c>
      <c r="O26" s="18" t="inlineStr">
        <is>
          <t>Mock</t>
        </is>
      </c>
      <c r="P26" s="18" t="inlineStr">
        <is>
          <t>ชุด 1</t>
        </is>
      </c>
    </row>
    <row r="27">
      <c r="A27" s="15" t="inlineStr">
        <is>
          <t>25</t>
        </is>
      </c>
      <c r="B27" s="18" t="inlineStr">
        <is>
          <t>แพทย์พิจารณาจ่ายยาขับปัสสาวะ ยาใดเหมาะสมที่สุดในผู้ป่วยรายนี้</t>
        </is>
      </c>
      <c r="C27" s="18" t="inlineStr"/>
      <c r="D27" s="18" t="inlineStr">
        <is>
          <t>HCTZ</t>
        </is>
      </c>
      <c r="E27" s="18" t="inlineStr">
        <is>
          <t>Spironolactone</t>
        </is>
      </c>
      <c r="F27" s="18" t="inlineStr">
        <is>
          <t>Ethacrynic acid</t>
        </is>
      </c>
      <c r="G27" s="18" t="inlineStr">
        <is>
          <t>Furosemide</t>
        </is>
      </c>
      <c r="H27" s="18" t="inlineStr">
        <is>
          <t>Amiloride</t>
        </is>
      </c>
      <c r="I27" s="15" t="inlineStr">
        <is>
          <t>4</t>
        </is>
      </c>
      <c r="J27" s="18"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(Spironolactone): เป็น Mineralocorticoid receptor antagonist (MRA) ใช้เป็น 4th-line ใน resistant HTN หรือ GDMT ใน HFrEF ต้อง monitor potassium และเสี่ยงต่อ gynecomastia
• ข้อ ค. (Ethacrynic acid): ข้อนี้ไม่ใช่คำตอบที่ถูกต้องสำหรับภาวะ Chronic kidney diseases เนื่องจากกลไกการออกฤทธิ์, efficacy หรือข้อบ่งใช้ไม่ตรงกับโจทย์ที่กำหนด
• ข้อ จ. (Amiloride):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18" t="inlineStr"/>
      <c r="L27" s="18" t="inlineStr">
        <is>
          <t>Chronic kidney diseases</t>
        </is>
      </c>
      <c r="M27" s="18" t="inlineStr">
        <is>
          <t>Clinic</t>
        </is>
      </c>
      <c r="N27" s="18" t="inlineStr">
        <is>
          <t>ข้อ 25 ชุด 1 (เฉลยข้อ ง)</t>
        </is>
      </c>
      <c r="O27" s="18" t="inlineStr">
        <is>
          <t>Mock</t>
        </is>
      </c>
      <c r="P27" s="18" t="inlineStr">
        <is>
          <t>ชุด 1</t>
        </is>
      </c>
    </row>
    <row r="28">
      <c r="A28" s="15" t="inlineStr">
        <is>
          <t>26</t>
        </is>
      </c>
      <c r="B28" s="18" t="inlineStr">
        <is>
          <t>อาการข้างเคียงจากการใช้ยาขับปัสสาวะดังกล่าวข้างต้นคือข้อใด</t>
        </is>
      </c>
      <c r="C28" s="18" t="inlineStr"/>
      <c r="D28" s="18" t="inlineStr">
        <is>
          <t>Hypocalcemia</t>
        </is>
      </c>
      <c r="E28" s="18" t="inlineStr">
        <is>
          <t>Hyponatremia</t>
        </is>
      </c>
      <c r="F28" s="18" t="inlineStr">
        <is>
          <t>Hypokalemia</t>
        </is>
      </c>
      <c r="G28" s="18" t="inlineStr">
        <is>
          <t>Hypercalcemia</t>
        </is>
      </c>
      <c r="H28" s="18" t="inlineStr">
        <is>
          <t>Acidosis</t>
        </is>
      </c>
      <c r="I28" s="15" t="inlineStr">
        <is>
          <t>1</t>
        </is>
      </c>
      <c r="J28" s="18"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ข้อนี้ไม่ใช่คำตอบที่ถูกต้องสำหรับภาวะ Chronic kidney diseases เนื่องจากกลไกการออกฤทธิ์, efficacy หรือข้อบ่งใช้ไม่ตรงกับโจทย์ที่กำหนด
• ข้อ ค. (Hypokalemia): ข้อนี้ไม่ใช่คำตอบที่ถูกต้องสำหรับภาวะ Chronic kidney diseases เนื่องจากกลไกการออกฤทธิ์, efficacy หรือข้อบ่งใช้ไม่ตรงกับโจทย์ที่กำหนด
• ข้อ ง. (Hypercalcemia): ข้อนี้ไม่ใช่คำตอบที่ถูกต้องสำหรับภาวะ Chronic kidney diseases เนื่องจากกลไกการออกฤทธิ์, efficacy หรือข้อบ่งใช้ไม่ตรงกับโจทย์ที่กำหนด
• ข้อ จ. (Acidosis):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8" t="inlineStr"/>
      <c r="L28" s="18" t="inlineStr">
        <is>
          <t>Chronic kidney diseases</t>
        </is>
      </c>
      <c r="M28" s="18" t="inlineStr">
        <is>
          <t>Clinic</t>
        </is>
      </c>
      <c r="N28" s="18" t="inlineStr">
        <is>
          <t>ข้อ 26 ชุด 1 (เฉลยข้อ ก ค)</t>
        </is>
      </c>
      <c r="O28" s="18" t="inlineStr">
        <is>
          <t>Mock</t>
        </is>
      </c>
      <c r="P28" s="18" t="inlineStr">
        <is>
          <t>ชุด 1</t>
        </is>
      </c>
    </row>
    <row r="29">
      <c r="A29" s="15" t="inlineStr">
        <is>
          <t>28</t>
        </is>
      </c>
      <c r="B29" s="18" t="inlineStr">
        <is>
          <t>of oxidation is increased by the addition of alkali or by exposure to light. (ใช้ตอบข้อ 57-58)
ควรให้ยาใด</t>
        </is>
      </c>
      <c r="C29" s="18" t="inlineStr"/>
      <c r="D29" s="18" t="inlineStr">
        <is>
          <t>Atezolizumab + Bevacizumab</t>
        </is>
      </c>
      <c r="E29" s="18" t="inlineStr">
        <is>
          <t>Amivantamab + Lazertinib</t>
        </is>
      </c>
      <c r="F29" s="18" t="inlineStr">
        <is>
          <t>Carboplatin + Paclitaxel</t>
        </is>
      </c>
      <c r="G29" s="18" t="inlineStr">
        <is>
          <t>Osimertinib + Pemetrexed</t>
        </is>
      </c>
      <c r="H29" s="18"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15" t="inlineStr">
        <is>
          <t>3</t>
        </is>
      </c>
      <c r="J29" s="18"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(Atezolizumab + Bevacizumab): ข้อนี้ไม่ใช่คำตอบที่ถูกต้องสำหรับภาวะ Chronic kidney diseases เนื่องจากกลไกการออกฤทธิ์, efficacy หรือข้อบ่งใช้ไม่ตรงกับโจทย์ที่กำหนด
• ข้อ ค. (Amivantamab + Lazertinib): ข้อนี้ไม่ใช่คำตอบที่ถูกต้องสำหรับภาวะ Chronic kidney diseases เนื่องจากกลไกการออกฤทธิ์, efficacy หรือข้อบ่งใช้ไม่ตรงกับโจทย์ที่กำหนด
• ข้อ จ. (Osimertinib + Pemetrexed):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8" t="inlineStr"/>
      <c r="L29" s="18" t="inlineStr">
        <is>
          <t>Chronic kidney diseases</t>
        </is>
      </c>
      <c r="M29" s="18" t="inlineStr">
        <is>
          <t>CKD/AKI</t>
        </is>
      </c>
      <c r="N29" s="18" t="inlineStr">
        <is>
          <t>Mock PLE-CC 1 ข้อ 66</t>
        </is>
      </c>
      <c r="O29" s="18" t="inlineStr">
        <is>
          <t>Mock</t>
        </is>
      </c>
      <c r="P29" s="18" t="inlineStr">
        <is>
          <t>Mock RxCU83</t>
        </is>
      </c>
      <c r="Q29" s="18" t="inlineStr"/>
    </row>
    <row r="30">
      <c r="A30" s="15" t="inlineStr">
        <is>
          <t>29</t>
        </is>
      </c>
      <c r="B30" s="18" t="inlineStr">
        <is>
          <t>ยาที่เลือกข้อก่อนหน้า เกี่ยวกับ biomaker ใด</t>
        </is>
      </c>
      <c r="C30" s="18" t="inlineStr"/>
      <c r="D30" s="18" t="inlineStr">
        <is>
          <t>จับกับ MHC class 1 เพิ่ม antigen presentation</t>
        </is>
      </c>
      <c r="E30" s="18" t="inlineStr">
        <is>
          <t>จับ CTLA-4 บน T cell เพิ่มการทำงานของ Treg</t>
        </is>
      </c>
      <c r="F30" s="18" t="inlineStr">
        <is>
          <t>จับ PD-L1 บน tumor cell เพิ่ม clt</t>
        </is>
      </c>
      <c r="G30" s="18" t="inlineStr">
        <is>
          <t>จับ PD-1 บน T cell ลดการจับกันของ PD-1/PD-L1 ส่งผลให้ฟื้นการทำงานของ T cell</t>
        </is>
      </c>
      <c r="H30" s="18" t="inlineStr">
        <is>
          <t>จับ EGFR หยุดสัญญาณกระตุ้นเซลล์</t>
        </is>
      </c>
      <c r="I30" s="15" t="inlineStr">
        <is>
          <t>2</t>
        </is>
      </c>
      <c r="J30" s="18"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(จับกับ MHC class 1 เพิ่ม antigen presentation): ข้อนี้ไม่ใช่คำตอบที่ถูกต้องสำหรับภาวะ Chronic kidney diseases เนื่องจากกลไกการออกฤทธิ์, efficacy หรือข้อบ่งใช้ไม่ตรงกับโจทย์ที่กำหนด
• ข้อ ง. (จับ PD-L1 บน tumor cell เพิ่ม clt): ข้อนี้ไม่ใช่คำตอบที่ถูกต้องสำหรับภาวะ Chronic kidney diseases เนื่องจากกลไกการออกฤทธิ์, efficacy หรือข้อบ่งใช้ไม่ตรงกับโจทย์ที่กำหนด
• ข้อ จ. (จับ PD-1 บน T cell ลดการจับกันของ PD-1/PD-L1 ส่งผลให้ฟื้นการทำงานของ T cell):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8" t="inlineStr"/>
      <c r="L30" s="18" t="inlineStr">
        <is>
          <t>Chronic kidney diseases</t>
        </is>
      </c>
      <c r="M30" s="18" t="inlineStr">
        <is>
          <t>CKD/AKI</t>
        </is>
      </c>
      <c r="N30" s="18" t="inlineStr">
        <is>
          <t>Mock PLE-CC 1 ข้อ 69</t>
        </is>
      </c>
      <c r="O30" s="18" t="inlineStr">
        <is>
          <t>Mock</t>
        </is>
      </c>
      <c r="P30" s="18" t="inlineStr">
        <is>
          <t>Mock RxCU83</t>
        </is>
      </c>
      <c r="Q30" s="18" t="inlineStr"/>
    </row>
    <row r="31">
      <c r="A31" s="15" t="inlineStr">
        <is>
          <t>30</t>
        </is>
      </c>
      <c r="B31" s="18" t="inlineStr">
        <is>
          <t>ถัา EGFR exon 19 deletion positive ต้องเปลี่ยนการรักษาเป็นอะไร</t>
        </is>
      </c>
      <c r="C31" s="18" t="inlineStr"/>
      <c r="D31" s="18" t="inlineStr">
        <is>
          <t>รักษาแบบเดิม</t>
        </is>
      </c>
      <c r="E31" s="18" t="inlineStr">
        <is>
          <t>Pembrolizumab</t>
        </is>
      </c>
      <c r="F31" s="18" t="inlineStr">
        <is>
          <t>Ceftuximab</t>
        </is>
      </c>
      <c r="G31" s="18" t="inlineStr">
        <is>
          <t>Bevacizumab + carboplatin + paciltaxel</t>
        </is>
      </c>
      <c r="H31" s="18" t="inlineStr">
        <is>
          <t>EGFR TKI target therapy</t>
        </is>
      </c>
      <c r="I31" s="15" t="inlineStr">
        <is>
          <t>1</t>
        </is>
      </c>
      <c r="J31" s="18"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ค. (Pembrolizumab): ข้อนี้ไม่ใช่คำตอบที่ถูกต้องสำหรับภาวะ Chronic kidney diseases เนื่องจากกลไกการออกฤทธิ์, efficacy หรือข้อบ่งใช้ไม่ตรงกับโจทย์ที่กำหนด
• ข้อ ง. (Ceftuximab): ข้อนี้ไม่ใช่คำตอบที่ถูกต้องสำหรับภาวะ Chronic kidney diseases เนื่องจากกลไกการออกฤทธิ์, efficacy หรือข้อบ่งใช้ไม่ตรงกับโจทย์ที่กำหนด
• ข้อ จ. (Bevacizumab + carboplatin + paciltaxel):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8" t="inlineStr"/>
      <c r="L31" s="18" t="inlineStr">
        <is>
          <t>Chronic kidney diseases</t>
        </is>
      </c>
      <c r="M31" s="18" t="inlineStr">
        <is>
          <t>CKD/AKI</t>
        </is>
      </c>
      <c r="N31" s="18" t="inlineStr">
        <is>
          <t>Mock PLE-CC 1 ข้อ 70</t>
        </is>
      </c>
      <c r="O31" s="18" t="inlineStr">
        <is>
          <t>Mock</t>
        </is>
      </c>
      <c r="P31" s="18" t="inlineStr">
        <is>
          <t>Mock RxCU83</t>
        </is>
      </c>
      <c r="Q31" s="18" t="inlineStr"/>
    </row>
    <row r="32">
      <c r="A32" s="15" t="inlineStr">
        <is>
          <t>31</t>
        </is>
      </c>
      <c r="B32" s="18" t="inlineStr">
        <is>
          <t>Immune checkpoint inhibitor (ICI) ใน NSCLC (non-small cell lung cancer) อะไรบ่งบอกว่าการรักษาดีขึ้น</t>
        </is>
      </c>
      <c r="C32" s="18" t="inlineStr"/>
      <c r="D32" s="18" t="inlineStr">
        <is>
          <t>CEA (Carcinoembryonic antigen)</t>
        </is>
      </c>
      <c r="E32" s="18" t="inlineStr">
        <is>
          <t>TPS ของ PD-L1 (Tumor Proportion Score of PD-L1)</t>
        </is>
      </c>
      <c r="F32" s="18" t="inlineStr">
        <is>
          <t>TMB ต ่า (Tumor Mutational Burden ต ่า)</t>
        </is>
      </c>
      <c r="G32" s="18" t="inlineStr">
        <is>
          <t>LDH ในเลือด (Lactate dehydrogenase)</t>
        </is>
      </c>
      <c r="H32" s="18" t="inlineStr">
        <is>
          <t>EGFR exon 19 deletion express</t>
        </is>
      </c>
      <c r="I32" s="15" t="inlineStr">
        <is>
          <t>1</t>
        </is>
      </c>
      <c r="J32" s="18"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ข้อนี้ไม่ใช่คำตอบที่ถูกต้องสำหรับภาวะ Chronic kidney diseases เนื่องจากกลไกการออกฤทธิ์, efficacy หรือข้อบ่งใช้ไม่ตรงกับโจทย์ที่กำหนด
• ข้อ ค. (TPS ของ PD-L1 (Tumor Proportion Score of PD-L1)): ข้อนี้ไม่ใช่คำตอบที่ถูกต้องสำหรับภาวะ Chronic kidney diseases เนื่องจากกลไกการออกฤทธิ์, efficacy หรือข้อบ่งใช้ไม่ตรงกับโจทย์ที่กำหนด
• ข้อ ง. (TMB ต ่า (Tumor Mutational Burden ต ่า)): ข้อนี้ไม่ใช่คำตอบที่ถูกต้องสำหรับภาวะ Chronic kidney diseases เนื่องจากกลไกการออกฤทธิ์, efficacy หรือข้อบ่งใช้ไม่ตรงกับโจทย์ที่กำหนด
• ข้อ จ. (LDH ในเลือด (Lactate dehydrogenase)):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8" t="inlineStr"/>
      <c r="L32" s="18" t="inlineStr">
        <is>
          <t>Chronic kidney diseases</t>
        </is>
      </c>
      <c r="M32" s="18" t="inlineStr">
        <is>
          <t>CKD/AKI</t>
        </is>
      </c>
      <c r="N32" s="18" t="inlineStr">
        <is>
          <t>Mock PLE-CC 1 ข้อ 77</t>
        </is>
      </c>
      <c r="O32" s="18" t="inlineStr">
        <is>
          <t>Mock</t>
        </is>
      </c>
      <c r="P32" s="18" t="inlineStr">
        <is>
          <t>Mock RxCU83</t>
        </is>
      </c>
      <c r="Q32" s="18" t="inlineStr"/>
    </row>
    <row r="33">
      <c r="A33" s="15" t="inlineStr">
        <is>
          <t>32</t>
        </is>
      </c>
      <c r="B33" s="18" t="inlineStr">
        <is>
          <t>กลไกที่ทำให้เกิด exon 19 deletion บน EGFR ส่งผลต่อกลไกการทำงานของ EGFR tyrosine kinase inhibitor
ยังไง</t>
        </is>
      </c>
      <c r="C33" s="18" t="inlineStr"/>
      <c r="D33" s="18" t="inlineStr">
        <is>
          <t>CKD/AKI</t>
        </is>
      </c>
      <c r="E33" s="18" t="inlineStr">
        <is>
          <t>ส่งผลต่อการจับ ligand</t>
        </is>
      </c>
      <c r="F33" s="18" t="inlineStr">
        <is>
          <t>ยับยั้งการแสดงออกของ BCL</t>
        </is>
      </c>
      <c r="G33" s="18" t="inlineStr">
        <is>
          <t>Furosemide 40 mg IV/PO OD</t>
        </is>
      </c>
      <c r="H33" s="18" t="inlineStr">
        <is>
          <t>Erythropoietin (EPO) 4000 units SC weekly</t>
        </is>
      </c>
      <c r="I33" s="15" t="inlineStr">
        <is>
          <t>1</t>
        </is>
      </c>
      <c r="J33" s="18"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ข้อนี้ไม่ใช่คำตอบที่ถูกต้องสำหรับภาวะ Chronic kidney diseases เนื่องจากกลไกการออกฤทธิ์, efficacy หรือข้อบ่งใช้ไม่ตรงกับโจทย์ที่กำหนด
• ข้อ ค. (ยับยั้งการแสดงออกของ BCL):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8" t="inlineStr"/>
      <c r="L33" s="18" t="inlineStr">
        <is>
          <t>Chronic kidney diseases</t>
        </is>
      </c>
      <c r="M33" s="18" t="inlineStr">
        <is>
          <t>CKD/AKI</t>
        </is>
      </c>
      <c r="N33" s="18" t="inlineStr">
        <is>
          <t>Mock PLE-CC 1 ข้อ 80</t>
        </is>
      </c>
      <c r="O33" s="18" t="inlineStr">
        <is>
          <t>Mock</t>
        </is>
      </c>
      <c r="P33" s="18" t="inlineStr">
        <is>
          <t>Mock RxCU83</t>
        </is>
      </c>
    </row>
    <row r="34">
      <c r="A34" s="15" t="inlineStr">
        <is>
          <t>33</t>
        </is>
      </c>
      <c r="B34" s="18" t="inlineStr">
        <is>
          <t>การกลายพันธุ์ของ T790M ของ EGFR ใน NSCLC ทำให้ผู้ป่วยดื้อต่อยา Gifitinib กับ Erlotinib กลไกคืออะไร</t>
        </is>
      </c>
      <c r="C34" s="18" t="inlineStr"/>
      <c r="D34" s="18" t="inlineStr">
        <is>
          <t>เพิ่มการจับ ATP ที่ kinase domain</t>
        </is>
      </c>
      <c r="E34" s="18" t="inlineStr">
        <is>
          <t>เพิ่ม Stearic hindrance ทำให้ไม่จับ ATP ที่ binding pocket</t>
        </is>
      </c>
      <c r="F34" s="18" t="inlineStr">
        <is>
          <t>เพิ่มการแสดงออก EGFR บนเยื่อหุ้ม Cellผิวเซลล์</t>
        </is>
      </c>
      <c r="G34" s="18" t="inlineStr">
        <is>
          <t>Internalization และ degradation ลดลง</t>
        </is>
      </c>
      <c r="H34" s="18" t="inlineStr">
        <is>
          <t>HER2 dimerization</t>
        </is>
      </c>
      <c r="I34" s="15" t="inlineStr">
        <is>
          <t>3</t>
        </is>
      </c>
      <c r="J34" s="18"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(เพิ่มการจับ ATP ที่ kinase domain): ข้อนี้ไม่ใช่คำตอบที่ถูกต้องสำหรับภาวะ Chronic kidney diseases เนื่องจากกลไกการออกฤทธิ์, efficacy หรือข้อบ่งใช้ไม่ตรงกับโจทย์ที่กำหนด
• ข้อ ค. (เพิ่ม Stearic hindrance ทำให้ไม่จับ ATP ที่ binding pocket): ข้อนี้ไม่ใช่คำตอบที่ถูกต้องสำหรับภาวะ Chronic kidney diseases เนื่องจากกลไกการออกฤทธิ์, efficacy หรือข้อบ่งใช้ไม่ตรงกับโจทย์ที่กำหนด
• ข้อ จ. (Internalization และ degradation ลดลง):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8" t="inlineStr"/>
      <c r="L34" s="18" t="inlineStr">
        <is>
          <t>Chronic kidney diseases</t>
        </is>
      </c>
      <c r="M34" s="18" t="inlineStr">
        <is>
          <t>CKD/AKI</t>
        </is>
      </c>
      <c r="N34" s="18" t="inlineStr">
        <is>
          <t>Mock PLE-CC 1 ข้อ 81</t>
        </is>
      </c>
      <c r="O34" s="18" t="inlineStr">
        <is>
          <t>Mock</t>
        </is>
      </c>
      <c r="P34" s="18" t="inlineStr">
        <is>
          <t>Mock RxCU83</t>
        </is>
      </c>
      <c r="Q34" s="18" t="inlineStr"/>
    </row>
    <row r="35">
      <c r="A35" s="15" t="inlineStr">
        <is>
          <t>34</t>
        </is>
      </c>
      <c r="B35" s="18" t="inlineStr">
        <is>
          <t>จากข้อมูลในสถานการณ์นี้ ข้อใดต่อไปนี้ไม่ใช่ปัจจัยเสี่ยงที่เกี่ยวข้องกับการเกิดโรคไตเรื้อรัง (CKD) ในผู้ป่วย รายนี้</t>
        </is>
      </c>
      <c r="C35" s="18" t="inlineStr"/>
      <c r="D35" s="18" t="inlineStr">
        <is>
          <t>แม่</t>
        </is>
      </c>
      <c r="E35" s="18" t="inlineStr">
        <is>
          <t>HbA1c</t>
        </is>
      </c>
      <c r="F35" s="18" t="inlineStr">
        <is>
          <t>FBS</t>
        </is>
      </c>
      <c r="G35" s="18" t="inlineStr">
        <is>
          <t>จำ choice ไม่ได้</t>
        </is>
      </c>
      <c r="H35" s="18" t="inlineStr">
        <is>
          <t>*จำ choice ไม่ได้*</t>
        </is>
      </c>
      <c r="I35" s="15" t="inlineStr">
        <is>
          <t>1</t>
        </is>
      </c>
      <c r="J35" s="18"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ข้อนี้ไม่ใช่คำตอบที่ถูกต้องสำหรับภาวะ Chronic kidney diseases เนื่องจากกลไกการออกฤทธิ์, efficacy หรือข้อบ่งใช้ไม่ตรงกับโจทย์ที่กำหนด
• ข้อ ค. (HbA1c): ข้อนี้ไม่ใช่คำตอบที่ถูกต้องสำหรับภาวะ Chronic kidney diseases เนื่องจากกลไกการออกฤทธิ์, efficacy หรือข้อบ่งใช้ไม่ตรงกับโจทย์ที่กำหนด
• ข้อ ง. (FBS):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8" t="inlineStr"/>
      <c r="L35" s="18" t="inlineStr">
        <is>
          <t>Chronic kidney diseases</t>
        </is>
      </c>
      <c r="M35" s="18" t="inlineStr">
        <is>
          <t>CKD/AKI</t>
        </is>
      </c>
      <c r="N35" s="18" t="inlineStr">
        <is>
          <t>PLE_CC1_2567_Key ข้อ 48</t>
        </is>
      </c>
      <c r="O35" s="18" t="inlineStr">
        <is>
          <t>ข้อสอบจริง</t>
        </is>
      </c>
      <c r="P35" s="18" t="inlineStr">
        <is>
          <t>ปี 2567</t>
        </is>
      </c>
      <c r="Q35" s="18" t="inlineStr"/>
    </row>
    <row r="36">
      <c r="A36" s="15" t="inlineStr">
        <is>
          <t>35</t>
        </is>
      </c>
      <c r="B36" s="18" t="inlineStr">
        <is>
          <t>ข้อใดเป็นเกณฑ์ในการวินิจฉัยว่าผู้ป่วยคนนี้เป็นโรคไตเรื้อรัง</t>
        </is>
      </c>
      <c r="C36" s="18" t="inlineStr"/>
      <c r="D36" s="18" t="inlineStr">
        <is>
          <t>serum HCO3 22 mg/dl</t>
        </is>
      </c>
      <c r="E36" s="18" t="inlineStr">
        <is>
          <t>AUACR 282</t>
        </is>
      </c>
      <c r="F36" s="18" t="inlineStr">
        <is>
          <t>คนในครอบครัวเป็นโรคไต</t>
        </is>
      </c>
      <c r="G36" s="18" t="inlineStr">
        <is>
          <t>จำ choice ไม่ได้</t>
        </is>
      </c>
      <c r="H36" s="18" t="inlineStr">
        <is>
          <t>*จำ choice ไม่ได้*</t>
        </is>
      </c>
      <c r="I36" s="15" t="inlineStr">
        <is>
          <t>1</t>
        </is>
      </c>
      <c r="J36" s="18"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ข้อนี้ไม่ใช่คำตอบที่ถูกต้องสำหรับภาวะ Chronic kidney diseases เนื่องจากกลไกการออกฤทธิ์, efficacy หรือข้อบ่งใช้ไม่ตรงกับโจทย์ที่กำหนด
• ข้อ ค. (AUACR 282): ข้อนี้ไม่ใช่คำตอบที่ถูกต้องสำหรับภาวะ Chronic kidney diseases เนื่องจากกลไกการออกฤทธิ์, efficacy หรือข้อบ่งใช้ไม่ตรงกับโจทย์ที่กำหนด
• ข้อ ง. (คนในครอบครัวเป็นโรคไต):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8" t="inlineStr"/>
      <c r="L36" s="18" t="inlineStr">
        <is>
          <t>Chronic kidney diseases</t>
        </is>
      </c>
      <c r="M36" s="18" t="inlineStr">
        <is>
          <t>CKD/AKI</t>
        </is>
      </c>
      <c r="N36" s="18" t="inlineStr">
        <is>
          <t>PLE_CC1_2567_Key ข้อ 50</t>
        </is>
      </c>
      <c r="O36" s="18" t="inlineStr">
        <is>
          <t>ข้อสอบจริง</t>
        </is>
      </c>
      <c r="P36" s="18" t="inlineStr">
        <is>
          <t>ปี 2567</t>
        </is>
      </c>
      <c r="Q36" s="18" t="inlineStr"/>
    </row>
    <row r="37">
      <c r="A37" s="15" t="inlineStr">
        <is>
          <t>36</t>
        </is>
      </c>
      <c r="B37" s="18" t="inlineStr">
        <is>
          <t>ค;าใดที่ไม;ไดใชติดตามผลการรักษา AKI</t>
        </is>
      </c>
      <c r="C37" s="18" t="inlineStr"/>
      <c r="D37" s="18" t="inlineStr">
        <is>
          <t>BP</t>
        </is>
      </c>
      <c r="E37" s="18" t="inlineStr">
        <is>
          <t>Urine specific gravity</t>
        </is>
      </c>
      <c r="F37" s="18" t="inlineStr">
        <is>
          <t>SCr</t>
        </is>
      </c>
      <c r="G37" s="18" t="inlineStr">
        <is>
          <t>Intake/Output</t>
        </is>
      </c>
      <c r="H37" s="18" t="inlineStr">
        <is>
          <t>BUN / ิ / / / PLE-CC1 Preparation 2565 เฉลยโดย MUPY53 Part Laws</t>
        </is>
      </c>
      <c r="I37" s="15" t="inlineStr">
        <is>
          <t>1</t>
        </is>
      </c>
      <c r="J37" s="18"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ข้อนี้ไม่ใช่คำตอบที่ถูกต้องสำหรับภาวะ Acute kidney injury เนื่องจากกลไกการออกฤทธิ์, efficacy หรือข้อบ่งใช้ไม่ตรงกับโจทย์ที่กำหนด
• ข้อ ค. (Urine specific gravity): ข้อนี้ไม่ใช่คำตอบที่ถูกต้องสำหรับภาวะ Acute kidney injury เนื่องจากกลไกการออกฤทธิ์, efficacy หรือข้อบ่งใช้ไม่ตรงกับโจทย์ที่กำหนด
• ข้อ ง. (SCr): ข้อนี้ไม่ใช่คำตอบที่ถูกต้องสำหรับภาวะ Acute kidney injury เนื่องจากกลไกการออกฤทธิ์, efficacy หรือข้อบ่งใช้ไม่ตรงกับโจทย์ที่กำหนด
• ข้อ จ. (Intake/Output):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18" t="inlineStr"/>
      <c r="L37" s="18" t="inlineStr">
        <is>
          <t>Acute kidney injury</t>
        </is>
      </c>
      <c r="M37" s="18" t="inlineStr">
        <is>
          <t>CKD/AKI</t>
        </is>
      </c>
      <c r="N37" s="18" t="inlineStr">
        <is>
          <t>PLE_CC1_2565_Day1_Key ข้อ 74</t>
        </is>
      </c>
      <c r="O37" s="18" t="inlineStr">
        <is>
          <t>ข้อสอบจริง</t>
        </is>
      </c>
      <c r="P37" s="18" t="inlineStr">
        <is>
          <t>ปี 2565</t>
        </is>
      </c>
      <c r="Q37" s="18" t="inlineStr"/>
    </row>
    <row r="38">
      <c r="A38" s="15" t="inlineStr">
        <is>
          <t>37</t>
        </is>
      </c>
      <c r="B38" s="18" t="inlineStr">
        <is>
          <t>Acute kidney injury (AKI)</t>
        </is>
      </c>
      <c r="C38" s="18" t="inlineStr"/>
      <c r="D38" s="18" t="inlineStr">
        <is>
          <t>CKD/AKI</t>
        </is>
      </c>
      <c r="E38" s="18" t="inlineStr">
        <is>
          <t>Potassium chloride 500 mg BID</t>
        </is>
      </c>
      <c r="F38" s="18" t="inlineStr">
        <is>
          <t>Calcium carbonate 1000 mg TID with meals</t>
        </is>
      </c>
      <c r="G38" s="18" t="inlineStr">
        <is>
          <t>Calcium acetate 667 mg TID with meals</t>
        </is>
      </c>
      <c r="H38" s="18" t="inlineStr">
        <is>
          <t>Sevelamer carbonate 800 mg TID with meals</t>
        </is>
      </c>
      <c r="I38" s="15" t="inlineStr">
        <is>
          <t>1</t>
        </is>
      </c>
      <c r="J38" s="18"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Acute kidney injury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8" t="inlineStr"/>
      <c r="L38" s="18" t="inlineStr">
        <is>
          <t>Acute kidney injury</t>
        </is>
      </c>
      <c r="M38" s="18" t="inlineStr">
        <is>
          <t>CKD/AKI</t>
        </is>
      </c>
      <c r="N38" s="18" t="inlineStr">
        <is>
          <t>PLE_CC1_2565_Day1_Key ข้อ 18</t>
        </is>
      </c>
      <c r="O38" s="18" t="inlineStr">
        <is>
          <t>ข้อสอบจริง</t>
        </is>
      </c>
      <c r="P38" s="18" t="inlineStr">
        <is>
          <t>ปี 2565</t>
        </is>
      </c>
    </row>
    <row r="39">
      <c r="A39" s="15" t="inlineStr">
        <is>
          <t>38</t>
        </is>
      </c>
      <c r="B39" s="18" t="inlineStr">
        <is>
          <t>ชีวสมมูลของยาที่ขับออกทางไต ไม-จำเปQนต$องดูอะไร lด 5 log k mnด การสลายRวoอยnด</t>
        </is>
      </c>
      <c r="C39" s="18" t="inlineStr"/>
      <c r="D39" s="18" t="inlineStr">
        <is>
          <t>tmax</t>
        </is>
      </c>
      <c r="E39" s="18" t="inlineStr">
        <is>
          <t>Cmax</t>
        </is>
      </c>
      <c r="F39" s="18" t="inlineStr">
        <is>
          <t>AUC</t>
        </is>
      </c>
      <c r="G39" s="18" t="inlineStr">
        <is>
          <t>half-life PLE-CC1 Preparation 2565</t>
        </is>
      </c>
      <c r="H39" s="18" t="inlineStr">
        <is>
          <t>urinary excretion / ใ+,วม/บ Accumulative urinary recovery (Ae) เ1อ3วอ4างเ"น urine แทน AUC /บ Cmax</t>
        </is>
      </c>
      <c r="I39" s="15" t="inlineStr">
        <is>
          <t>1</t>
        </is>
      </c>
      <c r="J39" s="18"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ข้อนี้ไม่ใช่คำตอบที่ถูกต้องสำหรับภาวะ Chronic kidney diseases เนื่องจากกลไกการออกฤทธิ์, efficacy หรือข้อบ่งใช้ไม่ตรงกับโจทย์ที่กำหนด
• ข้อ ค. (Cmax): ข้อนี้ไม่ใช่คำตอบที่ถูกต้องสำหรับภาวะ Chronic kidney diseases เนื่องจากกลไกการออกฤทธิ์, efficacy หรือข้อบ่งใช้ไม่ตรงกับโจทย์ที่กำหนด
• ข้อ ง. (AUC): ข้อนี้ไม่ใช่คำตอบที่ถูกต้องสำหรับภาวะ Chronic kidney diseases เนื่องจากกลไกการออกฤทธิ์, efficacy หรือข้อบ่งใช้ไม่ตรงกับโจทย์ที่กำหนด
• ข้อ จ. (half-life PLE-CC1 Preparation 2565):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8" t="inlineStr"/>
      <c r="L39" s="18" t="inlineStr">
        <is>
          <t>Chronic kidney diseases</t>
        </is>
      </c>
      <c r="M39" s="18" t="inlineStr">
        <is>
          <t>CKD/AKI</t>
        </is>
      </c>
      <c r="N39" s="18" t="inlineStr">
        <is>
          <t>PLE_CC1_2565_Day2_Key ข้อ 75</t>
        </is>
      </c>
      <c r="O39" s="18" t="inlineStr">
        <is>
          <t>ข้อสอบจริง</t>
        </is>
      </c>
      <c r="P39" s="18" t="inlineStr">
        <is>
          <t>ปี 2565</t>
        </is>
      </c>
      <c r="Q39" s="18" t="inlineStr"/>
    </row>
    <row r="40">
      <c r="A40" s="15" t="inlineStr">
        <is>
          <t>39</t>
        </is>
      </c>
      <c r="B40" s="18"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18" t="inlineStr"/>
      <c r="D40" s="18" t="inlineStr">
        <is>
          <t>CKD/AKI</t>
        </is>
      </c>
      <c r="E40" s="18" t="inlineStr">
        <is>
          <t>Calcium gluconate 10% 10 mL IV over 5 min</t>
        </is>
      </c>
      <c r="F40" s="18" t="inlineStr">
        <is>
          <t>Furosemide 40 mg IV/PO OD</t>
        </is>
      </c>
      <c r="G40" s="18" t="inlineStr">
        <is>
          <t>Erythropoietin (EPO) 4000 units SC weekly</t>
        </is>
      </c>
      <c r="H40" s="18" t="inlineStr">
        <is>
          <t>Calcitriol 0.25 mcg OD</t>
        </is>
      </c>
      <c r="I40" s="15" t="inlineStr">
        <is>
          <t>1</t>
        </is>
      </c>
      <c r="J40" s="18"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Acute kidney injury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Acute kidney injury เนื่องจากกลไกการออกฤทธิ์, efficacy หรือข้อบ่งใช้ไม่ตรงกับโจทย์ที่กำหนด
• ข้อ จ. (Calcitriol 0.25 mcg OD):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8" t="inlineStr"/>
      <c r="L40" s="18" t="inlineStr">
        <is>
          <t>Acute kidney injury</t>
        </is>
      </c>
      <c r="M40" s="18" t="inlineStr">
        <is>
          <t>CKD/AKI</t>
        </is>
      </c>
      <c r="N40" s="18" t="inlineStr">
        <is>
          <t>PLE_CC1_2564_All_Key ข้อ 9</t>
        </is>
      </c>
      <c r="O40" s="18" t="inlineStr">
        <is>
          <t>ข้อสอบจริง</t>
        </is>
      </c>
      <c r="P40" s="18" t="inlineStr">
        <is>
          <t>ปี 2564</t>
        </is>
      </c>
    </row>
    <row r="41">
      <c r="A41" s="15" t="inlineStr">
        <is>
          <t>40</t>
        </is>
      </c>
      <c r="B41" s="18" t="inlineStr">
        <is>
          <t>ค่า eGFR เท่ากับ 28 คืออยู่ KDIGO stage อะไร อิงตาม KDIGO 2012</t>
        </is>
      </c>
      <c r="C41" s="18" t="inlineStr"/>
      <c r="D41" s="18" t="inlineStr">
        <is>
          <t>G1</t>
        </is>
      </c>
      <c r="E41" s="18" t="inlineStr">
        <is>
          <t>G2</t>
        </is>
      </c>
      <c r="F41" s="18" t="inlineStr">
        <is>
          <t>G3a</t>
        </is>
      </c>
      <c r="G41" s="18" t="inlineStr">
        <is>
          <t>G3b</t>
        </is>
      </c>
      <c r="H41" s="18" t="inlineStr">
        <is>
          <t>G4</t>
        </is>
      </c>
      <c r="I41" s="15" t="inlineStr">
        <is>
          <t>1</t>
        </is>
      </c>
      <c r="J41" s="18"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ข้อนี้ไม่ใช่คำตอบที่ถูกต้องสำหรับภาวะ Chronic kidney diseases เนื่องจากกลไกการออกฤทธิ์, efficacy หรือข้อบ่งใช้ไม่ตรงกับโจทย์ที่กำหนด
• ข้อ ค. (G2): ข้อนี้ไม่ใช่คำตอบที่ถูกต้องสำหรับภาวะ Chronic kidney diseases เนื่องจากกลไกการออกฤทธิ์, efficacy หรือข้อบ่งใช้ไม่ตรงกับโจทย์ที่กำหนด
• ข้อ ง. (G3a): ข้อนี้ไม่ใช่คำตอบที่ถูกต้องสำหรับภาวะ Chronic kidney diseases เนื่องจากกลไกการออกฤทธิ์, efficacy หรือข้อบ่งใช้ไม่ตรงกับโจทย์ที่กำหนด
• ข้อ จ. (G3b):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8" t="inlineStr"/>
      <c r="L41" s="18" t="inlineStr">
        <is>
          <t>Chronic kidney diseases</t>
        </is>
      </c>
      <c r="M41" s="18" t="inlineStr">
        <is>
          <t>CKD/AKI</t>
        </is>
      </c>
      <c r="N41" s="18" t="inlineStr">
        <is>
          <t>PLE_CC1_2564_All_Key ข้อ 111</t>
        </is>
      </c>
      <c r="O41" s="18" t="inlineStr">
        <is>
          <t>ข้อสอบจริง</t>
        </is>
      </c>
      <c r="P41" s="18" t="inlineStr">
        <is>
          <t>ปี 2564</t>
        </is>
      </c>
      <c r="Q41" s="18" t="inlineStr"/>
    </row>
    <row r="42">
      <c r="A42" s="15" t="inlineStr">
        <is>
          <t>41</t>
        </is>
      </c>
      <c r="B42" s="18" t="inlineStr">
        <is>
          <t>ประกาศสำนักงานคณะกรรมการอาหารและยา เรื่องหลักเกณฑ์ในการโฆษณาอาหาร 2564 [ http://www.ratchakitcha.soc.go.th/DATA/PDF/2564/E/073/T_0014.PDF ]</t>
        </is>
      </c>
      <c r="C42" s="18" t="inlineStr"/>
      <c r="D42" s="18" t="inlineStr">
        <is>
          <t>CKD/AKI</t>
        </is>
      </c>
      <c r="E42" s="18" t="inlineStr">
        <is>
          <t>Calcium acetate 667 mg TID with meals</t>
        </is>
      </c>
      <c r="F42" s="18" t="inlineStr">
        <is>
          <t>Sevelamer carbonate 800 mg TID with meals</t>
        </is>
      </c>
      <c r="G42" s="18" t="inlineStr">
        <is>
          <t>Sodium bicarbonate 650 mg TID</t>
        </is>
      </c>
      <c r="H42" s="18" t="inlineStr">
        <is>
          <t>Kayexalate (Sodium polystyrene sulfonate) 15 g TID</t>
        </is>
      </c>
      <c r="I42" s="15" t="inlineStr">
        <is>
          <t>1</t>
        </is>
      </c>
      <c r="J42" s="18"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Acute kidney injury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8" t="inlineStr"/>
      <c r="L42" s="18" t="inlineStr">
        <is>
          <t>Acute kidney injury</t>
        </is>
      </c>
      <c r="M42" s="18" t="inlineStr">
        <is>
          <t>CKD/AKI</t>
        </is>
      </c>
      <c r="N42" s="18" t="inlineStr">
        <is>
          <t>PLE_CC1_2564_All_Key ข้อ 2</t>
        </is>
      </c>
      <c r="O42" s="18" t="inlineStr">
        <is>
          <t>ข้อสอบจริง</t>
        </is>
      </c>
      <c r="P42" s="18" t="inlineStr">
        <is>
          <t>ปี 2564</t>
        </is>
      </c>
    </row>
    <row r="43">
      <c r="A43" s="15" t="inlineStr">
        <is>
          <t>41</t>
        </is>
      </c>
      <c r="B43" s="18" t="inlineStr">
        <is>
          <t>ผู้ป่วยจัดอยู่ CKD stage ใด = I ~ 45 - 59</t>
        </is>
      </c>
      <c r="C43" s="18" t="inlineStr"/>
      <c r="D43" s="18" t="inlineStr">
        <is>
          <t>Sodium bicarbonate 650 mg TID</t>
        </is>
      </c>
      <c r="E43" s="18" t="inlineStr">
        <is>
          <t>Kayexalate (Sodium polystyrene sulfonate) 15 g TID</t>
        </is>
      </c>
      <c r="F43" s="18" t="inlineStr">
        <is>
          <t>3a</t>
        </is>
      </c>
      <c r="G43" s="18" t="inlineStr">
        <is>
          <t>3b</t>
        </is>
      </c>
      <c r="H43" s="18" t="inlineStr">
        <is>
          <t>Erythropoietin (EPO) 4000 units SC weekly</t>
        </is>
      </c>
      <c r="I43" s="15" t="inlineStr">
        <is>
          <t>1</t>
        </is>
      </c>
      <c r="J43" s="18"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(3a): ข้อนี้ไม่ใช่คำตอบที่ถูกต้องสำหรับภาวะ Chronic kidney diseases เนื่องจากกลไกการออกฤทธิ์, efficacy หรือข้อบ่งใช้ไม่ตรงกับโจทย์ที่กำหนด
• ข้อ ง. (3b): ข้อนี้ไม่ใช่คำตอบที่ถูกต้องสำหรับภาวะ Chronic kidney diseases เนื่องจากกลไกการออกฤทธิ์, efficacy หรือข้อบ่งใช้ไม่ตรงกับโจทย์ที่กำหนด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8" t="inlineStr"/>
      <c r="L43" s="18" t="inlineStr">
        <is>
          <t>Chronic kidney diseases</t>
        </is>
      </c>
      <c r="M43" s="18" t="inlineStr">
        <is>
          <t>Clinic</t>
        </is>
      </c>
      <c r="N43" s="18" t="inlineStr">
        <is>
          <t>ข้อ 73 (PLE_CC1_2562_Key.md)</t>
        </is>
      </c>
      <c r="O43" s="18" t="inlineStr">
        <is>
          <t>ข้อสอบจริง</t>
        </is>
      </c>
      <c r="P43" s="18" t="inlineStr">
        <is>
          <t>ปี 2562</t>
        </is>
      </c>
    </row>
    <row r="44">
      <c r="A44" s="15" t="inlineStr">
        <is>
          <t>42</t>
        </is>
      </c>
      <c r="B44" s="18" t="inlineStr">
        <is>
          <t>การไตเตรตดังกล!าวแบบใด</t>
        </is>
      </c>
      <c r="C44" s="18" t="inlineStr"/>
      <c r="D44" s="18" t="inlineStr">
        <is>
          <t>Redox titrate</t>
        </is>
      </c>
      <c r="E44" s="18" t="inlineStr">
        <is>
          <t>Aqueous titrate</t>
        </is>
      </c>
      <c r="F44" s="18" t="inlineStr">
        <is>
          <t>Precipitation titrate</t>
        </is>
      </c>
      <c r="G44" s="18" t="inlineStr">
        <is>
          <t>Non aqueous titrate</t>
        </is>
      </c>
      <c r="H44" s="18" t="inlineStr">
        <is>
          <t>Complexometric</t>
        </is>
      </c>
      <c r="I44" s="15" t="inlineStr">
        <is>
          <t>1</t>
        </is>
      </c>
      <c r="J44" s="18"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ค. (Precipitation titrate): ข้อนี้ไม่ใช่คำตอบที่ถูกต้องสำหรับภาวะ Chronic kidney diseases เนื่องจากกลไกการออกฤทธิ์, efficacy หรือข้อบ่งใช้ไม่ตรงกับโจทย์ที่กำหนด
• ข้อ ง. (Non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จ. (Complexometric):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8" t="inlineStr"/>
      <c r="L44" s="18" t="inlineStr">
        <is>
          <t>Chronic kidney diseases</t>
        </is>
      </c>
      <c r="M44" s="18" t="inlineStr">
        <is>
          <t>Clinic</t>
        </is>
      </c>
      <c r="N44" s="18" t="inlineStr">
        <is>
          <t>ข้อ 17 (PLE_CC1_2561_Key.md)</t>
        </is>
      </c>
      <c r="O44" s="18" t="inlineStr">
        <is>
          <t>ข้อสอบจริง</t>
        </is>
      </c>
      <c r="P44" s="18" t="inlineStr">
        <is>
          <t>ปี 2561</t>
        </is>
      </c>
    </row>
    <row r="45">
      <c r="A45" s="15" t="inlineStr">
        <is>
          <t>43</t>
        </is>
      </c>
      <c r="B45" s="18" t="inlineStr">
        <is>
          <t>ยาใดไม่ควรใช้ในผู้ป่วยโรคไตเรื อรังรายนี</t>
        </is>
      </c>
      <c r="C45" s="18" t="inlineStr"/>
      <c r="D45" s="18" t="inlineStr">
        <is>
          <t>Aspirin</t>
        </is>
      </c>
      <c r="E45" s="18" t="inlineStr">
        <is>
          <t>Glipizide</t>
        </is>
      </c>
      <c r="F45" s="18" t="inlineStr">
        <is>
          <t>Amlodipine</t>
        </is>
      </c>
      <c r="G45" s="18" t="inlineStr">
        <is>
          <t>Alum milk</t>
        </is>
      </c>
      <c r="H45" s="18" t="inlineStr">
        <is>
          <t>Hydralazine</t>
        </is>
      </c>
      <c r="I45" s="15" t="inlineStr">
        <is>
          <t>1</t>
        </is>
      </c>
      <c r="J45" s="18"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8" t="inlineStr"/>
      <c r="L45" s="18" t="inlineStr">
        <is>
          <t>Chronic kidney diseases</t>
        </is>
      </c>
      <c r="M45" s="18" t="inlineStr">
        <is>
          <t>Clinic</t>
        </is>
      </c>
      <c r="N45" s="18" t="inlineStr">
        <is>
          <t>ข้อ 3 (PLE_CC1_2560 22 April Set 1.md)</t>
        </is>
      </c>
      <c r="O45" s="18" t="inlineStr">
        <is>
          <t>ข้อสอบจริง</t>
        </is>
      </c>
      <c r="P45" s="18" t="inlineStr">
        <is>
          <t>ปี 2560</t>
        </is>
      </c>
    </row>
    <row r="46">
      <c r="A46" s="15" t="inlineStr">
        <is>
          <t>44</t>
        </is>
      </c>
      <c r="B46" s="18" t="inlineStr">
        <is>
          <t>ยาใดห้ามใช้ในโรคไต</t>
        </is>
      </c>
      <c r="C46" s="18" t="inlineStr"/>
      <c r="D46" s="18" t="inlineStr">
        <is>
          <t>Aspirin</t>
        </is>
      </c>
      <c r="E46" s="18" t="inlineStr">
        <is>
          <t>Glipizide</t>
        </is>
      </c>
      <c r="F46" s="18" t="inlineStr">
        <is>
          <t>Amlodipine</t>
        </is>
      </c>
      <c r="G46" s="18" t="inlineStr">
        <is>
          <t>Alum milk</t>
        </is>
      </c>
      <c r="H46" s="18" t="inlineStr">
        <is>
          <t>Hydralazine</t>
        </is>
      </c>
      <c r="I46" s="15" t="inlineStr">
        <is>
          <t>1</t>
        </is>
      </c>
      <c r="J46" s="18"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8" t="inlineStr"/>
      <c r="L46" s="18" t="inlineStr">
        <is>
          <t>Chronic kidney diseases</t>
        </is>
      </c>
      <c r="M46" s="18" t="inlineStr">
        <is>
          <t>Clinic</t>
        </is>
      </c>
      <c r="N46" s="18" t="inlineStr">
        <is>
          <t>ข้อ 2 (PLE_CC1_2560 22 April Set 2.md)</t>
        </is>
      </c>
      <c r="O46" s="18" t="inlineStr">
        <is>
          <t>ข้อสอบจริง</t>
        </is>
      </c>
      <c r="P46" s="18" t="inlineStr">
        <is>
          <t>ปี 2560</t>
        </is>
      </c>
    </row>
    <row r="47">
      <c r="A47" s="15" t="inlineStr">
        <is>
          <t>45</t>
        </is>
      </c>
      <c r="B47" s="18" t="inlineStr">
        <is>
          <t>ยาใดเป็นพิษต่อไตมากที่สุด</t>
        </is>
      </c>
      <c r="C47" s="18" t="inlineStr"/>
      <c r="D47" s="18" t="inlineStr">
        <is>
          <t>Risedronate</t>
        </is>
      </c>
      <c r="E47" s="18" t="inlineStr">
        <is>
          <t>Diclofenac</t>
        </is>
      </c>
      <c r="F47" s="18" t="inlineStr">
        <is>
          <t>Glucosamine</t>
        </is>
      </c>
      <c r="G47" s="18" t="inlineStr">
        <is>
          <t>Vitamin B complex</t>
        </is>
      </c>
      <c r="H47" s="18" t="inlineStr">
        <is>
          <t>Calcium ห้ามนำไปทำซ้ำทุกกรณี เว้นแต่จะได้รับอนุญาต</t>
        </is>
      </c>
      <c r="I47" s="15" t="inlineStr">
        <is>
          <t>1</t>
        </is>
      </c>
      <c r="J47" s="18"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ข้อนี้ไม่ใช่คำตอบที่ถูกต้องสำหรับภาวะ Chronic kidney diseases เนื่องจากกลไกการออกฤทธิ์, efficacy หรือข้อบ่งใช้ไม่ตรงกับโจทย์ที่กำหนด
• ข้อ ค. (Glucosamine): เป็นเพียง dietary supplement / symptom-modifying therapy สำหรับ OA ไม่ได้จัดเป็น disease-modifying agent และ CPG สากล (ACR) ไม่แนะนำให้ใช้เป็น first-line
• ข้อ ง. (Vitamin B complex): ข้อนี้ไม่ใช่คำตอบที่ถูกต้องสำหรับภาวะ Chronic kidney diseases เนื่องจากกลไกการออกฤทธิ์, efficacy หรือข้อบ่งใช้ไม่ตรงกับโจทย์ที่กำหนด
• ข้อ จ. (Calcium ห้ามนำไปทำซ้ำทุกกรณี เว้นแต่จะได้รับอนุญาต):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8" t="inlineStr"/>
      <c r="L47" s="18" t="inlineStr">
        <is>
          <t>Chronic kidney diseases</t>
        </is>
      </c>
      <c r="M47" s="18" t="inlineStr">
        <is>
          <t>Clinic</t>
        </is>
      </c>
      <c r="N47" s="18" t="inlineStr">
        <is>
          <t>ข้อ 85 (PLE_CC1_2559.md)</t>
        </is>
      </c>
      <c r="O47" s="18" t="inlineStr">
        <is>
          <t>ข้อสอบจริง</t>
        </is>
      </c>
      <c r="P47" s="18" t="inlineStr">
        <is>
          <t>ปี 2559</t>
        </is>
      </c>
    </row>
    <row r="48">
      <c r="A48" s="15" t="inlineStr">
        <is>
          <t>46</t>
        </is>
      </c>
      <c r="B48" s="18" t="inlineStr">
        <is>
          <t>จัดอยู่ใน CKD stageใด</t>
        </is>
      </c>
      <c r="C48" s="18" t="inlineStr"/>
      <c r="D48" s="18" t="inlineStr">
        <is>
          <t>Calcitriol 0.25 mcg OD</t>
        </is>
      </c>
      <c r="E48" s="18" t="inlineStr">
        <is>
          <t>II</t>
        </is>
      </c>
      <c r="F48" s="18" t="inlineStr">
        <is>
          <t>III</t>
        </is>
      </c>
      <c r="G48" s="18" t="inlineStr">
        <is>
          <t>IV</t>
        </is>
      </c>
      <c r="H48" s="18" t="inlineStr">
        <is>
          <t>Sevelamer carbonate 800 mg TID with meals</t>
        </is>
      </c>
      <c r="I48" s="15" t="inlineStr">
        <is>
          <t>1</t>
        </is>
      </c>
      <c r="J48" s="18"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ข้อนี้ไม่ใช่คำตอบที่ถูกต้องสำหรับภาวะ Chronic kidney diseases เนื่องจากกลไกการออกฤทธิ์, efficacy หรือข้อบ่งใช้ไม่ตรงกับโจทย์ที่กำหนด
• ข้อ ค. (III): ข้อนี้ไม่ใช่คำตอบที่ถูกต้องสำหรับภาวะ Chronic kidney diseases เนื่องจากกลไกการออกฤทธิ์, efficacy หรือข้อบ่งใช้ไม่ตรงกับโจทย์ที่กำหนด
• ข้อ ง. (IV):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8" t="inlineStr"/>
      <c r="L48" s="18" t="inlineStr">
        <is>
          <t>Chronic kidney diseases</t>
        </is>
      </c>
      <c r="M48" s="18" t="inlineStr">
        <is>
          <t>Clinic</t>
        </is>
      </c>
      <c r="N48" s="18" t="inlineStr">
        <is>
          <t>ข้อ 47 (PLE_CC1_2558_Key.md)</t>
        </is>
      </c>
      <c r="O48" s="18" t="inlineStr">
        <is>
          <t>ข้อสอบจริง</t>
        </is>
      </c>
      <c r="P48" s="18" t="inlineStr">
        <is>
          <t>ปี 2558</t>
        </is>
      </c>
    </row>
    <row r="49">
      <c r="A49" s="15" t="inlineStr">
        <is>
          <t>47</t>
        </is>
      </c>
      <c r="B49" s="18" t="inlineStr">
        <is>
          <t>ข้อใด ไม่ใช่ เกณฑ์วินิจฉัยภาวะไตเรื้อรัง</t>
        </is>
      </c>
      <c r="C49" s="18" t="inlineStr"/>
      <c r="D49" s="18" t="inlineStr">
        <is>
          <t>GFR &lt; 45 ml/min/1.73 m2 ติดต่อกันเกิน 3 เดือน</t>
        </is>
      </c>
      <c r="E49" s="18" t="inlineStr">
        <is>
          <t>ตรวจพบอัลบูมินในปัสสาวะ ≥ 2 ใน 3 ครั้ง ในช่วง 3 เดือน</t>
        </is>
      </c>
      <c r="F49" s="18" t="inlineStr">
        <is>
          <t>ตรวจพบเม็ดเลือดแดงในปัสสาวะ ≥ 2 ใน 3 ครั้ง ในช่วง 3 เดือน</t>
        </is>
      </c>
      <c r="G49" s="18" t="inlineStr">
        <is>
          <t>พบความผิดปกติทางพยาธิสภาพ</t>
        </is>
      </c>
      <c r="H49" s="18" t="inlineStr">
        <is>
          <t>มีประวัติผ่าตัดปลูกถ่ายไต</t>
        </is>
      </c>
      <c r="I49" s="15" t="inlineStr">
        <is>
          <t>1</t>
        </is>
      </c>
      <c r="J49" s="18"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ค. (ตรวจพบเม็ดเลือดแดงในปัสสาวะ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ง. (พบความผิดปกติทางพยาธิสภาพ): ข้อนี้ไม่ใช่คำตอบที่ถูกต้องสำหรับภาวะ Chronic kidney diseases เนื่องจากกลไกการออกฤทธิ์, efficacy หรือข้อบ่งใช้ไม่ตรงกับโจทย์ที่กำหนด
• ข้อ จ. (มีประวัติผ่าตัดปลูกถ่ายไต):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8" t="inlineStr"/>
      <c r="L49" s="18" t="inlineStr">
        <is>
          <t>Chronic kidney diseases</t>
        </is>
      </c>
      <c r="M49" s="18" t="inlineStr">
        <is>
          <t>Clinic</t>
        </is>
      </c>
      <c r="N49" s="18" t="inlineStr">
        <is>
          <t>ข้อ 84 (Pharmtutor_2024_Set2.md)</t>
        </is>
      </c>
      <c r="O49" s="18" t="inlineStr">
        <is>
          <t>Mock</t>
        </is>
      </c>
      <c r="P49" s="18" t="inlineStr">
        <is>
          <t>Mock Pharmtutor 2024</t>
        </is>
      </c>
    </row>
    <row r="50">
      <c r="A50" s="15" t="inlineStr">
        <is>
          <t>48</t>
        </is>
      </c>
      <c r="B50" s="18" t="inlineStr">
        <is>
          <t>ผู้ป่วยรายนี%มีภาวะโรคไตเรื%อรังอยู่ในระยะ (stage) ใด (1) Stage I (2) Stage II (3) Stage III (4) Stage IV (5) Stage V</t>
        </is>
      </c>
      <c r="C50" s="18" t="inlineStr"/>
      <c r="D50" s="18" t="inlineStr">
        <is>
          <t>Kayexalate (Sodium polystyrene sulfonate) 15 g TID</t>
        </is>
      </c>
      <c r="E50" s="18" t="inlineStr">
        <is>
          <t>Calcium gluconate 10% 10 mL IV over 5 min</t>
        </is>
      </c>
      <c r="F50" s="18" t="inlineStr">
        <is>
          <t>Furosemide 40 mg IV/PO OD</t>
        </is>
      </c>
      <c r="G50" s="18" t="inlineStr">
        <is>
          <t>Erythropoietin (EPO) 4000 units SC weekly</t>
        </is>
      </c>
      <c r="H50" s="18" t="inlineStr">
        <is>
          <t>Calcitriol 0.25 mcg OD</t>
        </is>
      </c>
      <c r="I50" s="15" t="inlineStr">
        <is>
          <t>1</t>
        </is>
      </c>
      <c r="J50" s="18"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8" t="inlineStr"/>
      <c r="L50" s="18" t="inlineStr">
        <is>
          <t>Chronic kidney diseases</t>
        </is>
      </c>
      <c r="M50" s="18" t="inlineStr">
        <is>
          <t>Clinic</t>
        </is>
      </c>
      <c r="N50" s="18" t="inlineStr">
        <is>
          <t>ข้อ 64 (PLE_CC1_2557.md)</t>
        </is>
      </c>
      <c r="O50" s="18" t="inlineStr">
        <is>
          <t>ข้อสอบจริง</t>
        </is>
      </c>
      <c r="P50" s="18" t="inlineStr">
        <is>
          <t>ปี 2557</t>
        </is>
      </c>
    </row>
    <row r="51">
      <c r="A51" s="15" t="inlineStr">
        <is>
          <t>49</t>
        </is>
      </c>
      <c r="B51" s="18" t="inlineStr">
        <is>
          <t>serumcreatinine</t>
        </is>
      </c>
      <c r="C51" s="18" t="inlineStr"/>
      <c r="D51" s="18" t="inlineStr">
        <is>
          <t>Erythropoietin (EPO) 4000 units SC weekly</t>
        </is>
      </c>
      <c r="E51" s="18" t="inlineStr">
        <is>
          <t>Calcitriol 0.25 mcg OD</t>
        </is>
      </c>
      <c r="F51" s="18" t="inlineStr">
        <is>
          <t>Potassium chloride 500 mg BID</t>
        </is>
      </c>
      <c r="G51" s="18" t="inlineStr">
        <is>
          <t>Calcium carbonate 1000 mg TID with meals</t>
        </is>
      </c>
      <c r="H51" s="18" t="inlineStr">
        <is>
          <t>Calcium acetate 667 mg TID with meals</t>
        </is>
      </c>
      <c r="I51" s="15" t="inlineStr">
        <is>
          <t>1</t>
        </is>
      </c>
      <c r="J51" s="18"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8" t="inlineStr"/>
      <c r="L51" s="18" t="inlineStr">
        <is>
          <t>Chronic kidney diseases</t>
        </is>
      </c>
      <c r="M51" s="18" t="inlineStr">
        <is>
          <t>Clinic</t>
        </is>
      </c>
      <c r="N51" s="18" t="inlineStr">
        <is>
          <t>ข้อ 1 (PLE_CC1_2556.md)</t>
        </is>
      </c>
      <c r="O51" s="18" t="inlineStr">
        <is>
          <t>ข้อสอบจริง</t>
        </is>
      </c>
      <c r="P51" s="18" t="inlineStr">
        <is>
          <t>ปี 2556</t>
        </is>
      </c>
    </row>
    <row r="52">
      <c r="A52" s="15" t="inlineStr">
        <is>
          <t>50</t>
        </is>
      </c>
      <c r="B52" s="18" t="inlineStr">
        <is>
          <t>สาเหตุของการเกิดโรคไตในผู้ป่วยรายนี้</t>
        </is>
      </c>
      <c r="C52" s="18" t="inlineStr"/>
      <c r="D52" s="18" t="inlineStr">
        <is>
          <t>smoke-induced</t>
        </is>
      </c>
      <c r="E52" s="18" t="inlineStr">
        <is>
          <t>alcohol-induced</t>
        </is>
      </c>
      <c r="F52" s="18" t="inlineStr">
        <is>
          <t>hypovolemia</t>
        </is>
      </c>
      <c r="G52" s="18"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18" t="inlineStr">
        <is>
          <t>Kayexalate (Sodium polystyrene sulfonate) 15 g TID</t>
        </is>
      </c>
      <c r="I52" s="15" t="inlineStr">
        <is>
          <t>2</t>
        </is>
      </c>
      <c r="J52" s="18"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ข้อนี้ไม่ใช่คำตอบที่ถูกต้องสำหรับภาวะ Chronic kidney diseases เนื่องจากกลไกการออกฤทธิ์, efficacy หรือข้อบ่งใช้ไม่ตรงกับโจทย์ที่กำหนด
• ข้อ ค. (hypovolemia): ข้อนี้ไม่ใช่คำตอบที่ถูกต้องสำหรับภาวะ Chronic kidney diseases เนื่องจากกลไกการออกฤทธิ์, efficacy หรือข้อบ่งใช้ไม่ตรงกับโจทย์ที่กำหนด
• ข้อ ง. (myoglobin-induced จากโจทย์ ผป.มี AST ALT สูงลิ่ว, มีอาการปวดกล้ามเนื้อ ปัสสาวะน้อย และมีสีแดง ไม่มีแรง Ref. ชีทเรียน dyslipidemia อ.วิลาวัณย์ Statins ADR):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18" t="inlineStr"/>
      <c r="L52" s="18" t="inlineStr">
        <is>
          <t>Chronic kidney diseases</t>
        </is>
      </c>
      <c r="M52" s="18" t="inlineStr">
        <is>
          <t>Clinic</t>
        </is>
      </c>
      <c r="N52" s="18" t="inlineStr">
        <is>
          <t>ข้อ 4 (PLE_CC1_2554 SET2.md)</t>
        </is>
      </c>
      <c r="O52" s="18" t="inlineStr">
        <is>
          <t>ข้อสอบจริง</t>
        </is>
      </c>
      <c r="P52" s="18" t="inlineStr">
        <is>
          <t>ปี 2554</t>
        </is>
      </c>
    </row>
    <row r="53">
      <c r="A53" s="15" t="inlineStr">
        <is>
          <t>51</t>
        </is>
      </c>
      <c r="B53" s="18" t="inlineStr">
        <is>
          <t>ยาใดที่ออกฤทธิ์ bacteriostatic โดยยับยั้งการสร้างโปรตีน โดยจับกับ 50s subunit ribosome ของ แบคทีเรีย</t>
        </is>
      </c>
      <c r="C53" s="18" t="inlineStr"/>
      <c r="D53" s="18" t="inlineStr">
        <is>
          <t>Doxycycline</t>
        </is>
      </c>
      <c r="E53" s="18" t="inlineStr">
        <is>
          <t>Ceftriaxone</t>
        </is>
      </c>
      <c r="F53" s="18" t="inlineStr">
        <is>
          <t>Azithromycin</t>
        </is>
      </c>
      <c r="G53" s="18" t="inlineStr">
        <is>
          <t>Gentamicin</t>
        </is>
      </c>
      <c r="H53" s="18" t="inlineStr">
        <is>
          <t>Meropenem</t>
        </is>
      </c>
      <c r="I53" s="15" t="inlineStr">
        <is>
          <t>1</t>
        </is>
      </c>
      <c r="J53" s="18" t="inlineStr">
        <is>
          <t>✅ คำตอบที่ถูกต้อง: ข้อ ก. Doxycycline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(Ceftriaxone): เป็น 3rd generation cephalosporin มี broad spectrum ต่อ gram-negative bacteria และผ่าน BBB ได้ดี ขับออกทาง biliary tract จึงไม่ต้องปรับ dose ใน renal impairment
• ข้อ ค. (Azithromycin): เป็น Macrolide ครอบคลุม atypical pathogens (Mycoplasma, Chlamydia, Legionella) ขจัดออกทางตับเป็นหลัก และมี half-life ยาวนาน (~68 ชม.)
• ข้อ ง. (Gentamicin): เป็น Aminoglycoside มี concentration-dependent bactericidal effect ต่อ gram-negative มี nephrotoxicity และ ototoxicity ต้อง monitoring renal function และ serum level
• ข้อ จ. (Meropenem):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18" t="inlineStr"/>
      <c r="L53" s="18" t="inlineStr">
        <is>
          <t>Chronic kidney diseases</t>
        </is>
      </c>
      <c r="M53" s="18" t="inlineStr">
        <is>
          <t>Clinic</t>
        </is>
      </c>
      <c r="N53" s="18" t="inlineStr">
        <is>
          <t>ข้อ 49 (PLE_CC1_Practice_Exam.md)</t>
        </is>
      </c>
      <c r="O53" s="18" t="inlineStr">
        <is>
          <t>Mock</t>
        </is>
      </c>
      <c r="P53" s="18" t="inlineStr">
        <is>
          <t>Mock สภาเภสัชฯ Practice</t>
        </is>
      </c>
    </row>
    <row r="54">
      <c r="A54" s="15" t="inlineStr">
        <is>
          <t>52</t>
        </is>
      </c>
      <c r="B54" s="18"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4" s="18" t="inlineStr"/>
      <c r="D54" s="18" t="inlineStr">
        <is>
          <t>Furosemide 40 mg IV/PO OD</t>
        </is>
      </c>
      <c r="E54" s="18" t="inlineStr">
        <is>
          <t>Erythropoietin (EPO) 4000 units SC weekly</t>
        </is>
      </c>
      <c r="F54" s="18" t="inlineStr">
        <is>
          <t>Calcitriol 0.25 mcg OD</t>
        </is>
      </c>
      <c r="G54" s="18" t="inlineStr">
        <is>
          <t>Potassium chloride 500 mg BID</t>
        </is>
      </c>
      <c r="H54" s="18" t="inlineStr">
        <is>
          <t>Calcium carbonate 1000 mg TID with meals</t>
        </is>
      </c>
      <c r="I54" s="15" t="inlineStr">
        <is>
          <t>1</t>
        </is>
      </c>
      <c r="J54" s="18"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4" s="18" t="inlineStr"/>
      <c r="L54" s="18" t="inlineStr">
        <is>
          <t>Chronic kidney diseases</t>
        </is>
      </c>
      <c r="M54" s="18" t="inlineStr">
        <is>
          <t>Clinic</t>
        </is>
      </c>
      <c r="N54" s="18" t="inlineStr">
        <is>
          <t>ข้อ 2 (PLE_CC1_Practice_Exam.md)</t>
        </is>
      </c>
      <c r="O54" s="18" t="inlineStr">
        <is>
          <t>Mock</t>
        </is>
      </c>
      <c r="P54" s="18" t="inlineStr">
        <is>
          <t>Mock สภาเภสัชฯ Practice</t>
        </is>
      </c>
    </row>
    <row r="55">
      <c r="A55" s="15" t="inlineStr">
        <is>
          <t>53</t>
        </is>
      </c>
      <c r="B55" s="18" t="inlineStr">
        <is>
          <t>มีการทำงานของไตบกพร่อง Anxiety</t>
        </is>
      </c>
      <c r="C55" s="18" t="inlineStr"/>
      <c r="D55" s="18" t="inlineStr">
        <is>
          <t>Potassium chloride 500 mg BID</t>
        </is>
      </c>
      <c r="E55" s="18" t="inlineStr">
        <is>
          <t>Calcium carbonate 1000 mg TID with meals</t>
        </is>
      </c>
      <c r="F55" s="18" t="inlineStr">
        <is>
          <t>Calcium acetate 667 mg TID with meals</t>
        </is>
      </c>
      <c r="G55" s="18" t="inlineStr">
        <is>
          <t>Sevelamer carbonate 800 mg TID with meals</t>
        </is>
      </c>
      <c r="H55" s="18" t="inlineStr">
        <is>
          <t>Sodium bicarbonate 650 mg TID</t>
        </is>
      </c>
      <c r="I55" s="15" t="inlineStr">
        <is>
          <t>1</t>
        </is>
      </c>
      <c r="J55" s="18"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8" t="inlineStr"/>
      <c r="L55" s="18" t="inlineStr">
        <is>
          <t>Chronic kidney diseases</t>
        </is>
      </c>
      <c r="M55" s="18" t="inlineStr">
        <is>
          <t>Clinic</t>
        </is>
      </c>
      <c r="N55" s="18" t="inlineStr">
        <is>
          <t>ข้อ 5 (PLE_CC1_Practice_Exam.md)</t>
        </is>
      </c>
      <c r="O55" s="18" t="inlineStr">
        <is>
          <t>Mock</t>
        </is>
      </c>
      <c r="P55" s="18" t="inlineStr">
        <is>
          <t>Mock สภาเภสัชฯ Practice</t>
        </is>
      </c>
    </row>
    <row r="56">
      <c r="A56" s="15" t="inlineStr">
        <is>
          <t>54</t>
        </is>
      </c>
      <c r="B56" s="18" t="inlineStr">
        <is>
          <t>ยา A 80% ขับออกทางไตและขับออกในรูป active metabolite ข้อใดเหมาะสมมากที่สุด</t>
        </is>
      </c>
      <c r="C56" s="18" t="inlineStr"/>
      <c r="D56" s="18" t="inlineStr">
        <is>
          <t>ควรพิจารณาปรับขนาดยาลดลง หากผู้ป่วยมีการทำงานของไตแย่ลง</t>
        </is>
      </c>
      <c r="E56" s="18"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6" s="18" t="inlineStr">
        <is>
          <t>ไม่มีความจำเป็นต้องปรับขนาดยาในผู้ป่วยโรคไต</t>
        </is>
      </c>
      <c r="G56" s="18" t="inlineStr">
        <is>
          <t>ผู้ป่วยควรดื่มน้ำหลังรับประทานยามากๆ เพื่อลดการเกิดพิษของยาต่อไต</t>
        </is>
      </c>
      <c r="H56" s="18" t="inlineStr">
        <is>
          <t>ผู้ป่วย CKD จะไม่สามารถใช้ยาตัวดังกล่าวได้</t>
        </is>
      </c>
      <c r="I56" s="15" t="inlineStr">
        <is>
          <t>1</t>
        </is>
      </c>
      <c r="J56" s="18"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Chronic kidney diseases เนื่องจากกลไกการออกฤทธิ์, efficacy หรือข้อบ่งใช้ไม่ตรงกับโจทย์ที่กำหนด
• ข้อ ค. (ไม่มีความจำเป็นต้องปรับขนาดยาในผู้ป่วยโรคไต):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ง. (ผู้ป่วยควรดื่มน้ำหลังรับประทานยามากๆ เพื่อลดการเกิดพิษของยาต่อไต): ข้อนี้ไม่ใช่คำตอบที่ถูกต้องสำหรับภาวะ Chronic kidney diseases เนื่องจากกลไกการออกฤทธิ์, efficacy หรือข้อบ่งใช้ไม่ตรงกับโจทย์ที่กำหนด
• ข้อ จ. (ผู้ป่วย CKD จะไม่สามารถใช้ยาตัวดังกล่าวได้):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8" t="inlineStr"/>
      <c r="L56" s="18" t="inlineStr">
        <is>
          <t>Chronic kidney diseases</t>
        </is>
      </c>
      <c r="M56" s="18" t="inlineStr">
        <is>
          <t>Clinic</t>
        </is>
      </c>
      <c r="N56" s="18" t="inlineStr">
        <is>
          <t>ข้อ 13 (PLE_CC1_Practice_Exam.md)</t>
        </is>
      </c>
      <c r="O56" s="18" t="inlineStr">
        <is>
          <t>Mock</t>
        </is>
      </c>
      <c r="P56" s="18" t="inlineStr">
        <is>
          <t>Mock สภาเภสัชฯ Practice</t>
        </is>
      </c>
    </row>
    <row r="57">
      <c r="A57" s="15" t="inlineStr">
        <is>
          <t>55</t>
        </is>
      </c>
      <c r="B57" s="18" t="inlineStr">
        <is>
          <t>ปรับขนาดยาตามไต</t>
        </is>
      </c>
      <c r="C57" s="18" t="inlineStr"/>
      <c r="D57" s="18" t="inlineStr">
        <is>
          <t>Calcium gluconate 10% 10 mL IV over 5 min</t>
        </is>
      </c>
      <c r="E57" s="18" t="inlineStr">
        <is>
          <t>Furosemide 40 mg IV/PO OD</t>
        </is>
      </c>
      <c r="F57" s="18" t="inlineStr">
        <is>
          <t>Erythropoietin (EPO) 4000 units SC weekly</t>
        </is>
      </c>
      <c r="G57" s="18" t="inlineStr">
        <is>
          <t>Calcitriol 0.25 mcg OD</t>
        </is>
      </c>
      <c r="H57" s="18" t="inlineStr">
        <is>
          <t>Potassium chloride 500 mg BID</t>
        </is>
      </c>
      <c r="I57" s="15" t="inlineStr">
        <is>
          <t>1</t>
        </is>
      </c>
      <c r="J57" s="18"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8" t="inlineStr"/>
      <c r="L57" s="18" t="inlineStr">
        <is>
          <t>Chronic kidney diseases</t>
        </is>
      </c>
      <c r="M57" s="18" t="inlineStr">
        <is>
          <t>Clinic</t>
        </is>
      </c>
      <c r="N57" s="18" t="inlineStr">
        <is>
          <t>ข้อ 3 (PLE_CC1_Key_Rx20_UBU.md)</t>
        </is>
      </c>
      <c r="O57" s="18" t="inlineStr">
        <is>
          <t>Mock</t>
        </is>
      </c>
      <c r="P57" s="18" t="inlineStr">
        <is>
          <t>Mock Rx20 UBU</t>
        </is>
      </c>
    </row>
    <row r="58">
      <c r="A58" s="15" t="inlineStr">
        <is>
          <t>56</t>
        </is>
      </c>
      <c r="B58" s="18"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8" s="18" t="inlineStr"/>
      <c r="D58" s="18" t="inlineStr">
        <is>
          <t>Calcitriol 0.25 mcg OD</t>
        </is>
      </c>
      <c r="E58" s="18" t="inlineStr">
        <is>
          <t>Potassium chloride 500 mg BID</t>
        </is>
      </c>
      <c r="F58" s="18" t="inlineStr">
        <is>
          <t>Calcium carbonate 1000 mg TID with meals</t>
        </is>
      </c>
      <c r="G58" s="18" t="inlineStr">
        <is>
          <t>Calcium acetate 667 mg TID with meals</t>
        </is>
      </c>
      <c r="H58" s="18" t="inlineStr">
        <is>
          <t>Sevelamer carbonate 800 mg TID with meals</t>
        </is>
      </c>
      <c r="I58" s="15" t="inlineStr">
        <is>
          <t>1</t>
        </is>
      </c>
      <c r="J58" s="18"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18" t="inlineStr"/>
      <c r="L58" s="18" t="inlineStr">
        <is>
          <t>Chronic kidney diseases</t>
        </is>
      </c>
      <c r="M58" s="18" t="inlineStr">
        <is>
          <t>Clinic</t>
        </is>
      </c>
      <c r="N58" s="18" t="inlineStr">
        <is>
          <t>ข้อ 5 (PLE_CC1_Key_Rx20_UBU.md)</t>
        </is>
      </c>
      <c r="O58" s="18" t="inlineStr">
        <is>
          <t>Mock</t>
        </is>
      </c>
      <c r="P58" s="18" t="inlineStr">
        <is>
          <t>Mock Rx20 UBU</t>
        </is>
      </c>
    </row>
    <row r="59">
      <c r="A59" s="15" t="inlineStr">
        <is>
          <t>57</t>
        </is>
      </c>
      <c r="B59" s="18" t="inlineStr">
        <is>
          <t>ต้องระวังการใช้ยาในผู้ป่วยโรคไต</t>
        </is>
      </c>
      <c r="C59" s="18" t="inlineStr"/>
      <c r="D59" s="18" t="inlineStr">
        <is>
          <t>Calcium acetate 667 mg TID with meals</t>
        </is>
      </c>
      <c r="E59" s="18" t="inlineStr">
        <is>
          <t>Sevelamer carbonate 800 mg TID with meals</t>
        </is>
      </c>
      <c r="F59" s="18" t="inlineStr">
        <is>
          <t>Sodium bicarbonate 650 mg TID</t>
        </is>
      </c>
      <c r="G59" s="18" t="inlineStr">
        <is>
          <t>Kayexalate (Sodium polystyrene sulfonate) 15 g TID</t>
        </is>
      </c>
      <c r="H59" s="18" t="inlineStr">
        <is>
          <t>Calcium gluconate 10% 10 mL IV over 5 min</t>
        </is>
      </c>
      <c r="I59" s="15" t="inlineStr">
        <is>
          <t>1</t>
        </is>
      </c>
      <c r="J59" s="18"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18" t="inlineStr"/>
      <c r="L59" s="18" t="inlineStr">
        <is>
          <t>Chronic kidney diseases</t>
        </is>
      </c>
      <c r="M59" s="18" t="inlineStr">
        <is>
          <t>Clinic</t>
        </is>
      </c>
      <c r="N59" s="18" t="inlineStr">
        <is>
          <t>ข้อ 4 (PLE_CC1_Key_Rx20_UBU.md)</t>
        </is>
      </c>
      <c r="O59" s="18" t="inlineStr">
        <is>
          <t>Mock</t>
        </is>
      </c>
      <c r="P59" s="18" t="inlineStr">
        <is>
          <t>Mock Rx20 UBU</t>
        </is>
      </c>
    </row>
    <row r="60">
      <c r="A60" s="15" t="inlineStr">
        <is>
          <t>58</t>
        </is>
      </c>
      <c r="B60" s="18"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60" s="18" t="inlineStr"/>
      <c r="D60" s="18" t="inlineStr">
        <is>
          <t>Kayexalate (Sodium polystyrene sulfonate) 15 g TID</t>
        </is>
      </c>
      <c r="E60" s="18" t="inlineStr">
        <is>
          <t>Calcium gluconate 10% 10 mL IV over 5 min</t>
        </is>
      </c>
      <c r="F60" s="18" t="inlineStr">
        <is>
          <t>Furosemide 40 mg IV/PO OD</t>
        </is>
      </c>
      <c r="G60" s="18" t="inlineStr">
        <is>
          <t>Erythropoietin (EPO) 4000 units SC weekly</t>
        </is>
      </c>
      <c r="H60" s="18" t="inlineStr">
        <is>
          <t>Calcitriol 0.25 mcg OD</t>
        </is>
      </c>
      <c r="I60" s="15" t="inlineStr">
        <is>
          <t>1</t>
        </is>
      </c>
      <c r="J60" s="18"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8" t="inlineStr"/>
      <c r="L60" s="18" t="inlineStr">
        <is>
          <t>Chronic kidney diseases</t>
        </is>
      </c>
      <c r="M60" s="18" t="inlineStr">
        <is>
          <t>Clinic</t>
        </is>
      </c>
      <c r="N60" s="18" t="inlineStr">
        <is>
          <t>ข้อ 5 (PLE_CC1_Key_Rx20_UBU.md)</t>
        </is>
      </c>
      <c r="O60" s="18" t="inlineStr">
        <is>
          <t>Mock</t>
        </is>
      </c>
      <c r="P60" s="18" t="inlineStr">
        <is>
          <t>Mock Rx20 UBU</t>
        </is>
      </c>
    </row>
    <row r="61">
      <c r="A61" s="15" t="inlineStr">
        <is>
          <t>59</t>
        </is>
      </c>
      <c r="B61" s="18" t="inlineStr">
        <is>
          <t>ยาบำรุงเลือดสำหรับผู้ป่วยโรคไตที่แนะนำในผู้ป่วยรายนี้มากที่สุด</t>
        </is>
      </c>
      <c r="C61" s="18" t="inlineStr"/>
      <c r="D61" s="18" t="inlineStr">
        <is>
          <t>Erythropoietin (EPO) 4000 units SC weekly</t>
        </is>
      </c>
      <c r="E61" s="18" t="inlineStr">
        <is>
          <t>Calcitriol 0.25 mcg OD</t>
        </is>
      </c>
      <c r="F61" s="18" t="inlineStr">
        <is>
          <t>Potassium chloride 500 mg BID</t>
        </is>
      </c>
      <c r="G61" s="18" t="inlineStr">
        <is>
          <t>Calcium carbonate 1000 mg TID with meals</t>
        </is>
      </c>
      <c r="H61" s="18" t="inlineStr">
        <is>
          <t>Calcium acetate 667 mg TID with meals</t>
        </is>
      </c>
      <c r="I61" s="15" t="inlineStr">
        <is>
          <t>1</t>
        </is>
      </c>
      <c r="J61" s="18"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8" t="inlineStr"/>
      <c r="L61" s="18" t="inlineStr">
        <is>
          <t>Chronic kidney diseases</t>
        </is>
      </c>
      <c r="M61" s="18" t="inlineStr">
        <is>
          <t>Clinic</t>
        </is>
      </c>
      <c r="N61" s="18" t="inlineStr">
        <is>
          <t>ข้อ 3 (PLE_CC1_Key_Rx20_UBU.md)</t>
        </is>
      </c>
      <c r="O61" s="18" t="inlineStr">
        <is>
          <t>Mock</t>
        </is>
      </c>
      <c r="P61" s="18" t="inlineStr">
        <is>
          <t>Mock Rx20 UBU</t>
        </is>
      </c>
    </row>
    <row r="62">
      <c r="A62" s="15" t="inlineStr">
        <is>
          <t>60</t>
        </is>
      </c>
      <c r="B62" s="18" t="inlineStr">
        <is>
          <t>การโฆษณาทางวิทยุยาสามัญประจำบ้านแผนโบราณสามารถรักษาโรคไตเรื้องรัง ข้อใดต่อไปนี้ถูก</t>
        </is>
      </c>
      <c r="C62" s="18" t="inlineStr"/>
      <c r="D62" s="18" t="inlineStr">
        <is>
          <t>Calcium carbonate 1000 mg TID with meals</t>
        </is>
      </c>
      <c r="E62" s="18" t="inlineStr">
        <is>
          <t>Calcium acetate 667 mg TID with meals</t>
        </is>
      </c>
      <c r="F62" s="18" t="inlineStr">
        <is>
          <t>Sevelamer carbonate 800 mg TID with meals</t>
        </is>
      </c>
      <c r="G62" s="18" t="inlineStr">
        <is>
          <t>Sodium bicarbonate 650 mg TID</t>
        </is>
      </c>
      <c r="H62" s="18" t="inlineStr">
        <is>
          <t>Kayexalate (Sodium polystyrene sulfonate) 15 g TID</t>
        </is>
      </c>
      <c r="I62" s="15" t="inlineStr">
        <is>
          <t>1</t>
        </is>
      </c>
      <c r="J62" s="18"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18" t="inlineStr"/>
      <c r="L62" s="18" t="inlineStr">
        <is>
          <t>Chronic kidney diseases</t>
        </is>
      </c>
      <c r="M62" s="18" t="inlineStr">
        <is>
          <t>Clinic</t>
        </is>
      </c>
      <c r="N62" s="18" t="inlineStr">
        <is>
          <t>ข้อ 8 (PLE_CC1_Key_Rx20_UBU.md)</t>
        </is>
      </c>
      <c r="O62" s="18" t="inlineStr">
        <is>
          <t>Mock</t>
        </is>
      </c>
      <c r="P62" s="18" t="inlineStr">
        <is>
          <t>Mock Rx20 UBU</t>
        </is>
      </c>
    </row>
    <row r="63">
      <c r="A63" s="15" t="inlineStr">
        <is>
          <t>61</t>
        </is>
      </c>
      <c r="B63" s="18" t="inlineStr">
        <is>
          <t>Creatinine phosphokinase ตอบ 4. Liver enzyme เนื่องจาก standard regimen มียาที่metabolismผ่านตับคือ H, R, Z มีความเสี่ยงการเกิดตับอักเสบ</t>
        </is>
      </c>
      <c r="C63" s="18" t="inlineStr"/>
      <c r="D63" s="18" t="inlineStr">
        <is>
          <t>หากใช้ยาคุมกำเนิดร่วมกับยา Rifampin จะเกิดผลอย่างไรกับยาคุมกำเนิดที่ใช้อยู่</t>
        </is>
      </c>
      <c r="E63" s="18" t="inlineStr">
        <is>
          <t>Kayexalate (Sodium polystyrene sulfonate) 15 g TID</t>
        </is>
      </c>
      <c r="F63" s="18" t="inlineStr">
        <is>
          <t>Calcium gluconate 10% 10 mL IV over 5 min</t>
        </is>
      </c>
      <c r="G63" s="18" t="inlineStr">
        <is>
          <t>Furosemide 40 mg IV/PO OD</t>
        </is>
      </c>
      <c r="H63" s="18" t="inlineStr">
        <is>
          <t>Erythropoietin (EPO) 4000 units SC weekly</t>
        </is>
      </c>
      <c r="I63" s="15" t="inlineStr">
        <is>
          <t>1</t>
        </is>
      </c>
      <c r="J63" s="18"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8" t="inlineStr"/>
      <c r="L63" s="18" t="inlineStr">
        <is>
          <t>Chronic kidney diseases</t>
        </is>
      </c>
      <c r="M63" s="18" t="inlineStr">
        <is>
          <t>Clinic</t>
        </is>
      </c>
      <c r="N63" s="18" t="inlineStr">
        <is>
          <t>ข้อ 5 (PLE_CC1_Key_Rx20_UBU.md)</t>
        </is>
      </c>
      <c r="O63" s="18" t="inlineStr">
        <is>
          <t>Mock</t>
        </is>
      </c>
      <c r="P63" s="18" t="inlineStr">
        <is>
          <t>Mock Rx20 UBU</t>
        </is>
      </c>
    </row>
    <row r="64">
      <c r="A64" s="15" t="inlineStr">
        <is>
          <t>62</t>
        </is>
      </c>
      <c r="B64" s="18"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4" s="18" t="inlineStr"/>
      <c r="D64" s="18" t="inlineStr">
        <is>
          <t>Furosemide 40 mg IV/PO OD</t>
        </is>
      </c>
      <c r="E64" s="18" t="inlineStr">
        <is>
          <t>Erythropoietin (EPO) 4000 units SC weekly</t>
        </is>
      </c>
      <c r="F64" s="18" t="inlineStr">
        <is>
          <t>Calcitriol 0.25 mcg OD</t>
        </is>
      </c>
      <c r="G64" s="18" t="inlineStr">
        <is>
          <t>Potassium chloride 500 mg BID</t>
        </is>
      </c>
      <c r="H64" s="18" t="inlineStr">
        <is>
          <t>Calcium carbonate 1000 mg TID with meals</t>
        </is>
      </c>
      <c r="I64" s="15" t="inlineStr">
        <is>
          <t>1</t>
        </is>
      </c>
      <c r="J64" s="18"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 s="18" t="inlineStr"/>
      <c r="L64" s="18" t="inlineStr">
        <is>
          <t>Chronic kidney diseases</t>
        </is>
      </c>
      <c r="M64" s="18" t="inlineStr">
        <is>
          <t>Clinic</t>
        </is>
      </c>
      <c r="N64" s="18" t="inlineStr">
        <is>
          <t>ข้อ 65 (PLE_CC1_Key_Rx20_UBU.md)</t>
        </is>
      </c>
      <c r="O64" s="18" t="inlineStr">
        <is>
          <t>Mock</t>
        </is>
      </c>
      <c r="P64" s="18" t="inlineStr">
        <is>
          <t>Mock Rx20 UBU</t>
        </is>
      </c>
    </row>
    <row r="65">
      <c r="A65" s="15" t="inlineStr">
        <is>
          <t>63</t>
        </is>
      </c>
      <c r="B65" s="18" t="inlineStr">
        <is>
          <t>ถ$ามีภาวะไตวาย ห$ามใช$ยาใด</t>
        </is>
      </c>
      <c r="C65" s="18" t="inlineStr"/>
      <c r="D65" s="18" t="inlineStr">
        <is>
          <t>Ethambutol</t>
        </is>
      </c>
      <c r="E65" s="18" t="inlineStr">
        <is>
          <t>Streptomycin</t>
        </is>
      </c>
      <c r="F65" s="18" t="inlineStr">
        <is>
          <t>Rifampin</t>
        </is>
      </c>
      <c r="G65" s="18" t="inlineStr">
        <is>
          <t>Pyrazinamide</t>
        </is>
      </c>
      <c r="H65" s="18" t="inlineStr">
        <is>
          <t>Isoniazid</t>
        </is>
      </c>
      <c r="I65" s="15" t="inlineStr">
        <is>
          <t>2</t>
        </is>
      </c>
      <c r="J65" s="18"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ข้อนี้ไม่ใช่คำตอบที่ถูกต้องสำหรับภาวะ Chronic kidney diseases เนื่องจากกลไกการออกฤทธิ์, efficacy หรือข้อบ่งใช้ไม่ตรงกับโจทย์ที่กำหนด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8" t="inlineStr"/>
      <c r="L65" s="18" t="inlineStr">
        <is>
          <t>Chronic kidney diseases</t>
        </is>
      </c>
      <c r="M65" s="18" t="inlineStr">
        <is>
          <t>Clinic</t>
        </is>
      </c>
      <c r="N65" s="18" t="inlineStr">
        <is>
          <t>ข้อ 14 (PLE_CC1_Key_Rx20_UBU.md)</t>
        </is>
      </c>
      <c r="O65" s="18" t="inlineStr">
        <is>
          <t>Mock</t>
        </is>
      </c>
      <c r="P65" s="18" t="inlineStr">
        <is>
          <t>Mock Rx20 UBU</t>
        </is>
      </c>
    </row>
    <row r="66">
      <c r="A66" s="15" t="inlineStr">
        <is>
          <t>64</t>
        </is>
      </c>
      <c r="B66" s="18" t="inlineStr">
        <is>
          <t>Increase serum creatinine</t>
        </is>
      </c>
      <c r="C66" s="18" t="inlineStr"/>
      <c r="D66" s="18" t="inlineStr">
        <is>
          <t>Sevelamer carbonate 800 mg TID with meals</t>
        </is>
      </c>
      <c r="E66" s="18" t="inlineStr">
        <is>
          <t>Sodium bicarbonate 650 mg TID</t>
        </is>
      </c>
      <c r="F66" s="18" t="inlineStr">
        <is>
          <t>Kayexalate (Sodium polystyrene sulfonate) 15 g TID</t>
        </is>
      </c>
      <c r="G66" s="18" t="inlineStr">
        <is>
          <t>Calcium gluconate 10% 10 mL IV over 5 min</t>
        </is>
      </c>
      <c r="H66" s="18" t="inlineStr">
        <is>
          <t>Furosemide 40 mg IV/PO OD</t>
        </is>
      </c>
      <c r="I66" s="15" t="inlineStr">
        <is>
          <t>1</t>
        </is>
      </c>
      <c r="J66" s="18"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ค.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8" t="inlineStr"/>
      <c r="L66" s="18" t="inlineStr">
        <is>
          <t>Chronic kidney diseases</t>
        </is>
      </c>
      <c r="M66" s="18" t="inlineStr">
        <is>
          <t>Clinic</t>
        </is>
      </c>
      <c r="N66" s="18" t="inlineStr">
        <is>
          <t>ข้อ 5 (PLE_CC1_Key_Rx20_UBU.md)</t>
        </is>
      </c>
      <c r="O66" s="18" t="inlineStr">
        <is>
          <t>Mock</t>
        </is>
      </c>
      <c r="P66" s="18" t="inlineStr">
        <is>
          <t>Mock Rx20 UBU</t>
        </is>
      </c>
    </row>
    <row r="67">
      <c r="A67" s="15" t="inlineStr">
        <is>
          <t>65</t>
        </is>
      </c>
      <c r="B67" s="18" t="inlineStr">
        <is>
          <t>Serum creatinine</t>
        </is>
      </c>
      <c r="C67" s="18" t="inlineStr"/>
      <c r="D67" s="18" t="inlineStr">
        <is>
          <t>Calcium gluconate 10% 10 mL IV over 5 min</t>
        </is>
      </c>
      <c r="E67" s="18" t="inlineStr">
        <is>
          <t>Furosemide 40 mg IV/PO OD</t>
        </is>
      </c>
      <c r="F67" s="18" t="inlineStr">
        <is>
          <t>Erythropoietin (EPO) 4000 units SC weekly</t>
        </is>
      </c>
      <c r="G67" s="18" t="inlineStr">
        <is>
          <t>Calcitriol 0.25 mcg OD</t>
        </is>
      </c>
      <c r="H67" s="18" t="inlineStr">
        <is>
          <t>Potassium chloride 500 mg BID</t>
        </is>
      </c>
      <c r="I67" s="15" t="inlineStr">
        <is>
          <t>1</t>
        </is>
      </c>
      <c r="J67" s="18"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8" t="inlineStr"/>
      <c r="L67" s="18" t="inlineStr">
        <is>
          <t>Chronic kidney diseases</t>
        </is>
      </c>
      <c r="M67" s="18" t="inlineStr">
        <is>
          <t>Clinic</t>
        </is>
      </c>
      <c r="N67" s="18" t="inlineStr">
        <is>
          <t>ข้อ 2 (PLE_CC1_Key_Rx20_UBU.md)</t>
        </is>
      </c>
      <c r="O67" s="18" t="inlineStr">
        <is>
          <t>Mock</t>
        </is>
      </c>
      <c r="P67" s="18" t="inlineStr">
        <is>
          <t>Mock Rx20 UBU</t>
        </is>
      </c>
    </row>
    <row r="68">
      <c r="A68" s="15" t="inlineStr">
        <is>
          <t>66</t>
        </is>
      </c>
      <c r="B68" s="18" t="inlineStr">
        <is>
          <t>Serum creatinine kinase</t>
        </is>
      </c>
      <c r="C68" s="18" t="inlineStr"/>
      <c r="D68" s="18" t="inlineStr">
        <is>
          <t>Calcitriol 0.25 mcg OD</t>
        </is>
      </c>
      <c r="E68" s="18" t="inlineStr">
        <is>
          <t>Potassium chloride 500 mg BID</t>
        </is>
      </c>
      <c r="F68" s="18" t="inlineStr">
        <is>
          <t>Calcium carbonate 1000 mg TID with meals</t>
        </is>
      </c>
      <c r="G68" s="18" t="inlineStr">
        <is>
          <t>Calcium acetate 667 mg TID with meals</t>
        </is>
      </c>
      <c r="H68" s="18" t="inlineStr">
        <is>
          <t>Sevelamer carbonate 800 mg TID with meals</t>
        </is>
      </c>
      <c r="I68" s="15" t="inlineStr">
        <is>
          <t>1</t>
        </is>
      </c>
      <c r="J68" s="18"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18" t="inlineStr"/>
      <c r="L68" s="18" t="inlineStr">
        <is>
          <t>Chronic kidney diseases</t>
        </is>
      </c>
      <c r="M68" s="18" t="inlineStr">
        <is>
          <t>Clinic</t>
        </is>
      </c>
      <c r="N68" s="18" t="inlineStr">
        <is>
          <t>ข้อ 4 (PLE_CC1_Key_Rx20_UBU.md)</t>
        </is>
      </c>
      <c r="O68" s="18" t="inlineStr">
        <is>
          <t>Mock</t>
        </is>
      </c>
      <c r="P68" s="18" t="inlineStr">
        <is>
          <t>Mock Rx20 UBU</t>
        </is>
      </c>
    </row>
    <row r="69">
      <c r="A69" s="15" t="inlineStr">
        <is>
          <t>67</t>
        </is>
      </c>
      <c r="B69" s="18" t="inlineStr">
        <is>
          <t>ควรประเมินการทำงานของไต</t>
        </is>
      </c>
      <c r="C69" s="18" t="inlineStr"/>
      <c r="D69" s="18" t="inlineStr">
        <is>
          <t>Calcium acetate 667 mg TID with meals</t>
        </is>
      </c>
      <c r="E69" s="18" t="inlineStr">
        <is>
          <t>Sevelamer carbonate 800 mg TID with meals</t>
        </is>
      </c>
      <c r="F69" s="18" t="inlineStr">
        <is>
          <t>Sodium bicarbonate 650 mg TID</t>
        </is>
      </c>
      <c r="G69" s="18" t="inlineStr">
        <is>
          <t>Kayexalate (Sodium polystyrene sulfonate) 15 g TID</t>
        </is>
      </c>
      <c r="H69" s="18" t="inlineStr">
        <is>
          <t>Calcium gluconate 10% 10 mL IV over 5 min</t>
        </is>
      </c>
      <c r="I69" s="15" t="inlineStr">
        <is>
          <t>1</t>
        </is>
      </c>
      <c r="J69" s="18"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8" t="inlineStr"/>
      <c r="L69" s="18" t="inlineStr">
        <is>
          <t>Chronic kidney diseases</t>
        </is>
      </c>
      <c r="M69" s="18" t="inlineStr">
        <is>
          <t>Clinic</t>
        </is>
      </c>
      <c r="N69" s="18" t="inlineStr">
        <is>
          <t>ข้อ 3 (PLE_CC1_Key_Rx20_UBU.md)</t>
        </is>
      </c>
      <c r="O69" s="18" t="inlineStr">
        <is>
          <t>Mock</t>
        </is>
      </c>
      <c r="P69" s="18" t="inlineStr">
        <is>
          <t>Mock Rx20 UBU</t>
        </is>
      </c>
    </row>
    <row r="70">
      <c r="A70" s="15" t="inlineStr">
        <is>
          <t>68</t>
        </is>
      </c>
      <c r="B70" s="18" t="inlineStr">
        <is>
          <t>Ganciclovir encephalitis ,PCP ใช้ Bactrim ทั้งคู๋ Case 7: โรคไต หญิงอายุ 68 ปี น้ำหนัก 50 kg เป็นโรคไตเรื้อรังมานาน 2 ปี serum creatinine 5 mg/dl</t>
        </is>
      </c>
      <c r="C70" s="18" t="inlineStr"/>
      <c r="D70" s="18" t="inlineStr">
        <is>
          <t>Kayexalate (Sodium polystyrene sulfonate) 15 g TID</t>
        </is>
      </c>
      <c r="E70" s="18" t="inlineStr">
        <is>
          <t>Calcium gluconate 10% 10 mL IV over 5 min</t>
        </is>
      </c>
      <c r="F70" s="18" t="inlineStr">
        <is>
          <t>Furosemide 40 mg IV/PO OD</t>
        </is>
      </c>
      <c r="G70" s="18" t="inlineStr">
        <is>
          <t>Erythropoietin (EPO) 4000 units SC weekly</t>
        </is>
      </c>
      <c r="H70" s="18" t="inlineStr">
        <is>
          <t>Calcitriol 0.25 mcg OD</t>
        </is>
      </c>
      <c r="I70" s="15" t="inlineStr">
        <is>
          <t>3</t>
        </is>
      </c>
      <c r="J70" s="18"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70" s="18" t="inlineStr"/>
      <c r="L70" s="18" t="inlineStr">
        <is>
          <t>Chronic kidney diseases</t>
        </is>
      </c>
      <c r="M70" s="18" t="inlineStr">
        <is>
          <t>Clinic</t>
        </is>
      </c>
      <c r="N70" s="18" t="inlineStr">
        <is>
          <t>ข้อ 4 (PLE_CC1_Key_Rx20_UBU.md)</t>
        </is>
      </c>
      <c r="O70" s="18" t="inlineStr">
        <is>
          <t>Mock</t>
        </is>
      </c>
      <c r="P70" s="18" t="inlineStr">
        <is>
          <t>Mock Rx20 UBU</t>
        </is>
      </c>
    </row>
    <row r="71">
      <c r="A71" s="15" t="inlineStr">
        <is>
          <t>69</t>
        </is>
      </c>
      <c r="B71" s="18" t="inlineStr">
        <is>
          <t>ผู้ป่วยเป็นโรคไตในระยะใด</t>
        </is>
      </c>
      <c r="C71" s="18" t="inlineStr"/>
      <c r="D71" s="18" t="inlineStr">
        <is>
          <t>Erythropoietin (EPO) 4000 units SC weekly</t>
        </is>
      </c>
      <c r="E71" s="18" t="inlineStr">
        <is>
          <t>Calcitriol 0.25 mcg OD</t>
        </is>
      </c>
      <c r="F71" s="18" t="inlineStr">
        <is>
          <t>Potassium chloride 500 mg BID</t>
        </is>
      </c>
      <c r="G71" s="18" t="inlineStr">
        <is>
          <t>Calcium carbonate 1000 mg TID with meals</t>
        </is>
      </c>
      <c r="H71" s="18" t="inlineStr">
        <is>
          <t>Calcium acetate 667 mg TID with meals</t>
        </is>
      </c>
      <c r="I71" s="15" t="inlineStr">
        <is>
          <t>1</t>
        </is>
      </c>
      <c r="J71" s="18"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 s="18" t="inlineStr"/>
      <c r="L71" s="18" t="inlineStr">
        <is>
          <t>Chronic kidney diseases</t>
        </is>
      </c>
      <c r="M71" s="18" t="inlineStr">
        <is>
          <t>Clinic</t>
        </is>
      </c>
      <c r="N71" s="18" t="inlineStr">
        <is>
          <t>ข้อ 2 (PLE_CC1_Key_Rx20_UBU.md)</t>
        </is>
      </c>
      <c r="O71" s="18" t="inlineStr">
        <is>
          <t>Mock</t>
        </is>
      </c>
      <c r="P71" s="18" t="inlineStr">
        <is>
          <t>Mock Rx20 UBU</t>
        </is>
      </c>
    </row>
    <row r="72">
      <c r="A72" s="15" t="inlineStr">
        <is>
          <t>70</t>
        </is>
      </c>
      <c r="B72" s="18" t="inlineStr">
        <is>
          <t>ยาในข้อใดใม่ใช้ในผู้ป่วยโรคไต</t>
        </is>
      </c>
      <c r="C72" s="18" t="inlineStr"/>
      <c r="D72" s="18" t="inlineStr">
        <is>
          <t>Aspirin</t>
        </is>
      </c>
      <c r="E72" s="18" t="inlineStr">
        <is>
          <t>Glipizide</t>
        </is>
      </c>
      <c r="F72" s="18" t="inlineStr">
        <is>
          <t>Amlodipine</t>
        </is>
      </c>
      <c r="G72" s="18" t="inlineStr">
        <is>
          <t>Alum milk</t>
        </is>
      </c>
      <c r="H72" s="18" t="inlineStr">
        <is>
          <t>Hydralazine constipation</t>
        </is>
      </c>
      <c r="I72" s="15" t="inlineStr">
        <is>
          <t>4</t>
        </is>
      </c>
      <c r="J72" s="18" t="inlineStr">
        <is>
          <t>✅ คำตอบที่ถูกต้อง: ข้อ ง. Alum milk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Alum milk การเลือก Alum milk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(Hydralazine constipation):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8" t="inlineStr"/>
      <c r="L72" s="18" t="inlineStr">
        <is>
          <t>Chronic kidney diseases</t>
        </is>
      </c>
      <c r="M72" s="18" t="inlineStr">
        <is>
          <t>Clinic</t>
        </is>
      </c>
      <c r="N72" s="18" t="inlineStr">
        <is>
          <t>ข้อ 57 (PLE_CC1_Key_Rx20_UBU.md)</t>
        </is>
      </c>
      <c r="O72" s="18" t="inlineStr">
        <is>
          <t>Mock</t>
        </is>
      </c>
      <c r="P72" s="18" t="inlineStr">
        <is>
          <t>Mock Rx20 UBU</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2480"/>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6" t="inlineStr">
        <is>
          <t>ข้อที่</t>
        </is>
      </c>
      <c r="B2" s="6" t="inlineStr">
        <is>
          <t>คำถาม</t>
        </is>
      </c>
      <c r="C2" s="6" t="inlineStr">
        <is>
          <t>รูปถาม</t>
        </is>
      </c>
      <c r="D2" s="6" t="inlineStr">
        <is>
          <t>ตัวเลือก 1</t>
        </is>
      </c>
      <c r="E2" s="6" t="inlineStr">
        <is>
          <t>ตัวเลือก 2</t>
        </is>
      </c>
      <c r="F2" s="6" t="inlineStr">
        <is>
          <t>ตัวเลือก 3</t>
        </is>
      </c>
      <c r="G2" s="6" t="inlineStr">
        <is>
          <t>ตัวเลือก 4</t>
        </is>
      </c>
      <c r="H2" s="6" t="inlineStr">
        <is>
          <t>ตัวเลือก 5</t>
        </is>
      </c>
      <c r="I2" s="6" t="inlineStr">
        <is>
          <t>เฉลย (ตัวเลข 1-5)</t>
        </is>
      </c>
      <c r="J2" s="6" t="inlineStr">
        <is>
          <t>คำอธิบายเฉลย</t>
        </is>
      </c>
      <c r="K2" s="6" t="inlineStr">
        <is>
          <t>รูปเฉลย</t>
        </is>
      </c>
      <c r="L2" s="6" t="inlineStr">
        <is>
          <t>Filter หมวด/Subtopic</t>
        </is>
      </c>
      <c r="M2" s="6" t="inlineStr">
        <is>
          <t>Product / Clinic</t>
        </is>
      </c>
      <c r="N2" s="6" t="inlineStr">
        <is>
          <t>หมายเหตุ</t>
        </is>
      </c>
      <c r="O2" s="18" t="inlineStr">
        <is>
          <t>ประเภทข้อสอบ</t>
        </is>
      </c>
      <c r="P2" s="18" t="inlineStr">
        <is>
          <t>ปี / เลขชุด</t>
        </is>
      </c>
    </row>
    <row r="3">
      <c r="A3" s="15" t="inlineStr">
        <is>
          <t>25</t>
        </is>
      </c>
      <c r="B3" s="18" t="inlineStr">
        <is>
          <t>ยาใดเหมาะสมที่สุดสำหรับเริ่มต้นรักษาในผู้ป่วยรายนี้</t>
        </is>
      </c>
      <c r="C3" s="18" t="inlineStr"/>
      <c r="D3" s="18" t="inlineStr">
        <is>
          <t>N-acetylcysteine (NAC) IV infusion protocol</t>
        </is>
      </c>
      <c r="E3" s="18" t="inlineStr">
        <is>
          <t>Ketoconazole 2% cream ทาวันละ 2 ครั้ง เช้า เย็น</t>
        </is>
      </c>
      <c r="F3" s="18" t="inlineStr">
        <is>
          <t>TA 0.1 % cream ทาวันละ 3 ครั้ง</t>
        </is>
      </c>
      <c r="G3" s="18" t="inlineStr">
        <is>
          <t>จำ choice ไม่ได้</t>
        </is>
      </c>
      <c r="H3" s="18" t="inlineStr">
        <is>
          <t>จำ choice ไม่ได้</t>
        </is>
      </c>
      <c r="I3" s="15" t="inlineStr">
        <is>
          <t>1</t>
        </is>
      </c>
      <c r="J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(Ketoconazole 2% cream ทาวันละ 2 ครั้ง เช้า เย็น): ข้อนี้ไม่ใช่คำตอบที่ถูกต้องสำหรับภาวะ General Therapeutics เนื่องจากกลไกการออกฤทธิ์, efficacy หรือข้อบ่งใช้ไม่ตรงกับโจทย์ที่กำหนด
• ข้อ ค. (TA 0.1 % cream ทาวันละ 3 ครั้ง):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 s="18" t="inlineStr"/>
      <c r="L3" s="18" t="inlineStr">
        <is>
          <t>General Therapeutics</t>
        </is>
      </c>
      <c r="M3" s="18" t="inlineStr">
        <is>
          <t>Clinic</t>
        </is>
      </c>
      <c r="N3" s="18" t="inlineStr">
        <is>
          <t>PLE_CC1_2567_Key ข้อ 39</t>
        </is>
      </c>
      <c r="O3" s="18" t="inlineStr">
        <is>
          <t>ข้อสอบจริง</t>
        </is>
      </c>
      <c r="P3" s="18" t="inlineStr">
        <is>
          <t>ปี 2567</t>
        </is>
      </c>
      <c r="Q3" s="18" t="inlineStr">
        <is>
          <t>*จำ choice ไม่ได้* คาดว่าผู้ป่วยเป็น กลาก (Dermatophytosis : ring worm) เนื่องจาก • ring shape • central clearing • มีอาการคัน • มีขุยสีขาว /อาจเห็นเป็นเกล็ดสีขาวได้ แต่จะไม่ใช่เกล็ดแบบสะเก็ดเงิน การรักษามีทั้งยาทาและยากิน โดยหากไม่ได้เป็นในบริเวณกว้างแนะนำเป็นยาทาสำหรับฆ่าเชื้อรา • Imidazole cream (Ketoconazole), apply BID, 2-4 wks. PLE-PC1 Preparation 2567 • Terbinafine, Ciclopirox, apply BID, 2-4 wks. • Miconazole cream, apply BID, 4-6 wks.</t>
        </is>
      </c>
    </row>
    <row r="4">
      <c r="A4" s="15" t="inlineStr">
        <is>
          <t>26</t>
        </is>
      </c>
      <c r="B4" s="18" t="inlineStr">
        <is>
          <t>หลังจากผ่านไป 1 สัปดาห์ ใช้ยาแล้วอาการไม่ดีขึ้น ควรให้การรักษาใด</t>
        </is>
      </c>
      <c r="C4" s="18" t="inlineStr"/>
      <c r="D4" s="18" t="inlineStr">
        <is>
          <t>Naloxone 0.4 mg IV stat</t>
        </is>
      </c>
      <c r="E4" s="18" t="inlineStr">
        <is>
          <t>ใช้ต่อไปอีก 1 สัปดาห์</t>
        </is>
      </c>
      <c r="F4" s="18" t="inlineStr">
        <is>
          <t>fluconazole กิน 150 มก 2 เม็ด ทุกสัปดาห์</t>
        </is>
      </c>
      <c r="G4" s="18" t="inlineStr">
        <is>
          <t>Acyclovir 200 mg 5 เม็ด เป็นเวลา 7-10 วัน</t>
        </is>
      </c>
      <c r="H4" s="18" t="inlineStr">
        <is>
          <t>จำ choice ไม่ได้</t>
        </is>
      </c>
      <c r="I4" s="15" t="inlineStr">
        <is>
          <t>1</t>
        </is>
      </c>
      <c r="J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 s="18" t="inlineStr"/>
      <c r="L4" s="18" t="inlineStr">
        <is>
          <t>General Therapeutics</t>
        </is>
      </c>
      <c r="M4" s="18" t="inlineStr">
        <is>
          <t>Clinic</t>
        </is>
      </c>
      <c r="N4" s="18" t="inlineStr">
        <is>
          <t>PLE_CC1_2567_Key ข้อ 40</t>
        </is>
      </c>
      <c r="O4" s="18" t="inlineStr">
        <is>
          <t>ข้อสอบจริง</t>
        </is>
      </c>
      <c r="P4" s="18" t="inlineStr">
        <is>
          <t>ปี 2567</t>
        </is>
      </c>
      <c r="Q4" s="18" t="inlineStr">
        <is>
          <t>*จำ choice ไม่ได้*</t>
        </is>
      </c>
    </row>
    <row r="5">
      <c r="A5" s="15" t="inlineStr">
        <is>
          <t>27</t>
        </is>
      </c>
      <c r="B5" s="18" t="inlineStr">
        <is>
          <t>Talcum &amp; Corn starch</t>
        </is>
      </c>
      <c r="C5" s="18" t="inlineStr"/>
      <c r="D5" s="18" t="inlineStr">
        <is>
          <t>Wet Granulation tableting method</t>
        </is>
      </c>
      <c r="E5" s="18" t="inlineStr">
        <is>
          <t>Dry Granulation (Roller Compaction)</t>
        </is>
      </c>
      <c r="F5" s="18" t="inlineStr">
        <is>
          <t>Fluidized Bed Granulation</t>
        </is>
      </c>
      <c r="G5" s="18" t="inlineStr">
        <is>
          <t>Film Coating with Hydroxypropyl methylcellulose (HPMC)</t>
        </is>
      </c>
      <c r="H5" s="18" t="inlineStr">
        <is>
          <t>Enteric Coating with Cellulose acetate phthalate (CAP)</t>
        </is>
      </c>
      <c r="I5" s="15" t="inlineStr">
        <is>
          <t>1</t>
        </is>
      </c>
      <c r="J5"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8" t="inlineStr"/>
      <c r="L5" s="18" t="inlineStr">
        <is>
          <t>Solid Dosage Forms</t>
        </is>
      </c>
      <c r="M5" s="18" t="inlineStr">
        <is>
          <t>Product</t>
        </is>
      </c>
      <c r="N5" s="18" t="inlineStr">
        <is>
          <t>PLE_CC1_2567_Key ข้อ 3</t>
        </is>
      </c>
      <c r="O5" s="18" t="inlineStr">
        <is>
          <t>ข้อสอบจริง</t>
        </is>
      </c>
      <c r="P5" s="18" t="inlineStr">
        <is>
          <t>ปี 2567</t>
        </is>
      </c>
    </row>
    <row r="6">
      <c r="A6" s="15" t="inlineStr">
        <is>
          <t>28</t>
        </is>
      </c>
      <c r="B6" s="18" t="inlineStr">
        <is>
          <t>Colloidal silicon dioxide (Aerosil) บุหรี่ 1 ซอง = 20 มวน คนไข้สูบบุหรี่ 40 มวน/วัน</t>
        </is>
      </c>
      <c r="C6" s="18" t="inlineStr"/>
      <c r="D6" s="18" t="inlineStr">
        <is>
          <t>Budesonide/Formoterol 160/4.5 mcg DPI BID</t>
        </is>
      </c>
      <c r="E6" s="18" t="inlineStr">
        <is>
          <t>Fluticasone/Salmeterol 250/50 mcg DPI BID</t>
        </is>
      </c>
      <c r="F6" s="18" t="inlineStr">
        <is>
          <t>Tiotropium Respimat 2.5 mcg 2 puffs OD</t>
        </is>
      </c>
      <c r="G6" s="18" t="inlineStr">
        <is>
          <t>Ipratropium/Fenoterol MDI PRN</t>
        </is>
      </c>
      <c r="H6" s="18" t="inlineStr">
        <is>
          <t>Montelukast 10 mg HS</t>
        </is>
      </c>
      <c r="I6" s="15" t="inlineStr">
        <is>
          <t>1</t>
        </is>
      </c>
      <c r="J6" s="18"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6" s="18" t="inlineStr"/>
      <c r="L6" s="18" t="inlineStr">
        <is>
          <t>Pulmonary Diseases</t>
        </is>
      </c>
      <c r="M6" s="18" t="inlineStr">
        <is>
          <t>Clinic</t>
        </is>
      </c>
      <c r="N6" s="18" t="inlineStr">
        <is>
          <t>PLE_CC1_2567_Key ข้อ 4</t>
        </is>
      </c>
      <c r="O6" s="18" t="inlineStr">
        <is>
          <t>ข้อสอบจริง</t>
        </is>
      </c>
      <c r="P6" s="18" t="inlineStr">
        <is>
          <t>ปี 2567</t>
        </is>
      </c>
      <c r="Q6" s="18" t="inlineStr">
        <is>
          <t>ติดนิโคตินระดับรุนแรง</t>
        </is>
      </c>
    </row>
    <row r="7">
      <c r="A7" s="15" t="inlineStr">
        <is>
          <t>29</t>
        </is>
      </c>
      <c r="B7" s="18" t="inlineStr">
        <is>
          <t>Case เกาต์ อาหารที่ผู้ป่วยโรคเกาต์สามารถรับประทานได้โดยไม่ต้องหลีกเลี่ยงหรือลดปริมาณ A</t>
        </is>
      </c>
      <c r="C7" s="18" t="inlineStr"/>
      <c r="D7" s="18" t="inlineStr">
        <is>
          <t>N-acetylcysteine (NAC) IV infusion protocol</t>
        </is>
      </c>
      <c r="E7" s="18" t="inlineStr">
        <is>
          <t>น้ำผลไม้</t>
        </is>
      </c>
      <c r="F7" s="18" t="inlineStr">
        <is>
          <t>ตับทอดกระเทียม</t>
        </is>
      </c>
      <c r="G7" s="18" t="inlineStr">
        <is>
          <t>เบียร์</t>
        </is>
      </c>
      <c r="H7" s="18" t="inlineStr">
        <is>
          <t>นมพร่องมันเนย</t>
        </is>
      </c>
      <c r="I7" s="15" t="inlineStr">
        <is>
          <t>1</t>
        </is>
      </c>
      <c r="J7" s="18" t="inlineStr">
        <is>
          <t>✅ คำตอบที่ถูกต้อง: ข้อ ก. N-acetylcysteine (NAC) IV infusion protocol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N-acetylcysteine (NAC) IV infusion protocol การเลือก N-acetylcysteine (NAC) IV infusion protocol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(น้ำผลไม้): ข้อนี้ไม่ใช่คำตอบที่ถูกต้องสำหรับภาวะ Musculoskeletal &amp; Joint เนื่องจากกลไกการออกฤทธิ์, efficacy หรือข้อบ่งใช้ไม่ตรงกับโจทย์ที่กำหนด
• ข้อ ค. (ตับทอดกระเทียม): ข้อนี้ไม่ใช่คำตอบที่ถูกต้องสำหรับภาวะ Musculoskeletal &amp; Joint เนื่องจากกลไกการออกฤทธิ์, efficacy หรือข้อบ่งใช้ไม่ตรงกับโจทย์ที่กำหนด
• ข้อ ง. (เบียร์): ข้อนี้ไม่ใช่คำตอบที่ถูกต้องสำหรับภาวะ Musculoskeletal &amp; Joint เนื่องจากกลไกการออกฤทธิ์, efficacy หรือข้อบ่งใช้ไม่ตรงกับโจทย์ที่กำหนด
• ข้อ จ. (นมพร่องมันเนย):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 s="18" t="inlineStr"/>
      <c r="L7" s="18" t="inlineStr">
        <is>
          <t>Musculoskeletal &amp; Joint</t>
        </is>
      </c>
      <c r="M7" s="18" t="inlineStr">
        <is>
          <t>Clinic</t>
        </is>
      </c>
      <c r="N7" s="18" t="inlineStr">
        <is>
          <t>PLE_CC1_2567_Key ข้อ 56</t>
        </is>
      </c>
      <c r="O7" s="18" t="inlineStr">
        <is>
          <t>ข้อสอบจริง</t>
        </is>
      </c>
      <c r="P7" s="18" t="inlineStr">
        <is>
          <t>ปี 2567</t>
        </is>
      </c>
      <c r="Q7" s="18" t="inlineStr">
        <is>
          <t>ปีกไก่ทอด X ที่มา : https://backend.ha.or.th/fileupload/DOCUMENT/00181/7b2b58b7-5ca0-4ce7-9278-99bae15b26dd.pdf ที่มา : https://thairheumatology.org/phocadownload/70/Guideline_004_2.pdf PLE-PC1 Preparation 2567 หญิงอายุ 30 ปี ตั้งครรภ์ 4 เดือน มาพบแพทย์ด้วยอาการไข้ต่ำๆ ปวดข้อ และผื่นบริเวณใบหน้าลักษณะ คล้าย malar rash ไม่มีโรคประจำตัวใด ๆ ผลตรวจทางห้องปฏิบัติการเป็นดังนี้: - BP 130/70 mmHg - BT 38.1อC - HCO₃⁻ = 22 mEq/L - AST = 28 U/L, ALT = 30 U/L - ANA: positive - Anti-dsDNA antibody: positive แพทย์วินิจฉัยว่าเป็น mild SLE</t>
        </is>
      </c>
    </row>
    <row r="8">
      <c r="A8" s="15" t="inlineStr">
        <is>
          <t>30</t>
        </is>
      </c>
      <c r="B8" s="18" t="inlineStr">
        <is>
          <t>ข้อใดเป็นยาที่สามารถใช้รักษา mild SLE ได้ดีและปลอดภัยในหญิงตั้งครรภ์ &amp; ควรใช TA 0.02% ทาบรเวณผวหนงทบาง เชน ใบหนา TA 0.1% ทาผวหนงทวไป</t>
        </is>
      </c>
      <c r="C8" s="18" t="inlineStr"/>
      <c r="D8" s="18" t="inlineStr">
        <is>
          <t>Dydrogesterone 10 mg BID</t>
        </is>
      </c>
      <c r="E8" s="18" t="inlineStr">
        <is>
          <t>Ethinylestradiol 30 mcg + Levonorgestrel 150 mcg</t>
        </is>
      </c>
      <c r="F8" s="18" t="inlineStr">
        <is>
          <t>Ethinylestradiol 30 mcg + Drospirenone 3 mg</t>
        </is>
      </c>
      <c r="G8" s="18" t="inlineStr">
        <is>
          <t>Ethinylestradiol 35 mcg + Cyproterone acetate 2 mg</t>
        </is>
      </c>
      <c r="H8" s="18" t="inlineStr">
        <is>
          <t>Desogestrel 75 mcg OD (Progestin-only)</t>
        </is>
      </c>
      <c r="I8" s="15" t="inlineStr">
        <is>
          <t>1</t>
        </is>
      </c>
      <c r="J8" s="18" t="inlineStr">
        <is>
          <t>✅ คำตอบที่ถูกต้อง: ข้อ ก. Dydrogesterone 10 mg BID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Gynaecologic &amp; GU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Gynaecologic &amp; GU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Gynaecologic &amp; GU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8" t="inlineStr"/>
      <c r="L8" s="18" t="inlineStr">
        <is>
          <t>Gynaecologic &amp; GU</t>
        </is>
      </c>
      <c r="M8" s="18" t="inlineStr">
        <is>
          <t>Clinic</t>
        </is>
      </c>
      <c r="N8" s="18" t="inlineStr">
        <is>
          <t>PLE_CC1_2567_Key ข้อ 58</t>
        </is>
      </c>
      <c r="O8" s="18" t="inlineStr">
        <is>
          <t>ข้อสอบจริง</t>
        </is>
      </c>
      <c r="P8" s="18" t="inlineStr">
        <is>
          <t>ปี 2567</t>
        </is>
      </c>
      <c r="Q8" s="18" t="inlineStr">
        <is>
          <t>Rituximab</t>
        </is>
      </c>
    </row>
    <row r="9">
      <c r="A9" s="15" t="inlineStr">
        <is>
          <t>31</t>
        </is>
      </c>
      <c r="B9" s="18" t="inlineStr">
        <is>
          <t>ข้อใดต่อไปในนี้ไม่ใช่เกณฑ์ในการวินิจฉัยโรค SLE ตามแนวทางของ... Y Teratogenic Teratogenic Teratogenic</t>
        </is>
      </c>
      <c r="C9" s="18" t="inlineStr"/>
      <c r="D9" s="18" t="inlineStr">
        <is>
          <t>Sodium thiosulfate 25% 50 mL IV</t>
        </is>
      </c>
      <c r="E9" s="18" t="inlineStr">
        <is>
          <t>ANA (1:1000 กว่า)</t>
        </is>
      </c>
      <c r="F9" s="18" t="inlineStr">
        <is>
          <t>HCO3 &lt; 22</t>
        </is>
      </c>
      <c r="G9" s="18" t="inlineStr">
        <is>
          <t>Malar rash</t>
        </is>
      </c>
      <c r="H9" s="18" t="inlineStr">
        <is>
          <t>Discoid</t>
        </is>
      </c>
      <c r="I9" s="15" t="inlineStr">
        <is>
          <t>1</t>
        </is>
      </c>
      <c r="J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ความดันโลหิตสูงมา 10 ปี เบาหวาน 2 ปี COPD 1 ปี  มาขอคำปรึกษาเลิกบุหรี่แก่เภสัชกรในร้านยา ปกติสูบบุหรี่ วันละ 2 ซอง สูบมา 20 ปี ครั้งนี้อยากเลิกบุหรี่เพราะหลานที่บ้านเป็นโรคปอด เคยเลิกแบบหักดิบมา 2 ครั้ง แต่ เลิกประมาณ 1-2  สัปดาห์ ก็กลับไปสูบอีก ตื่นเข้ามาต้องรีบสูบบุหรี่มวนแรกก่อนทำกิจกรรมอื่นประมาณ 5 นาที
🔍 ข้ออื่นผิดเพราะอะไร:
• ข้อ ข. (ANA (1:1000 กว่า)): ข้อนี้ไม่ใช่คำตอบที่ถูกต้องสำหรับภาวะ General Therapeutics เนื่องจากกลไกการออกฤทธิ์, efficacy หรือข้อบ่งใช้ไม่ตรงกับโจทย์ที่กำหนด
• ข้อ ค. (HCO3 &lt; 22): ข้อนี้ไม่ใช่คำตอบที่ถูกต้องสำหรับภาวะ General Therapeutics เนื่องจากกลไกการออกฤทธิ์, efficacy หรือข้อบ่งใช้ไม่ตรงกับโจทย์ที่กำหนด
• ข้อ ง. (Malar rash): ข้อนี้ไม่ใช่คำตอบที่ถูกต้องสำหรับภาวะ General Therapeutics เนื่องจากกลไกการออกฤทธิ์, efficacy หรือข้อบ่งใช้ไม่ตรงกับโจทย์ที่กำหนด
• ข้อ จ. (Discoid):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8" t="inlineStr"/>
      <c r="L9" s="18" t="inlineStr">
        <is>
          <t>General Therapeutics</t>
        </is>
      </c>
      <c r="M9" s="18" t="inlineStr">
        <is>
          <t>Clinic</t>
        </is>
      </c>
      <c r="N9" s="18" t="inlineStr">
        <is>
          <t>PLE_CC1_2567_Key ข้อ 59</t>
        </is>
      </c>
      <c r="O9" s="18" t="inlineStr">
        <is>
          <t>ข้อสอบจริง</t>
        </is>
      </c>
      <c r="P9" s="18" t="inlineStr">
        <is>
          <t>ปี 2567</t>
        </is>
      </c>
      <c r="Q9" s="18" t="inlineStr">
        <is>
          <t>Photosensitivity X ทมา : amsofﬁce.kku.ac.th:50140/ﬁle/JVDFQ80UHNXN.pdf PLE-PC1 Preparation 2567 (ซ้ำกับข้อ 55) ผู้ป่วยชายไทย อายุ 55 ปี น้ำหนัก 60 กิโลกรัม สูง 170 เซนติเมตร  มีโรคประจำตัวเป็น อยากเลิกบุหรี่ภายใน 2 สัปดาห์ข้างหน้า มียาที่ทานประจำ ได้แก่ Enalapril, Amlodipine, Metformin, Theophylline, Tiotropium = 1o siggrettes 1 pask 2 pack : 40 sigarettes</t>
        </is>
      </c>
    </row>
    <row r="10">
      <c r="A10" s="15" t="inlineStr">
        <is>
          <t>32</t>
        </is>
      </c>
      <c r="B10" s="18" t="inlineStr">
        <is>
          <t>จงประเมินระดับความรุนแรงของการติดบุหรี่ตาม Heaviness of smoking Index (HSI) ในผู้ป่วยรายนี้</t>
        </is>
      </c>
      <c r="C10" s="18" t="inlineStr"/>
      <c r="D10" s="18" t="inlineStr">
        <is>
          <t>Tiotropium Respimat 2.5 mcg 2 puffs OD</t>
        </is>
      </c>
      <c r="E10" s="18" t="inlineStr">
        <is>
          <t>Ipratropium/Fenoterol MDI PRN</t>
        </is>
      </c>
      <c r="F10" s="18" t="inlineStr">
        <is>
          <t>Montelukast 10 mg HS</t>
        </is>
      </c>
      <c r="G10" s="18" t="inlineStr">
        <is>
          <t>Theophylline 200 mg BID</t>
        </is>
      </c>
      <c r="H10" s="18" t="inlineStr">
        <is>
          <t>Prednisolone 40 mg OD x 5 days</t>
        </is>
      </c>
      <c r="I10" s="15" t="inlineStr">
        <is>
          <t>1</t>
        </is>
      </c>
      <c r="J10" s="18"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 s="18" t="inlineStr"/>
      <c r="L10" s="18" t="inlineStr">
        <is>
          <t>Pulmonary Diseases</t>
        </is>
      </c>
      <c r="M10" s="18" t="inlineStr">
        <is>
          <t>Clinic</t>
        </is>
      </c>
      <c r="N10" s="18" t="inlineStr">
        <is>
          <t>PLE_CC1_2567_Key ข้อ 60</t>
        </is>
      </c>
      <c r="O10" s="18" t="inlineStr">
        <is>
          <t>ข้อสอบจริง</t>
        </is>
      </c>
      <c r="P10" s="18" t="inlineStr">
        <is>
          <t>ปี 2567</t>
        </is>
      </c>
      <c r="Q10" s="18" t="inlineStr">
        <is>
          <t>ติดนิโคตินระดับรุนแรง</t>
        </is>
      </c>
    </row>
    <row r="11">
      <c r="A11" s="15" t="inlineStr">
        <is>
          <t>33</t>
        </is>
      </c>
      <c r="B11" s="18" t="inlineStr">
        <is>
          <t>ข้อใดเป็นคำแนะนำที่ไม่เหมาะสมสำหรับการใช้หมากฝรั่งนิโคตินในผู้ป่วยรายนี้ ไม้มึกรวมต่งใจจ เร่มกันใจจะเ X มาาปรักษาเพื่อ ↓in smoking lessation (CPT) เลิกไดแตต่ยังไผ่เก่น เล็กได้เก่น6 เ</t>
        </is>
      </c>
      <c r="C11" s="18" t="inlineStr"/>
      <c r="D11" s="18" t="inlineStr">
        <is>
          <t>N-acetylcysteine (NAC) IV infusion protocol</t>
        </is>
      </c>
      <c r="E11" s="18" t="inlineStr">
        <is>
          <t>ระหว่างเคี้ยวหมากฝรั่งไม่ควรกลืนน้ำลาย</t>
        </is>
      </c>
      <c r="F11" s="18" t="inlineStr">
        <is>
          <t>เคี้ยวหมากฝรั่ง 4 mg ในหนึ่งวันไม่เกิน 15 ชิ้น</t>
        </is>
      </c>
      <c r="G11" s="18" t="inlineStr">
        <is>
          <t>ผู้ป่วยห้ามปรับลดขนาดยาเองเด็ดขาด</t>
        </is>
      </c>
      <c r="H11" s="18" t="inlineStr">
        <is>
          <t>ติดตามอาการกรดไหลย้อนและท้องผูก</t>
        </is>
      </c>
      <c r="I11" s="15" t="inlineStr">
        <is>
          <t>1</t>
        </is>
      </c>
      <c r="J11" s="18"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(ระหว่างเคี้ยวหมากฝรั่งไม่ควรกลืนน้ำลาย): ข้อนี้ไม่ใช่คำตอบที่ถูกต้องสำหรับภาวะ Pulmonary Diseases เนื่องจากกลไกการออกฤทธิ์, efficacy หรือข้อบ่งใช้ไม่ตรงกับโจทย์ที่กำหนด
• ข้อ ค. (เคี้ยวหมากฝรั่ง 4 mg ในหนึ่งวันไม่เกิน 15 ชิ้น): ข้อนี้ไม่ใช่คำตอบที่ถูกต้องสำหรับภาวะ Pulmonary Diseases เนื่องจากกลไกการออกฤทธิ์, efficacy หรือข้อบ่งใช้ไม่ตรงกับโจทย์ที่กำหนด
• ข้อ ง. (ผู้ป่วยห้ามปรับลดขนาดยาเองเด็ดขาด): ข้อนี้ไม่ใช่คำตอบที่ถูกต้องสำหรับภาวะ Pulmonary Diseases เนื่องจากกลไกการออกฤทธิ์, efficacy หรือข้อบ่งใช้ไม่ตรงกับโจทย์ที่กำหนด
• ข้อ จ. (ติดตามอาการกรดไหลย้อนและท้องผูก):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 s="18" t="inlineStr"/>
      <c r="L11" s="18" t="inlineStr">
        <is>
          <t>Pulmonary Diseases</t>
        </is>
      </c>
      <c r="M11" s="18" t="inlineStr">
        <is>
          <t>Clinic</t>
        </is>
      </c>
      <c r="N11" s="18" t="inlineStr">
        <is>
          <t>PLE_CC1_2567_Key ข้อ 62</t>
        </is>
      </c>
      <c r="O11" s="18" t="inlineStr">
        <is>
          <t>ข้อสอบจริง</t>
        </is>
      </c>
      <c r="P11" s="18" t="inlineStr">
        <is>
          <t>ปี 2567</t>
        </is>
      </c>
      <c r="Q11" s="18" t="inlineStr">
        <is>
          <t>ใช้แบบระวังเพราะเป็นความดันและเบาหวาน 30 ซึ X &amp; slide Aj . Thanarat Suansanae https://pharmacy.mahidol.ac.th/th/knowledge/article/510/เลกบหร/ PLE-PC1 Preparation 2567 จากwebsite คณะะเภสับ มหาวิทยาลัยม</t>
        </is>
      </c>
    </row>
    <row r="12">
      <c r="A12" s="15" t="inlineStr">
        <is>
          <t>34</t>
        </is>
      </c>
      <c r="B12" s="18" t="inlineStr">
        <is>
          <t>ยาเดี่ยวและสูตรผสมของ pseudoephedrine ข้อใดถูกต้อง</t>
        </is>
      </c>
      <c r="C12" s="18" t="inlineStr"/>
      <c r="D12" s="18" t="inlineStr">
        <is>
          <t>เกณฑ์จริยธรรมว่าด้วยการส่งเสริมการขายยาของกระทรวงสาธารณสุข</t>
        </is>
      </c>
      <c r="E12" s="18" t="inlineStr">
        <is>
          <t>พ.ร.บ. ยา พ.ศ. 2510 (การจำหน่ายยาอันตรายและยาควบคุมพิเศษ)</t>
        </is>
      </c>
      <c r="F12" s="18" t="inlineStr">
        <is>
          <t>พ.ร.บ. ยาเสพติดให้โทษ พ.ศ. 2522 (ยาเสพติดให้โทษประเภท 2 และ 3)</t>
        </is>
      </c>
      <c r="G12" s="18" t="inlineStr">
        <is>
          <t>พ.ร.บ. วัตถุที่ออกฤทธิ์ต่อจิตและประสาท พ.ศ. 2559 (ประเภท 2 และ 4)</t>
        </is>
      </c>
      <c r="H12" s="18" t="inlineStr">
        <is>
          <t>พ.ร.บ. วิชาชีพเภสัชกรรม พ.ศ. 2537 และข้อบังคับจรรยาบรรณวิชาชีพ</t>
        </is>
      </c>
      <c r="I12" s="15" t="inlineStr">
        <is>
          <t>1</t>
        </is>
      </c>
      <c r="J1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8" t="inlineStr"/>
      <c r="L12" s="18" t="inlineStr">
        <is>
          <t>Pharmacy Laws &amp; Ethics</t>
        </is>
      </c>
      <c r="M12" s="18" t="inlineStr">
        <is>
          <t>SAP</t>
        </is>
      </c>
      <c r="N12" s="18" t="inlineStr">
        <is>
          <t>PLE_CC1_2567_Key ข้อ 66</t>
        </is>
      </c>
      <c r="O12" s="18" t="inlineStr">
        <is>
          <t>ข้อสอบจริง</t>
        </is>
      </c>
      <c r="P12" s="18" t="inlineStr">
        <is>
          <t>ปี 2567</t>
        </is>
      </c>
      <c r="Q12" s="18" t="inlineStr">
        <is>
          <t>ยาควบคุมพิเศษ ขย1 ขายได้ ต้องมีใบสั่งแพทย์ X ผู้ป่วยตั้งครรภ์ 5 สัปดาห์ มีอาการกินเยอะแต่น้ำหนักลด ไม่นานมานี้มีอาการเหงื่อออกมากผิดปกติ วินิจฉัยเป็น hyperthyroid แบบ secondary จาก grave disease</t>
        </is>
      </c>
    </row>
    <row r="13">
      <c r="A13" s="15" t="inlineStr">
        <is>
          <t>35</t>
        </is>
      </c>
      <c r="B13" s="18" t="inlineStr">
        <is>
          <t>แพทย์จ่าย propranolol , MMI ในคนท้อง 4 เดือน DRP คืออะไร ไม่เป็น DRP เพราะ 2 ตัวครอบคลุมแล้ว ยารักษาโรค + ยารักษาตามอาการ &amp;</t>
        </is>
      </c>
      <c r="C13" s="18" t="inlineStr"/>
      <c r="D13" s="18" t="inlineStr">
        <is>
          <t>Sodium thiosulfate 25% 50 mL IV</t>
        </is>
      </c>
      <c r="E13" s="18" t="inlineStr">
        <is>
          <t>จ่ายยาเพิ่มอีก 1 ตัว</t>
        </is>
      </c>
      <c r="F13" s="18" t="inlineStr">
        <is>
          <t>มียาที่ไม่เหมาะสม</t>
        </is>
      </c>
      <c r="G13" s="18" t="inlineStr">
        <is>
          <t>มียาที่ความถี่ในการบริหารไม่เหมาะสม</t>
        </is>
      </c>
      <c r="H13" s="18" t="inlineStr">
        <is>
          <t>มียาที่ไม่มีข้อบ่งใช้</t>
        </is>
      </c>
      <c r="I13" s="15" t="inlineStr">
        <is>
          <t>4</t>
        </is>
      </c>
      <c r="J13" s="18" t="inlineStr">
        <is>
          <t>✅ คำตอบที่ถูกต้อง: ข้อ ง. มียาที่ความถี่ในการบริหารไม่เหมาะสม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มียาที่ความถี่ในการบริหารไม่เหมาะสม การเลือก มียาที่ความถี่ในการบริหารไม่เหมาะสม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(จ่ายยาเพิ่มอีก 1 ตัว): ข้อนี้ไม่ใช่คำตอบที่ถูกต้องสำหรับภาวะ General Therapeutics เนื่องจากกลไกการออกฤทธิ์, efficacy หรือข้อบ่งใช้ไม่ตรงกับโจทย์ที่กำหนด
• ข้อ ค. (มียาที่ไม่เหมาะสม):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จ. (มียาที่ไม่มีข้อบ่งใช้):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8" t="inlineStr"/>
      <c r="L13" s="18" t="inlineStr">
        <is>
          <t>General Therapeutics</t>
        </is>
      </c>
      <c r="M13" s="18" t="inlineStr">
        <is>
          <t>Clinic</t>
        </is>
      </c>
      <c r="N13" s="18" t="inlineStr">
        <is>
          <t>PLE_CC1_2567_Key ข้อ 69</t>
        </is>
      </c>
      <c r="O13" s="18" t="inlineStr">
        <is>
          <t>ข้อสอบจริง</t>
        </is>
      </c>
      <c r="P13" s="18" t="inlineStr">
        <is>
          <t>ปี 2567</t>
        </is>
      </c>
      <c r="Q13" s="18" t="inlineStr">
        <is>
          <t>*จำ choice ไม่ได้* Propanoral = มีข้อบ่งใช้ คือ บรรเทาอาการใจสั่นจากโรค hyperthyroid MMI( Metimazole ) = มีข้อบ่งใช้ คือ รักษาโรค hyperthyroid % เหมาะสมเนื่องจาก คนไข้ เข้าสู่ไตมาส 2 แล้ว สามารถ switch ได้ * &amp; : + % ? &amp; C PLE-PC1 Preparation 2567 ไม่แน่ใจ เนื่องจากโจทย์ไม่บอกความถี่ในการกินยามา &amp; คิดว่าหมายถึง Lexicom . &amp;</t>
        </is>
      </c>
    </row>
    <row r="14">
      <c r="A14" s="15" t="inlineStr">
        <is>
          <t>36</t>
        </is>
      </c>
      <c r="B14" s="18" t="inlineStr">
        <is>
          <t>แพทย์สอบถามเกี่ยวกับการใช้ยา methimazole ในหญิงตั้งครรภ์ ถ้าไปสืบค้นโดยใช้ Micromedex, comp ถามว่าเป็นแหล่งข้อมูลแบบใด</t>
        </is>
      </c>
      <c r="C14" s="18" t="inlineStr"/>
      <c r="D14" s="18" t="inlineStr">
        <is>
          <t>Glipizide 5 mg OD</t>
        </is>
      </c>
      <c r="E14" s="18" t="inlineStr">
        <is>
          <t>Empagliflozin 10 mg OD</t>
        </is>
      </c>
      <c r="F14" s="18" t="inlineStr">
        <is>
          <t>Sitagliptin 100 mg OD</t>
        </is>
      </c>
      <c r="G14" s="18" t="inlineStr">
        <is>
          <t>Liraglutide 1.2 mg SC OD</t>
        </is>
      </c>
      <c r="H14" s="18" t="inlineStr">
        <is>
          <t>Levothyroxine 50 mcg OD</t>
        </is>
      </c>
      <c r="I14" s="15" t="inlineStr">
        <is>
          <t>1</t>
        </is>
      </c>
      <c r="J14" s="1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4" s="18" t="inlineStr"/>
      <c r="L14" s="18" t="inlineStr">
        <is>
          <t>Diabetes &amp; Endocrine</t>
        </is>
      </c>
      <c r="M14" s="18" t="inlineStr">
        <is>
          <t>Clinic</t>
        </is>
      </c>
      <c r="N14" s="18" t="inlineStr">
        <is>
          <t>PLE_CC1_2567_Key ข้อ 70</t>
        </is>
      </c>
      <c r="O14" s="18" t="inlineStr">
        <is>
          <t>ข้อสอบจริง</t>
        </is>
      </c>
      <c r="P14" s="18" t="inlineStr">
        <is>
          <t>ปี 2567</t>
        </is>
      </c>
      <c r="Q14" s="18" t="inlineStr">
        <is>
          <t>Primary และ secondary</t>
        </is>
      </c>
    </row>
    <row r="15">
      <c r="A15" s="15" t="inlineStr">
        <is>
          <t>37</t>
        </is>
      </c>
      <c r="B15" s="18" t="inlineStr">
        <is>
          <t>ข้อใดจับคู่กลไกยาระบายได้ถูกต้อง</t>
        </is>
      </c>
      <c r="C15" s="18" t="inlineStr"/>
      <c r="D15" s="18" t="inlineStr">
        <is>
          <t>N-acetylcysteine (NAC) IV infusion protocol</t>
        </is>
      </c>
      <c r="E15" s="18" t="inlineStr">
        <is>
          <t>Docusate Sodium - lubricant</t>
        </is>
      </c>
      <c r="F15" s="18" t="inlineStr">
        <is>
          <t>glycerin - Osmotic</t>
        </is>
      </c>
      <c r="G15" s="18" t="inlineStr">
        <is>
          <t>psyllium husk - stimulant</t>
        </is>
      </c>
      <c r="H15" s="18" t="inlineStr">
        <is>
          <t>bisacodyl - bulk forming</t>
        </is>
      </c>
      <c r="I15" s="15" t="inlineStr">
        <is>
          <t>1</t>
        </is>
      </c>
      <c r="J15" s="18"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(Docusate Sodium - lubricant): ข้อนี้ไม่ใช่คำตอบที่ถูกต้องสำหรับภาวะ GI Disorders เนื่องจากกลไกการออกฤทธิ์, efficacy หรือข้อบ่งใช้ไม่ตรงกับโจทย์ที่กำหนด
• ข้อ ค. (glycerin - Osmotic): ข้อนี้ไม่ใช่คำตอบที่ถูกต้องสำหรับภาวะ GI Disorders เนื่องจากกลไกการออกฤทธิ์, efficacy หรือข้อบ่งใช้ไม่ตรงกับโจทย์ที่กำหนด
• ข้อ ง. (psyllium husk - stimulant): ข้อนี้ไม่ใช่คำตอบที่ถูกต้องสำหรับภาวะ GI Disorders เนื่องจากกลไกการออกฤทธิ์, efficacy หรือข้อบ่งใช้ไม่ตรงกับโจทย์ที่กำหนด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 s="18" t="inlineStr"/>
      <c r="L15" s="18" t="inlineStr">
        <is>
          <t>GI Disorders</t>
        </is>
      </c>
      <c r="M15" s="18" t="inlineStr">
        <is>
          <t>Clinic</t>
        </is>
      </c>
      <c r="N15" s="18" t="inlineStr">
        <is>
          <t>PLE_CC1_2567_Key ข้อ 71</t>
        </is>
      </c>
      <c r="O15" s="18" t="inlineStr">
        <is>
          <t>ข้อสอบจริง</t>
        </is>
      </c>
      <c r="P15" s="18" t="inlineStr">
        <is>
          <t>ปี 2567</t>
        </is>
      </c>
      <c r="Q15" s="18" t="inlineStr">
        <is>
          <t>*จำ choice ไม่ได้*</t>
        </is>
      </c>
    </row>
    <row r="16">
      <c r="A16" s="15" t="inlineStr">
        <is>
          <t>38</t>
        </is>
      </c>
      <c r="B16" s="18" t="inlineStr">
        <is>
          <t>ยาที่มีโครงสร้าง purine ออกฤทธิ์เป็น xanthine oxidase inhibitor &amp; ↑ &amp;</t>
        </is>
      </c>
      <c r="C16" s="18" t="inlineStr"/>
      <c r="D16" s="18" t="inlineStr">
        <is>
          <t>Alendronate 70 mg weekly</t>
        </is>
      </c>
      <c r="E16" s="18" t="inlineStr">
        <is>
          <t>Glucosamine sulfate 1500 mg OD</t>
        </is>
      </c>
      <c r="F16" s="18" t="inlineStr">
        <is>
          <t>Hydroxychloroquine 200 mg OD</t>
        </is>
      </c>
      <c r="G16" s="18" t="inlineStr">
        <is>
          <t>Prednisolone 5 mg OD</t>
        </is>
      </c>
      <c r="H16" s="18" t="inlineStr">
        <is>
          <t>Zoledronic acid 5 mg IV annually</t>
        </is>
      </c>
      <c r="I16" s="15" t="inlineStr">
        <is>
          <t>1</t>
        </is>
      </c>
      <c r="J16" s="18"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6" s="18" t="inlineStr"/>
      <c r="L16" s="18" t="inlineStr">
        <is>
          <t>Musculoskeletal &amp; Joint</t>
        </is>
      </c>
      <c r="M16" s="18" t="inlineStr">
        <is>
          <t>Clinic</t>
        </is>
      </c>
      <c r="N16" s="18" t="inlineStr">
        <is>
          <t>PLE_CC1_2567_Key ข้อ 74</t>
        </is>
      </c>
      <c r="O16" s="18" t="inlineStr">
        <is>
          <t>ข้อสอบจริง</t>
        </is>
      </c>
      <c r="P16" s="18" t="inlineStr">
        <is>
          <t>ปี 2567</t>
        </is>
      </c>
    </row>
    <row r="17">
      <c r="A17" s="15" t="inlineStr">
        <is>
          <t>39</t>
        </is>
      </c>
      <c r="B17" s="18" t="inlineStr">
        <is>
          <t>การรักษาใดไม่เหมาะสมในผู้ป่วยรายนี้ % ดูไม่เหมาะสมสุดเพราะ ไม่เหมาะสม เนื่องจากคนไข้ไม่ใช่เคสที่ รุนแรงถึงขั้นต้องใช้ยาแรงขนาดนี้ &amp;</t>
        </is>
      </c>
      <c r="C17" s="18" t="inlineStr"/>
      <c r="D17" s="18" t="inlineStr">
        <is>
          <t>Sodium thiosulfate 25% 50 mL IV</t>
        </is>
      </c>
      <c r="E17" s="18" t="inlineStr">
        <is>
          <t>Desensitization</t>
        </is>
      </c>
      <c r="F17" s="18" t="inlineStr">
        <is>
          <t>IVIG</t>
        </is>
      </c>
      <c r="G17" s="18" t="inlineStr">
        <is>
          <t>CPM + Ranitidine</t>
        </is>
      </c>
      <c r="H17" s="18" t="inlineStr">
        <is>
          <t>Dimenhydrinate</t>
        </is>
      </c>
      <c r="I17" s="15" t="inlineStr">
        <is>
          <t>1</t>
        </is>
      </c>
      <c r="J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General Therapeutics เนื่องจากกลไกการออกฤทธิ์, efficacy หรือข้อบ่งใช้ไม่ตรงกับโจทย์ที่กำหนด
• ข้อ ค. (IVIG): ข้อนี้ไม่ใช่คำตอบที่ถูกต้องสำหรับภาวะ General Therapeutics เนื่องจากกลไกการออกฤทธิ์, efficacy หรือข้อบ่งใช้ไม่ตรงกับโจทย์ที่กำหนด
• ข้อ ง. (CPM + Ranitidine): ข้อนี้ไม่ใช่คำตอบที่ถูกต้องสำหรับภาวะ General Therapeutics เนื่องจากกลไกการออกฤทธิ์, efficacy หรือข้อบ่งใช้ไม่ตรงกับโจทย์ที่กำหนด
• ข้อ จ. (Dimenhydrinate):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8" t="inlineStr"/>
      <c r="L17" s="18" t="inlineStr">
        <is>
          <t>General Therapeutics</t>
        </is>
      </c>
      <c r="M17" s="18" t="inlineStr">
        <is>
          <t>Clinic</t>
        </is>
      </c>
      <c r="N17" s="18" t="inlineStr">
        <is>
          <t>PLE_CC1_2567_Key ข้อ 79</t>
        </is>
      </c>
      <c r="O17" s="18" t="inlineStr">
        <is>
          <t>ข้อสอบจริง</t>
        </is>
      </c>
      <c r="P17" s="18" t="inlineStr">
        <is>
          <t>ปี 2567</t>
        </is>
      </c>
      <c r="Q17" s="18" t="inlineStr">
        <is>
          <t>Dexamethasone / * H1 block + H2 block = Antihistamine คู่ / &amp; Anti-histamine รุ่นเก่า แต่ปกติมีข้อบ่งใช้ รักษา อาการวิงเวียนศรีษะ เมารถ เมาเรือ &amp; ? &amp; Steroid ป &amp; PLE-PC1 Preparation 2567</t>
        </is>
      </c>
    </row>
    <row r="18">
      <c r="A18" s="15" t="inlineStr">
        <is>
          <t>40</t>
        </is>
      </c>
      <c r="B18" s="18" t="inlineStr">
        <is>
          <t>จากอาการและประวัติของผู้ป่วย ข้อใด น่าจะเป็นกลไกการแพ้ยาที่เกี่ยวข้องมากที่สุด?</t>
        </is>
      </c>
      <c r="C18" s="18" t="inlineStr"/>
      <c r="D18" s="18" t="inlineStr">
        <is>
          <t>Montelukast 10 mg HS</t>
        </is>
      </c>
      <c r="E18" s="18" t="inlineStr">
        <is>
          <t>Hydroxyzine 25 mg HS</t>
        </is>
      </c>
      <c r="F18" s="18" t="inlineStr">
        <is>
          <t>Diphenhydramine 25 mg IV</t>
        </is>
      </c>
      <c r="G18" s="18" t="inlineStr">
        <is>
          <t>Cetirizine 10 mg OD</t>
        </is>
      </c>
      <c r="H18" s="18" t="inlineStr">
        <is>
          <t>Loratadine 10 mg OD</t>
        </is>
      </c>
      <c r="I18" s="15" t="inlineStr">
        <is>
          <t>1</t>
        </is>
      </c>
      <c r="J18" s="18"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8" t="inlineStr"/>
      <c r="L18" s="18" t="inlineStr">
        <is>
          <t>Allergy &amp; Immunology</t>
        </is>
      </c>
      <c r="M18" s="18" t="inlineStr">
        <is>
          <t>Clinic</t>
        </is>
      </c>
      <c r="N18" s="18" t="inlineStr">
        <is>
          <t>PLE_CC1_2567_Key ข้อ 78</t>
        </is>
      </c>
      <c r="O18" s="18" t="inlineStr">
        <is>
          <t>ข้อสอบจริง</t>
        </is>
      </c>
      <c r="P18" s="18" t="inlineStr">
        <is>
          <t>ปี 2567</t>
        </is>
      </c>
      <c r="Q18" s="18" t="inlineStr">
        <is>
          <t>Fas/Fas ligand–induced apoptosis</t>
        </is>
      </c>
    </row>
    <row r="19">
      <c r="A19" s="15" t="inlineStr">
        <is>
          <t>41</t>
        </is>
      </c>
      <c r="B19" s="18" t="inlineStr">
        <is>
          <t>ยาใดที่ร้านขายส่งไม่สามารถขายให้ร้านขายยาแผนปัจจุบันได้</t>
        </is>
      </c>
      <c r="C19" s="18" t="inlineStr"/>
      <c r="D19" s="18" t="inlineStr">
        <is>
          <t>N-acetylcysteine (NAC) IV infusion protocol</t>
        </is>
      </c>
      <c r="E19" s="18" t="inlineStr">
        <is>
          <t>Sildenafil</t>
        </is>
      </c>
      <c r="F19" s="18" t="inlineStr">
        <is>
          <t>Alprazolam</t>
        </is>
      </c>
      <c r="G19" s="18" t="inlineStr">
        <is>
          <t>Tramadol</t>
        </is>
      </c>
      <c r="H19" s="18" t="inlineStr">
        <is>
          <t>Dexamethasone</t>
        </is>
      </c>
      <c r="I19" s="15" t="inlineStr">
        <is>
          <t>1</t>
        </is>
      </c>
      <c r="J19" s="18"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(Sildenafil): ข้อนี้ไม่ใช่คำตอบที่ถูกต้องสำหรับภาวะ Pharmacy Laws &amp; Ethics เนื่องจากกลไกการออกฤทธิ์, efficacy หรือข้อบ่งใช้ไม่ตรงกับโจทย์ที่กำหนด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8" t="inlineStr"/>
      <c r="L19" s="18" t="inlineStr">
        <is>
          <t>Pharmacy Laws &amp; Ethics</t>
        </is>
      </c>
      <c r="M19" s="18" t="inlineStr">
        <is>
          <t>SAP</t>
        </is>
      </c>
      <c r="N19" s="18" t="inlineStr">
        <is>
          <t>PLE_CC1_2567_Key ข้อ 81</t>
        </is>
      </c>
      <c r="O19" s="18" t="inlineStr">
        <is>
          <t>ข้อสอบจริง</t>
        </is>
      </c>
      <c r="P19" s="18" t="inlineStr">
        <is>
          <t>ปี 2567</t>
        </is>
      </c>
      <c r="Q19" s="18" t="inlineStr">
        <is>
          <t>Prednisolone ยาควบคมพเศษ สามารถขายใหรานขายยาได เพราะรานขายยาสามารถขายไดหากมใบสงแพทย วตถออกฤทธตอจตและประสาทประเภทท 2 ไมสามารถขายในรานยาได รานขายสงจงไมสามารถขายใหรานยาได ยาอนตราย (ประกาศกระทรวงฯ ลาสดประกาศใหเปนยาควบคมพเศษ) รานยาสามารถขายได รานสงจงสามารถขายรานขายยาได รปแบบรบประทานเปนยาควบคมพเศษ สามารถขายใหรานขายยาได เพราะรานขายยาสามารถขายไดหากมใบสงแพทย รปแบบรบประทานเปนยาควบคมพเศษ สามารถขายใหรานขายยาได เพราะรานขายยาสามารถขายไดหากมใบสงแพทย PLE-PC1 Preparation 2567 คาปกตประมาณ 136 - 145 mmol/L อนน Hyponatrimia แลว ผู้ป่วยหญิง อายุ 54 ปี เป็นความดันโลหิตสูงมาแล้ว 1 ปี ไม่มีโรคร่วมอื่นๆ มาตรวจความดันได้ 160/100 mmHg ค่า K= 4.9 ค่า Cl= 100, Na 130 เขาเคยปรับพฤติกรรมแล้วใน 6 เดือนก่อน แต่ยังไม่ได้ เดิมใช้ HCTZ 25 mg 1x1 ตรวจความความดันผู้ป่วยยังไม่ถึงเป้าหมาย ปกต ปกต</t>
        </is>
      </c>
    </row>
    <row r="20">
      <c r="A20" s="15" t="inlineStr">
        <is>
          <t>42</t>
        </is>
      </c>
      <c r="B20" s="18" t="inlineStr">
        <is>
          <t>หญิงอายุ 65 ปี มา รพ. ด้วยอาการหน้าเบี้ยว ปากเบี้ยว เป็นมาแล้ว 3 ชม. NIHSS score =2 ยาใดต่อไปนี้ เหมาะสมที่สุดสำหรับผู้ป่วยรายนี้ จากสไลดอาจารย จาก Asean guideline</t>
        </is>
      </c>
      <c r="C20" s="18" t="inlineStr"/>
      <c r="D20" s="18" t="inlineStr">
        <is>
          <t>Pregabalin 75 mg BID</t>
        </is>
      </c>
      <c r="E20" s="18" t="inlineStr">
        <is>
          <t>Levodopa/Benserazide 100/25 mg TID</t>
        </is>
      </c>
      <c r="F20" s="18" t="inlineStr">
        <is>
          <t>Sumatriptan 50 mg stat</t>
        </is>
      </c>
      <c r="G20" s="18" t="inlineStr">
        <is>
          <t>Propranolol 40 mg BID</t>
        </is>
      </c>
      <c r="H20" s="18" t="inlineStr">
        <is>
          <t>Topiramate 25 mg BID</t>
        </is>
      </c>
      <c r="I20" s="15" t="inlineStr">
        <is>
          <t>1</t>
        </is>
      </c>
      <c r="J20" s="18" t="inlineStr">
        <is>
          <t>✅ คำตอบที่ถูกต้อง: ข้อ ก. Pregabalin 75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18" t="inlineStr"/>
      <c r="L20" s="18" t="inlineStr">
        <is>
          <t>Neurologic Disorders</t>
        </is>
      </c>
      <c r="M20" s="18" t="inlineStr">
        <is>
          <t>Clinic</t>
        </is>
      </c>
      <c r="N20" s="18" t="inlineStr">
        <is>
          <t>PLE_CC1_2567_Key ข้อ 86</t>
        </is>
      </c>
      <c r="O20" s="18" t="inlineStr">
        <is>
          <t>ข้อสอบจริง</t>
        </is>
      </c>
      <c r="P20" s="18" t="inlineStr">
        <is>
          <t>ปี 2567</t>
        </is>
      </c>
      <c r="Q20" s="18" t="inlineStr">
        <is>
          <t>Cilostazol</t>
        </is>
      </c>
    </row>
    <row r="21">
      <c r="A21" s="15" t="inlineStr">
        <is>
          <t>43</t>
        </is>
      </c>
      <c r="B21" s="18" t="inlineStr">
        <is>
          <t>ยาข้อใดต่อไปนี้ ไม่ต้องทำ ขย.11</t>
        </is>
      </c>
      <c r="C21" s="18" t="inlineStr"/>
      <c r="D21" s="18" t="inlineStr">
        <is>
          <t>พ.ร.บ. หลักประกันสุขภาพแห่งชาติ พ.ศ. 2545</t>
        </is>
      </c>
      <c r="E21" s="18" t="inlineStr">
        <is>
          <t>การปฏิบัติทางเภสัชกรรมชุมชน (Good Pharmacy Practice: GPP)</t>
        </is>
      </c>
      <c r="F21" s="18" t="inlineStr">
        <is>
          <t>บัญชียาหลักแห่งชาติ (National List of Essential Medicines: NLEM)</t>
        </is>
      </c>
      <c r="G21" s="18" t="inlineStr">
        <is>
          <t>เกณฑ์จริยธรรมว่าด้วยการส่งเสริมการขายยาของกระทรวงสาธารณสุข</t>
        </is>
      </c>
      <c r="H21" s="18" t="inlineStr">
        <is>
          <t>พ.ร.บ. ยา พ.ศ. 2510 (การจำหน่ายยาอันตรายและยาควบคุมพิเศษ)</t>
        </is>
      </c>
      <c r="I21" s="15" t="inlineStr">
        <is>
          <t>1</t>
        </is>
      </c>
      <c r="J2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8" t="inlineStr"/>
      <c r="L21" s="18" t="inlineStr">
        <is>
          <t>Pharmacy Laws &amp; Ethics</t>
        </is>
      </c>
      <c r="M21" s="18" t="inlineStr">
        <is>
          <t>SAP</t>
        </is>
      </c>
      <c r="N21" s="18" t="inlineStr">
        <is>
          <t>PLE_CC1_2567_Key ข้อ 88</t>
        </is>
      </c>
      <c r="O21" s="18" t="inlineStr">
        <is>
          <t>ข้อสอบจริง</t>
        </is>
      </c>
      <c r="P21" s="18" t="inlineStr">
        <is>
          <t>ปี 2567</t>
        </is>
      </c>
      <c r="Q21" s="18" t="inlineStr">
        <is>
          <t>*จำ choice ไม่ได้* PLE-PC1 Preparation 2567</t>
        </is>
      </c>
    </row>
    <row r="22">
      <c r="A22" s="15" t="inlineStr">
        <is>
          <t>44</t>
        </is>
      </c>
      <c r="B22" s="18" t="inlineStr">
        <is>
          <t>ผู้ป่วยริดสีดวงทวารที่มีใช้ warfarin ควรเลี่ยงยาในข้อใดต่อไปนี้</t>
        </is>
      </c>
      <c r="C22" s="18" t="inlineStr"/>
      <c r="D22" s="18" t="inlineStr">
        <is>
          <t>Aspirin 81 mg OD</t>
        </is>
      </c>
      <c r="E22" s="18" t="inlineStr">
        <is>
          <t>Sacubitril/Valsartan 49/51 mg BID</t>
        </is>
      </c>
      <c r="F22" s="18" t="inlineStr">
        <is>
          <t>Empagliflozin 10 mg OD</t>
        </is>
      </c>
      <c r="G22" s="18" t="inlineStr">
        <is>
          <t>Diltiazem 30 mg TID</t>
        </is>
      </c>
      <c r="H22" s="18" t="inlineStr">
        <is>
          <t>Warfarin 3 mg OD (target INR 2.0-3.0)</t>
        </is>
      </c>
      <c r="I22" s="15" t="inlineStr">
        <is>
          <t>1</t>
        </is>
      </c>
      <c r="J22" s="18"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 s="18" t="inlineStr"/>
      <c r="L22" s="18" t="inlineStr">
        <is>
          <t>Cardiovascular Diseases</t>
        </is>
      </c>
      <c r="M22" s="18" t="inlineStr">
        <is>
          <t>Clinic</t>
        </is>
      </c>
      <c r="N22" s="18" t="inlineStr">
        <is>
          <t>PLE_CC1_2567_Key ข้อ 87</t>
        </is>
      </c>
      <c r="O22" s="18" t="inlineStr">
        <is>
          <t>ข้อสอบจริง</t>
        </is>
      </c>
      <c r="P22" s="18" t="inlineStr">
        <is>
          <t>ปี 2567</t>
        </is>
      </c>
      <c r="Q22" s="18" t="inlineStr">
        <is>
          <t>*จำ choice ไม่ได้*</t>
        </is>
      </c>
    </row>
    <row r="23">
      <c r="A23" s="15" t="inlineStr">
        <is>
          <t>45</t>
        </is>
      </c>
      <c r="B23" s="18" t="inlineStr">
        <is>
          <t>ข้อใดต่อไปนี้ไม่จัดเป็นยาสามัญประจำบ้าน ✅ ถาจดเปนยาสามญประจบานตอง แผงละ 4 เมด 10 เมด 100 เมดนนา จะหมายถงขายแบบกระปก กระปกละ 100 เมดมขายแคทรานขายยา</t>
        </is>
      </c>
      <c r="C23" s="18" t="inlineStr"/>
      <c r="D23" s="18" t="inlineStr">
        <is>
          <t>N-acetylcysteine (NAC) IV infusion protocol</t>
        </is>
      </c>
      <c r="E23" s="18" t="inlineStr">
        <is>
          <t>Paracetamol 500 mg จำนวน 100 เม็ด</t>
        </is>
      </c>
      <c r="F23" s="18" t="inlineStr">
        <is>
          <t>ยาเหน็บ glycerin 10 เม็ด</t>
        </is>
      </c>
      <c r="G23" s="18" t="inlineStr">
        <is>
          <t>น้ำเกลือ 500 ml</t>
        </is>
      </c>
      <c r="H23" s="18" t="inlineStr">
        <is>
          <t>ORS ผสมน้ำ 250 ml</t>
        </is>
      </c>
      <c r="I23" s="15" t="inlineStr">
        <is>
          <t>1</t>
        </is>
      </c>
      <c r="J23" s="18"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(Paracetamol 500 mg จำนวน 100 เม็ด):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(ยาเหน็บ glycerin 10 เม็ด): ข้อนี้ไม่ใช่คำตอบที่ถูกต้องสำหรับภาวะ Pharmacy Laws &amp; Ethics เนื่องจากกลไกการออกฤทธิ์, efficacy หรือข้อบ่งใช้ไม่ตรงกับโจทย์ที่กำหนด
• ข้อ ง. (น้ำเกลือ 500 ml): ข้อนี้ไม่ใช่คำตอบที่ถูกต้องสำหรับภาวะ Pharmacy Laws &amp; Ethics เนื่องจากกลไกการออกฤทธิ์, efficacy หรือข้อบ่งใช้ไม่ตรงกับโจทย์ที่กำหนด
• ข้อ จ. (ORS ผสมน้ำ 250 ml):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8" t="inlineStr"/>
      <c r="L23" s="18" t="inlineStr">
        <is>
          <t>Pharmacy Laws &amp; Ethics</t>
        </is>
      </c>
      <c r="M23" s="18" t="inlineStr">
        <is>
          <t>SAP</t>
        </is>
      </c>
      <c r="N23" s="18" t="inlineStr">
        <is>
          <t>PLE_CC1_2567_Key ข้อ 92</t>
        </is>
      </c>
      <c r="O23" s="18" t="inlineStr">
        <is>
          <t>ข้อสอบจริง</t>
        </is>
      </c>
      <c r="P23" s="18" t="inlineStr">
        <is>
          <t>ปี 2567</t>
        </is>
      </c>
      <c r="Q23" s="18" t="inlineStr">
        <is>
          <t>ยาล้างตา 150 ml</t>
        </is>
      </c>
    </row>
    <row r="24">
      <c r="A24" s="15" t="inlineStr">
        <is>
          <t>46</t>
        </is>
      </c>
      <c r="B24" s="18" t="inlineStr">
        <is>
          <t>การทดสอบข้อใดต่อไปนี้ ไม่ได้มีข้อกำหนดเกณฑ์ผ่านที่ชัดเจนใน USP</t>
        </is>
      </c>
      <c r="C24" s="18" t="inlineStr"/>
      <c r="D24" s="18" t="inlineStr">
        <is>
          <t>Type I Borosilicate Glass Ampoule</t>
        </is>
      </c>
      <c r="E24" s="18" t="inlineStr">
        <is>
          <t>Accelerated Stability Testing (40 C / 75% RH)</t>
        </is>
      </c>
      <c r="F24" s="18" t="inlineStr">
        <is>
          <t>Long-term Stability Testing (30 C / 65% RH)</t>
        </is>
      </c>
      <c r="G24" s="18" t="inlineStr">
        <is>
          <t>Differential Scanning Calorimetry (DSC) Polymorphism</t>
        </is>
      </c>
      <c r="H24" s="18" t="inlineStr">
        <is>
          <t>Moisture Sorption Isotherm analysis</t>
        </is>
      </c>
      <c r="I24" s="15" t="inlineStr">
        <is>
          <t>1</t>
        </is>
      </c>
      <c r="J24" s="18"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8" t="inlineStr"/>
      <c r="L24" s="18" t="inlineStr">
        <is>
          <t>Preformulation &amp; Stability</t>
        </is>
      </c>
      <c r="M24" s="18" t="inlineStr">
        <is>
          <t>Product</t>
        </is>
      </c>
      <c r="N24" s="18" t="inlineStr">
        <is>
          <t>PLE_CC1_2567_Key ข้อ 94</t>
        </is>
      </c>
      <c r="O24" s="18" t="inlineStr">
        <is>
          <t>ข้อสอบจริง</t>
        </is>
      </c>
      <c r="P24" s="18" t="inlineStr">
        <is>
          <t>ปี 2567</t>
        </is>
      </c>
      <c r="Q24" s="18" t="inlineStr">
        <is>
          <t>dissolution</t>
        </is>
      </c>
    </row>
    <row r="25">
      <c r="A25" s="15" t="inlineStr">
        <is>
          <t>47</t>
        </is>
      </c>
      <c r="B25" s="18" t="inlineStr">
        <is>
          <t>ในสูตรตำรับยาชนิดหนึ่งซึ่งมีส6วนประกอบ ได@แก6: - Fluticasone - Sodium carboxymethylcellulose (NaCMC) - Starch - Benzalkonium chloride (BAK) - Hydroxypropyl methylcellulose (HPMC) มีการตรวจสอบพบว6า ขนาดของอนุภาคเพิ่มขึ้นจาก 250 นาโนเมตรเปeน 500 นาโนเมตรภายใน 30 วัน หลังการ เตรียมตำรับ ข@อใดต6อไปนี้อธิบายสถานการณlนี้ได@ถูกต@องที่สุด</t>
        </is>
      </c>
      <c r="C25" s="18" t="inlineStr"/>
      <c r="D25" s="18" t="inlineStr">
        <is>
          <t>N-acetylcysteine 600 mg OD</t>
        </is>
      </c>
      <c r="E25" s="18" t="inlineStr">
        <is>
          <t>Beclomethasone MDI 100 mcg BID</t>
        </is>
      </c>
      <c r="F25" s="18" t="inlineStr">
        <is>
          <t>Salbutamol MDI 2 puffs PRN</t>
        </is>
      </c>
      <c r="G25" s="18" t="inlineStr">
        <is>
          <t>Budesonide/Formoterol 160/4.5 mcg DPI BID</t>
        </is>
      </c>
      <c r="H25" s="18" t="inlineStr">
        <is>
          <t>Fluticasone/Salmeterol 250/50 mcg DPI BID</t>
        </is>
      </c>
      <c r="I25" s="15" t="inlineStr">
        <is>
          <t>1</t>
        </is>
      </c>
      <c r="J25" s="18" t="inlineStr">
        <is>
          <t>✅ คำตอบที่ถูกต้อง: ข้อ ก. N-acetylcysteine 600 mg OD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 s="18" t="inlineStr"/>
      <c r="L25" s="18" t="inlineStr">
        <is>
          <t>Pulmonary Diseases</t>
        </is>
      </c>
      <c r="M25" s="18" t="inlineStr">
        <is>
          <t>Clinic</t>
        </is>
      </c>
      <c r="N25" s="18" t="inlineStr">
        <is>
          <t>PLE_CC1_2567_Key ข้อ 100</t>
        </is>
      </c>
      <c r="O25" s="18" t="inlineStr">
        <is>
          <t>ข้อสอบจริง</t>
        </is>
      </c>
      <c r="P25" s="18" t="inlineStr">
        <is>
          <t>ปี 2567</t>
        </is>
      </c>
      <c r="Q25" s="18" t="inlineStr">
        <is>
          <t>*จำ choice ไม6ได@* ระหว6างอนุภาคมากกว6าแรงผลัก อนุภาคจะจับกันเกิด aggregation</t>
        </is>
      </c>
    </row>
    <row r="26">
      <c r="A26" s="15" t="inlineStr">
        <is>
          <t>48</t>
        </is>
      </c>
      <c r="B26" s="18" t="inlineStr">
        <is>
          <t>ชายอายุ 28 ปผ มาขอซื้อยา tramadol เพื่อบรรเทาปวดของโรคประจำตัว และต@องการพกติดตัวไป ต6างประเทศ เภสัชกรจึงจ6ายยาให@ไป 30 เม็ด พร@อมเขียนข@อบ6งใช@ วิธีบริหารยาและข@อควรระวัง จากสถานการณl ดังกล6าวข@อใดถูกต@อง</t>
        </is>
      </c>
      <c r="C26" s="18" t="inlineStr"/>
      <c r="D26" s="18" t="inlineStr">
        <is>
          <t>Dimercaprol (BAL) 3 mg/kg IM</t>
        </is>
      </c>
      <c r="E26" s="18" t="inlineStr">
        <is>
          <t>สามารถขายได@ ไม6ผิดกฎหมาย ผิดจรรยาบรรณ</t>
        </is>
      </c>
      <c r="F26" s="18" t="inlineStr">
        <is>
          <t>ไม6สามารถขายได@ ผิดกฎหมาย ผิดจรรยาบรรณ</t>
        </is>
      </c>
      <c r="G26" s="18" t="inlineStr">
        <is>
          <t>สามารถขายได@ ไม6ผิดกฎหมาย ไม6ผิดจรรยาบรรณ</t>
        </is>
      </c>
      <c r="H26" s="18" t="inlineStr">
        <is>
          <t>ไม6สามารถขายได@ ผิดกฎหมาย ไม6ผิดจรรยาบรรณ</t>
        </is>
      </c>
      <c r="I26" s="15" t="inlineStr">
        <is>
          <t>1</t>
        </is>
      </c>
      <c r="J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(สามารถขายได@ ไม6ผิดกฎหมาย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ค. (ไม6สามารถขายได@ 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(สามารถขายได@ ไม6ผิดกฎหมาย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จ. (ไม6สามารถขายได@ 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8" t="inlineStr"/>
      <c r="L26" s="18" t="inlineStr">
        <is>
          <t>General Therapeutics</t>
        </is>
      </c>
      <c r="M26" s="18" t="inlineStr">
        <is>
          <t>Clinic</t>
        </is>
      </c>
      <c r="N26" s="18" t="inlineStr">
        <is>
          <t>PLE_CC1_2567_Key ข้อ 102</t>
        </is>
      </c>
      <c r="O26" s="18" t="inlineStr">
        <is>
          <t>ข้อสอบจริง</t>
        </is>
      </c>
      <c r="P26" s="18" t="inlineStr">
        <is>
          <t>ปี 2567</t>
        </is>
      </c>
      <c r="Q26" s="18" t="inlineStr">
        <is>
          <t>ไม6สามารถขายได@ ไม6ผิดกฎหมาย ผิดจรรยาบรรณ Tramadol เปeนยาควบคุมพิเศษ ต@องมีใบสั่งแพทยlเท6านั้นถึงจะจ6ายได@ ดังนั้นการจ6ายโดยไม6มีใบสั่งแพทยlเปeนทั้งผิดกฎหมายและผิดจรรยาบรรณ</t>
        </is>
      </c>
    </row>
    <row r="27">
      <c r="A27" s="15" t="inlineStr">
        <is>
          <t>49</t>
        </is>
      </c>
      <c r="B27" s="18" t="inlineStr">
        <is>
          <t>Edetate disodium ทำหน้าที่อะไรในตำรับ ㅣ หมายAงยา3BดเDน Narrow therapeutic index FงGอง9การHดตามใก)Iด</t>
        </is>
      </c>
      <c r="C27" s="18" t="inlineStr"/>
      <c r="D27" s="18" t="inlineStr">
        <is>
          <t>N-acetylcysteine (NAC) IV infusion protocol</t>
        </is>
      </c>
      <c r="E27" s="18" t="inlineStr">
        <is>
          <t>Enalapril</t>
        </is>
      </c>
      <c r="F27" s="18" t="inlineStr">
        <is>
          <t>Amlodipine</t>
        </is>
      </c>
      <c r="G27" s="18" t="inlineStr">
        <is>
          <t>Metformin</t>
        </is>
      </c>
      <c r="H27" s="18" t="inlineStr">
        <is>
          <t>Theophylline</t>
        </is>
      </c>
      <c r="I27" s="15" t="inlineStr">
        <is>
          <t>1</t>
        </is>
      </c>
      <c r="J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 s="18" t="inlineStr"/>
      <c r="L27" s="18" t="inlineStr">
        <is>
          <t>General Therapeutics</t>
        </is>
      </c>
      <c r="M27" s="18" t="inlineStr">
        <is>
          <t>Clinic</t>
        </is>
      </c>
      <c r="N27" s="18" t="inlineStr">
        <is>
          <t>PLE_CC1_2567_Set1_Key ข้อ 7</t>
        </is>
      </c>
      <c r="O27" s="18" t="inlineStr">
        <is>
          <t>ข้อสอบจริง</t>
        </is>
      </c>
      <c r="P27" s="18" t="inlineStr">
        <is>
          <t>ปี 2567</t>
        </is>
      </c>
      <c r="Q27" s="18" t="inlineStr">
        <is>
          <t>Tiotropium</t>
        </is>
      </c>
    </row>
    <row r="28">
      <c r="A28" s="15" t="inlineStr">
        <is>
          <t>50</t>
        </is>
      </c>
      <c r="B28" s="18" t="inlineStr">
        <is>
          <t>ข้อใดคือกลไกการออกฤทธิ์ของ Seretide ไม่รู้ตอนนี้คนไข้ได้ยาระดับไหนอยู่ ;-;</t>
        </is>
      </c>
      <c r="C28" s="18" t="inlineStr"/>
      <c r="D28" s="18" t="inlineStr">
        <is>
          <t>Prednisolone 40 mg OD x 5 days</t>
        </is>
      </c>
      <c r="E28" s="18" t="inlineStr">
        <is>
          <t>N-acetylcysteine 600 mg OD</t>
        </is>
      </c>
      <c r="F28" s="18" t="inlineStr">
        <is>
          <t>Beclomethasone MDI 100 mcg BID</t>
        </is>
      </c>
      <c r="G28" s="18" t="inlineStr">
        <is>
          <t>Salbutamol MDI 2 puffs PRN</t>
        </is>
      </c>
      <c r="H28" s="18" t="inlineStr">
        <is>
          <t>Budesonide/Formoterol 160/4.5 mcg DPI BID</t>
        </is>
      </c>
      <c r="I28" s="15" t="inlineStr">
        <is>
          <t>1</t>
        </is>
      </c>
      <c r="J28" s="18"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18" t="inlineStr"/>
      <c r="L28" s="18" t="inlineStr">
        <is>
          <t>Pulmonary Diseases</t>
        </is>
      </c>
      <c r="M28" s="18" t="inlineStr">
        <is>
          <t>Clinic</t>
        </is>
      </c>
      <c r="N28" s="18" t="inlineStr">
        <is>
          <t>PLE_CC1_2567_Set1_Key ข้อ 28</t>
        </is>
      </c>
      <c r="O28" s="18" t="inlineStr">
        <is>
          <t>ข้อสอบจริง</t>
        </is>
      </c>
      <c r="P28" s="18" t="inlineStr">
        <is>
          <t>ปี 2567</t>
        </is>
      </c>
      <c r="Q28" s="18" t="inlineStr">
        <is>
          <t>*จำ choice ไม่ได้* Salmeterol เป็น beta2-agonist</t>
        </is>
      </c>
    </row>
    <row r="29">
      <c r="A29" s="15" t="inlineStr">
        <is>
          <t>51</t>
        </is>
      </c>
      <c r="B29" s="18" t="inlineStr">
        <is>
          <t>คำแนะนำในข้อใดเหมาะสมกับผู้ป่วยรายนี้ fluticasone/salmeterol</t>
        </is>
      </c>
      <c r="C29" s="18" t="inlineStr"/>
      <c r="D29" s="18" t="inlineStr">
        <is>
          <t>Salbutamol MDI 2 puffs PRN</t>
        </is>
      </c>
      <c r="E29" s="18" t="inlineStr">
        <is>
          <t>Budesonide/Formoterol 160/4.5 mcg DPI BID</t>
        </is>
      </c>
      <c r="F29" s="18" t="inlineStr">
        <is>
          <t>Fluticasone/Salmeterol 250/50 mcg DPI BID</t>
        </is>
      </c>
      <c r="G29" s="18" t="inlineStr">
        <is>
          <t>Tiotropium Respimat 2.5 mcg 2 puffs OD</t>
        </is>
      </c>
      <c r="H29" s="18" t="inlineStr">
        <is>
          <t>Ipratropium/Fenoterol MDI PRN</t>
        </is>
      </c>
      <c r="I29" s="15" t="inlineStr">
        <is>
          <t>1</t>
        </is>
      </c>
      <c r="J29" s="18" t="inlineStr">
        <is>
          <t>✅ คำตอบที่ถูกต้อง: ข้อ ก. Salbutamol MDI 2 puffs PRN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9" s="18" t="inlineStr"/>
      <c r="L29" s="18" t="inlineStr">
        <is>
          <t>Pulmonary Diseases</t>
        </is>
      </c>
      <c r="M29" s="18" t="inlineStr">
        <is>
          <t>Clinic</t>
        </is>
      </c>
      <c r="N29" s="18" t="inlineStr">
        <is>
          <t>PLE_CC1_2567_Set1_Key ข้อ 31</t>
        </is>
      </c>
      <c r="O29" s="18" t="inlineStr">
        <is>
          <t>ข้อสอบจริง</t>
        </is>
      </c>
      <c r="P29" s="18" t="inlineStr">
        <is>
          <t>ปี 2567</t>
        </is>
      </c>
      <c r="Q29" s="18" t="inlineStr">
        <is>
          <t>หลีกเลี่ยงการใช้น้ำตาเทียมที่มีส่วนประกอบของ benzalkonium chloride เมื่อใช้คอนแทคเลนส์</t>
        </is>
      </c>
    </row>
    <row r="30">
      <c r="A30" s="15" t="inlineStr">
        <is>
          <t>52</t>
        </is>
      </c>
      <c r="B30" s="18" t="inlineStr">
        <is>
          <t>ข้อใดเป็น “ปัจจัยที่สามารถปรับเปลี่ยนได้” ที่มีผลต่อการลดความเสี่ยงในการเกิด exacerbation ของโรค มากที่สุดในผู้ป่วยรายนี้</t>
        </is>
      </c>
      <c r="C30" s="18" t="inlineStr"/>
      <c r="D30" s="18" t="inlineStr">
        <is>
          <t>พ.ร.บ. วิชาชีพเภสัชกรรม พ.ศ. 2537 และข้อบังคับจรรยาบรรณวิชาชีพ</t>
        </is>
      </c>
      <c r="E30" s="18" t="inlineStr">
        <is>
          <t>พ.ร.บ. ผลิตภัณฑ์สมุนไพร พ.ศ. 2562</t>
        </is>
      </c>
      <c r="F30" s="18" t="inlineStr">
        <is>
          <t>พ.ร.บ. เครื่องสำอาง พ.ศ. 2558</t>
        </is>
      </c>
      <c r="G30" s="18" t="inlineStr">
        <is>
          <t>พ.ร.บ. หลักประกันสุขภาพแห่งชาติ พ.ศ. 2545</t>
        </is>
      </c>
      <c r="H30" s="18" t="inlineStr">
        <is>
          <t>การปฏิบัติทางเภสัชกรรมชุมชน (Good Pharmacy Practice: GPP)</t>
        </is>
      </c>
      <c r="I30" s="15" t="inlineStr">
        <is>
          <t>1</t>
        </is>
      </c>
      <c r="J30"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8" t="inlineStr"/>
      <c r="L30" s="18" t="inlineStr">
        <is>
          <t>Pharmacy Laws &amp; Ethics</t>
        </is>
      </c>
      <c r="M30" s="18" t="inlineStr">
        <is>
          <t>SAP</t>
        </is>
      </c>
      <c r="N30" s="18" t="inlineStr">
        <is>
          <t>PLE_CC1_2567_Set1_Key ข้อ 27</t>
        </is>
      </c>
      <c r="O30" s="18" t="inlineStr">
        <is>
          <t>ข้อสอบจริง</t>
        </is>
      </c>
      <c r="P30" s="18" t="inlineStr">
        <is>
          <t>ปี 2567</t>
        </is>
      </c>
      <c r="Q30" s="18" t="inlineStr">
        <is>
          <t>Polymyxin B &amp;</t>
        </is>
      </c>
    </row>
    <row r="31">
      <c r="A31" s="15" t="inlineStr">
        <is>
          <t>53</t>
        </is>
      </c>
      <c r="B31" s="18" t="inlineStr">
        <is>
          <t>ยาใดที่ควรรับประทานหลีกเลี่ยงร่วมกับยาลดกรด</t>
        </is>
      </c>
      <c r="C31" s="18" t="inlineStr"/>
      <c r="D31" s="18" t="inlineStr">
        <is>
          <t>N-acetylcysteine (NAC) IV infusion protocol</t>
        </is>
      </c>
      <c r="E31" s="18" t="inlineStr">
        <is>
          <t>ใช้ต่อไปอีก 1 สัปดาห์</t>
        </is>
      </c>
      <c r="F31" s="18" t="inlineStr">
        <is>
          <t>fluconazole กิน 150 มก 2 เม็ด ทุกสัปดาห์</t>
        </is>
      </c>
      <c r="G31" s="18" t="inlineStr">
        <is>
          <t>Acyclovir 200 mg 5 เม็ด เป็นเวลา 7-10 วัน</t>
        </is>
      </c>
      <c r="H31" s="18" t="inlineStr">
        <is>
          <t>จำ choice ไม่ได้</t>
        </is>
      </c>
      <c r="I31" s="15" t="inlineStr">
        <is>
          <t>1</t>
        </is>
      </c>
      <c r="J31" s="18"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GI Disorders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 s="18" t="inlineStr"/>
      <c r="L31" s="18" t="inlineStr">
        <is>
          <t>GI Disorders</t>
        </is>
      </c>
      <c r="M31" s="18" t="inlineStr">
        <is>
          <t>Clinic</t>
        </is>
      </c>
      <c r="N31" s="18" t="inlineStr">
        <is>
          <t>PLE_CC1_2567_Set1_Key ข้อ 44</t>
        </is>
      </c>
      <c r="O31" s="18" t="inlineStr">
        <is>
          <t>ข้อสอบจริง</t>
        </is>
      </c>
      <c r="P31" s="18" t="inlineStr">
        <is>
          <t>ปี 2567</t>
        </is>
      </c>
      <c r="Q31" s="18" t="inlineStr">
        <is>
          <t>*จำ choice ไม่ได้*</t>
        </is>
      </c>
    </row>
    <row r="32">
      <c r="A32" s="15" t="inlineStr">
        <is>
          <t>54</t>
        </is>
      </c>
      <c r="B32" s="18" t="inlineStr">
        <is>
          <t>Stearic acid = Diluent</t>
        </is>
      </c>
      <c r="C32" s="18" t="inlineStr"/>
      <c r="D32" s="18" t="inlineStr">
        <is>
          <t>Enteric Coating with Cellulose acetate phthalate (CAP)</t>
        </is>
      </c>
      <c r="E32" s="18" t="inlineStr">
        <is>
          <t>Hard Gelatin Capsule filling</t>
        </is>
      </c>
      <c r="F32" s="18" t="inlineStr">
        <is>
          <t>Soft Gelatin Capsule encapsulation</t>
        </is>
      </c>
      <c r="G32" s="18" t="inlineStr">
        <is>
          <t>Microcrystalline cellulose</t>
        </is>
      </c>
      <c r="H32" s="18" t="inlineStr">
        <is>
          <t>Magnesium stearate (Lubricant 1%)</t>
        </is>
      </c>
      <c r="I32" s="15" t="inlineStr">
        <is>
          <t>1</t>
        </is>
      </c>
      <c r="J32" s="1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8" t="inlineStr"/>
      <c r="L32" s="18" t="inlineStr">
        <is>
          <t>Solid Dosage Forms</t>
        </is>
      </c>
      <c r="M32" s="18" t="inlineStr">
        <is>
          <t>Product</t>
        </is>
      </c>
      <c r="N32" s="18" t="inlineStr">
        <is>
          <t>PLE_CC1_2567_Set1_Key ข้อ 2</t>
        </is>
      </c>
      <c r="O32" s="18" t="inlineStr">
        <is>
          <t>ข้อสอบจริง</t>
        </is>
      </c>
      <c r="P32" s="18" t="inlineStr">
        <is>
          <t>ปี 2567</t>
        </is>
      </c>
    </row>
    <row r="33">
      <c r="A33" s="15" t="inlineStr">
        <is>
          <t>55</t>
        </is>
      </c>
      <c r="B33" s="18" t="inlineStr">
        <is>
          <t>Colloidal silicon dioxide (Aerosil) = Surfactant</t>
        </is>
      </c>
      <c r="C33" s="18" t="inlineStr"/>
      <c r="D33" s="18" t="inlineStr">
        <is>
          <t>Microcrystalline cellulose</t>
        </is>
      </c>
      <c r="E33" s="18" t="inlineStr">
        <is>
          <t>Magnesium stearate (Lubricant 1%)</t>
        </is>
      </c>
      <c r="F33" s="18" t="inlineStr">
        <is>
          <t>Sodium starch glycolate (Superdisintegrant)</t>
        </is>
      </c>
      <c r="G33" s="18" t="inlineStr">
        <is>
          <t>Direct Compression tableting method</t>
        </is>
      </c>
      <c r="H33" s="18" t="inlineStr">
        <is>
          <t>Wet Granulation tableting method</t>
        </is>
      </c>
      <c r="I33" s="15" t="inlineStr">
        <is>
          <t>1</t>
        </is>
      </c>
      <c r="J33" s="1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8" t="inlineStr"/>
      <c r="L33" s="18" t="inlineStr">
        <is>
          <t>Solid Dosage Forms</t>
        </is>
      </c>
      <c r="M33" s="18" t="inlineStr">
        <is>
          <t>Product</t>
        </is>
      </c>
      <c r="N33" s="18" t="inlineStr">
        <is>
          <t>PLE_CC1_2567_Set1_Key ข้อ 4</t>
        </is>
      </c>
      <c r="O33" s="18" t="inlineStr">
        <is>
          <t>ข้อสอบจริง</t>
        </is>
      </c>
      <c r="P33" s="18" t="inlineStr">
        <is>
          <t>ปี 2567</t>
        </is>
      </c>
    </row>
    <row r="34">
      <c r="A34" s="15" t="inlineStr">
        <is>
          <t>56</t>
        </is>
      </c>
      <c r="B34" s="18" t="inlineStr">
        <is>
          <t>ข้อใดเป็นยาที่สามารถใช้รักษา mild SLE ได้ดีและปลอดภัยในหญิงตั้งครรภ์ &amp; บุหรี่ 1 ซอง = 20 มวน คนไข้สูบบุหรี่ 40 มวน/วัน</t>
        </is>
      </c>
      <c r="C34" s="18" t="inlineStr"/>
      <c r="D34" s="18" t="inlineStr">
        <is>
          <t>Montelukast 10 mg HS</t>
        </is>
      </c>
      <c r="E34" s="18" t="inlineStr">
        <is>
          <t>Theophylline 200 mg BID</t>
        </is>
      </c>
      <c r="F34" s="18" t="inlineStr">
        <is>
          <t>Prednisolone 40 mg OD x 5 days</t>
        </is>
      </c>
      <c r="G34" s="18" t="inlineStr">
        <is>
          <t>N-acetylcysteine 600 mg OD</t>
        </is>
      </c>
      <c r="H34" s="18" t="inlineStr">
        <is>
          <t>Beclomethasone MDI 100 mcg BID</t>
        </is>
      </c>
      <c r="I34" s="15" t="inlineStr">
        <is>
          <t>1</t>
        </is>
      </c>
      <c r="J34" s="18"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4" s="18" t="inlineStr"/>
      <c r="L34" s="18" t="inlineStr">
        <is>
          <t>Pulmonary Diseases</t>
        </is>
      </c>
      <c r="M34" s="18" t="inlineStr">
        <is>
          <t>Clinic</t>
        </is>
      </c>
      <c r="N34" s="18" t="inlineStr">
        <is>
          <t>PLE_CC1_2567_Set1_Key ข้อ 58</t>
        </is>
      </c>
      <c r="O34" s="18" t="inlineStr">
        <is>
          <t>ข้อสอบจริง</t>
        </is>
      </c>
      <c r="P34" s="18" t="inlineStr">
        <is>
          <t>ปี 2567</t>
        </is>
      </c>
      <c r="Q34" s="18" t="inlineStr">
        <is>
          <t>ติดนิโคตินระดับรุนแรง</t>
        </is>
      </c>
    </row>
    <row r="35">
      <c r="A35" s="15" t="inlineStr">
        <is>
          <t>57</t>
        </is>
      </c>
      <c r="B35" s="18" t="inlineStr">
        <is>
          <t>ข้อใดเป็นคำแนะนำที่ไม่เหมาะสมสำหรับการใช้หมากฝรั่งนิโคตินในผู้ป่วยรายนี้ ไม้มึกรวมต่งใจจ ควรใ% TA 0.02% ทาบ)เวณ,วห.ง0บาง เ1น ใบห3า TA 0.1% ทา,วห.ง4วไป</t>
        </is>
      </c>
      <c r="C35" s="18" t="inlineStr"/>
      <c r="D35" s="18" t="inlineStr">
        <is>
          <t>N-acetylcysteine (NAC) IV infusion protocol</t>
        </is>
      </c>
      <c r="E35" s="18" t="inlineStr">
        <is>
          <t>HCQ (Hydroxychloroquine)</t>
        </is>
      </c>
      <c r="F35" s="18" t="inlineStr">
        <is>
          <t>MTX (Methotrexate)</t>
        </is>
      </c>
      <c r="G35" s="18" t="inlineStr">
        <is>
          <t>cyclophosphamide</t>
        </is>
      </c>
      <c r="H35" s="18" t="inlineStr">
        <is>
          <t>mycophenolate mofetil</t>
        </is>
      </c>
      <c r="I35" s="15" t="inlineStr">
        <is>
          <t>1</t>
        </is>
      </c>
      <c r="J35" s="18"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(HCQ (Hydroxychloroquine)): เป็น csDMARD ที่ปลอดภัยต่อตับและหญิงตั้งครรภ์ แต่ต้อง monitoring retinal toxicity (ตาบอด) ทุกปีหลังใช้เกิน 5 ปี
• ข้อ ค. (MTX (Methotrexate)): เป็น anchor csDMARD สำหรับ Rheumatoid arthritis ยับยั้ง dihydrofolate reductase ต้องให้ Folic acid เสริม และห้ามใช้ในหญิงตั้งครรภ์ (contraindication / teratogenic)
• ข้อ ง. (cyclophosphamide): ข้อนี้ไม่ใช่คำตอบที่ถูกต้องสำหรับภาวะ Pulmonary Diseases เนื่องจากกลไกการออกฤทธิ์, efficacy หรือข้อบ่งใช้ไม่ตรงกับโจทย์ที่กำหนด
• ข้อ จ. (mycophenolate mofetil):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 s="18" t="inlineStr"/>
      <c r="L35" s="18" t="inlineStr">
        <is>
          <t>Pulmonary Diseases</t>
        </is>
      </c>
      <c r="M35" s="18" t="inlineStr">
        <is>
          <t>Clinic</t>
        </is>
      </c>
      <c r="N35" s="18" t="inlineStr">
        <is>
          <t>PLE_CC1_2567_Set1_Key ข้อ 62</t>
        </is>
      </c>
      <c r="O35" s="18" t="inlineStr">
        <is>
          <t>ข้อสอบจริง</t>
        </is>
      </c>
      <c r="P35" s="18" t="inlineStr">
        <is>
          <t>ปี 2567</t>
        </is>
      </c>
      <c r="Q35" s="18" t="inlineStr">
        <is>
          <t>Rituximab</t>
        </is>
      </c>
    </row>
    <row r="36">
      <c r="A36" s="15" t="inlineStr">
        <is>
          <t>58</t>
        </is>
      </c>
      <c r="B36" s="18" t="inlineStr">
        <is>
          <t>ยาเดี่ยวและสูตรผสมของ pseudoephedrine ข้อใดถูกต้อง</t>
        </is>
      </c>
      <c r="C36" s="18" t="inlineStr"/>
      <c r="D36" s="18" t="inlineStr">
        <is>
          <t>พ.ร.บ. ยาเสพติดให้โทษ พ.ศ. 2522 (ยาเสพติดให้โทษประเภท 2 และ 3)</t>
        </is>
      </c>
      <c r="E36" s="18" t="inlineStr">
        <is>
          <t>พ.ร.บ. วัตถุที่ออกฤทธิ์ต่อจิตและประสาท พ.ศ. 2559 (ประเภท 2 และ 4)</t>
        </is>
      </c>
      <c r="F36" s="18" t="inlineStr">
        <is>
          <t>พ.ร.บ. วิชาชีพเภสัชกรรม พ.ศ. 2537 และข้อบังคับจรรยาบรรณวิชาชีพ</t>
        </is>
      </c>
      <c r="G36" s="18" t="inlineStr">
        <is>
          <t>พ.ร.บ. ผลิตภัณฑ์สมุนไพร พ.ศ. 2562</t>
        </is>
      </c>
      <c r="H36" s="18" t="inlineStr">
        <is>
          <t>พ.ร.บ. เครื่องสำอาง พ.ศ. 2558</t>
        </is>
      </c>
      <c r="I36" s="15" t="inlineStr">
        <is>
          <t>1</t>
        </is>
      </c>
      <c r="J36"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8" t="inlineStr"/>
      <c r="L36" s="18" t="inlineStr">
        <is>
          <t>Pharmacy Laws &amp; Ethics</t>
        </is>
      </c>
      <c r="M36" s="18" t="inlineStr">
        <is>
          <t>SAP</t>
        </is>
      </c>
      <c r="N36" s="18" t="inlineStr">
        <is>
          <t>PLE_CC1_2567_Set1_Key ข้อ 66</t>
        </is>
      </c>
      <c r="O36" s="18" t="inlineStr">
        <is>
          <t>ข้อสอบจริง</t>
        </is>
      </c>
      <c r="P36" s="18" t="inlineStr">
        <is>
          <t>ปี 2567</t>
        </is>
      </c>
      <c r="Q36" s="18" t="inlineStr">
        <is>
          <t>Polacrilex (cation exchange resin)</t>
        </is>
      </c>
    </row>
    <row r="37">
      <c r="A37" s="15" t="inlineStr">
        <is>
          <t>59</t>
        </is>
      </c>
      <c r="B37" s="18" t="inlineStr">
        <is>
          <t>หมู่ฟังก์ชันใดของ Hypromellose ช่วยเรื่องความชุ่มชื้นในดวงต X</t>
        </is>
      </c>
      <c r="C37" s="18" t="inlineStr"/>
      <c r="D37" s="18" t="inlineStr">
        <is>
          <t>Sodium thiosulfate 25% 50 mL IV</t>
        </is>
      </c>
      <c r="E37" s="18" t="inlineStr">
        <is>
          <t>Calcium disodium EDTA 1 g IV</t>
        </is>
      </c>
      <c r="F37" s="18" t="inlineStr">
        <is>
          <t>Desferrioxamine 1 g IM/IV</t>
        </is>
      </c>
      <c r="G37" s="18" t="inlineStr">
        <is>
          <t>Dimercaprol (BAL) 3 mg/kg IM</t>
        </is>
      </c>
      <c r="H37" s="18" t="inlineStr">
        <is>
          <t>Ethanol 10% IV infusion for Methanol poisoning</t>
        </is>
      </c>
      <c r="I37" s="15" t="inlineStr">
        <is>
          <t>1</t>
        </is>
      </c>
      <c r="J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18" t="inlineStr"/>
      <c r="L37" s="18" t="inlineStr">
        <is>
          <t>General Therapeutics</t>
        </is>
      </c>
      <c r="M37" s="18" t="inlineStr">
        <is>
          <t>Clinic</t>
        </is>
      </c>
      <c r="N37" s="18" t="inlineStr">
        <is>
          <t>PLE_CC1_2567_Set1_Key ข้อ 65</t>
        </is>
      </c>
      <c r="O37" s="18" t="inlineStr">
        <is>
          <t>ข้อสอบจริง</t>
        </is>
      </c>
      <c r="P37" s="18" t="inlineStr">
        <is>
          <t>ปี 2567</t>
        </is>
      </c>
    </row>
    <row r="38">
      <c r="A38" s="15" t="inlineStr">
        <is>
          <t>60</t>
        </is>
      </c>
      <c r="B38" s="18" t="inlineStr">
        <is>
          <t>จากอาการและประวัติของผู้ป่วย ข้อใด น่าจะเป็นกลไกการแพ้ยาที่เกี่ยวข้องมากที่สุด?</t>
        </is>
      </c>
      <c r="C38" s="18" t="inlineStr"/>
      <c r="D38" s="18" t="inlineStr">
        <is>
          <t>Montelukast 10 mg HS</t>
        </is>
      </c>
      <c r="E38" s="18" t="inlineStr">
        <is>
          <t>Hydroxyzine 25 mg HS</t>
        </is>
      </c>
      <c r="F38" s="18" t="inlineStr">
        <is>
          <t>Diphenhydramine 25 mg IV</t>
        </is>
      </c>
      <c r="G38" s="18" t="inlineStr">
        <is>
          <t>Cetirizine 10 mg OD</t>
        </is>
      </c>
      <c r="H38" s="18" t="inlineStr">
        <is>
          <t>Loratadine 10 mg OD</t>
        </is>
      </c>
      <c r="I38" s="15" t="inlineStr">
        <is>
          <t>1</t>
        </is>
      </c>
      <c r="J38" s="18"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8" t="inlineStr"/>
      <c r="L38" s="18" t="inlineStr">
        <is>
          <t>Allergy &amp; Immunology</t>
        </is>
      </c>
      <c r="M38" s="18" t="inlineStr">
        <is>
          <t>Clinic</t>
        </is>
      </c>
      <c r="N38" s="18" t="inlineStr">
        <is>
          <t>PLE_CC1_2567_Set1_Key ข้อ 78</t>
        </is>
      </c>
      <c r="O38" s="18" t="inlineStr">
        <is>
          <t>ข้อสอบจริง</t>
        </is>
      </c>
      <c r="P38" s="18" t="inlineStr">
        <is>
          <t>ปี 2567</t>
        </is>
      </c>
    </row>
    <row r="39">
      <c r="A39" s="15" t="inlineStr">
        <is>
          <t>61</t>
        </is>
      </c>
      <c r="B39" s="18" t="inlineStr">
        <is>
          <t>การรักษาใดไม่เหมาะสมในผู้ป่วยรายนี้ เ^มเ_ม ยา`นR Phosphate aห,บ Tenofovir ยา`นR Phosphate 1 ห]อbแcวฉะQน active form จะdอ Tenofovir-diphosphate (แWR phosphate 3 ห]นะ) แ"เพราะ(งไ+,บยา Ceftriaxone</t>
        </is>
      </c>
      <c r="C39" s="18" t="inlineStr"/>
      <c r="D39" s="18" t="inlineStr">
        <is>
          <t>N-acetylcysteine (NAC) IV infusion protocol</t>
        </is>
      </c>
      <c r="E39" s="18" t="inlineStr">
        <is>
          <t>Desensitization</t>
        </is>
      </c>
      <c r="F39" s="18" t="inlineStr">
        <is>
          <t>IVIG</t>
        </is>
      </c>
      <c r="G39" s="18" t="inlineStr">
        <is>
          <t>CPM + Ranitidine</t>
        </is>
      </c>
      <c r="H39" s="18" t="inlineStr">
        <is>
          <t>Dimenhydrinate</t>
        </is>
      </c>
      <c r="I39" s="15" t="inlineStr">
        <is>
          <t>1</t>
        </is>
      </c>
      <c r="J39" s="18" t="inlineStr">
        <is>
          <t>✅ คำตอบที่ถูกต้อง: ข้อ ก. N-acetylcysteine (NAC) IV infusion protocol
💡 Background:
การดูแลผู้ติดเชื้อ HIV เน้นเริ่ม Antiretroviral Therapy (ART) ทันทีเพื่อกด viral load ให้ undetectable (U=U) และฟื้นฟูระบบภูมิคุ้มกัน
🎯 ทำไมข้อนี้ถึงถูก:
N-acetylcysteine (NAC) IV infusion protocol การเลือก N-acetylcysteine (NAC) IV infusion protocol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Infectious Diseases เนื่องจากกลไกการออกฤทธิ์, efficacy หรือข้อบ่งใช้ไม่ตรงกับโจทย์ที่กำหนด
• ข้อ ค. (IVIG): ข้อนี้ไม่ใช่คำตอบที่ถูกต้องสำหรับภาวะ Infectious Diseases เนื่องจากกลไกการออกฤทธิ์, efficacy หรือข้อบ่งใช้ไม่ตรงกับโจทย์ที่กำหนด
• ข้อ ง. (CPM + Ranitidine): ข้อนี้ไม่ใช่คำตอบที่ถูกต้องสำหรับภาวะ Infectious Diseases เนื่องจากกลไกการออกฤทธิ์, efficacy หรือข้อบ่งใช้ไม่ตรงกับโจทย์ที่กำหนด
• ข้อ จ. (Dimenhydrinate):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9" s="18" t="inlineStr"/>
      <c r="L39" s="18" t="inlineStr">
        <is>
          <t>Infectious Diseases</t>
        </is>
      </c>
      <c r="M39" s="18" t="inlineStr">
        <is>
          <t>Clinic</t>
        </is>
      </c>
      <c r="N39" s="18" t="inlineStr">
        <is>
          <t>PLE_CC1_2567_Set1_Key ข้อ 79</t>
        </is>
      </c>
      <c r="O39" s="18" t="inlineStr">
        <is>
          <t>ข้อสอบจริง</t>
        </is>
      </c>
      <c r="P39" s="18" t="inlineStr">
        <is>
          <t>ปี 2567</t>
        </is>
      </c>
      <c r="Q39" s="18" t="inlineStr">
        <is>
          <t>Dexamethasone :ในรายแ0แบบ IgE &lt;ห&gt;บ Type IV เ@น TEN จากแนวทางการ*+จ,ย./วยแ0ยา ของโรงพยาบาลรามา8บ9 https://www.rama.mahidol.ac.th/med/sites/default/ﬁles/public/pdf/ medicinebook1/ Patients%20with%20drug%20allergy%20and%20hypersensitivity.pdf Antihistamine (H2 blockers / 0วม3บ H1 blockers ไ+)</t>
        </is>
      </c>
    </row>
    <row r="40">
      <c r="A40" s="15" t="inlineStr">
        <is>
          <t>62</t>
        </is>
      </c>
      <c r="B40" s="18" t="inlineStr">
        <is>
          <t>การควบคุมสภาวะเร่ง</t>
        </is>
      </c>
      <c r="C40" s="18" t="inlineStr"/>
      <c r="D40" s="18" t="inlineStr">
        <is>
          <t>Type I Borosilicate Glass Ampoule</t>
        </is>
      </c>
      <c r="E40" s="18" t="inlineStr">
        <is>
          <t>Accelerated Stability Testing (40 C / 75% RH)</t>
        </is>
      </c>
      <c r="F40" s="18" t="inlineStr">
        <is>
          <t>Long-term Stability Testing (30 C / 65% RH)</t>
        </is>
      </c>
      <c r="G40" s="18" t="inlineStr">
        <is>
          <t>Differential Scanning Calorimetry (DSC) Polymorphism</t>
        </is>
      </c>
      <c r="H40" s="18" t="inlineStr">
        <is>
          <t>Moisture Sorption Isotherm analysis</t>
        </is>
      </c>
      <c r="I40" s="15" t="inlineStr">
        <is>
          <t>1</t>
        </is>
      </c>
      <c r="J40" s="18"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8" t="inlineStr"/>
      <c r="L40" s="18" t="inlineStr">
        <is>
          <t>Preformulation &amp; Stability</t>
        </is>
      </c>
      <c r="M40" s="18" t="inlineStr">
        <is>
          <t>Product</t>
        </is>
      </c>
      <c r="N40" s="18" t="inlineStr">
        <is>
          <t>PLE_CC1_2567_Set1_Key ข้อ 85</t>
        </is>
      </c>
      <c r="O40" s="18" t="inlineStr">
        <is>
          <t>ข้อสอบจริง</t>
        </is>
      </c>
      <c r="P40" s="18" t="inlineStr">
        <is>
          <t>ปี 2567</t>
        </is>
      </c>
    </row>
    <row r="41">
      <c r="A41" s="15" t="inlineStr">
        <is>
          <t>63</t>
        </is>
      </c>
      <c r="B41" s="18" t="inlineStr">
        <is>
          <t>ผู้ป่วยริดสีดวงทวารที่มีใช้ warfarin ควรเลี่ยงยาในข้อใดต่อไปนี้</t>
        </is>
      </c>
      <c r="C41" s="18" t="inlineStr"/>
      <c r="D41" s="18" t="inlineStr">
        <is>
          <t>Bisoprolol 5 mg OD</t>
        </is>
      </c>
      <c r="E41" s="18" t="inlineStr">
        <is>
          <t>Spironolactone 25 mg OD</t>
        </is>
      </c>
      <c r="F41" s="18" t="inlineStr">
        <is>
          <t>Clopidogrel 75 mg OD</t>
        </is>
      </c>
      <c r="G41" s="18" t="inlineStr">
        <is>
          <t>Aspirin 81 mg OD</t>
        </is>
      </c>
      <c r="H41" s="18" t="inlineStr">
        <is>
          <t>Sacubitril/Valsartan 49/51 mg BID</t>
        </is>
      </c>
      <c r="I41" s="15" t="inlineStr">
        <is>
          <t>1</t>
        </is>
      </c>
      <c r="J41" s="18"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1" s="18" t="inlineStr"/>
      <c r="L41" s="18" t="inlineStr">
        <is>
          <t>Cardiovascular Diseases</t>
        </is>
      </c>
      <c r="M41" s="18" t="inlineStr">
        <is>
          <t>Clinic</t>
        </is>
      </c>
      <c r="N41" s="18" t="inlineStr">
        <is>
          <t>PLE_CC1_2567_Set1_Key ข้อ 87</t>
        </is>
      </c>
      <c r="O41" s="18" t="inlineStr">
        <is>
          <t>ข้อสอบจริง</t>
        </is>
      </c>
      <c r="P41" s="18" t="inlineStr">
        <is>
          <t>ปี 2567</t>
        </is>
      </c>
      <c r="Q41" s="18" t="inlineStr">
        <is>
          <t>Cilostazol</t>
        </is>
      </c>
    </row>
    <row r="42">
      <c r="A42" s="15" t="inlineStr">
        <is>
          <t>64</t>
        </is>
      </c>
      <c r="B42" s="18" t="inlineStr">
        <is>
          <t>การทดสอบข้อใดต่อไปนี้ ไม่ได้มีข้อกำหนดเกณฑ์ผ่านที่ชัดเจนใน USP</t>
        </is>
      </c>
      <c r="C42" s="18" t="inlineStr"/>
      <c r="D42" s="18" t="inlineStr">
        <is>
          <t>Standard Operating Procedure (SOP) Validation</t>
        </is>
      </c>
      <c r="E42" s="18" t="inlineStr">
        <is>
          <t>High-Density Polyethylene (HDPE) Container</t>
        </is>
      </c>
      <c r="F42" s="18" t="inlineStr">
        <is>
          <t>Type I Borosilicate Glass Ampoule</t>
        </is>
      </c>
      <c r="G42" s="18" t="inlineStr">
        <is>
          <t>Accelerated Stability Testing (40 C / 75% RH)</t>
        </is>
      </c>
      <c r="H42" s="18" t="inlineStr">
        <is>
          <t>Long-term Stability Testing (30 C / 65% RH)</t>
        </is>
      </c>
      <c r="I42" s="15" t="inlineStr">
        <is>
          <t>1</t>
        </is>
      </c>
      <c r="J42" s="18"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8" t="inlineStr"/>
      <c r="L42" s="18" t="inlineStr">
        <is>
          <t>Preformulation &amp; Stability</t>
        </is>
      </c>
      <c r="M42" s="18" t="inlineStr">
        <is>
          <t>Product</t>
        </is>
      </c>
      <c r="N42" s="18" t="inlineStr">
        <is>
          <t>PLE_CC1_2567_Set1_Key ข้อ 94</t>
        </is>
      </c>
      <c r="O42" s="18" t="inlineStr">
        <is>
          <t>ข้อสอบจริง</t>
        </is>
      </c>
      <c r="P42" s="18" t="inlineStr">
        <is>
          <t>ปี 2567</t>
        </is>
      </c>
    </row>
    <row r="43">
      <c r="A43" s="15" t="inlineStr">
        <is>
          <t>65</t>
        </is>
      </c>
      <c r="B43" s="18" t="inlineStr">
        <is>
          <t>ชายอายุ 28 ปผ มาขอซื้อยา tramadol เพื่อบรรเทาปวดของโรคประจำตัว และต@องการพกติดตัวไป (Mg²⁺) หรือ อะลูมิเนียม (Alง⁺) ได@มากที่สุด และส6งผลให@ลดการดูดซึมของยาอย6างมีนัยสำคัญ</t>
        </is>
      </c>
      <c r="C43" s="18" t="inlineStr"/>
      <c r="D43" s="18" t="inlineStr">
        <is>
          <t>N-acetylcysteine (NAC) IV infusion protocol</t>
        </is>
      </c>
      <c r="E43" s="18" t="inlineStr">
        <is>
          <t>Atropine sulfate 2 mg IV Q5-10 min</t>
        </is>
      </c>
      <c r="F43" s="18" t="inlineStr">
        <is>
          <t>Pralidoxime (2-PAM) 1-2 g IV over 30 min</t>
        </is>
      </c>
      <c r="G43" s="18" t="inlineStr">
        <is>
          <t>Naloxone 0.4 mg IV stat</t>
        </is>
      </c>
      <c r="H43" s="18" t="inlineStr">
        <is>
          <t>Flumazenil 0.2 mg IV stat</t>
        </is>
      </c>
      <c r="I43" s="15" t="inlineStr">
        <is>
          <t>1</t>
        </is>
      </c>
      <c r="J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3" s="18" t="inlineStr"/>
      <c r="L43" s="18" t="inlineStr">
        <is>
          <t>General Therapeutics</t>
        </is>
      </c>
      <c r="M43" s="18" t="inlineStr">
        <is>
          <t>Clinic</t>
        </is>
      </c>
      <c r="N43" s="18" t="inlineStr">
        <is>
          <t>PLE_CC1_2567_Set1_Key ข้อ 102</t>
        </is>
      </c>
      <c r="O43" s="18" t="inlineStr">
        <is>
          <t>ข้อสอบจริง</t>
        </is>
      </c>
      <c r="P43" s="18" t="inlineStr">
        <is>
          <t>ปี 2567</t>
        </is>
      </c>
    </row>
    <row r="44">
      <c r="A44" s="15" t="inlineStr">
        <is>
          <t>66</t>
        </is>
      </c>
      <c r="B44" s="18" t="inlineStr">
        <is>
          <t>tenofovir + emtricitabine</t>
        </is>
      </c>
      <c r="C44" s="18" t="inlineStr"/>
      <c r="D44" s="18" t="inlineStr">
        <is>
          <t>Amoxicillin/Clavulanate 1 g BID</t>
        </is>
      </c>
      <c r="E44" s="18" t="inlineStr">
        <is>
          <t>Ceftriaxone 1 g IV OD</t>
        </is>
      </c>
      <c r="F44" s="18" t="inlineStr">
        <is>
          <t>Ciprofloxacin 500 mg BID</t>
        </is>
      </c>
      <c r="G44" s="18" t="inlineStr">
        <is>
          <t>Azithromycin 500 mg OD</t>
        </is>
      </c>
      <c r="H44" s="18" t="inlineStr">
        <is>
          <t>Doxycycline 100 mg BID</t>
        </is>
      </c>
      <c r="I44" s="15" t="inlineStr">
        <is>
          <t>1</t>
        </is>
      </c>
      <c r="J44" s="1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8" t="inlineStr"/>
      <c r="L44" s="18" t="inlineStr">
        <is>
          <t>Infectious Diseases</t>
        </is>
      </c>
      <c r="M44" s="18" t="inlineStr">
        <is>
          <t>Clinic</t>
        </is>
      </c>
      <c r="N44" s="18" t="inlineStr">
        <is>
          <t>PLE-CC1 ปี 2566 Day 1 ข้อ 1</t>
        </is>
      </c>
      <c r="O44" s="18" t="inlineStr">
        <is>
          <t>ข้อสอบจริง</t>
        </is>
      </c>
      <c r="P44" s="18" t="inlineStr">
        <is>
          <t>ปี 2566</t>
        </is>
      </c>
    </row>
    <row r="45">
      <c r="A45" s="15" t="inlineStr">
        <is>
          <t>67</t>
        </is>
      </c>
      <c r="B45" s="18" t="inlineStr">
        <is>
          <t>tenofovir + zidovudine</t>
        </is>
      </c>
      <c r="C45" s="18" t="inlineStr"/>
      <c r="D45" s="18" t="inlineStr">
        <is>
          <t>Azithromycin 500 mg OD</t>
        </is>
      </c>
      <c r="E45" s="18" t="inlineStr">
        <is>
          <t>Doxycycline 100 mg BID</t>
        </is>
      </c>
      <c r="F45" s="18" t="inlineStr">
        <is>
          <t>Cotrimoxazole 160/800 mg BID</t>
        </is>
      </c>
      <c r="G45" s="18" t="inlineStr">
        <is>
          <t>Metronidazole 400 mg TID</t>
        </is>
      </c>
      <c r="H45" s="18" t="inlineStr">
        <is>
          <t>Nitrofurantoin 100 mg BID</t>
        </is>
      </c>
      <c r="I45" s="15" t="inlineStr">
        <is>
          <t>1</t>
        </is>
      </c>
      <c r="J45" s="1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8" t="inlineStr"/>
      <c r="L45" s="18" t="inlineStr">
        <is>
          <t>Infectious Diseases</t>
        </is>
      </c>
      <c r="M45" s="18" t="inlineStr">
        <is>
          <t>Clinic</t>
        </is>
      </c>
      <c r="N45" s="18" t="inlineStr">
        <is>
          <t>PLE-CC1 ปี 2566 Day 1 ข้อ 2</t>
        </is>
      </c>
      <c r="O45" s="18" t="inlineStr">
        <is>
          <t>ข้อสอบจริง</t>
        </is>
      </c>
      <c r="P45" s="18" t="inlineStr">
        <is>
          <t>ปี 2566</t>
        </is>
      </c>
    </row>
    <row r="46">
      <c r="A46" s="15" t="inlineStr">
        <is>
          <t>68</t>
        </is>
      </c>
      <c r="B46" s="18" t="inlineStr">
        <is>
          <t>Abacavir + Zidovudine</t>
        </is>
      </c>
      <c r="C46" s="18" t="inlineStr"/>
      <c r="D46" s="18" t="inlineStr">
        <is>
          <t>Metronidazole 400 mg TID</t>
        </is>
      </c>
      <c r="E46" s="18" t="inlineStr">
        <is>
          <t>Nitrofurantoin 100 mg BID</t>
        </is>
      </c>
      <c r="F46" s="18" t="inlineStr">
        <is>
          <t>Tenofovir/Emtricitabine 300/200 mg OD</t>
        </is>
      </c>
      <c r="G46" s="18" t="inlineStr">
        <is>
          <t>Dolutegravir 50 mg OD</t>
        </is>
      </c>
      <c r="H46" s="18" t="inlineStr">
        <is>
          <t>Vancomycin 1 g IV Q12H</t>
        </is>
      </c>
      <c r="I46" s="15" t="inlineStr">
        <is>
          <t>1</t>
        </is>
      </c>
      <c r="J46" s="18"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46" s="18" t="inlineStr"/>
      <c r="L46" s="18" t="inlineStr">
        <is>
          <t>Infectious Diseases</t>
        </is>
      </c>
      <c r="M46" s="18" t="inlineStr">
        <is>
          <t>Clinic</t>
        </is>
      </c>
      <c r="N46" s="18" t="inlineStr">
        <is>
          <t>PLE-CC1 ปี 2566 Day 1 ข้อ 3</t>
        </is>
      </c>
      <c r="O46" s="18" t="inlineStr">
        <is>
          <t>ข้อสอบจริง</t>
        </is>
      </c>
      <c r="P46" s="18" t="inlineStr">
        <is>
          <t>ปี 2566</t>
        </is>
      </c>
    </row>
    <row r="47">
      <c r="A47" s="15" t="inlineStr">
        <is>
          <t>69</t>
        </is>
      </c>
      <c r="B47" s="18" t="inlineStr">
        <is>
          <t>ยาต้านไวรัสตัวใดที่ต้องตรวจวัดurine analysis ซักอย่าง. ตัวเลือก</t>
        </is>
      </c>
      <c r="C47" s="18" t="inlineStr"/>
      <c r="D47" s="18" t="inlineStr">
        <is>
          <t>N-acetylcysteine (NAC) IV infusion protocol</t>
        </is>
      </c>
      <c r="E47" s="18" t="inlineStr">
        <is>
          <t>Atropine sulfate 2 mg IV Q5-10 min</t>
        </is>
      </c>
      <c r="F47" s="18" t="inlineStr">
        <is>
          <t>Pralidoxime (2-PAM) 1-2 g IV over 30 min</t>
        </is>
      </c>
      <c r="G47" s="18" t="inlineStr">
        <is>
          <t>Naloxone 0.4 mg IV stat</t>
        </is>
      </c>
      <c r="H47" s="18" t="inlineStr">
        <is>
          <t>Flumazenil 0.2 mg IV stat</t>
        </is>
      </c>
      <c r="I47" s="15" t="inlineStr">
        <is>
          <t>1</t>
        </is>
      </c>
      <c r="J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7" s="18" t="inlineStr"/>
      <c r="L47" s="18" t="inlineStr">
        <is>
          <t>General Therapeutics</t>
        </is>
      </c>
      <c r="M47" s="18" t="inlineStr">
        <is>
          <t>Clinic</t>
        </is>
      </c>
      <c r="N47" s="18" t="inlineStr">
        <is>
          <t>PLE-CC1 ปี 2566 Day 1 ข้อ 2</t>
        </is>
      </c>
      <c r="O47" s="18" t="inlineStr">
        <is>
          <t>ข้อสอบจริง</t>
        </is>
      </c>
      <c r="P47" s="18" t="inlineStr">
        <is>
          <t>ปี 2566</t>
        </is>
      </c>
    </row>
    <row r="48">
      <c r="A48" s="15" t="inlineStr">
        <is>
          <t>70</t>
        </is>
      </c>
      <c r="B48" s="18" t="inlineStr">
        <is>
          <t>อาหารที่ควรหลีกเลี่ยงเมื่อรับประทานยาdolutegravir . ตัวเลือก</t>
        </is>
      </c>
      <c r="C48" s="18" t="inlineStr"/>
      <c r="D48" s="18" t="inlineStr">
        <is>
          <t>Cefazolin 1 g IV Q8H</t>
        </is>
      </c>
      <c r="E48" s="18" t="inlineStr">
        <is>
          <t>Amoxicillin/Clavulanate 1 g BID</t>
        </is>
      </c>
      <c r="F48" s="18" t="inlineStr">
        <is>
          <t>Ceftriaxone 1 g IV OD</t>
        </is>
      </c>
      <c r="G48" s="18" t="inlineStr">
        <is>
          <t>Ciprofloxacin 500 mg BID</t>
        </is>
      </c>
      <c r="H48" s="18" t="inlineStr">
        <is>
          <t>Azithromycin 500 mg OD</t>
        </is>
      </c>
      <c r="I48" s="15" t="inlineStr">
        <is>
          <t>1</t>
        </is>
      </c>
      <c r="J48" s="18"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48" s="18" t="inlineStr"/>
      <c r="L48" s="18" t="inlineStr">
        <is>
          <t>Infectious Diseases</t>
        </is>
      </c>
      <c r="M48" s="18" t="inlineStr">
        <is>
          <t>Clinic</t>
        </is>
      </c>
      <c r="N48" s="18" t="inlineStr">
        <is>
          <t>PLE-CC1 ปี 2566 Day 1 ข้อ 4</t>
        </is>
      </c>
      <c r="O48" s="18" t="inlineStr">
        <is>
          <t>ข้อสอบจริง</t>
        </is>
      </c>
      <c r="P48" s="18" t="inlineStr">
        <is>
          <t>ปี 2566</t>
        </is>
      </c>
    </row>
    <row r="49">
      <c r="A49" s="15" t="inlineStr">
        <is>
          <t>71</t>
        </is>
      </c>
      <c r="B49" s="18" t="inlineStr">
        <is>
          <t>GFR 46. ถามstage ตามKDIGO ตัวเลือก</t>
        </is>
      </c>
      <c r="C49" s="18" t="inlineStr"/>
      <c r="D49" s="18" t="inlineStr">
        <is>
          <t>Calcium carbonate 1000 mg TID with meals</t>
        </is>
      </c>
      <c r="E49" s="18" t="inlineStr">
        <is>
          <t>Calcium acetate 667 mg TID with meals</t>
        </is>
      </c>
      <c r="F49" s="18" t="inlineStr">
        <is>
          <t>Sevelamer carbonate 800 mg TID with meals</t>
        </is>
      </c>
      <c r="G49" s="18" t="inlineStr">
        <is>
          <t>Sodium bicarbonate 650 mg TID</t>
        </is>
      </c>
      <c r="H49" s="18" t="inlineStr">
        <is>
          <t>Kayexalate (Sodium polystyrene sulfonate) 15 g TID</t>
        </is>
      </c>
      <c r="I49" s="15" t="inlineStr">
        <is>
          <t>1</t>
        </is>
      </c>
      <c r="J49" s="18" t="inlineStr">
        <is>
          <t>✅ คำตอบที่ถูกต้อง: ข้อ ก. Calcium carbonate 1000 mg TID with meals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Calcium carbonate 1000 mg TID with meals
🔍 ข้ออื่นผิดเพราะอะไร:
• ข้อ ข.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Renal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9" s="18" t="inlineStr"/>
      <c r="L49" s="18" t="inlineStr">
        <is>
          <t>Renal Diseases</t>
        </is>
      </c>
      <c r="M49" s="18" t="inlineStr">
        <is>
          <t>Clinic</t>
        </is>
      </c>
      <c r="N49" s="18" t="inlineStr">
        <is>
          <t>PLE-CC1 ปี 2566 Day 1 ข้อ 10</t>
        </is>
      </c>
      <c r="O49" s="18" t="inlineStr">
        <is>
          <t>ข้อสอบจริง</t>
        </is>
      </c>
      <c r="P49" s="18" t="inlineStr">
        <is>
          <t>ปี 2566</t>
        </is>
      </c>
    </row>
    <row r="50">
      <c r="A50" s="15" t="inlineStr">
        <is>
          <t>72</t>
        </is>
      </c>
      <c r="B50" s="18" t="inlineStr">
        <is>
          <t>ข้อใดเป็นphosphate binder ที่เหมาะสมกับผู้ป่วยรายนี้. ตัวเลือก</t>
        </is>
      </c>
      <c r="C50" s="18" t="inlineStr"/>
      <c r="D50" s="18" t="inlineStr">
        <is>
          <t>Film Coating with Hydroxypropyl methylcellulose (HPMC)</t>
        </is>
      </c>
      <c r="E50" s="18" t="inlineStr">
        <is>
          <t>Enteric Coating with Cellulose acetate phthalate (CAP)</t>
        </is>
      </c>
      <c r="F50" s="18" t="inlineStr">
        <is>
          <t>Hard Gelatin Capsule filling</t>
        </is>
      </c>
      <c r="G50" s="18" t="inlineStr">
        <is>
          <t>Soft Gelatin Capsule encapsulation</t>
        </is>
      </c>
      <c r="H50" s="18" t="inlineStr">
        <is>
          <t>Microcrystalline cellulose</t>
        </is>
      </c>
      <c r="I50" s="15" t="inlineStr">
        <is>
          <t>1</t>
        </is>
      </c>
      <c r="J50" s="1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8" t="inlineStr"/>
      <c r="L50" s="18" t="inlineStr">
        <is>
          <t>Solid Dosage Forms</t>
        </is>
      </c>
      <c r="M50" s="18" t="inlineStr">
        <is>
          <t>Product</t>
        </is>
      </c>
      <c r="N50" s="18" t="inlineStr">
        <is>
          <t>PLE-CC1 ปี 2566 Day 1 ข้อ 11</t>
        </is>
      </c>
      <c r="O50" s="18" t="inlineStr">
        <is>
          <t>ข้อสอบจริง</t>
        </is>
      </c>
      <c r="P50" s="18" t="inlineStr">
        <is>
          <t>ปี 2566</t>
        </is>
      </c>
    </row>
    <row r="51">
      <c r="A51" s="15" t="inlineStr">
        <is>
          <t>73</t>
        </is>
      </c>
      <c r="B51" s="18" t="inlineStr">
        <is>
          <t>Aluminium hydroxide</t>
        </is>
      </c>
      <c r="C51" s="18" t="inlineStr"/>
      <c r="D51" s="18" t="inlineStr">
        <is>
          <t>N-acetylcysteine (NAC) IV infusion protocol</t>
        </is>
      </c>
      <c r="E51" s="18" t="inlineStr">
        <is>
          <t>Atropine sulfate 2 mg IV Q5-10 min</t>
        </is>
      </c>
      <c r="F51" s="18" t="inlineStr">
        <is>
          <t>Pralidoxime (2-PAM) 1-2 g IV over 30 min</t>
        </is>
      </c>
      <c r="G51" s="18" t="inlineStr">
        <is>
          <t>Naloxone 0.4 mg IV stat</t>
        </is>
      </c>
      <c r="H51" s="18" t="inlineStr">
        <is>
          <t>Flumazenil 0.2 mg IV stat</t>
        </is>
      </c>
      <c r="I51" s="15" t="inlineStr">
        <is>
          <t>1</t>
        </is>
      </c>
      <c r="J5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1" s="18" t="inlineStr"/>
      <c r="L51" s="18" t="inlineStr">
        <is>
          <t>General Therapeutics</t>
        </is>
      </c>
      <c r="M51" s="18" t="inlineStr">
        <is>
          <t>Clinic</t>
        </is>
      </c>
      <c r="N51" s="18" t="inlineStr">
        <is>
          <t>PLE-CC1 ปี 2566 Day 1 ข้อ 1</t>
        </is>
      </c>
      <c r="O51" s="18" t="inlineStr">
        <is>
          <t>ข้อสอบจริง</t>
        </is>
      </c>
      <c r="P51" s="18" t="inlineStr">
        <is>
          <t>ปี 2566</t>
        </is>
      </c>
    </row>
    <row r="52">
      <c r="A52" s="15" t="inlineStr">
        <is>
          <t>74</t>
        </is>
      </c>
      <c r="B52" s="18" t="inlineStr">
        <is>
          <t>calcium carbonate</t>
        </is>
      </c>
      <c r="C52" s="18" t="inlineStr"/>
      <c r="D52" s="18" t="inlineStr">
        <is>
          <t>Potassium chloride 500 mg BID</t>
        </is>
      </c>
      <c r="E52" s="18" t="inlineStr">
        <is>
          <t>Calcium carbonate 1000 mg TID with meals</t>
        </is>
      </c>
      <c r="F52" s="18" t="inlineStr">
        <is>
          <t>Calcium acetate 667 mg TID with meals</t>
        </is>
      </c>
      <c r="G52" s="18" t="inlineStr">
        <is>
          <t>Sevelamer carbonate 800 mg TID with meals</t>
        </is>
      </c>
      <c r="H52" s="18" t="inlineStr">
        <is>
          <t>Sodium bicarbonate 650 mg TID</t>
        </is>
      </c>
      <c r="I52" s="15" t="inlineStr">
        <is>
          <t>1</t>
        </is>
      </c>
      <c r="J52" s="18" t="inlineStr">
        <is>
          <t>✅ คำตอบที่ถูกต้อง: ข้อ ก. Potassium chloride 500 mg BID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2" s="18" t="inlineStr"/>
      <c r="L52" s="18" t="inlineStr">
        <is>
          <t>Renal Diseases</t>
        </is>
      </c>
      <c r="M52" s="18" t="inlineStr">
        <is>
          <t>Clinic</t>
        </is>
      </c>
      <c r="N52" s="18" t="inlineStr">
        <is>
          <t>PLE-CC1 ปี 2566 Day 1 ข้อ 2</t>
        </is>
      </c>
      <c r="O52" s="18" t="inlineStr">
        <is>
          <t>ข้อสอบจริง</t>
        </is>
      </c>
      <c r="P52" s="18" t="inlineStr">
        <is>
          <t>ปี 2566</t>
        </is>
      </c>
    </row>
    <row r="53">
      <c r="A53" s="15" t="inlineStr">
        <is>
          <t>75</t>
        </is>
      </c>
      <c r="B53" s="18" t="inlineStr">
        <is>
          <t>Ca polystyrene sulfonate</t>
        </is>
      </c>
      <c r="C53" s="18" t="inlineStr"/>
      <c r="D53" s="18" t="inlineStr">
        <is>
          <t>Sodium thiosulfate 25% 50 mL IV</t>
        </is>
      </c>
      <c r="E53" s="18" t="inlineStr">
        <is>
          <t>Calcium disodium EDTA 1 g IV</t>
        </is>
      </c>
      <c r="F53" s="18" t="inlineStr">
        <is>
          <t>Desferrioxamine 1 g IM/IV</t>
        </is>
      </c>
      <c r="G53" s="18" t="inlineStr">
        <is>
          <t>Dimercaprol (BAL) 3 mg/kg IM</t>
        </is>
      </c>
      <c r="H53" s="18" t="inlineStr">
        <is>
          <t>Ethanol 10% IV infusion for Methanol poisoning</t>
        </is>
      </c>
      <c r="I53" s="15" t="inlineStr">
        <is>
          <t>1</t>
        </is>
      </c>
      <c r="J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18" t="inlineStr"/>
      <c r="L53" s="18" t="inlineStr">
        <is>
          <t>General Therapeutics</t>
        </is>
      </c>
      <c r="M53" s="18" t="inlineStr">
        <is>
          <t>Clinic</t>
        </is>
      </c>
      <c r="N53" s="18" t="inlineStr">
        <is>
          <t>PLE-CC1 ปี 2566 Day 1 ข้อ 3</t>
        </is>
      </c>
      <c r="O53" s="18" t="inlineStr">
        <is>
          <t>ข้อสอบจริง</t>
        </is>
      </c>
      <c r="P53" s="18" t="inlineStr">
        <is>
          <t>ปี 2566</t>
        </is>
      </c>
    </row>
    <row r="54">
      <c r="A54" s="15" t="inlineStr">
        <is>
          <t>76</t>
        </is>
      </c>
      <c r="B54" s="18" t="inlineStr">
        <is>
          <t>ให้ผลCT scan + อาการFAST เข้ารับการรักษาหลังจากนั้น อาการดีขึ้นถามว่าเป็นstroke แบบใด. ตัวเลือก</t>
        </is>
      </c>
      <c r="C54" s="18" t="inlineStr"/>
      <c r="D54" s="18" t="inlineStr">
        <is>
          <t>Levetiracetam 500 mg BID</t>
        </is>
      </c>
      <c r="E54" s="18" t="inlineStr">
        <is>
          <t>Gabapentin 300 mg TID</t>
        </is>
      </c>
      <c r="F54" s="18" t="inlineStr">
        <is>
          <t>Pregabalin 75 mg BID</t>
        </is>
      </c>
      <c r="G54" s="18" t="inlineStr">
        <is>
          <t>Levodopa/Benserazide 100/25 mg TID</t>
        </is>
      </c>
      <c r="H54" s="18" t="inlineStr">
        <is>
          <t>Sumatriptan 50 mg stat</t>
        </is>
      </c>
      <c r="I54" s="15" t="inlineStr">
        <is>
          <t>1</t>
        </is>
      </c>
      <c r="J54" s="18" t="inlineStr">
        <is>
          <t>✅ คำตอบที่ถูกต้อง: ข้อ ก. Levetiracetam 500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Levetiracetam 500 mg BID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8" t="inlineStr"/>
      <c r="L54" s="18" t="inlineStr">
        <is>
          <t>Neurologic Disorders</t>
        </is>
      </c>
      <c r="M54" s="18" t="inlineStr">
        <is>
          <t>Clinic</t>
        </is>
      </c>
      <c r="N54" s="18" t="inlineStr">
        <is>
          <t>PLE-CC1 ปี 2566 Day 1 ข้อ 12</t>
        </is>
      </c>
      <c r="O54" s="18" t="inlineStr">
        <is>
          <t>ข้อสอบจริง</t>
        </is>
      </c>
      <c r="P54" s="18" t="inlineStr">
        <is>
          <t>ปี 2566</t>
        </is>
      </c>
    </row>
    <row r="55">
      <c r="A55" s="15" t="inlineStr">
        <is>
          <t>77</t>
        </is>
      </c>
      <c r="B55" s="18" t="inlineStr">
        <is>
          <t>hemorrhagic stroke</t>
        </is>
      </c>
      <c r="C55" s="18" t="inlineStr"/>
      <c r="D55" s="18" t="inlineStr">
        <is>
          <t>Levodopa/Benserazide 100/25 mg TID</t>
        </is>
      </c>
      <c r="E55" s="18" t="inlineStr">
        <is>
          <t>Sumatriptan 50 mg stat</t>
        </is>
      </c>
      <c r="F55" s="18" t="inlineStr">
        <is>
          <t>Propranolol 40 mg BID</t>
        </is>
      </c>
      <c r="G55" s="18" t="inlineStr">
        <is>
          <t>Topiramate 25 mg BID</t>
        </is>
      </c>
      <c r="H55" s="18" t="inlineStr">
        <is>
          <t>Donepezil 5 mg HS</t>
        </is>
      </c>
      <c r="I55" s="15" t="inlineStr">
        <is>
          <t>1</t>
        </is>
      </c>
      <c r="J55" s="18"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8" t="inlineStr"/>
      <c r="L55" s="18" t="inlineStr">
        <is>
          <t>Neurologic Disorders</t>
        </is>
      </c>
      <c r="M55" s="18" t="inlineStr">
        <is>
          <t>Clinic</t>
        </is>
      </c>
      <c r="N55" s="18" t="inlineStr">
        <is>
          <t>PLE-CC1 ปี 2566 Day 1 ข้อ 3</t>
        </is>
      </c>
      <c r="O55" s="18" t="inlineStr">
        <is>
          <t>ข้อสอบจริง</t>
        </is>
      </c>
      <c r="P55" s="18" t="inlineStr">
        <is>
          <t>ปี 2566</t>
        </is>
      </c>
    </row>
    <row r="56">
      <c r="A56" s="15" t="inlineStr">
        <is>
          <t>78</t>
        </is>
      </c>
      <c r="B56" s="18" t="inlineStr">
        <is>
          <t>active suphelnamides intermediate ของPPI ถามหา โครงสร้าง ตัวเลือก</t>
        </is>
      </c>
      <c r="C56" s="18" t="inlineStr"/>
      <c r="D56" s="18" t="inlineStr">
        <is>
          <t>Naloxone 0.4 mg IV stat</t>
        </is>
      </c>
      <c r="E56" s="18" t="inlineStr">
        <is>
          <t>Flumazenil 0.2 mg IV stat</t>
        </is>
      </c>
      <c r="F56" s="18" t="inlineStr">
        <is>
          <t>Vitamin K1 (Phytomenadione) 10 mg IV slow</t>
        </is>
      </c>
      <c r="G56" s="18" t="inlineStr">
        <is>
          <t>Sodium thiosulfate 25% 50 mL IV</t>
        </is>
      </c>
      <c r="H56" s="18" t="inlineStr">
        <is>
          <t>Calcium disodium EDTA 1 g IV</t>
        </is>
      </c>
      <c r="I56" s="15" t="inlineStr">
        <is>
          <t>1</t>
        </is>
      </c>
      <c r="J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56" s="18" t="inlineStr"/>
      <c r="L56" s="18" t="inlineStr">
        <is>
          <t>General Therapeutics</t>
        </is>
      </c>
      <c r="M56" s="18" t="inlineStr">
        <is>
          <t>Clinic</t>
        </is>
      </c>
      <c r="N56" s="18" t="inlineStr">
        <is>
          <t>PLE-CC1 ปี 2566 Day 1 ข้อ 13</t>
        </is>
      </c>
      <c r="O56" s="18" t="inlineStr">
        <is>
          <t>ข้อสอบจริง</t>
        </is>
      </c>
      <c r="P56" s="18" t="inlineStr">
        <is>
          <t>ปี 2566</t>
        </is>
      </c>
    </row>
    <row r="57">
      <c r="A57" s="15" t="inlineStr">
        <is>
          <t>79</t>
        </is>
      </c>
      <c r="B57" s="18" t="inlineStr">
        <is>
          <t>oxcarbamazepine</t>
        </is>
      </c>
      <c r="C57" s="18" t="inlineStr"/>
      <c r="D57" s="18" t="inlineStr">
        <is>
          <t>Phenytoin 100 mg TID</t>
        </is>
      </c>
      <c r="E57" s="18" t="inlineStr">
        <is>
          <t>Sodium valproate 200 mg TID</t>
        </is>
      </c>
      <c r="F57" s="18" t="inlineStr">
        <is>
          <t>Carbamazepine 200 mg BID</t>
        </is>
      </c>
      <c r="G57" s="18" t="inlineStr">
        <is>
          <t>Lamotrigine 50 mg OD</t>
        </is>
      </c>
      <c r="H57" s="18" t="inlineStr">
        <is>
          <t>Levetiracetam 500 mg BID</t>
        </is>
      </c>
      <c r="I57" s="15" t="inlineStr">
        <is>
          <t>1</t>
        </is>
      </c>
      <c r="J57" s="18" t="inlineStr">
        <is>
          <t>✅ คำตอบที่ถูกต้อง: ข้อ ก. Phenytoin 100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[NEED_REVIEW]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7" s="18" t="inlineStr"/>
      <c r="L57" s="18" t="inlineStr">
        <is>
          <t>Neurologic Disorders</t>
        </is>
      </c>
      <c r="M57" s="18" t="inlineStr">
        <is>
          <t>Clinic</t>
        </is>
      </c>
      <c r="N57" s="18" t="inlineStr">
        <is>
          <t>PLE-CC1 ปี 2566 Day 1 ข้อ 4</t>
        </is>
      </c>
      <c r="O57" s="18" t="inlineStr">
        <is>
          <t>ข้อสอบจริง</t>
        </is>
      </c>
      <c r="P57" s="18" t="inlineStr">
        <is>
          <t>ปี 2566</t>
        </is>
      </c>
    </row>
    <row r="58">
      <c r="A58" s="15" t="inlineStr">
        <is>
          <t>80</t>
        </is>
      </c>
      <c r="B58" s="18" t="inlineStr">
        <is>
          <t>โดนหมากัดนิ้วเลือดออก. หลังมือถลอกระดับไหน? ตัวเลือก</t>
        </is>
      </c>
      <c r="C58" s="18" t="inlineStr"/>
      <c r="D58" s="18" t="inlineStr">
        <is>
          <t>Dimercaprol (BAL) 3 mg/kg IM</t>
        </is>
      </c>
      <c r="E58" s="18" t="inlineStr">
        <is>
          <t>Ethanol 10% IV infusion for Methanol poisoning</t>
        </is>
      </c>
      <c r="F58" s="18" t="inlineStr">
        <is>
          <t>Fomepizole 15 mg/kg IV loading</t>
        </is>
      </c>
      <c r="G58" s="18" t="inlineStr">
        <is>
          <t>N-acetylcysteine (NAC) IV infusion protocol</t>
        </is>
      </c>
      <c r="H58" s="18" t="inlineStr">
        <is>
          <t>Atropine sulfate 2 mg IV Q5-10 min</t>
        </is>
      </c>
      <c r="I58" s="15" t="inlineStr">
        <is>
          <t>1</t>
        </is>
      </c>
      <c r="J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18" t="inlineStr"/>
      <c r="L58" s="18" t="inlineStr">
        <is>
          <t>General Therapeutics</t>
        </is>
      </c>
      <c r="M58" s="18" t="inlineStr">
        <is>
          <t>Clinic</t>
        </is>
      </c>
      <c r="N58" s="18" t="inlineStr">
        <is>
          <t>PLE-CC1 ปี 2566 Day 1 ข้อ 15</t>
        </is>
      </c>
      <c r="O58" s="18" t="inlineStr">
        <is>
          <t>ข้อสอบจริง</t>
        </is>
      </c>
      <c r="P58" s="18" t="inlineStr">
        <is>
          <t>ปี 2566</t>
        </is>
      </c>
    </row>
    <row r="59">
      <c r="A59" s="15" t="inlineStr">
        <is>
          <t>81</t>
        </is>
      </c>
      <c r="B59" s="18" t="inlineStr">
        <is>
          <t>กลไกการออกฤทธิ์ของtopiramate. ตัวเลือก</t>
        </is>
      </c>
      <c r="C59" s="18" t="inlineStr"/>
      <c r="D59" s="18" t="inlineStr">
        <is>
          <t>N-acetylcysteine (NAC) IV infusion protocol</t>
        </is>
      </c>
      <c r="E59" s="18" t="inlineStr">
        <is>
          <t>Atropine sulfate 2 mg IV Q5-10 min</t>
        </is>
      </c>
      <c r="F59" s="18" t="inlineStr">
        <is>
          <t>Pralidoxime (2-PAM) 1-2 g IV over 30 min</t>
        </is>
      </c>
      <c r="G59" s="18" t="inlineStr">
        <is>
          <t>Naloxone 0.4 mg IV stat</t>
        </is>
      </c>
      <c r="H59" s="18" t="inlineStr">
        <is>
          <t>Flumazenil 0.2 mg IV stat</t>
        </is>
      </c>
      <c r="I59" s="15" t="inlineStr">
        <is>
          <t>1</t>
        </is>
      </c>
      <c r="J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9" s="18" t="inlineStr"/>
      <c r="L59" s="18" t="inlineStr">
        <is>
          <t>General Therapeutics</t>
        </is>
      </c>
      <c r="M59" s="18" t="inlineStr">
        <is>
          <t>Clinic</t>
        </is>
      </c>
      <c r="N59" s="18" t="inlineStr">
        <is>
          <t>PLE-CC1 ปี 2566 Day 1 ข้อ 16</t>
        </is>
      </c>
      <c r="O59" s="18" t="inlineStr">
        <is>
          <t>ข้อสอบจริง</t>
        </is>
      </c>
      <c r="P59" s="18" t="inlineStr">
        <is>
          <t>ปี 2566</t>
        </is>
      </c>
    </row>
    <row r="60">
      <c r="A60" s="15" t="inlineStr">
        <is>
          <t>82</t>
        </is>
      </c>
      <c r="B60" s="18" t="inlineStr">
        <is>
          <t>ยาที่แนะนำอันแรกในOA ของไกด์ไลน์American Rheumatology association (ไม่ใช่ไทย),... pain score 2/10 ตัวเลือก</t>
        </is>
      </c>
      <c r="C60" s="18" t="inlineStr"/>
      <c r="D60" s="18" t="inlineStr">
        <is>
          <t>Febuxostat 40 mg OD</t>
        </is>
      </c>
      <c r="E60" s="18" t="inlineStr">
        <is>
          <t>Celecoxib 200 mg OD</t>
        </is>
      </c>
      <c r="F60" s="18" t="inlineStr">
        <is>
          <t>Methotrexate 10 mg weekly</t>
        </is>
      </c>
      <c r="G60" s="18" t="inlineStr">
        <is>
          <t>Alendronate 70 mg weekly</t>
        </is>
      </c>
      <c r="H60" s="18" t="inlineStr">
        <is>
          <t>Glucosamine sulfate 1500 mg OD</t>
        </is>
      </c>
      <c r="I60" s="15" t="inlineStr">
        <is>
          <t>1</t>
        </is>
      </c>
      <c r="J60" s="18"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60" s="18" t="inlineStr"/>
      <c r="L60" s="18" t="inlineStr">
        <is>
          <t>Musculoskeletal &amp; Joint</t>
        </is>
      </c>
      <c r="M60" s="18" t="inlineStr">
        <is>
          <t>Clinic</t>
        </is>
      </c>
      <c r="N60" s="18" t="inlineStr">
        <is>
          <t>PLE-CC1 ปี 2566 Day 1 ข้อ 17</t>
        </is>
      </c>
      <c r="O60" s="18" t="inlineStr">
        <is>
          <t>ข้อสอบจริง</t>
        </is>
      </c>
      <c r="P60" s="18" t="inlineStr">
        <is>
          <t>ปี 2566</t>
        </is>
      </c>
    </row>
    <row r="61">
      <c r="A61" s="15" t="inlineStr">
        <is>
          <t>83</t>
        </is>
      </c>
      <c r="B61" s="18" t="inlineStr">
        <is>
          <t>Para+ophenadrine</t>
        </is>
      </c>
      <c r="C61" s="18" t="inlineStr"/>
      <c r="D61" s="18" t="inlineStr">
        <is>
          <t>Sodium thiosulfate 25% 50 mL IV</t>
        </is>
      </c>
      <c r="E61" s="18" t="inlineStr">
        <is>
          <t>Calcium disodium EDTA 1 g IV</t>
        </is>
      </c>
      <c r="F61" s="18" t="inlineStr">
        <is>
          <t>Desferrioxamine 1 g IM/IV</t>
        </is>
      </c>
      <c r="G61" s="18" t="inlineStr">
        <is>
          <t>Dimercaprol (BAL) 3 mg/kg IM</t>
        </is>
      </c>
      <c r="H61" s="18" t="inlineStr">
        <is>
          <t>Ethanol 10% IV infusion for Methanol poisoning</t>
        </is>
      </c>
      <c r="I61" s="15" t="inlineStr">
        <is>
          <t>1</t>
        </is>
      </c>
      <c r="J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8" t="inlineStr"/>
      <c r="L61" s="18" t="inlineStr">
        <is>
          <t>General Therapeutics</t>
        </is>
      </c>
      <c r="M61" s="18" t="inlineStr">
        <is>
          <t>Clinic</t>
        </is>
      </c>
      <c r="N61" s="18" t="inlineStr">
        <is>
          <t>PLE-CC1 ปี 2566 Day 1 ข้อ 1</t>
        </is>
      </c>
      <c r="O61" s="18" t="inlineStr">
        <is>
          <t>ข้อสอบจริง</t>
        </is>
      </c>
      <c r="P61" s="18" t="inlineStr">
        <is>
          <t>ปี 2566</t>
        </is>
      </c>
    </row>
    <row r="62">
      <c r="A62" s="15" t="inlineStr">
        <is>
          <t>84</t>
        </is>
      </c>
      <c r="B62" s="18" t="inlineStr">
        <is>
          <t>Bupropion</t>
        </is>
      </c>
      <c r="C62" s="18" t="inlineStr"/>
      <c r="D62" s="18" t="inlineStr">
        <is>
          <t>Dimercaprol (BAL) 3 mg/kg IM</t>
        </is>
      </c>
      <c r="E62" s="18" t="inlineStr">
        <is>
          <t>Ethanol 10% IV infusion for Methanol poisoning</t>
        </is>
      </c>
      <c r="F62" s="18" t="inlineStr">
        <is>
          <t>Fomepizole 15 mg/kg IV loading</t>
        </is>
      </c>
      <c r="G62" s="18" t="inlineStr">
        <is>
          <t>N-acetylcysteine (NAC) IV infusion protocol</t>
        </is>
      </c>
      <c r="H62" s="18" t="inlineStr">
        <is>
          <t>Atropine sulfate 2 mg IV Q5-10 min</t>
        </is>
      </c>
      <c r="I62" s="15" t="inlineStr">
        <is>
          <t>1</t>
        </is>
      </c>
      <c r="J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18" t="inlineStr"/>
      <c r="L62" s="18" t="inlineStr">
        <is>
          <t>General Therapeutics</t>
        </is>
      </c>
      <c r="M62" s="18" t="inlineStr">
        <is>
          <t>Clinic</t>
        </is>
      </c>
      <c r="N62" s="18" t="inlineStr">
        <is>
          <t>PLE-CC1 ปี 2566 Day 1 ข้อ 1</t>
        </is>
      </c>
      <c r="O62" s="18" t="inlineStr">
        <is>
          <t>ข้อสอบจริง</t>
        </is>
      </c>
      <c r="P62" s="18" t="inlineStr">
        <is>
          <t>ปี 2566</t>
        </is>
      </c>
    </row>
    <row r="63">
      <c r="A63" s="15" t="inlineStr">
        <is>
          <t>85</t>
        </is>
      </c>
      <c r="B63" s="18" t="inlineStr">
        <is>
          <t>dT​เคยฉีดแล้ว3ครั้งเข็มล่าสุดเกิน​5 ปี​. ตัวเลือก</t>
        </is>
      </c>
      <c r="C63" s="18" t="inlineStr"/>
      <c r="D63" s="18" t="inlineStr">
        <is>
          <t>N-acetylcysteine (NAC) IV infusion protocol</t>
        </is>
      </c>
      <c r="E63" s="18" t="inlineStr">
        <is>
          <t>Atropine sulfate 2 mg IV Q5-10 min</t>
        </is>
      </c>
      <c r="F63" s="18" t="inlineStr">
        <is>
          <t>Pralidoxime (2-PAM) 1-2 g IV over 30 min</t>
        </is>
      </c>
      <c r="G63" s="18" t="inlineStr">
        <is>
          <t>Naloxone 0.4 mg IV stat</t>
        </is>
      </c>
      <c r="H63" s="18" t="inlineStr">
        <is>
          <t>Flumazenil 0.2 mg IV stat</t>
        </is>
      </c>
      <c r="I63" s="15" t="inlineStr">
        <is>
          <t>1</t>
        </is>
      </c>
      <c r="J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3" s="18" t="inlineStr"/>
      <c r="L63" s="18" t="inlineStr">
        <is>
          <t>General Therapeutics</t>
        </is>
      </c>
      <c r="M63" s="18" t="inlineStr">
        <is>
          <t>Clinic</t>
        </is>
      </c>
      <c r="N63" s="18" t="inlineStr">
        <is>
          <t>PLE-CC1 ปี 2566 Day 1 ข้อ 21</t>
        </is>
      </c>
      <c r="O63" s="18" t="inlineStr">
        <is>
          <t>ข้อสอบจริง</t>
        </is>
      </c>
      <c r="P63" s="18" t="inlineStr">
        <is>
          <t>ปี 2566</t>
        </is>
      </c>
    </row>
    <row r="64">
      <c r="A64" s="15" t="inlineStr">
        <is>
          <t>86</t>
        </is>
      </c>
      <c r="B64" s="18" t="inlineStr">
        <is>
          <t>Levonorgestrl 0.075 mg</t>
        </is>
      </c>
      <c r="C64" s="18" t="inlineStr"/>
      <c r="D64" s="18" t="inlineStr">
        <is>
          <t>Naloxone 0.4 mg IV stat</t>
        </is>
      </c>
      <c r="E64" s="18" t="inlineStr">
        <is>
          <t>Flumazenil 0.2 mg IV stat</t>
        </is>
      </c>
      <c r="F64" s="18" t="inlineStr">
        <is>
          <t>Vitamin K1 (Phytomenadione) 10 mg IV slow</t>
        </is>
      </c>
      <c r="G64" s="18" t="inlineStr">
        <is>
          <t>Sodium thiosulfate 25% 50 mL IV</t>
        </is>
      </c>
      <c r="H64" s="18" t="inlineStr">
        <is>
          <t>Calcium disodium EDTA 1 g IV</t>
        </is>
      </c>
      <c r="I64" s="15" t="inlineStr">
        <is>
          <t>1</t>
        </is>
      </c>
      <c r="J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4" s="18" t="inlineStr"/>
      <c r="L64" s="18" t="inlineStr">
        <is>
          <t>General Therapeutics</t>
        </is>
      </c>
      <c r="M64" s="18" t="inlineStr">
        <is>
          <t>Clinic</t>
        </is>
      </c>
      <c r="N64" s="18" t="inlineStr">
        <is>
          <t>PLE-CC1 ปี 2566 Day 1 ข้อ 1</t>
        </is>
      </c>
      <c r="O64" s="18" t="inlineStr">
        <is>
          <t>ข้อสอบจริง</t>
        </is>
      </c>
      <c r="P64" s="18" t="inlineStr">
        <is>
          <t>ปี 2566</t>
        </is>
      </c>
    </row>
    <row r="65">
      <c r="A65" s="15" t="inlineStr">
        <is>
          <t>87</t>
        </is>
      </c>
      <c r="B65" s="18" t="inlineStr">
        <is>
          <t>ให้รูปสิวมามีnodule 10-20 จุด, pustule 5-6 จุดเคยทา tretinoin? มาแล้วแต่เลิกใช้เพราะผิวแห้งระคายเคืองถามว่าควร ให้การรักษายังไง ตัวเลือก</t>
        </is>
      </c>
      <c r="C65" s="18" t="inlineStr"/>
      <c r="D65" s="18" t="inlineStr">
        <is>
          <t>Acyclovir 5% cream</t>
        </is>
      </c>
      <c r="E65" s="18" t="inlineStr">
        <is>
          <t>Silver sulfadiazine 1% cream</t>
        </is>
      </c>
      <c r="F65" s="18" t="inlineStr">
        <is>
          <t>Cetirizine 10 mg OD</t>
        </is>
      </c>
      <c r="G65" s="18" t="inlineStr">
        <is>
          <t>Isotretinoin 10 mg OD</t>
        </is>
      </c>
      <c r="H65" s="18" t="inlineStr">
        <is>
          <t>Terbinafine 1% cream</t>
        </is>
      </c>
      <c r="I65" s="15" t="inlineStr">
        <is>
          <t>1</t>
        </is>
      </c>
      <c r="J65" s="18"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5" s="18" t="inlineStr"/>
      <c r="L65" s="18" t="inlineStr">
        <is>
          <t>Dermatologic Disorders</t>
        </is>
      </c>
      <c r="M65" s="18" t="inlineStr">
        <is>
          <t>Clinic</t>
        </is>
      </c>
      <c r="N65" s="18" t="inlineStr">
        <is>
          <t>PLE-CC1 ปี 2566 Day 1 ข้อ 28</t>
        </is>
      </c>
      <c r="O65" s="18" t="inlineStr">
        <is>
          <t>ข้อสอบจริง</t>
        </is>
      </c>
      <c r="P65" s="18" t="inlineStr">
        <is>
          <t>ปี 2566</t>
        </is>
      </c>
    </row>
    <row r="66">
      <c r="A66" s="15" t="inlineStr">
        <is>
          <t>88</t>
        </is>
      </c>
      <c r="B66" s="18" t="inlineStr">
        <is>
          <t>mg OD (โดสยาจะต่ำมากควรจำ)</t>
        </is>
      </c>
      <c r="C66" s="18" t="inlineStr"/>
      <c r="D66" s="18" t="inlineStr">
        <is>
          <t>Dimercaprol (BAL) 3 mg/kg IM</t>
        </is>
      </c>
      <c r="E66" s="18" t="inlineStr">
        <is>
          <t>Ethanol 10% IV infusion for Methanol poisoning</t>
        </is>
      </c>
      <c r="F66" s="18" t="inlineStr">
        <is>
          <t>Fomepizole 15 mg/kg IV loading</t>
        </is>
      </c>
      <c r="G66" s="18" t="inlineStr">
        <is>
          <t>N-acetylcysteine (NAC) IV infusion protocol</t>
        </is>
      </c>
      <c r="H66" s="18" t="inlineStr">
        <is>
          <t>Atropine sulfate 2 mg IV Q5-10 min</t>
        </is>
      </c>
      <c r="I66" s="15" t="inlineStr">
        <is>
          <t>1</t>
        </is>
      </c>
      <c r="J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8" t="inlineStr"/>
      <c r="L66" s="18" t="inlineStr">
        <is>
          <t>General Therapeutics</t>
        </is>
      </c>
      <c r="M66" s="18" t="inlineStr">
        <is>
          <t>Clinic</t>
        </is>
      </c>
      <c r="N66" s="18" t="inlineStr">
        <is>
          <t>PLE-CC1 ปี 2566 Day 1 ข้อ 3</t>
        </is>
      </c>
      <c r="O66" s="18" t="inlineStr">
        <is>
          <t>ข้อสอบจริง</t>
        </is>
      </c>
      <c r="P66" s="18" t="inlineStr">
        <is>
          <t>ปี 2566</t>
        </is>
      </c>
    </row>
    <row r="67">
      <c r="A67" s="15" t="inlineStr">
        <is>
          <t>89</t>
        </is>
      </c>
      <c r="B67" s="18" t="inlineStr">
        <is>
          <t>ให้ข้อมูลมาคำนวณ%assay ตัวเลือก</t>
        </is>
      </c>
      <c r="C67" s="18" t="inlineStr"/>
      <c r="D67" s="18" t="inlineStr">
        <is>
          <t>Alligation Alternate method for concentration adjustment</t>
        </is>
      </c>
      <c r="E67" s="18" t="inlineStr">
        <is>
          <t>mEq / mmol Electrolyte conversion formula</t>
        </is>
      </c>
      <c r="F67" s="18" t="inlineStr">
        <is>
          <t>Osmolarity (mOsmol/L) calculation</t>
        </is>
      </c>
      <c r="G67" s="18" t="inlineStr">
        <is>
          <t>Sodium Chloride Equivalent (E-value) Isotonic adjustment</t>
        </is>
      </c>
      <c r="H67" s="18" t="inlineStr">
        <is>
          <t>Creatinine Clearance via Cockcroft-Gault Equation</t>
        </is>
      </c>
      <c r="I67" s="15" t="inlineStr">
        <is>
          <t>1</t>
        </is>
      </c>
      <c r="J67" s="18" t="inlineStr">
        <is>
          <t>✅ คำตอบที่ถูกต้อง: ข้อ ก. Alligation Alternate method for concentration adjustment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8" t="inlineStr"/>
      <c r="L67" s="18" t="inlineStr">
        <is>
          <t>Pharmaceutical Calculations</t>
        </is>
      </c>
      <c r="M67" s="18" t="inlineStr">
        <is>
          <t>Product</t>
        </is>
      </c>
      <c r="N67" s="18" t="inlineStr">
        <is>
          <t>PLE-CC1 ปี 2566 Day 1 ข้อ 30</t>
        </is>
      </c>
      <c r="O67" s="18" t="inlineStr">
        <is>
          <t>ข้อสอบจริง</t>
        </is>
      </c>
      <c r="P67" s="18" t="inlineStr">
        <is>
          <t>ปี 2566</t>
        </is>
      </c>
    </row>
    <row r="68">
      <c r="A68" s="15" t="inlineStr">
        <is>
          <t>90</t>
        </is>
      </c>
      <c r="B68" s="18" t="inlineStr">
        <is>
          <t>Gingival hyperplasia + ataxia</t>
        </is>
      </c>
      <c r="C68" s="18" t="inlineStr"/>
      <c r="D68" s="18" t="inlineStr">
        <is>
          <t>Naloxone 0.4 mg IV stat</t>
        </is>
      </c>
      <c r="E68" s="18" t="inlineStr">
        <is>
          <t>Flumazenil 0.2 mg IV stat</t>
        </is>
      </c>
      <c r="F68" s="18" t="inlineStr">
        <is>
          <t>Vitamin K1 (Phytomenadione) 10 mg IV slow</t>
        </is>
      </c>
      <c r="G68" s="18" t="inlineStr">
        <is>
          <t>Sodium thiosulfate 25% 50 mL IV</t>
        </is>
      </c>
      <c r="H68" s="18" t="inlineStr">
        <is>
          <t>Calcium disodium EDTA 1 g IV</t>
        </is>
      </c>
      <c r="I68" s="15" t="inlineStr">
        <is>
          <t>1</t>
        </is>
      </c>
      <c r="J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 s="18" t="inlineStr"/>
      <c r="L68" s="18" t="inlineStr">
        <is>
          <t>General Therapeutics</t>
        </is>
      </c>
      <c r="M68" s="18" t="inlineStr">
        <is>
          <t>Clinic</t>
        </is>
      </c>
      <c r="N68" s="18" t="inlineStr">
        <is>
          <t>PLE-CC1 ปี 2566 Day 1 ข้อ 1</t>
        </is>
      </c>
      <c r="O68" s="18" t="inlineStr">
        <is>
          <t>ข้อสอบจริง</t>
        </is>
      </c>
      <c r="P68" s="18" t="inlineStr">
        <is>
          <t>ปี 2566</t>
        </is>
      </c>
    </row>
    <row r="69">
      <c r="A69" s="15" t="inlineStr">
        <is>
          <t>91</t>
        </is>
      </c>
      <c r="B69" s="18" t="inlineStr">
        <is>
          <t>Gingival hyperplasia + nystagmus</t>
        </is>
      </c>
      <c r="C69" s="18" t="inlineStr"/>
      <c r="D69" s="18" t="inlineStr">
        <is>
          <t>Sodium thiosulfate 25% 50 mL IV</t>
        </is>
      </c>
      <c r="E69" s="18" t="inlineStr">
        <is>
          <t>Calcium disodium EDTA 1 g IV</t>
        </is>
      </c>
      <c r="F69" s="18" t="inlineStr">
        <is>
          <t>Desferrioxamine 1 g IM/IV</t>
        </is>
      </c>
      <c r="G69" s="18" t="inlineStr">
        <is>
          <t>Dimercaprol (BAL) 3 mg/kg IM</t>
        </is>
      </c>
      <c r="H69" s="18" t="inlineStr">
        <is>
          <t>Ethanol 10% IV infusion for Methanol poisoning</t>
        </is>
      </c>
      <c r="I69" s="15" t="inlineStr">
        <is>
          <t>1</t>
        </is>
      </c>
      <c r="J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18" t="inlineStr"/>
      <c r="L69" s="18" t="inlineStr">
        <is>
          <t>General Therapeutics</t>
        </is>
      </c>
      <c r="M69" s="18" t="inlineStr">
        <is>
          <t>Clinic</t>
        </is>
      </c>
      <c r="N69" s="18" t="inlineStr">
        <is>
          <t>PLE-CC1 ปี 2566 Day 1 ข้อ 2</t>
        </is>
      </c>
      <c r="O69" s="18" t="inlineStr">
        <is>
          <t>ข้อสอบจริง</t>
        </is>
      </c>
      <c r="P69" s="18" t="inlineStr">
        <is>
          <t>ปี 2566</t>
        </is>
      </c>
    </row>
    <row r="70">
      <c r="A70" s="15" t="inlineStr">
        <is>
          <t>92</t>
        </is>
      </c>
      <c r="B70" s="18" t="inlineStr">
        <is>
          <t>Lethargy + ataxia</t>
        </is>
      </c>
      <c r="C70" s="18" t="inlineStr"/>
      <c r="D70" s="18" t="inlineStr">
        <is>
          <t>Dimercaprol (BAL) 3 mg/kg IM</t>
        </is>
      </c>
      <c r="E70" s="18" t="inlineStr">
        <is>
          <t>Ethanol 10% IV infusion for Methanol poisoning</t>
        </is>
      </c>
      <c r="F70" s="18" t="inlineStr">
        <is>
          <t>Fomepizole 15 mg/kg IV loading</t>
        </is>
      </c>
      <c r="G70" s="18" t="inlineStr">
        <is>
          <t>N-acetylcysteine (NAC) IV infusion protocol</t>
        </is>
      </c>
      <c r="H70" s="18" t="inlineStr">
        <is>
          <t>Atropine sulfate 2 mg IV Q5-10 min</t>
        </is>
      </c>
      <c r="I70" s="15" t="inlineStr">
        <is>
          <t>1</t>
        </is>
      </c>
      <c r="J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18" t="inlineStr"/>
      <c r="L70" s="18" t="inlineStr">
        <is>
          <t>General Therapeutics</t>
        </is>
      </c>
      <c r="M70" s="18" t="inlineStr">
        <is>
          <t>Clinic</t>
        </is>
      </c>
      <c r="N70" s="18" t="inlineStr">
        <is>
          <t>PLE-CC1 ปี 2566 Day 1 ข้อ 3</t>
        </is>
      </c>
      <c r="O70" s="18" t="inlineStr">
        <is>
          <t>ข้อสอบจริง</t>
        </is>
      </c>
      <c r="P70" s="18" t="inlineStr">
        <is>
          <t>ปี 2566</t>
        </is>
      </c>
    </row>
    <row r="71">
      <c r="A71" s="15" t="inlineStr">
        <is>
          <t>93</t>
        </is>
      </c>
      <c r="B71" s="18" t="inlineStr">
        <is>
          <t>Case allergic conjunctivitis ใช้ยาอะไร ตัวเลือก</t>
        </is>
      </c>
      <c r="C71" s="18" t="inlineStr"/>
      <c r="D71" s="18" t="inlineStr">
        <is>
          <t>Artificial tears 1 drop QID</t>
        </is>
      </c>
      <c r="E71" s="18" t="inlineStr">
        <is>
          <t>Antazoline/Tetrahydrozoline eye drops 1 drop TID</t>
        </is>
      </c>
      <c r="F71" s="18" t="inlineStr">
        <is>
          <t>Prednisolone acetate 1% eye drops</t>
        </is>
      </c>
      <c r="G71" s="18" t="inlineStr">
        <is>
          <t>Acetazolamide 250 mg BID</t>
        </is>
      </c>
      <c r="H71" s="18" t="inlineStr">
        <is>
          <t>Timolol 0.5% eye drops 1 drop BID</t>
        </is>
      </c>
      <c r="I71" s="15" t="inlineStr">
        <is>
          <t>1</t>
        </is>
      </c>
      <c r="J71" s="18" t="inlineStr">
        <is>
          <t>✅ คำตอบที่ถูกต้อง: ข้อ ก. Artificial tears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18" t="inlineStr"/>
      <c r="L71" s="18" t="inlineStr">
        <is>
          <t>Eye Disorders</t>
        </is>
      </c>
      <c r="M71" s="18" t="inlineStr">
        <is>
          <t>Clinic</t>
        </is>
      </c>
      <c r="N71" s="18" t="inlineStr">
        <is>
          <t>PLE-CC1 ปี 2566 Day 1 ข้อ 32</t>
        </is>
      </c>
      <c r="O71" s="18" t="inlineStr">
        <is>
          <t>ข้อสอบจริง</t>
        </is>
      </c>
      <c r="P71" s="18" t="inlineStr">
        <is>
          <t>ปี 2566</t>
        </is>
      </c>
    </row>
    <row r="72">
      <c r="A72" s="15" t="inlineStr">
        <is>
          <t>94</t>
        </is>
      </c>
      <c r="B72" s="18" t="inlineStr">
        <is>
          <t>คำแนะนำสำหรับMDI ตัวเลือก</t>
        </is>
      </c>
      <c r="C72" s="18" t="inlineStr"/>
      <c r="D72" s="18" t="inlineStr">
        <is>
          <t>Naloxone 0.4 mg IV stat</t>
        </is>
      </c>
      <c r="E72" s="18" t="inlineStr">
        <is>
          <t>Flumazenil 0.2 mg IV stat</t>
        </is>
      </c>
      <c r="F72" s="18" t="inlineStr">
        <is>
          <t>Vitamin K1 (Phytomenadione) 10 mg IV slow</t>
        </is>
      </c>
      <c r="G72" s="18" t="inlineStr">
        <is>
          <t>Sodium thiosulfate 25% 50 mL IV</t>
        </is>
      </c>
      <c r="H72" s="18" t="inlineStr">
        <is>
          <t>Calcium disodium EDTA 1 g IV</t>
        </is>
      </c>
      <c r="I72" s="15" t="inlineStr">
        <is>
          <t>1</t>
        </is>
      </c>
      <c r="J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 s="18" t="inlineStr"/>
      <c r="L72" s="18" t="inlineStr">
        <is>
          <t>General Therapeutics</t>
        </is>
      </c>
      <c r="M72" s="18" t="inlineStr">
        <is>
          <t>Clinic</t>
        </is>
      </c>
      <c r="N72" s="18" t="inlineStr">
        <is>
          <t>PLE-CC1 ปี 2566 Day 1 ข้อ 33</t>
        </is>
      </c>
      <c r="O72" s="18" t="inlineStr">
        <is>
          <t>ข้อสอบจริง</t>
        </is>
      </c>
      <c r="P72" s="18" t="inlineStr">
        <is>
          <t>ปี 2566</t>
        </is>
      </c>
    </row>
    <row r="73">
      <c r="A73" s="15" t="inlineStr">
        <is>
          <t>95</t>
        </is>
      </c>
      <c r="B73" s="18" t="inlineStr">
        <is>
          <t>หายใจเข้าช้าๆลึกๆ</t>
        </is>
      </c>
      <c r="C73" s="18" t="inlineStr"/>
      <c r="D73" s="18" t="inlineStr">
        <is>
          <t>Sodium thiosulfate 25% 50 mL IV</t>
        </is>
      </c>
      <c r="E73" s="18" t="inlineStr">
        <is>
          <t>Calcium disodium EDTA 1 g IV</t>
        </is>
      </c>
      <c r="F73" s="18" t="inlineStr">
        <is>
          <t>Desferrioxamine 1 g IM/IV</t>
        </is>
      </c>
      <c r="G73" s="18" t="inlineStr">
        <is>
          <t>Dimercaprol (BAL) 3 mg/kg IM</t>
        </is>
      </c>
      <c r="H73" s="18" t="inlineStr">
        <is>
          <t>Ethanol 10% IV infusion for Methanol poisoning</t>
        </is>
      </c>
      <c r="I73" s="15" t="inlineStr">
        <is>
          <t>1</t>
        </is>
      </c>
      <c r="J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8" t="inlineStr"/>
      <c r="L73" s="18" t="inlineStr">
        <is>
          <t>General Therapeutics</t>
        </is>
      </c>
      <c r="M73" s="18" t="inlineStr">
        <is>
          <t>Clinic</t>
        </is>
      </c>
      <c r="N73" s="18" t="inlineStr">
        <is>
          <t>PLE-CC1 ปี 2566 Day 1 ข้อ 1</t>
        </is>
      </c>
      <c r="O73" s="18" t="inlineStr">
        <is>
          <t>ข้อสอบจริง</t>
        </is>
      </c>
      <c r="P73" s="18" t="inlineStr">
        <is>
          <t>ปี 2566</t>
        </is>
      </c>
    </row>
    <row r="74">
      <c r="A74" s="15" t="inlineStr">
        <is>
          <t>96</t>
        </is>
      </c>
      <c r="B74" s="18" t="inlineStr">
        <is>
          <t>หายใจเข้าเร็วๆลึกๆ</t>
        </is>
      </c>
      <c r="C74" s="18" t="inlineStr"/>
      <c r="D74" s="18" t="inlineStr">
        <is>
          <t>Dimercaprol (BAL) 3 mg/kg IM</t>
        </is>
      </c>
      <c r="E74" s="18" t="inlineStr">
        <is>
          <t>Ethanol 10% IV infusion for Methanol poisoning</t>
        </is>
      </c>
      <c r="F74" s="18" t="inlineStr">
        <is>
          <t>Fomepizole 15 mg/kg IV loading</t>
        </is>
      </c>
      <c r="G74" s="18" t="inlineStr">
        <is>
          <t>N-acetylcysteine (NAC) IV infusion protocol</t>
        </is>
      </c>
      <c r="H74" s="18" t="inlineStr">
        <is>
          <t>Atropine sulfate 2 mg IV Q5-10 min</t>
        </is>
      </c>
      <c r="I74" s="15" t="inlineStr">
        <is>
          <t>1</t>
        </is>
      </c>
      <c r="J7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18" t="inlineStr"/>
      <c r="L74" s="18" t="inlineStr">
        <is>
          <t>General Therapeutics</t>
        </is>
      </c>
      <c r="M74" s="18" t="inlineStr">
        <is>
          <t>Clinic</t>
        </is>
      </c>
      <c r="N74" s="18" t="inlineStr">
        <is>
          <t>PLE-CC1 ปี 2566 Day 1 ข้อ 2</t>
        </is>
      </c>
      <c r="O74" s="18" t="inlineStr">
        <is>
          <t>ข้อสอบจริง</t>
        </is>
      </c>
      <c r="P74" s="18" t="inlineStr">
        <is>
          <t>ปี 2566</t>
        </is>
      </c>
    </row>
    <row r="75">
      <c r="A75" s="15" t="inlineStr">
        <is>
          <t>97</t>
        </is>
      </c>
      <c r="B75" s="18" t="inlineStr">
        <is>
          <t>หายใจออกช้าๆลึกๆ</t>
        </is>
      </c>
      <c r="C75" s="18" t="inlineStr"/>
      <c r="D75" s="18" t="inlineStr">
        <is>
          <t>N-acetylcysteine (NAC) IV infusion protocol</t>
        </is>
      </c>
      <c r="E75" s="18" t="inlineStr">
        <is>
          <t>Atropine sulfate 2 mg IV Q5-10 min</t>
        </is>
      </c>
      <c r="F75" s="18" t="inlineStr">
        <is>
          <t>Pralidoxime (2-PAM) 1-2 g IV over 30 min</t>
        </is>
      </c>
      <c r="G75" s="18" t="inlineStr">
        <is>
          <t>Naloxone 0.4 mg IV stat</t>
        </is>
      </c>
      <c r="H75" s="18" t="inlineStr">
        <is>
          <t>Flumazenil 0.2 mg IV stat</t>
        </is>
      </c>
      <c r="I75" s="15" t="inlineStr">
        <is>
          <t>1</t>
        </is>
      </c>
      <c r="J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5" s="18" t="inlineStr"/>
      <c r="L75" s="18" t="inlineStr">
        <is>
          <t>General Therapeutics</t>
        </is>
      </c>
      <c r="M75" s="18" t="inlineStr">
        <is>
          <t>Clinic</t>
        </is>
      </c>
      <c r="N75" s="18" t="inlineStr">
        <is>
          <t>PLE-CC1 ปี 2566 Day 1 ข้อ 3</t>
        </is>
      </c>
      <c r="O75" s="18" t="inlineStr">
        <is>
          <t>ข้อสอบจริง</t>
        </is>
      </c>
      <c r="P75" s="18" t="inlineStr">
        <is>
          <t>ปี 2566</t>
        </is>
      </c>
    </row>
    <row r="76">
      <c r="A76" s="15" t="inlineStr">
        <is>
          <t>98</t>
        </is>
      </c>
      <c r="B76" s="18" t="inlineStr">
        <is>
          <t>หายใจออกเร็วๆลึกๆ</t>
        </is>
      </c>
      <c r="C76" s="18" t="inlineStr"/>
      <c r="D76" s="18" t="inlineStr">
        <is>
          <t>Naloxone 0.4 mg IV stat</t>
        </is>
      </c>
      <c r="E76" s="18" t="inlineStr">
        <is>
          <t>Flumazenil 0.2 mg IV stat</t>
        </is>
      </c>
      <c r="F76" s="18" t="inlineStr">
        <is>
          <t>Vitamin K1 (Phytomenadione) 10 mg IV slow</t>
        </is>
      </c>
      <c r="G76" s="18" t="inlineStr">
        <is>
          <t>Sodium thiosulfate 25% 50 mL IV</t>
        </is>
      </c>
      <c r="H76" s="18" t="inlineStr">
        <is>
          <t>Calcium disodium EDTA 1 g IV</t>
        </is>
      </c>
      <c r="I76" s="15" t="inlineStr">
        <is>
          <t>1</t>
        </is>
      </c>
      <c r="J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 s="18" t="inlineStr"/>
      <c r="L76" s="18" t="inlineStr">
        <is>
          <t>General Therapeutics</t>
        </is>
      </c>
      <c r="M76" s="18" t="inlineStr">
        <is>
          <t>Clinic</t>
        </is>
      </c>
      <c r="N76" s="18" t="inlineStr">
        <is>
          <t>PLE-CC1 ปี 2566 Day 1 ข้อ 4</t>
        </is>
      </c>
      <c r="O76" s="18" t="inlineStr">
        <is>
          <t>ข้อสอบจริง</t>
        </is>
      </c>
      <c r="P76" s="18" t="inlineStr">
        <is>
          <t>ปี 2566</t>
        </is>
      </c>
    </row>
    <row r="77">
      <c r="A77" s="15" t="inlineStr">
        <is>
          <t>99</t>
        </is>
      </c>
      <c r="B77" s="18" t="inlineStr">
        <is>
          <t>สารที่ใช้ทำfilm เคลือบยาenteric-coated ตัวเลือก</t>
        </is>
      </c>
      <c r="C77" s="18" t="inlineStr"/>
      <c r="D77" s="18" t="inlineStr">
        <is>
          <t>Sodium thiosulfate 25% 50 mL IV</t>
        </is>
      </c>
      <c r="E77" s="18" t="inlineStr">
        <is>
          <t>Calcium disodium EDTA 1 g IV</t>
        </is>
      </c>
      <c r="F77" s="18" t="inlineStr">
        <is>
          <t>Desferrioxamine 1 g IM/IV</t>
        </is>
      </c>
      <c r="G77" s="18" t="inlineStr">
        <is>
          <t>Dimercaprol (BAL) 3 mg/kg IM</t>
        </is>
      </c>
      <c r="H77" s="18" t="inlineStr">
        <is>
          <t>Ethanol 10% IV infusion for Methanol poisoning</t>
        </is>
      </c>
      <c r="I77" s="15" t="inlineStr">
        <is>
          <t>1</t>
        </is>
      </c>
      <c r="J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8" t="inlineStr"/>
      <c r="L77" s="18" t="inlineStr">
        <is>
          <t>General Therapeutics</t>
        </is>
      </c>
      <c r="M77" s="18" t="inlineStr">
        <is>
          <t>Clinic</t>
        </is>
      </c>
      <c r="N77" s="18" t="inlineStr">
        <is>
          <t>PLE-CC1 ปี 2566 Day 1 ข้อ 34</t>
        </is>
      </c>
      <c r="O77" s="18" t="inlineStr">
        <is>
          <t>ข้อสอบจริง</t>
        </is>
      </c>
      <c r="P77" s="18" t="inlineStr">
        <is>
          <t>ปี 2566</t>
        </is>
      </c>
    </row>
    <row r="78">
      <c r="A78" s="15" t="inlineStr">
        <is>
          <t>100</t>
        </is>
      </c>
      <c r="B78" s="18" t="inlineStr">
        <is>
          <t>Ethyl cellulose</t>
        </is>
      </c>
      <c r="C78" s="18" t="inlineStr"/>
      <c r="D78" s="18" t="inlineStr">
        <is>
          <t>Dimercaprol (BAL) 3 mg/kg IM</t>
        </is>
      </c>
      <c r="E78" s="18" t="inlineStr">
        <is>
          <t>Ethanol 10% IV infusion for Methanol poisoning</t>
        </is>
      </c>
      <c r="F78" s="18" t="inlineStr">
        <is>
          <t>Fomepizole 15 mg/kg IV loading</t>
        </is>
      </c>
      <c r="G78" s="18" t="inlineStr">
        <is>
          <t>N-acetylcysteine (NAC) IV infusion protocol</t>
        </is>
      </c>
      <c r="H78" s="18" t="inlineStr">
        <is>
          <t>Atropine sulfate 2 mg IV Q5-10 min</t>
        </is>
      </c>
      <c r="I78" s="15" t="inlineStr">
        <is>
          <t>1</t>
        </is>
      </c>
      <c r="J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8" t="inlineStr"/>
      <c r="L78" s="18" t="inlineStr">
        <is>
          <t>General Therapeutics</t>
        </is>
      </c>
      <c r="M78" s="18" t="inlineStr">
        <is>
          <t>Clinic</t>
        </is>
      </c>
      <c r="N78" s="18" t="inlineStr">
        <is>
          <t>PLE-CC1 ปี 2566 Day 1 ข้อ 1</t>
        </is>
      </c>
      <c r="O78" s="18" t="inlineStr">
        <is>
          <t>ข้อสอบจริง</t>
        </is>
      </c>
      <c r="P78" s="18" t="inlineStr">
        <is>
          <t>ปี 2566</t>
        </is>
      </c>
    </row>
    <row r="79">
      <c r="A79" s="15" t="inlineStr">
        <is>
          <t>101</t>
        </is>
      </c>
      <c r="B79" s="18" t="inlineStr">
        <is>
          <t>ยาcystitis ในคนท้อง ตัวเลือก</t>
        </is>
      </c>
      <c r="C79" s="18" t="inlineStr"/>
      <c r="D79" s="18" t="inlineStr">
        <is>
          <t>N-acetylcysteine (NAC) IV infusion protocol</t>
        </is>
      </c>
      <c r="E79" s="18" t="inlineStr">
        <is>
          <t>Atropine sulfate 2 mg IV Q5-10 min</t>
        </is>
      </c>
      <c r="F79" s="18" t="inlineStr">
        <is>
          <t>Pralidoxime (2-PAM) 1-2 g IV over 30 min</t>
        </is>
      </c>
      <c r="G79" s="18" t="inlineStr">
        <is>
          <t>Naloxone 0.4 mg IV stat</t>
        </is>
      </c>
      <c r="H79" s="18" t="inlineStr">
        <is>
          <t>Flumazenil 0.2 mg IV stat</t>
        </is>
      </c>
      <c r="I79" s="15" t="inlineStr">
        <is>
          <t>1</t>
        </is>
      </c>
      <c r="J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 s="18" t="inlineStr"/>
      <c r="L79" s="18" t="inlineStr">
        <is>
          <t>General Therapeutics</t>
        </is>
      </c>
      <c r="M79" s="18" t="inlineStr">
        <is>
          <t>Clinic</t>
        </is>
      </c>
      <c r="N79" s="18" t="inlineStr">
        <is>
          <t>PLE-CC1 ปี 2566 Day 1 ข้อ 35</t>
        </is>
      </c>
      <c r="O79" s="18" t="inlineStr">
        <is>
          <t>ข้อสอบจริง</t>
        </is>
      </c>
      <c r="P79" s="18" t="inlineStr">
        <is>
          <t>ปี 2566</t>
        </is>
      </c>
    </row>
    <row r="80">
      <c r="A80" s="15" t="inlineStr">
        <is>
          <t>102</t>
        </is>
      </c>
      <c r="B80" s="18" t="inlineStr">
        <is>
          <t>35.ยาหยอดตาไม่ต้องทดสอบทดสอบคุณภาพก้านใดคุณ ตัวเลือก</t>
        </is>
      </c>
      <c r="C80" s="18" t="inlineStr"/>
      <c r="D80" s="18" t="inlineStr">
        <is>
          <t>Dorzolamide 2% eye drops 1 drop BID</t>
        </is>
      </c>
      <c r="E80" s="18" t="inlineStr">
        <is>
          <t>Tobramycin 0.3% eye drops 1 drop QID</t>
        </is>
      </c>
      <c r="F80" s="18" t="inlineStr">
        <is>
          <t>Chloramphenicol 0.5% eye drops 1 drop QID</t>
        </is>
      </c>
      <c r="G80" s="18" t="inlineStr">
        <is>
          <t>Artificial tears 1 drop QID</t>
        </is>
      </c>
      <c r="H80" s="18" t="inlineStr">
        <is>
          <t>Antazoline/Tetrahydrozoline eye drops 1 drop TID</t>
        </is>
      </c>
      <c r="I80" s="15" t="inlineStr">
        <is>
          <t>3</t>
        </is>
      </c>
      <c r="J80" s="18" t="inlineStr">
        <is>
          <t>✅ คำตอบที่ถูกต้อง: ข้อ ค. Chloramphenicol 0.5% eye drops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ข.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ข้อ ง.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0" s="18" t="inlineStr"/>
      <c r="L80" s="18" t="inlineStr">
        <is>
          <t>Eye Disorders</t>
        </is>
      </c>
      <c r="M80" s="18" t="inlineStr">
        <is>
          <t>Clinic</t>
        </is>
      </c>
      <c r="N80" s="18" t="inlineStr">
        <is>
          <t>PLE-CC1 ปี 2566 Day 1 ข้อ 4</t>
        </is>
      </c>
      <c r="O80" s="18" t="inlineStr">
        <is>
          <t>ข้อสอบจริง</t>
        </is>
      </c>
      <c r="P80" s="18" t="inlineStr">
        <is>
          <t>ปี 2566</t>
        </is>
      </c>
    </row>
    <row r="81">
      <c r="A81" s="15" t="inlineStr">
        <is>
          <t>103</t>
        </is>
      </c>
      <c r="B81" s="18" t="inlineStr">
        <is>
          <t>…………………………………. ตัวเลือก</t>
        </is>
      </c>
      <c r="C81" s="18" t="inlineStr"/>
      <c r="D81" s="18" t="inlineStr">
        <is>
          <t>Sodium thiosulfate 25% 50 mL IV</t>
        </is>
      </c>
      <c r="E81" s="18" t="inlineStr">
        <is>
          <t>Calcium disodium EDTA 1 g IV</t>
        </is>
      </c>
      <c r="F81" s="18" t="inlineStr">
        <is>
          <t>Desferrioxamine 1 g IM/IV</t>
        </is>
      </c>
      <c r="G81" s="18" t="inlineStr">
        <is>
          <t>Dimercaprol (BAL) 3 mg/kg IM</t>
        </is>
      </c>
      <c r="H81" s="18" t="inlineStr">
        <is>
          <t>Ethanol 10% IV infusion for Methanol poisoning</t>
        </is>
      </c>
      <c r="I81" s="15" t="inlineStr">
        <is>
          <t>1</t>
        </is>
      </c>
      <c r="J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18" t="inlineStr"/>
      <c r="L81" s="18" t="inlineStr">
        <is>
          <t>General Therapeutics</t>
        </is>
      </c>
      <c r="M81" s="18" t="inlineStr">
        <is>
          <t>Clinic</t>
        </is>
      </c>
      <c r="N81" s="18" t="inlineStr">
        <is>
          <t>PLE-CC1 ปี 2566 Day 1 ข้อ 36</t>
        </is>
      </c>
      <c r="O81" s="18" t="inlineStr">
        <is>
          <t>ข้อสอบจริง</t>
        </is>
      </c>
      <c r="P81" s="18" t="inlineStr">
        <is>
          <t>ปี 2566</t>
        </is>
      </c>
    </row>
    <row r="82">
      <c r="A82" s="15" t="inlineStr">
        <is>
          <t>104</t>
        </is>
      </c>
      <c r="B82" s="18" t="inlineStr">
        <is>
          <t>2 - 8 องศาเซลเซียส</t>
        </is>
      </c>
      <c r="C82" s="18" t="inlineStr"/>
      <c r="D82" s="18" t="inlineStr">
        <is>
          <t>Dimercaprol (BAL) 3 mg/kg IM</t>
        </is>
      </c>
      <c r="E82" s="18" t="inlineStr">
        <is>
          <t>Ethanol 10% IV infusion for Methanol poisoning</t>
        </is>
      </c>
      <c r="F82" s="18" t="inlineStr">
        <is>
          <t>Fomepizole 15 mg/kg IV loading</t>
        </is>
      </c>
      <c r="G82" s="18" t="inlineStr">
        <is>
          <t>N-acetylcysteine (NAC) IV infusion protocol</t>
        </is>
      </c>
      <c r="H82" s="18" t="inlineStr">
        <is>
          <t>Atropine sulfate 2 mg IV Q5-10 min</t>
        </is>
      </c>
      <c r="I82" s="15" t="inlineStr">
        <is>
          <t>1</t>
        </is>
      </c>
      <c r="J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18" t="inlineStr"/>
      <c r="L82" s="18" t="inlineStr">
        <is>
          <t>General Therapeutics</t>
        </is>
      </c>
      <c r="M82" s="18" t="inlineStr">
        <is>
          <t>Clinic</t>
        </is>
      </c>
      <c r="N82" s="18" t="inlineStr">
        <is>
          <t>PLE-CC1 ปี 2566 Day 1 ข้อ 1</t>
        </is>
      </c>
      <c r="O82" s="18" t="inlineStr">
        <is>
          <t>ข้อสอบจริง</t>
        </is>
      </c>
      <c r="P82" s="18" t="inlineStr">
        <is>
          <t>ปี 2566</t>
        </is>
      </c>
    </row>
    <row r="83">
      <c r="A83" s="15" t="inlineStr">
        <is>
          <t>105</t>
        </is>
      </c>
      <c r="B83" s="18" t="inlineStr">
        <is>
          <t>คำนวณปีสุขภาวะ ตัวเลือก</t>
        </is>
      </c>
      <c r="C83" s="18" t="inlineStr"/>
      <c r="D83" s="18" t="inlineStr">
        <is>
          <t>Alligation Alternate method for concentration adjustment</t>
        </is>
      </c>
      <c r="E83" s="18" t="inlineStr">
        <is>
          <t>mEq / mmol Electrolyte conversion formula</t>
        </is>
      </c>
      <c r="F83" s="18" t="inlineStr">
        <is>
          <t>Osmolarity (mOsmol/L) calculation</t>
        </is>
      </c>
      <c r="G83" s="18" t="inlineStr">
        <is>
          <t>Sodium Chloride Equivalent (E-value) Isotonic adjustment</t>
        </is>
      </c>
      <c r="H83" s="18" t="inlineStr">
        <is>
          <t>Creatinine Clearance via Cockcroft-Gault Equation</t>
        </is>
      </c>
      <c r="I83" s="15" t="inlineStr">
        <is>
          <t>1</t>
        </is>
      </c>
      <c r="J83" s="18" t="inlineStr">
        <is>
          <t>✅ คำตอบที่ถูกต้อง: ข้อ ก. Alligation Alternate method for concentration adjustment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8" t="inlineStr"/>
      <c r="L83" s="18" t="inlineStr">
        <is>
          <t>Pharmaceutical Calculations</t>
        </is>
      </c>
      <c r="M83" s="18" t="inlineStr">
        <is>
          <t>Product</t>
        </is>
      </c>
      <c r="N83" s="18" t="inlineStr">
        <is>
          <t>PLE-CC1 ปี 2566 Day 1 ข้อ 40</t>
        </is>
      </c>
      <c r="O83" s="18" t="inlineStr">
        <is>
          <t>ข้อสอบจริง</t>
        </is>
      </c>
      <c r="P83" s="18" t="inlineStr">
        <is>
          <t>ปี 2566</t>
        </is>
      </c>
    </row>
    <row r="84">
      <c r="A84" s="15" t="inlineStr">
        <is>
          <t>106</t>
        </is>
      </c>
      <c r="B84" s="18" t="inlineStr">
        <is>
          <t>ยาตัวใดมีประโยชน์ในการป้องกันStroke น้อยที่สุด. ตัวเลือก</t>
        </is>
      </c>
      <c r="C84" s="18" t="inlineStr"/>
      <c r="D84" s="18" t="inlineStr">
        <is>
          <t>Lamotrigine 50 mg OD</t>
        </is>
      </c>
      <c r="E84" s="18" t="inlineStr">
        <is>
          <t>Levetiracetam 500 mg BID</t>
        </is>
      </c>
      <c r="F84" s="18" t="inlineStr">
        <is>
          <t>Gabapentin 300 mg TID</t>
        </is>
      </c>
      <c r="G84" s="18" t="inlineStr">
        <is>
          <t>Pregabalin 75 mg BID</t>
        </is>
      </c>
      <c r="H84" s="18" t="inlineStr">
        <is>
          <t>Levodopa/Benserazide 100/25 mg TID</t>
        </is>
      </c>
      <c r="I84" s="15" t="inlineStr">
        <is>
          <t>1</t>
        </is>
      </c>
      <c r="J84" s="18" t="inlineStr">
        <is>
          <t>✅ คำตอบที่ถูกต้อง: ข้อ ก. Lamotrigine 50 mg OD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ง.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8" t="inlineStr"/>
      <c r="L84" s="18" t="inlineStr">
        <is>
          <t>Neurologic Disorders</t>
        </is>
      </c>
      <c r="M84" s="18" t="inlineStr">
        <is>
          <t>Clinic</t>
        </is>
      </c>
      <c r="N84" s="18" t="inlineStr">
        <is>
          <t>PLE-CC1 ปี 2566 Day 1 ข้อ 41</t>
        </is>
      </c>
      <c r="O84" s="18" t="inlineStr">
        <is>
          <t>ข้อสอบจริง</t>
        </is>
      </c>
      <c r="P84" s="18" t="inlineStr">
        <is>
          <t>ปี 2566</t>
        </is>
      </c>
    </row>
    <row r="85">
      <c r="A85" s="15" t="inlineStr">
        <is>
          <t>107</t>
        </is>
      </c>
      <c r="B85" s="18" t="inlineStr">
        <is>
          <t>ยาที่เป็นตัวเลือกแรกสำหรับการรักษาOA (ผู้ป่วยรายนี้) ตาม Mercian Rheumatology Guideline 2019 ปวดระดับ2/10 ตัวเลือก</t>
        </is>
      </c>
      <c r="C85" s="18" t="inlineStr"/>
      <c r="D85" s="18" t="inlineStr">
        <is>
          <t>Sodium thiosulfate 25% 50 mL IV</t>
        </is>
      </c>
      <c r="E85" s="18" t="inlineStr">
        <is>
          <t>Calcium disodium EDTA 1 g IV</t>
        </is>
      </c>
      <c r="F85" s="18" t="inlineStr">
        <is>
          <t>Desferrioxamine 1 g IM/IV</t>
        </is>
      </c>
      <c r="G85" s="18" t="inlineStr">
        <is>
          <t>Dimercaprol (BAL) 3 mg/kg IM</t>
        </is>
      </c>
      <c r="H85" s="18" t="inlineStr">
        <is>
          <t>Ethanol 10% IV infusion for Methanol poisoning</t>
        </is>
      </c>
      <c r="I85" s="15" t="inlineStr">
        <is>
          <t>1</t>
        </is>
      </c>
      <c r="J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5" s="18" t="inlineStr"/>
      <c r="L85" s="18" t="inlineStr">
        <is>
          <t>General Therapeutics</t>
        </is>
      </c>
      <c r="M85" s="18" t="inlineStr">
        <is>
          <t>Clinic</t>
        </is>
      </c>
      <c r="N85" s="18" t="inlineStr">
        <is>
          <t>PLE-CC1 ปี 2566 Day 1 ข้อ 42</t>
        </is>
      </c>
      <c r="O85" s="18" t="inlineStr">
        <is>
          <t>ข้อสอบจริง</t>
        </is>
      </c>
      <c r="P85" s="18" t="inlineStr">
        <is>
          <t>ปี 2566</t>
        </is>
      </c>
    </row>
    <row r="86">
      <c r="A86" s="15" t="inlineStr">
        <is>
          <t>108</t>
        </is>
      </c>
      <c r="B86" s="18" t="inlineStr">
        <is>
          <t>Oral diclofenac</t>
        </is>
      </c>
      <c r="C86" s="18" t="inlineStr"/>
      <c r="D86" s="18" t="inlineStr">
        <is>
          <t>Dimercaprol (BAL) 3 mg/kg IM</t>
        </is>
      </c>
      <c r="E86" s="18" t="inlineStr">
        <is>
          <t>Ethanol 10% IV infusion for Methanol poisoning</t>
        </is>
      </c>
      <c r="F86" s="18" t="inlineStr">
        <is>
          <t>Fomepizole 15 mg/kg IV loading</t>
        </is>
      </c>
      <c r="G86" s="18" t="inlineStr">
        <is>
          <t>N-acetylcysteine (NAC) IV infusion protocol</t>
        </is>
      </c>
      <c r="H86" s="18" t="inlineStr">
        <is>
          <t>Atropine sulfate 2 mg IV Q5-10 min</t>
        </is>
      </c>
      <c r="I86" s="15" t="inlineStr">
        <is>
          <t>1</t>
        </is>
      </c>
      <c r="J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18" t="inlineStr"/>
      <c r="L86" s="18" t="inlineStr">
        <is>
          <t>General Therapeutics</t>
        </is>
      </c>
      <c r="M86" s="18" t="inlineStr">
        <is>
          <t>Clinic</t>
        </is>
      </c>
      <c r="N86" s="18" t="inlineStr">
        <is>
          <t>PLE-CC1 ปี 2566 Day 1 ข้อ 1</t>
        </is>
      </c>
      <c r="O86" s="18" t="inlineStr">
        <is>
          <t>ข้อสอบจริง</t>
        </is>
      </c>
      <c r="P86" s="18" t="inlineStr">
        <is>
          <t>ปี 2566</t>
        </is>
      </c>
    </row>
    <row r="87">
      <c r="A87" s="15" t="inlineStr">
        <is>
          <t>109</t>
        </is>
      </c>
      <c r="B87" s="18" t="inlineStr">
        <is>
          <t>Oral paracetamol+ orphenadrine</t>
        </is>
      </c>
      <c r="C87" s="18" t="inlineStr"/>
      <c r="D87" s="18" t="inlineStr">
        <is>
          <t>N-acetylcysteine (NAC) IV infusion protocol</t>
        </is>
      </c>
      <c r="E87" s="18" t="inlineStr">
        <is>
          <t>Atropine sulfate 2 mg IV Q5-10 min</t>
        </is>
      </c>
      <c r="F87" s="18" t="inlineStr">
        <is>
          <t>Pralidoxime (2-PAM) 1-2 g IV over 30 min</t>
        </is>
      </c>
      <c r="G87" s="18" t="inlineStr">
        <is>
          <t>Naloxone 0.4 mg IV stat</t>
        </is>
      </c>
      <c r="H87" s="18" t="inlineStr">
        <is>
          <t>Flumazenil 0.2 mg IV stat</t>
        </is>
      </c>
      <c r="I87" s="15" t="inlineStr">
        <is>
          <t>1</t>
        </is>
      </c>
      <c r="J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 s="18" t="inlineStr"/>
      <c r="L87" s="18" t="inlineStr">
        <is>
          <t>General Therapeutics</t>
        </is>
      </c>
      <c r="M87" s="18" t="inlineStr">
        <is>
          <t>Clinic</t>
        </is>
      </c>
      <c r="N87" s="18" t="inlineStr">
        <is>
          <t>PLE-CC1 ปี 2566 Day 1 ข้อ 2</t>
        </is>
      </c>
      <c r="O87" s="18" t="inlineStr">
        <is>
          <t>ข้อสอบจริง</t>
        </is>
      </c>
      <c r="P87" s="18" t="inlineStr">
        <is>
          <t>ปี 2566</t>
        </is>
      </c>
    </row>
    <row r="88">
      <c r="A88" s="15" t="inlineStr">
        <is>
          <t>110</t>
        </is>
      </c>
      <c r="B88" s="18" t="inlineStr">
        <is>
          <t>จำมาแค่4 ตัวเลือกนี้</t>
        </is>
      </c>
      <c r="C88" s="18" t="inlineStr"/>
      <c r="D88" s="18" t="inlineStr">
        <is>
          <t>Naloxone 0.4 mg IV stat</t>
        </is>
      </c>
      <c r="E88" s="18" t="inlineStr">
        <is>
          <t>Flumazenil 0.2 mg IV stat</t>
        </is>
      </c>
      <c r="F88" s="18" t="inlineStr">
        <is>
          <t>Vitamin K1 (Phytomenadione) 10 mg IV slow</t>
        </is>
      </c>
      <c r="G88" s="18" t="inlineStr">
        <is>
          <t>Sodium thiosulfate 25% 50 mL IV</t>
        </is>
      </c>
      <c r="H88" s="18" t="inlineStr">
        <is>
          <t>Calcium disodium EDTA 1 g IV</t>
        </is>
      </c>
      <c r="I88" s="15" t="inlineStr">
        <is>
          <t>1</t>
        </is>
      </c>
      <c r="J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 s="18" t="inlineStr"/>
      <c r="L88" s="18" t="inlineStr">
        <is>
          <t>General Therapeutics</t>
        </is>
      </c>
      <c r="M88" s="18" t="inlineStr">
        <is>
          <t>Clinic</t>
        </is>
      </c>
      <c r="N88" s="18" t="inlineStr">
        <is>
          <t>PLE-CC1 ปี 2566 Day 1 ข้อ 5</t>
        </is>
      </c>
      <c r="O88" s="18" t="inlineStr">
        <is>
          <t>ข้อสอบจริง</t>
        </is>
      </c>
      <c r="P88" s="18" t="inlineStr">
        <is>
          <t>ปี 2566</t>
        </is>
      </c>
    </row>
    <row r="89">
      <c r="A89" s="15" t="inlineStr">
        <is>
          <t>111</t>
        </is>
      </c>
      <c r="B89" s="18" t="inlineStr">
        <is>
          <t>การควบคุมน้ำตาลในเลือดไม่ได้,</t>
        </is>
      </c>
      <c r="C89" s="18" t="inlineStr"/>
      <c r="D89" s="18" t="inlineStr">
        <is>
          <t>Levothyroxine 50 mcg OD</t>
        </is>
      </c>
      <c r="E89" s="18" t="inlineStr">
        <is>
          <t>Propylthiouracil 50 mg TID</t>
        </is>
      </c>
      <c r="F89" s="18" t="inlineStr">
        <is>
          <t>Methimazole 10 mg OD</t>
        </is>
      </c>
      <c r="G89" s="18" t="inlineStr">
        <is>
          <t>Pioglitazone 15 mg OD</t>
        </is>
      </c>
      <c r="H89" s="18" t="inlineStr">
        <is>
          <t>Insulin glargine 10 units SC HS</t>
        </is>
      </c>
      <c r="I89" s="15" t="inlineStr">
        <is>
          <t>1</t>
        </is>
      </c>
      <c r="J89" s="1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89" s="18" t="inlineStr"/>
      <c r="L89" s="18" t="inlineStr">
        <is>
          <t>Diabetes &amp; Endocrine</t>
        </is>
      </c>
      <c r="M89" s="18" t="inlineStr">
        <is>
          <t>Clinic</t>
        </is>
      </c>
      <c r="N89" s="18" t="inlineStr">
        <is>
          <t>PLE-CC1 ปี 2566 Day 1 ข้อ 2</t>
        </is>
      </c>
      <c r="O89" s="18" t="inlineStr">
        <is>
          <t>ข้อสอบจริง</t>
        </is>
      </c>
      <c r="P89" s="18" t="inlineStr">
        <is>
          <t>ปี 2566</t>
        </is>
      </c>
    </row>
    <row r="90">
      <c r="A90" s="15" t="inlineStr">
        <is>
          <t>112</t>
        </is>
      </c>
      <c r="B90" s="18" t="inlineStr">
        <is>
          <t>โรคอ้วน, การดื่มแอลกอฮอล์, คุมน้ำตาลไม่ได้</t>
        </is>
      </c>
      <c r="C90" s="18" t="inlineStr"/>
      <c r="D90" s="18" t="inlineStr">
        <is>
          <t>Dimercaprol (BAL) 3 mg/kg IM</t>
        </is>
      </c>
      <c r="E90" s="18" t="inlineStr">
        <is>
          <t>Ethanol 10% IV infusion for Methanol poisoning</t>
        </is>
      </c>
      <c r="F90" s="18" t="inlineStr">
        <is>
          <t>Fomepizole 15 mg/kg IV loading</t>
        </is>
      </c>
      <c r="G90" s="18" t="inlineStr">
        <is>
          <t>N-acetylcysteine (NAC) IV infusion protocol</t>
        </is>
      </c>
      <c r="H90" s="18" t="inlineStr">
        <is>
          <t>Atropine sulfate 2 mg IV Q5-10 min</t>
        </is>
      </c>
      <c r="I90" s="15" t="inlineStr">
        <is>
          <t>1</t>
        </is>
      </c>
      <c r="J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0" s="18" t="inlineStr"/>
      <c r="L90" s="18" t="inlineStr">
        <is>
          <t>General Therapeutics</t>
        </is>
      </c>
      <c r="M90" s="18" t="inlineStr">
        <is>
          <t>Clinic</t>
        </is>
      </c>
      <c r="N90" s="18" t="inlineStr">
        <is>
          <t>PLE-CC1 ปี 2566 Day 1 ข้อ 3</t>
        </is>
      </c>
      <c r="O90" s="18" t="inlineStr">
        <is>
          <t>ข้อสอบจริง</t>
        </is>
      </c>
      <c r="P90" s="18" t="inlineStr">
        <is>
          <t>ปี 2566</t>
        </is>
      </c>
    </row>
    <row r="91">
      <c r="A91" s="15" t="inlineStr">
        <is>
          <t>113</t>
        </is>
      </c>
      <c r="B91" s="18" t="inlineStr">
        <is>
          <t>จากข้อ43 นอกจากการรักษาโดยไม่ใช้ยาแล้วจะเพิ่มยาใดต่อ ไปนี้ให้คนไข้ ตัวเลือก</t>
        </is>
      </c>
      <c r="C91" s="18" t="inlineStr"/>
      <c r="D91" s="18" t="inlineStr">
        <is>
          <t>N-acetylcysteine (NAC) IV infusion protocol</t>
        </is>
      </c>
      <c r="E91" s="18" t="inlineStr">
        <is>
          <t>Atropine sulfate 2 mg IV Q5-10 min</t>
        </is>
      </c>
      <c r="F91" s="18" t="inlineStr">
        <is>
          <t>Pralidoxime (2-PAM) 1-2 g IV over 30 min</t>
        </is>
      </c>
      <c r="G91" s="18" t="inlineStr">
        <is>
          <t>Naloxone 0.4 mg IV stat</t>
        </is>
      </c>
      <c r="H91" s="18" t="inlineStr">
        <is>
          <t>Flumazenil 0.2 mg IV stat</t>
        </is>
      </c>
      <c r="I91" s="15" t="inlineStr">
        <is>
          <t>1</t>
        </is>
      </c>
      <c r="J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 s="18" t="inlineStr"/>
      <c r="L91" s="18" t="inlineStr">
        <is>
          <t>General Therapeutics</t>
        </is>
      </c>
      <c r="M91" s="18" t="inlineStr">
        <is>
          <t>Clinic</t>
        </is>
      </c>
      <c r="N91" s="18" t="inlineStr">
        <is>
          <t>PLE-CC1 ปี 2566 Day 1 ข้อ 44</t>
        </is>
      </c>
      <c r="O91" s="18" t="inlineStr">
        <is>
          <t>ข้อสอบจริง</t>
        </is>
      </c>
      <c r="P91" s="18" t="inlineStr">
        <is>
          <t>ปี 2566</t>
        </is>
      </c>
    </row>
    <row r="92">
      <c r="A92" s="15" t="inlineStr">
        <is>
          <t>114</t>
        </is>
      </c>
      <c r="B92" s="18" t="inlineStr">
        <is>
          <t>Sustained release niacin</t>
        </is>
      </c>
      <c r="C92" s="18" t="inlineStr"/>
      <c r="D92" s="18" t="inlineStr">
        <is>
          <t>Naloxone 0.4 mg IV stat</t>
        </is>
      </c>
      <c r="E92" s="18" t="inlineStr">
        <is>
          <t>Flumazenil 0.2 mg IV stat</t>
        </is>
      </c>
      <c r="F92" s="18" t="inlineStr">
        <is>
          <t>Vitamin K1 (Phytomenadione) 10 mg IV slow</t>
        </is>
      </c>
      <c r="G92" s="18" t="inlineStr">
        <is>
          <t>Sodium thiosulfate 25% 50 mL IV</t>
        </is>
      </c>
      <c r="H92" s="18" t="inlineStr">
        <is>
          <t>Calcium disodium EDTA 1 g IV</t>
        </is>
      </c>
      <c r="I92" s="15" t="inlineStr">
        <is>
          <t>1</t>
        </is>
      </c>
      <c r="J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 s="18" t="inlineStr"/>
      <c r="L92" s="18" t="inlineStr">
        <is>
          <t>General Therapeutics</t>
        </is>
      </c>
      <c r="M92" s="18" t="inlineStr">
        <is>
          <t>Clinic</t>
        </is>
      </c>
      <c r="N92" s="18" t="inlineStr">
        <is>
          <t>PLE-CC1 ปี 2566 Day 1 ข้อ 2</t>
        </is>
      </c>
      <c r="O92" s="18" t="inlineStr">
        <is>
          <t>ข้อสอบจริง</t>
        </is>
      </c>
      <c r="P92" s="18" t="inlineStr">
        <is>
          <t>ปี 2566</t>
        </is>
      </c>
    </row>
    <row r="93">
      <c r="A93" s="15" t="inlineStr">
        <is>
          <t>115</t>
        </is>
      </c>
      <c r="B93" s="18" t="inlineStr">
        <is>
          <t>Gemfibrozil</t>
        </is>
      </c>
      <c r="C93" s="18" t="inlineStr"/>
      <c r="D93" s="18" t="inlineStr">
        <is>
          <t>Diltiazem 30 mg TID</t>
        </is>
      </c>
      <c r="E93" s="18" t="inlineStr">
        <is>
          <t>Warfarin 3 mg OD (target INR 2.0-3.0)</t>
        </is>
      </c>
      <c r="F93" s="18" t="inlineStr">
        <is>
          <t>Furosemide 40 mg OD</t>
        </is>
      </c>
      <c r="G93" s="18" t="inlineStr">
        <is>
          <t>Amlodipine 5 mg OD</t>
        </is>
      </c>
      <c r="H93" s="18" t="inlineStr">
        <is>
          <t>Losartan 50 mg OD</t>
        </is>
      </c>
      <c r="I93" s="15" t="inlineStr">
        <is>
          <t>5</t>
        </is>
      </c>
      <c r="J93" s="18" t="inlineStr">
        <is>
          <t>✅ คำตอบที่ถูกต้อง: ข้อ จ. Losartan 50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93" s="18" t="inlineStr"/>
      <c r="L93" s="18" t="inlineStr">
        <is>
          <t>Cardiovascular Diseases</t>
        </is>
      </c>
      <c r="M93" s="18" t="inlineStr">
        <is>
          <t>Clinic</t>
        </is>
      </c>
      <c r="N93" s="18" t="inlineStr">
        <is>
          <t>PLE-CC1 ปี 2566 Day 1 ข้อ 5</t>
        </is>
      </c>
      <c r="O93" s="18" t="inlineStr">
        <is>
          <t>ข้อสอบจริง</t>
        </is>
      </c>
      <c r="P93" s="18" t="inlineStr">
        <is>
          <t>ปี 2566</t>
        </is>
      </c>
    </row>
    <row r="94">
      <c r="A94" s="15" t="inlineStr">
        <is>
          <t>116</t>
        </is>
      </c>
      <c r="B94" s="18" t="inlineStr">
        <is>
          <t>Physical inactivity</t>
        </is>
      </c>
      <c r="C94" s="18" t="inlineStr"/>
      <c r="D94" s="18" t="inlineStr">
        <is>
          <t>Dimercaprol (BAL) 3 mg/kg IM</t>
        </is>
      </c>
      <c r="E94" s="18" t="inlineStr">
        <is>
          <t>Ethanol 10% IV infusion for Methanol poisoning</t>
        </is>
      </c>
      <c r="F94" s="18" t="inlineStr">
        <is>
          <t>Fomepizole 15 mg/kg IV loading</t>
        </is>
      </c>
      <c r="G94" s="18" t="inlineStr">
        <is>
          <t>N-acetylcysteine (NAC) IV infusion protocol</t>
        </is>
      </c>
      <c r="H94" s="18" t="inlineStr">
        <is>
          <t>Atropine sulfate 2 mg IV Q5-10 min</t>
        </is>
      </c>
      <c r="I94" s="15" t="inlineStr">
        <is>
          <t>1</t>
        </is>
      </c>
      <c r="J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 s="18" t="inlineStr"/>
      <c r="L94" s="18" t="inlineStr">
        <is>
          <t>General Therapeutics</t>
        </is>
      </c>
      <c r="M94" s="18" t="inlineStr">
        <is>
          <t>Clinic</t>
        </is>
      </c>
      <c r="N94" s="18" t="inlineStr">
        <is>
          <t>PLE-CC1 ปี 2566 Day 1 ข้อ 3</t>
        </is>
      </c>
      <c r="O94" s="18" t="inlineStr">
        <is>
          <t>ข้อสอบจริง</t>
        </is>
      </c>
      <c r="P94" s="18" t="inlineStr">
        <is>
          <t>ปี 2566</t>
        </is>
      </c>
    </row>
    <row r="95">
      <c r="A95" s="15" t="inlineStr">
        <is>
          <t>117</t>
        </is>
      </c>
      <c r="B95" s="18" t="inlineStr">
        <is>
          <t>เคี้ยวช้าๆสลับกับการอมต่อเนื่อง30 นาที(ประมาณนี้จำ เป๊ะๆไม่ได้งะ)</t>
        </is>
      </c>
      <c r="C95" s="18" t="inlineStr"/>
      <c r="D95" s="18" t="inlineStr">
        <is>
          <t>N-acetylcysteine (NAC) IV infusion protocol</t>
        </is>
      </c>
      <c r="E95" s="18" t="inlineStr">
        <is>
          <t>Atropine sulfate 2 mg IV Q5-10 min</t>
        </is>
      </c>
      <c r="F95" s="18" t="inlineStr">
        <is>
          <t>Pralidoxime (2-PAM) 1-2 g IV over 30 min</t>
        </is>
      </c>
      <c r="G95" s="18" t="inlineStr">
        <is>
          <t>Naloxone 0.4 mg IV stat</t>
        </is>
      </c>
      <c r="H95" s="18" t="inlineStr">
        <is>
          <t>Flumazenil 0.2 mg IV stat</t>
        </is>
      </c>
      <c r="I95" s="15" t="inlineStr">
        <is>
          <t>1</t>
        </is>
      </c>
      <c r="J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5" s="18" t="inlineStr"/>
      <c r="L95" s="18" t="inlineStr">
        <is>
          <t>General Therapeutics</t>
        </is>
      </c>
      <c r="M95" s="18" t="inlineStr">
        <is>
          <t>Clinic</t>
        </is>
      </c>
      <c r="N95" s="18" t="inlineStr">
        <is>
          <t>PLE-CC1 ปี 2566 Day 1 ข้อ 1</t>
        </is>
      </c>
      <c r="O95" s="18" t="inlineStr">
        <is>
          <t>ข้อสอบจริง</t>
        </is>
      </c>
      <c r="P95" s="18" t="inlineStr">
        <is>
          <t>ปี 2566</t>
        </is>
      </c>
    </row>
    <row r="96">
      <c r="A96" s="15" t="inlineStr">
        <is>
          <t>118</t>
        </is>
      </c>
      <c r="B96" s="18" t="inlineStr">
        <is>
          <t>สูบบุหรี่จนสัปดาห์ที่2ค่อยเลิก</t>
        </is>
      </c>
      <c r="C96" s="18" t="inlineStr"/>
      <c r="D96" s="18" t="inlineStr">
        <is>
          <t>Budesonide/Formoterol 160/4.5 mcg DPI BID</t>
        </is>
      </c>
      <c r="E96" s="18" t="inlineStr">
        <is>
          <t>Fluticasone/Salmeterol 250/50 mcg DPI BID</t>
        </is>
      </c>
      <c r="F96" s="18" t="inlineStr">
        <is>
          <t>Tiotropium Respimat 2.5 mcg 2 puffs OD</t>
        </is>
      </c>
      <c r="G96" s="18" t="inlineStr">
        <is>
          <t>Ipratropium/Fenoterol MDI PRN</t>
        </is>
      </c>
      <c r="H96" s="18" t="inlineStr">
        <is>
          <t>Montelukast 10 mg HS</t>
        </is>
      </c>
      <c r="I96" s="15" t="inlineStr">
        <is>
          <t>1</t>
        </is>
      </c>
      <c r="J96" s="18"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6" s="18" t="inlineStr"/>
      <c r="L96" s="18" t="inlineStr">
        <is>
          <t>Pulmonary Diseases</t>
        </is>
      </c>
      <c r="M96" s="18" t="inlineStr">
        <is>
          <t>Clinic</t>
        </is>
      </c>
      <c r="N96" s="18" t="inlineStr">
        <is>
          <t>PLE-CC1 ปี 2566 Day 1 ข้อ 2</t>
        </is>
      </c>
      <c r="O96" s="18" t="inlineStr">
        <is>
          <t>ข้อสอบจริง</t>
        </is>
      </c>
      <c r="P96" s="18" t="inlineStr">
        <is>
          <t>ปี 2566</t>
        </is>
      </c>
    </row>
    <row r="97">
      <c r="A97" s="15" t="inlineStr">
        <is>
          <t>119</t>
        </is>
      </c>
      <c r="B97" s="18" t="inlineStr">
        <is>
          <t>แผลหมากัดทำยังไงตามแนวทางการดูแลรักษาผู้สัมผัสโรค พิษสุนัขบ้าสถานเสาวภาสภากาชาดไทยพ.ศ. 2561 ตัวเลือก</t>
        </is>
      </c>
      <c r="C97" s="18" t="inlineStr"/>
      <c r="D97" s="18" t="inlineStr">
        <is>
          <t>Sodium thiosulfate 25% 50 mL IV</t>
        </is>
      </c>
      <c r="E97" s="18" t="inlineStr">
        <is>
          <t>Calcium disodium EDTA 1 g IV</t>
        </is>
      </c>
      <c r="F97" s="18" t="inlineStr">
        <is>
          <t>Desferrioxamine 1 g IM/IV</t>
        </is>
      </c>
      <c r="G97" s="18" t="inlineStr">
        <is>
          <t>Dimercaprol (BAL) 3 mg/kg IM</t>
        </is>
      </c>
      <c r="H97" s="18" t="inlineStr">
        <is>
          <t>Ethanol 10% IV infusion for Methanol poisoning</t>
        </is>
      </c>
      <c r="I97" s="15" t="inlineStr">
        <is>
          <t>1</t>
        </is>
      </c>
      <c r="J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7" s="18" t="inlineStr"/>
      <c r="L97" s="18" t="inlineStr">
        <is>
          <t>General Therapeutics</t>
        </is>
      </c>
      <c r="M97" s="18" t="inlineStr">
        <is>
          <t>Clinic</t>
        </is>
      </c>
      <c r="N97" s="18" t="inlineStr">
        <is>
          <t>PLE-CC1 ปี 2566 Day 1 ข้อ 49</t>
        </is>
      </c>
      <c r="O97" s="18" t="inlineStr">
        <is>
          <t>ข้อสอบจริง</t>
        </is>
      </c>
      <c r="P97" s="18" t="inlineStr">
        <is>
          <t>ปี 2566</t>
        </is>
      </c>
    </row>
    <row r="98">
      <c r="A98" s="15" t="inlineStr">
        <is>
          <t>120</t>
        </is>
      </c>
      <c r="B98" s="18" t="inlineStr">
        <is>
          <t>ฟอกสบู่แล้วล้างผ่านน้ำ 15 นาที</t>
        </is>
      </c>
      <c r="C98" s="18" t="inlineStr"/>
      <c r="D98" s="18" t="inlineStr">
        <is>
          <t>Dimercaprol (BAL) 3 mg/kg IM</t>
        </is>
      </c>
      <c r="E98" s="18" t="inlineStr">
        <is>
          <t>Ethanol 10% IV infusion for Methanol poisoning</t>
        </is>
      </c>
      <c r="F98" s="18" t="inlineStr">
        <is>
          <t>Fomepizole 15 mg/kg IV loading</t>
        </is>
      </c>
      <c r="G98" s="18" t="inlineStr">
        <is>
          <t>N-acetylcysteine (NAC) IV infusion protocol</t>
        </is>
      </c>
      <c r="H98" s="18" t="inlineStr">
        <is>
          <t>Atropine sulfate 2 mg IV Q5-10 min</t>
        </is>
      </c>
      <c r="I98" s="15" t="inlineStr">
        <is>
          <t>1</t>
        </is>
      </c>
      <c r="J9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18" t="inlineStr"/>
      <c r="L98" s="18" t="inlineStr">
        <is>
          <t>General Therapeutics</t>
        </is>
      </c>
      <c r="M98" s="18" t="inlineStr">
        <is>
          <t>Clinic</t>
        </is>
      </c>
      <c r="N98" s="18" t="inlineStr">
        <is>
          <t>PLE-CC1 ปี 2566 Day 1 ข้อ 1</t>
        </is>
      </c>
      <c r="O98" s="18" t="inlineStr">
        <is>
          <t>ข้อสอบจริง</t>
        </is>
      </c>
      <c r="P98" s="18" t="inlineStr">
        <is>
          <t>ปี 2566</t>
        </is>
      </c>
    </row>
    <row r="99">
      <c r="A99" s="15" t="inlineStr">
        <is>
          <t>121</t>
        </is>
      </c>
      <c r="B99" s="18" t="inlineStr">
        <is>
          <t>ล้างน้ำเฉยๆ15 นาที</t>
        </is>
      </c>
      <c r="C99" s="18" t="inlineStr"/>
      <c r="D99" s="18" t="inlineStr">
        <is>
          <t>N-acetylcysteine (NAC) IV infusion protocol</t>
        </is>
      </c>
      <c r="E99" s="18" t="inlineStr">
        <is>
          <t>Atropine sulfate 2 mg IV Q5-10 min</t>
        </is>
      </c>
      <c r="F99" s="18" t="inlineStr">
        <is>
          <t>Pralidoxime (2-PAM) 1-2 g IV over 30 min</t>
        </is>
      </c>
      <c r="G99" s="18" t="inlineStr">
        <is>
          <t>Naloxone 0.4 mg IV stat</t>
        </is>
      </c>
      <c r="H99" s="18" t="inlineStr">
        <is>
          <t>Flumazenil 0.2 mg IV stat</t>
        </is>
      </c>
      <c r="I99" s="15" t="inlineStr">
        <is>
          <t>1</t>
        </is>
      </c>
      <c r="J9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 s="18" t="inlineStr"/>
      <c r="L99" s="18" t="inlineStr">
        <is>
          <t>General Therapeutics</t>
        </is>
      </c>
      <c r="M99" s="18" t="inlineStr">
        <is>
          <t>Clinic</t>
        </is>
      </c>
      <c r="N99" s="18" t="inlineStr">
        <is>
          <t>PLE-CC1 ปี 2566 Day 1 ข้อ 2</t>
        </is>
      </c>
      <c r="O99" s="18" t="inlineStr">
        <is>
          <t>ข้อสอบจริง</t>
        </is>
      </c>
      <c r="P99" s="18" t="inlineStr">
        <is>
          <t>ปี 2566</t>
        </is>
      </c>
    </row>
    <row r="100">
      <c r="A100" s="15" t="inlineStr">
        <is>
          <t>122</t>
        </is>
      </c>
      <c r="B100" s="18" t="inlineStr">
        <is>
          <t>กินDomperidone 2x3 จะเกิดผลข้างเคียงอะไร ตัวเลือก</t>
        </is>
      </c>
      <c r="C100" s="18" t="inlineStr"/>
      <c r="D100" s="18" t="inlineStr">
        <is>
          <t>Metoclopramide 10 mg TID before meals</t>
        </is>
      </c>
      <c r="E100" s="18" t="inlineStr">
        <is>
          <t>Omeprazole 20 mg OD</t>
        </is>
      </c>
      <c r="F100" s="18" t="inlineStr">
        <is>
          <t>Esomeprazole 20 mg OD</t>
        </is>
      </c>
      <c r="G100" s="18" t="inlineStr">
        <is>
          <t>Domperidone 10 mg TID</t>
        </is>
      </c>
      <c r="H100" s="18" t="inlineStr">
        <is>
          <t>Dimenhydrinate 50 mg TID</t>
        </is>
      </c>
      <c r="I100" s="15" t="inlineStr">
        <is>
          <t>1</t>
        </is>
      </c>
      <c r="J100" s="18"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18" t="inlineStr"/>
      <c r="L100" s="18" t="inlineStr">
        <is>
          <t>GI Disorders</t>
        </is>
      </c>
      <c r="M100" s="18" t="inlineStr">
        <is>
          <t>Clinic</t>
        </is>
      </c>
      <c r="N100" s="18" t="inlineStr">
        <is>
          <t>PLE-CC1 ปี 2566 Day 1 ข้อ 50</t>
        </is>
      </c>
      <c r="O100" s="18" t="inlineStr">
        <is>
          <t>ข้อสอบจริง</t>
        </is>
      </c>
      <c r="P100" s="18" t="inlineStr">
        <is>
          <t>ปี 2566</t>
        </is>
      </c>
    </row>
    <row r="101">
      <c r="A101" s="15" t="inlineStr">
        <is>
          <t>123</t>
        </is>
      </c>
      <c r="B101" s="18" t="inlineStr">
        <is>
          <t>จากข้อโดนหมากัดนี่แหละถามถึงวิธีการทำแผลโดยให้ Antiseptic มา ตัวเลือก</t>
        </is>
      </c>
      <c r="C101" s="18" t="inlineStr"/>
      <c r="D101" s="18" t="inlineStr">
        <is>
          <t>Sodium thiosulfate 25% 50 mL IV</t>
        </is>
      </c>
      <c r="E101" s="18" t="inlineStr">
        <is>
          <t>Calcium disodium EDTA 1 g IV</t>
        </is>
      </c>
      <c r="F101" s="18" t="inlineStr">
        <is>
          <t>Desferrioxamine 1 g IM/IV</t>
        </is>
      </c>
      <c r="G101" s="18" t="inlineStr">
        <is>
          <t>Dimercaprol (BAL) 3 mg/kg IM</t>
        </is>
      </c>
      <c r="H101" s="18" t="inlineStr">
        <is>
          <t>Ethanol 10% IV infusion for Methanol poisoning</t>
        </is>
      </c>
      <c r="I101" s="15" t="inlineStr">
        <is>
          <t>1</t>
        </is>
      </c>
      <c r="J10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8" t="inlineStr"/>
      <c r="L101" s="18" t="inlineStr">
        <is>
          <t>General Therapeutics</t>
        </is>
      </c>
      <c r="M101" s="18" t="inlineStr">
        <is>
          <t>Clinic</t>
        </is>
      </c>
      <c r="N101" s="18" t="inlineStr">
        <is>
          <t>PLE-CC1 ปี 2566 Day 1 ข้อ 52</t>
        </is>
      </c>
      <c r="O101" s="18" t="inlineStr">
        <is>
          <t>ข้อสอบจริง</t>
        </is>
      </c>
      <c r="P101" s="18" t="inlineStr">
        <is>
          <t>ปี 2566</t>
        </is>
      </c>
    </row>
    <row r="102">
      <c r="A102" s="15" t="inlineStr">
        <is>
          <t>124</t>
        </is>
      </c>
      <c r="B102" s="18" t="inlineStr">
        <is>
          <t>Povidone iodine</t>
        </is>
      </c>
      <c r="C102" s="18" t="inlineStr"/>
      <c r="D102" s="18" t="inlineStr">
        <is>
          <t>Dimercaprol (BAL) 3 mg/kg IM</t>
        </is>
      </c>
      <c r="E102" s="18" t="inlineStr">
        <is>
          <t>Ethanol 10% IV infusion for Methanol poisoning</t>
        </is>
      </c>
      <c r="F102" s="18" t="inlineStr">
        <is>
          <t>Fomepizole 15 mg/kg IV loading</t>
        </is>
      </c>
      <c r="G102" s="18" t="inlineStr">
        <is>
          <t>N-acetylcysteine (NAC) IV infusion protocol</t>
        </is>
      </c>
      <c r="H102" s="18" t="inlineStr">
        <is>
          <t>Atropine sulfate 2 mg IV Q5-10 min</t>
        </is>
      </c>
      <c r="I102" s="15" t="inlineStr">
        <is>
          <t>1</t>
        </is>
      </c>
      <c r="J1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8" t="inlineStr"/>
      <c r="L102" s="18" t="inlineStr">
        <is>
          <t>General Therapeutics</t>
        </is>
      </c>
      <c r="M102" s="18" t="inlineStr">
        <is>
          <t>Clinic</t>
        </is>
      </c>
      <c r="N102" s="18" t="inlineStr">
        <is>
          <t>PLE-CC1 ปี 2566 Day 1 ข้อ 1</t>
        </is>
      </c>
      <c r="O102" s="18" t="inlineStr">
        <is>
          <t>ข้อสอบจริง</t>
        </is>
      </c>
      <c r="P102" s="18" t="inlineStr">
        <is>
          <t>ปี 2566</t>
        </is>
      </c>
    </row>
    <row r="103">
      <c r="A103" s="15" t="inlineStr">
        <is>
          <t>125</t>
        </is>
      </c>
      <c r="B103" s="18" t="inlineStr">
        <is>
          <t>Omeprazole + Domperidone</t>
        </is>
      </c>
      <c r="C103" s="18" t="inlineStr"/>
      <c r="D103" s="18" t="inlineStr">
        <is>
          <t>Amoxicillin 1000 mg BID</t>
        </is>
      </c>
      <c r="E103" s="18" t="inlineStr">
        <is>
          <t>Clarithromycin 500 mg BID</t>
        </is>
      </c>
      <c r="F103" s="18" t="inlineStr">
        <is>
          <t>Hyoscine butylbromide 10 mg TID</t>
        </is>
      </c>
      <c r="G103" s="18" t="inlineStr">
        <is>
          <t>Aluminium hydroxide/Magnesium hydroxide suspension</t>
        </is>
      </c>
      <c r="H103" s="18" t="inlineStr">
        <is>
          <t>Metoclopramide 10 mg TID before meals</t>
        </is>
      </c>
      <c r="I103" s="15" t="inlineStr">
        <is>
          <t>1</t>
        </is>
      </c>
      <c r="J103" s="18" t="inlineStr">
        <is>
          <t>✅ คำตอบที่ถูกต้อง: ข้อ ก. Amoxicillin 1000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18" t="inlineStr"/>
      <c r="L103" s="18" t="inlineStr">
        <is>
          <t>GI Disorders</t>
        </is>
      </c>
      <c r="M103" s="18" t="inlineStr">
        <is>
          <t>Clinic</t>
        </is>
      </c>
      <c r="N103" s="18" t="inlineStr">
        <is>
          <t>PLE-CC1 ปี 2566 Day 1 ข้อ 1</t>
        </is>
      </c>
      <c r="O103" s="18" t="inlineStr">
        <is>
          <t>ข้อสอบจริง</t>
        </is>
      </c>
      <c r="P103" s="18" t="inlineStr">
        <is>
          <t>ปี 2566</t>
        </is>
      </c>
    </row>
    <row r="104">
      <c r="A104" s="15" t="inlineStr">
        <is>
          <t>126</t>
        </is>
      </c>
      <c r="B104" s="18" t="inlineStr">
        <is>
          <t>Film coated ทดสอบอะไร ตัวเลือก</t>
        </is>
      </c>
      <c r="C104" s="18" t="inlineStr"/>
      <c r="D104" s="18" t="inlineStr">
        <is>
          <t>Naloxone 0.4 mg IV stat</t>
        </is>
      </c>
      <c r="E104" s="18" t="inlineStr">
        <is>
          <t>Content uniformity</t>
        </is>
      </c>
      <c r="F104" s="18" t="inlineStr">
        <is>
          <t>Vitamin K1 (Phytomenadione) 10 mg IV slow</t>
        </is>
      </c>
      <c r="G104" s="18" t="inlineStr">
        <is>
          <t>Sodium thiosulfate 25% 50 mL IV</t>
        </is>
      </c>
      <c r="H104" s="18" t="inlineStr">
        <is>
          <t>Calcium disodium EDTA 1 g IV</t>
        </is>
      </c>
      <c r="I104" s="15" t="inlineStr">
        <is>
          <t>1</t>
        </is>
      </c>
      <c r="J1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(Content uniformity):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 s="18" t="inlineStr"/>
      <c r="L104" s="18" t="inlineStr">
        <is>
          <t>General Therapeutics</t>
        </is>
      </c>
      <c r="M104" s="18" t="inlineStr">
        <is>
          <t>Clinic</t>
        </is>
      </c>
      <c r="N104" s="18" t="inlineStr">
        <is>
          <t>PLE-CC1 ปี 2566 Day 1 ข้อ 54</t>
        </is>
      </c>
      <c r="O104" s="18" t="inlineStr">
        <is>
          <t>ข้อสอบจริง</t>
        </is>
      </c>
      <c r="P104" s="18" t="inlineStr">
        <is>
          <t>ปี 2566</t>
        </is>
      </c>
    </row>
    <row r="105">
      <c r="A105" s="15" t="inlineStr">
        <is>
          <t>127</t>
        </is>
      </c>
      <c r="B105" s="18" t="inlineStr">
        <is>
          <t>ต่อจาก55 ปรับขนาดยายังไง ตัวเลือก</t>
        </is>
      </c>
      <c r="C105" s="18" t="inlineStr"/>
      <c r="D105" s="18" t="inlineStr">
        <is>
          <t>บัญชียาหลักแห่งชาติ (National List of Essential Medicines: NLEM)</t>
        </is>
      </c>
      <c r="E105" s="18" t="inlineStr">
        <is>
          <t>เกณฑ์จริยธรรมว่าด้วยการส่งเสริมการขายยาของกระทรวงสาธารณสุข</t>
        </is>
      </c>
      <c r="F105" s="18" t="inlineStr">
        <is>
          <t>พ.ร.บ. ยา พ.ศ. 2510 (การจำหน่ายยาอันตรายและยาควบคุมพิเศษ)</t>
        </is>
      </c>
      <c r="G105" s="18" t="inlineStr">
        <is>
          <t>พ.ร.บ. ยาเสพติดให้โทษ พ.ศ. 2522 (ยาเสพติดให้โทษประเภท 2 และ 3)</t>
        </is>
      </c>
      <c r="H105" s="18" t="inlineStr">
        <is>
          <t>พ.ร.บ. วัตถุที่ออกฤทธิ์ต่อจิตและประสาท พ.ศ. 2559 (ประเภท 2 และ 4)</t>
        </is>
      </c>
      <c r="I105" s="15" t="inlineStr">
        <is>
          <t>1</t>
        </is>
      </c>
      <c r="J105"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5" s="18" t="inlineStr"/>
      <c r="L105" s="18" t="inlineStr">
        <is>
          <t>Pharmacy Laws &amp; Ethics</t>
        </is>
      </c>
      <c r="M105" s="18" t="inlineStr">
        <is>
          <t>SAP</t>
        </is>
      </c>
      <c r="N105" s="18" t="inlineStr">
        <is>
          <t>PLE-CC1 ปี 2566 Day 1 ข้อ 56</t>
        </is>
      </c>
      <c r="O105" s="18" t="inlineStr">
        <is>
          <t>ข้อสอบจริง</t>
        </is>
      </c>
      <c r="P105" s="18" t="inlineStr">
        <is>
          <t>ปี 2566</t>
        </is>
      </c>
    </row>
    <row r="106">
      <c r="A106" s="15" t="inlineStr">
        <is>
          <t>128</t>
        </is>
      </c>
      <c r="B106" s="18" t="inlineStr">
        <is>
          <t>ยาสหัสธาราห้ามใช้ในโรคอะไร ตัวเลือก</t>
        </is>
      </c>
      <c r="C106" s="18" t="inlineStr"/>
      <c r="D106" s="18" t="inlineStr">
        <is>
          <t>Dimercaprol (BAL) 3 mg/kg IM</t>
        </is>
      </c>
      <c r="E106" s="18" t="inlineStr">
        <is>
          <t>ความดัน</t>
        </is>
      </c>
      <c r="F106" s="18" t="inlineStr">
        <is>
          <t>Fomepizole 15 mg/kg IV loading</t>
        </is>
      </c>
      <c r="G106" s="18" t="inlineStr">
        <is>
          <t>N-acetylcysteine (NAC) IV infusion protocol</t>
        </is>
      </c>
      <c r="H106" s="18" t="inlineStr">
        <is>
          <t>Atropine sulfate 2 mg IV Q5-10 min</t>
        </is>
      </c>
      <c r="I106" s="15" t="inlineStr">
        <is>
          <t>1</t>
        </is>
      </c>
      <c r="J1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18" t="inlineStr"/>
      <c r="L106" s="18" t="inlineStr">
        <is>
          <t>General Therapeutics</t>
        </is>
      </c>
      <c r="M106" s="18" t="inlineStr">
        <is>
          <t>Clinic</t>
        </is>
      </c>
      <c r="N106" s="18" t="inlineStr">
        <is>
          <t>PLE-CC1 ปี 2566 Day 1 ข้อ 59</t>
        </is>
      </c>
      <c r="O106" s="18" t="inlineStr">
        <is>
          <t>ข้อสอบจริง</t>
        </is>
      </c>
      <c r="P106" s="18" t="inlineStr">
        <is>
          <t>ปี 2566</t>
        </is>
      </c>
    </row>
    <row r="107">
      <c r="A107" s="15" t="inlineStr">
        <is>
          <t>129</t>
        </is>
      </c>
      <c r="B107" s="18" t="inlineStr">
        <is>
          <t>ระดับ1 เพราะเลือดไม่ออก?</t>
        </is>
      </c>
      <c r="C107" s="18" t="inlineStr"/>
      <c r="D107" s="18" t="inlineStr">
        <is>
          <t>N-acetylcysteine (NAC) IV infusion protocol</t>
        </is>
      </c>
      <c r="E107" s="18" t="inlineStr">
        <is>
          <t>Atropine sulfate 2 mg IV Q5-10 min</t>
        </is>
      </c>
      <c r="F107" s="18" t="inlineStr">
        <is>
          <t>Pralidoxime (2-PAM) 1-2 g IV over 30 min</t>
        </is>
      </c>
      <c r="G107" s="18" t="inlineStr">
        <is>
          <t>Naloxone 0.4 mg IV stat</t>
        </is>
      </c>
      <c r="H107" s="18" t="inlineStr">
        <is>
          <t>Flumazenil 0.2 mg IV stat</t>
        </is>
      </c>
      <c r="I107" s="15" t="inlineStr">
        <is>
          <t>1</t>
        </is>
      </c>
      <c r="J1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 s="18" t="inlineStr"/>
      <c r="L107" s="18" t="inlineStr">
        <is>
          <t>General Therapeutics</t>
        </is>
      </c>
      <c r="M107" s="18" t="inlineStr">
        <is>
          <t>Clinic</t>
        </is>
      </c>
      <c r="N107" s="18" t="inlineStr">
        <is>
          <t>PLE-CC1 ปี 2566 Day 1 ข้อ 1</t>
        </is>
      </c>
      <c r="O107" s="18" t="inlineStr">
        <is>
          <t>ข้อสอบจริง</t>
        </is>
      </c>
      <c r="P107" s="18" t="inlineStr">
        <is>
          <t>ปี 2566</t>
        </is>
      </c>
    </row>
    <row r="108">
      <c r="A108" s="15" t="inlineStr">
        <is>
          <t>130</t>
        </is>
      </c>
      <c r="B108" s="18" t="inlineStr">
        <is>
          <t>ระดับ2 เนื่องจากบาดแผลเลือดออกและมีโอกาสที่น้ำลายสัตว์จะ สัมผัสกับบาดแผล</t>
        </is>
      </c>
      <c r="C108" s="18" t="inlineStr"/>
      <c r="D108" s="18" t="inlineStr">
        <is>
          <t>Naloxone 0.4 mg IV stat</t>
        </is>
      </c>
      <c r="E108" s="18" t="inlineStr">
        <is>
          <t>Flumazenil 0.2 mg IV stat</t>
        </is>
      </c>
      <c r="F108" s="18" t="inlineStr">
        <is>
          <t>Vitamin K1 (Phytomenadione) 10 mg IV slow</t>
        </is>
      </c>
      <c r="G108" s="18" t="inlineStr">
        <is>
          <t>Sodium thiosulfate 25% 50 mL IV</t>
        </is>
      </c>
      <c r="H108" s="18" t="inlineStr">
        <is>
          <t>Calcium disodium EDTA 1 g IV</t>
        </is>
      </c>
      <c r="I108" s="15" t="inlineStr">
        <is>
          <t>1</t>
        </is>
      </c>
      <c r="J1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 s="18" t="inlineStr"/>
      <c r="L108" s="18" t="inlineStr">
        <is>
          <t>General Therapeutics</t>
        </is>
      </c>
      <c r="M108" s="18" t="inlineStr">
        <is>
          <t>Clinic</t>
        </is>
      </c>
      <c r="N108" s="18" t="inlineStr">
        <is>
          <t>PLE-CC1 ปี 2566 Day 1 ข้อ 4</t>
        </is>
      </c>
      <c r="O108" s="18" t="inlineStr">
        <is>
          <t>ข้อสอบจริง</t>
        </is>
      </c>
      <c r="P108" s="18" t="inlineStr">
        <is>
          <t>ปี 2566</t>
        </is>
      </c>
    </row>
    <row r="109">
      <c r="A109" s="15" t="inlineStr">
        <is>
          <t>131</t>
        </is>
      </c>
      <c r="B109" s="18" t="inlineStr">
        <is>
          <t>ต้องตรวจintradermal test ก่อนฉีดทุกครั้ง</t>
        </is>
      </c>
      <c r="C109" s="18" t="inlineStr"/>
      <c r="D109" s="18" t="inlineStr">
        <is>
          <t>Sodium thiosulfate 25% 50 mL IV</t>
        </is>
      </c>
      <c r="E109" s="18" t="inlineStr">
        <is>
          <t>Calcium disodium EDTA 1 g IV</t>
        </is>
      </c>
      <c r="F109" s="18" t="inlineStr">
        <is>
          <t>Desferrioxamine 1 g IM/IV</t>
        </is>
      </c>
      <c r="G109" s="18" t="inlineStr">
        <is>
          <t>Dimercaprol (BAL) 3 mg/kg IM</t>
        </is>
      </c>
      <c r="H109" s="18" t="inlineStr">
        <is>
          <t>Ethanol 10% IV infusion for Methanol poisoning</t>
        </is>
      </c>
      <c r="I109" s="15" t="inlineStr">
        <is>
          <t>1</t>
        </is>
      </c>
      <c r="J1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9" s="18" t="inlineStr"/>
      <c r="L109" s="18" t="inlineStr">
        <is>
          <t>General Therapeutics</t>
        </is>
      </c>
      <c r="M109" s="18" t="inlineStr">
        <is>
          <t>Clinic</t>
        </is>
      </c>
      <c r="N109" s="18" t="inlineStr">
        <is>
          <t>PLE-CC1 ปี 2566 Day 1 ข้อ 1</t>
        </is>
      </c>
      <c r="O109" s="18" t="inlineStr">
        <is>
          <t>ข้อสอบจริง</t>
        </is>
      </c>
      <c r="P109" s="18" t="inlineStr">
        <is>
          <t>ปี 2566</t>
        </is>
      </c>
    </row>
    <row r="110">
      <c r="A110" s="15" t="inlineStr">
        <is>
          <t>132</t>
        </is>
      </c>
      <c r="B110" s="18" t="inlineStr">
        <is>
          <t>ต้องฉีดทุกแผลทั้งรอบนอกและภายในแผล</t>
        </is>
      </c>
      <c r="C110" s="18" t="inlineStr"/>
      <c r="D110" s="18" t="inlineStr">
        <is>
          <t>Dimercaprol (BAL) 3 mg/kg IM</t>
        </is>
      </c>
      <c r="E110" s="18" t="inlineStr">
        <is>
          <t>Ethanol 10% IV infusion for Methanol poisoning</t>
        </is>
      </c>
      <c r="F110" s="18" t="inlineStr">
        <is>
          <t>Fomepizole 15 mg/kg IV loading</t>
        </is>
      </c>
      <c r="G110" s="18" t="inlineStr">
        <is>
          <t>N-acetylcysteine (NAC) IV infusion protocol</t>
        </is>
      </c>
      <c r="H110" s="18" t="inlineStr">
        <is>
          <t>Atropine sulfate 2 mg IV Q5-10 min</t>
        </is>
      </c>
      <c r="I110" s="15" t="inlineStr">
        <is>
          <t>1</t>
        </is>
      </c>
      <c r="J1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8" t="inlineStr"/>
      <c r="L110" s="18" t="inlineStr">
        <is>
          <t>General Therapeutics</t>
        </is>
      </c>
      <c r="M110" s="18" t="inlineStr">
        <is>
          <t>Clinic</t>
        </is>
      </c>
      <c r="N110" s="18" t="inlineStr">
        <is>
          <t>PLE-CC1 ปี 2566 Day 1 ข้อ 4</t>
        </is>
      </c>
      <c r="O110" s="18" t="inlineStr">
        <is>
          <t>ข้อสอบจริง</t>
        </is>
      </c>
      <c r="P110" s="18" t="inlineStr">
        <is>
          <t>ปี 2566</t>
        </is>
      </c>
    </row>
    <row r="111">
      <c r="A111" s="15" t="inlineStr">
        <is>
          <t>133</t>
        </is>
      </c>
      <c r="B111" s="18" t="inlineStr">
        <is>
          <t>Glycolated Hemoglobin</t>
        </is>
      </c>
      <c r="C111" s="18" t="inlineStr"/>
      <c r="D111" s="18" t="inlineStr">
        <is>
          <t>N-acetylcysteine (NAC) IV infusion protocol</t>
        </is>
      </c>
      <c r="E111" s="18" t="inlineStr">
        <is>
          <t>Atropine sulfate 2 mg IV Q5-10 min</t>
        </is>
      </c>
      <c r="F111" s="18" t="inlineStr">
        <is>
          <t>Pralidoxime (2-PAM) 1-2 g IV over 30 min</t>
        </is>
      </c>
      <c r="G111" s="18" t="inlineStr">
        <is>
          <t>Naloxone 0.4 mg IV stat</t>
        </is>
      </c>
      <c r="H111" s="18" t="inlineStr">
        <is>
          <t>Flumazenil 0.2 mg IV stat</t>
        </is>
      </c>
      <c r="I111" s="15" t="inlineStr">
        <is>
          <t>1</t>
        </is>
      </c>
      <c r="J1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 s="18" t="inlineStr"/>
      <c r="L111" s="18" t="inlineStr">
        <is>
          <t>General Therapeutics</t>
        </is>
      </c>
      <c r="M111" s="18" t="inlineStr">
        <is>
          <t>Clinic</t>
        </is>
      </c>
      <c r="N111" s="18" t="inlineStr">
        <is>
          <t>PLE-CC1 ปี 2566 Day 1 ข้อ 4</t>
        </is>
      </c>
      <c r="O111" s="18" t="inlineStr">
        <is>
          <t>ข้อสอบจริง</t>
        </is>
      </c>
      <c r="P111" s="18" t="inlineStr">
        <is>
          <t>ปี 2566</t>
        </is>
      </c>
    </row>
    <row r="112">
      <c r="A112" s="15" t="inlineStr">
        <is>
          <t>134</t>
        </is>
      </c>
      <c r="B112" s="18" t="inlineStr">
        <is>
          <t>ขายได้ต้องทำบัญชีควบคุม</t>
        </is>
      </c>
      <c r="C112" s="18" t="inlineStr"/>
      <c r="D112" s="18" t="inlineStr">
        <is>
          <t>Naloxone 0.4 mg IV stat</t>
        </is>
      </c>
      <c r="E112" s="18" t="inlineStr">
        <is>
          <t>Flumazenil 0.2 mg IV stat</t>
        </is>
      </c>
      <c r="F112" s="18" t="inlineStr">
        <is>
          <t>Vitamin K1 (Phytomenadione) 10 mg IV slow</t>
        </is>
      </c>
      <c r="G112" s="18" t="inlineStr">
        <is>
          <t>Sodium thiosulfate 25% 50 mL IV</t>
        </is>
      </c>
      <c r="H112" s="18" t="inlineStr">
        <is>
          <t>Calcium disodium EDTA 1 g IV</t>
        </is>
      </c>
      <c r="I112" s="15" t="inlineStr">
        <is>
          <t>1</t>
        </is>
      </c>
      <c r="J1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 s="18" t="inlineStr"/>
      <c r="L112" s="18" t="inlineStr">
        <is>
          <t>General Therapeutics</t>
        </is>
      </c>
      <c r="M112" s="18" t="inlineStr">
        <is>
          <t>Clinic</t>
        </is>
      </c>
      <c r="N112" s="18" t="inlineStr">
        <is>
          <t>PLE-CC1 ปี 2566 Day 1 ข้อ 3</t>
        </is>
      </c>
      <c r="O112" s="18" t="inlineStr">
        <is>
          <t>ข้อสอบจริง</t>
        </is>
      </c>
      <c r="P112" s="18" t="inlineStr">
        <is>
          <t>ปี 2566</t>
        </is>
      </c>
    </row>
    <row r="113">
      <c r="A113" s="15" t="inlineStr">
        <is>
          <t>135</t>
        </is>
      </c>
      <c r="B113" s="18" t="inlineStr">
        <is>
          <t>ขายไม่ได้จ่ายเฉพาะในรพ.</t>
        </is>
      </c>
      <c r="C113" s="18" t="inlineStr"/>
      <c r="D113" s="18" t="inlineStr">
        <is>
          <t>Sodium thiosulfate 25% 50 mL IV</t>
        </is>
      </c>
      <c r="E113" s="18" t="inlineStr">
        <is>
          <t>Calcium disodium EDTA 1 g IV</t>
        </is>
      </c>
      <c r="F113" s="18" t="inlineStr">
        <is>
          <t>Desferrioxamine 1 g IM/IV</t>
        </is>
      </c>
      <c r="G113" s="18" t="inlineStr">
        <is>
          <t>Dimercaprol (BAL) 3 mg/kg IM</t>
        </is>
      </c>
      <c r="H113" s="18" t="inlineStr">
        <is>
          <t>Ethanol 10% IV infusion for Methanol poisoning</t>
        </is>
      </c>
      <c r="I113" s="15" t="inlineStr">
        <is>
          <t>1</t>
        </is>
      </c>
      <c r="J1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8" t="inlineStr"/>
      <c r="L113" s="18" t="inlineStr">
        <is>
          <t>General Therapeutics</t>
        </is>
      </c>
      <c r="M113" s="18" t="inlineStr">
        <is>
          <t>Clinic</t>
        </is>
      </c>
      <c r="N113" s="18" t="inlineStr">
        <is>
          <t>PLE-CC1 ปี 2566 Day 1 ข้อ 4</t>
        </is>
      </c>
      <c r="O113" s="18" t="inlineStr">
        <is>
          <t>ข้อสอบจริง</t>
        </is>
      </c>
      <c r="P113" s="18" t="inlineStr">
        <is>
          <t>ปี 2566</t>
        </is>
      </c>
    </row>
    <row r="114">
      <c r="A114" s="15" t="inlineStr">
        <is>
          <t>136</t>
        </is>
      </c>
      <c r="B114" s="18" t="inlineStr">
        <is>
          <t>ขายไม่ได้เป็นยาเฉพาะเหตุการณ์ฉุกเฉิน วัยรุ่นเป็นสโม้กเก้อสูบบุหรี่จัดวันละ30 มวน? วันนึงเภสัชมาคุยเรื่อง การสูบบุหรี่วัยรุ่นบอกว่าอยากเลิกแต่ยังทำไม่ได้(ไม่มีบอกระยะเวลา) เป็นขั้นตอนไหน</t>
        </is>
      </c>
      <c r="C114" s="18" t="inlineStr"/>
      <c r="D114" s="18" t="inlineStr">
        <is>
          <t>Montelukast 10 mg HS</t>
        </is>
      </c>
      <c r="E114" s="18" t="inlineStr">
        <is>
          <t>Theophylline 200 mg BID</t>
        </is>
      </c>
      <c r="F114" s="18" t="inlineStr">
        <is>
          <t>Prednisolone 40 mg OD x 5 days</t>
        </is>
      </c>
      <c r="G114" s="18" t="inlineStr">
        <is>
          <t>N-acetylcysteine 600 mg OD</t>
        </is>
      </c>
      <c r="H114" s="18" t="inlineStr">
        <is>
          <t>Beclomethasone MDI 100 mcg BID</t>
        </is>
      </c>
      <c r="I114" s="15" t="inlineStr">
        <is>
          <t>1</t>
        </is>
      </c>
      <c r="J114" s="18"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8" t="inlineStr"/>
      <c r="L114" s="18" t="inlineStr">
        <is>
          <t>Pulmonary Diseases</t>
        </is>
      </c>
      <c r="M114" s="18" t="inlineStr">
        <is>
          <t>Clinic</t>
        </is>
      </c>
      <c r="N114" s="18" t="inlineStr">
        <is>
          <t>PLE-CC1 ปี 2566 Day 1 ข้อ 5</t>
        </is>
      </c>
      <c r="O114" s="18" t="inlineStr">
        <is>
          <t>ข้อสอบจริง</t>
        </is>
      </c>
      <c r="P114" s="18" t="inlineStr">
        <is>
          <t>ปี 2566</t>
        </is>
      </c>
    </row>
    <row r="115">
      <c r="A115" s="15" t="inlineStr">
        <is>
          <t>137</t>
        </is>
      </c>
      <c r="B115" s="18" t="inlineStr">
        <is>
          <t>Pre-contemplation</t>
        </is>
      </c>
      <c r="C115" s="18" t="inlineStr"/>
      <c r="D115" s="18" t="inlineStr">
        <is>
          <t>N-acetylcysteine (NAC) IV infusion protocol</t>
        </is>
      </c>
      <c r="E115" s="18" t="inlineStr">
        <is>
          <t>Atropine sulfate 2 mg IV Q5-10 min</t>
        </is>
      </c>
      <c r="F115" s="18" t="inlineStr">
        <is>
          <t>Pralidoxime (2-PAM) 1-2 g IV over 30 min</t>
        </is>
      </c>
      <c r="G115" s="18" t="inlineStr">
        <is>
          <t>Naloxone 0.4 mg IV stat</t>
        </is>
      </c>
      <c r="H115" s="18" t="inlineStr">
        <is>
          <t>Flumazenil 0.2 mg IV stat</t>
        </is>
      </c>
      <c r="I115" s="15" t="inlineStr">
        <is>
          <t>1</t>
        </is>
      </c>
      <c r="J1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 s="18" t="inlineStr"/>
      <c r="L115" s="18" t="inlineStr">
        <is>
          <t>General Therapeutics</t>
        </is>
      </c>
      <c r="M115" s="18" t="inlineStr">
        <is>
          <t>Clinic</t>
        </is>
      </c>
      <c r="N115" s="18" t="inlineStr">
        <is>
          <t>PLE-CC1 ปี 2566 Day 1 ข้อ 1</t>
        </is>
      </c>
      <c r="O115" s="18" t="inlineStr">
        <is>
          <t>ข้อสอบจริง</t>
        </is>
      </c>
      <c r="P115" s="18" t="inlineStr">
        <is>
          <t>ปี 2566</t>
        </is>
      </c>
    </row>
    <row r="116">
      <c r="A116" s="15" t="inlineStr">
        <is>
          <t>138</t>
        </is>
      </c>
      <c r="B116" s="18" t="inlineStr">
        <is>
          <t>… มีตั้งกลุ่มเอาคนที่รักษาโรคแล้วหายมาเป็นmodel จัดว่าเป็นการ ส่งเสริมสุขภาพแบบใด</t>
        </is>
      </c>
      <c r="C116" s="18" t="inlineStr"/>
      <c r="D116" s="18" t="inlineStr">
        <is>
          <t>Naloxone 0.4 mg IV stat</t>
        </is>
      </c>
      <c r="E116" s="18" t="inlineStr">
        <is>
          <t>Flumazenil 0.2 mg IV stat</t>
        </is>
      </c>
      <c r="F116" s="18" t="inlineStr">
        <is>
          <t>Vitamin K1 (Phytomenadione) 10 mg IV slow</t>
        </is>
      </c>
      <c r="G116" s="18" t="inlineStr">
        <is>
          <t>Sodium thiosulfate 25% 50 mL IV</t>
        </is>
      </c>
      <c r="H116" s="18" t="inlineStr">
        <is>
          <t>Calcium disodium EDTA 1 g IV</t>
        </is>
      </c>
      <c r="I116" s="15" t="inlineStr">
        <is>
          <t>1</t>
        </is>
      </c>
      <c r="J1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 s="18" t="inlineStr"/>
      <c r="L116" s="18" t="inlineStr">
        <is>
          <t>General Therapeutics</t>
        </is>
      </c>
      <c r="M116" s="18" t="inlineStr">
        <is>
          <t>Clinic</t>
        </is>
      </c>
      <c r="N116" s="18" t="inlineStr">
        <is>
          <t>PLE-CC1 ปี 2566 Day 1 ข้อ 5</t>
        </is>
      </c>
      <c r="O116" s="18" t="inlineStr">
        <is>
          <t>ข้อสอบจริง</t>
        </is>
      </c>
      <c r="P116" s="18" t="inlineStr">
        <is>
          <t>ปี 2566</t>
        </is>
      </c>
    </row>
    <row r="117">
      <c r="A117" s="15" t="inlineStr">
        <is>
          <t>139</t>
        </is>
      </c>
      <c r="B117" s="18" t="inlineStr">
        <is>
          <t>Health promotion</t>
        </is>
      </c>
      <c r="C117" s="18" t="inlineStr"/>
      <c r="D117" s="18" t="inlineStr">
        <is>
          <t>Sodium thiosulfate 25% 50 mL IV</t>
        </is>
      </c>
      <c r="E117" s="18" t="inlineStr">
        <is>
          <t>Calcium disodium EDTA 1 g IV</t>
        </is>
      </c>
      <c r="F117" s="18" t="inlineStr">
        <is>
          <t>Desferrioxamine 1 g IM/IV</t>
        </is>
      </c>
      <c r="G117" s="18" t="inlineStr">
        <is>
          <t>Dimercaprol (BAL) 3 mg/kg IM</t>
        </is>
      </c>
      <c r="H117" s="18" t="inlineStr">
        <is>
          <t>Ethanol 10% IV infusion for Methanol poisoning</t>
        </is>
      </c>
      <c r="I117" s="15" t="inlineStr">
        <is>
          <t>1</t>
        </is>
      </c>
      <c r="J1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18" t="inlineStr"/>
      <c r="L117" s="18" t="inlineStr">
        <is>
          <t>General Therapeutics</t>
        </is>
      </c>
      <c r="M117" s="18" t="inlineStr">
        <is>
          <t>Clinic</t>
        </is>
      </c>
      <c r="N117" s="18" t="inlineStr">
        <is>
          <t>PLE-CC1 ปี 2566 Day 1 ข้อ 1</t>
        </is>
      </c>
      <c r="O117" s="18" t="inlineStr">
        <is>
          <t>ข้อสอบจริง</t>
        </is>
      </c>
      <c r="P117" s="18" t="inlineStr">
        <is>
          <t>ปี 2566</t>
        </is>
      </c>
    </row>
    <row r="118">
      <c r="A118" s="15" t="inlineStr">
        <is>
          <t>140</t>
        </is>
      </c>
      <c r="B118" s="18" t="inlineStr">
        <is>
          <t>ความแตกต่างระหว่างviral กับbacterial pharyngitis. ตัวเลือก</t>
        </is>
      </c>
      <c r="C118" s="18" t="inlineStr"/>
      <c r="D118" s="18" t="inlineStr">
        <is>
          <t>Dimercaprol (BAL) 3 mg/kg IM</t>
        </is>
      </c>
      <c r="E118" s="18" t="inlineStr">
        <is>
          <t>Ethanol 10% IV infusion for Methanol poisoning</t>
        </is>
      </c>
      <c r="F118" s="18" t="inlineStr">
        <is>
          <t>Fomepizole 15 mg/kg IV loading</t>
        </is>
      </c>
      <c r="G118" s="18" t="inlineStr">
        <is>
          <t>N-acetylcysteine (NAC) IV infusion protocol</t>
        </is>
      </c>
      <c r="H118" s="18" t="inlineStr">
        <is>
          <t>Atropine sulfate 2 mg IV Q5-10 min</t>
        </is>
      </c>
      <c r="I118" s="15" t="inlineStr">
        <is>
          <t>1</t>
        </is>
      </c>
      <c r="J1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18" t="inlineStr"/>
      <c r="L118" s="18" t="inlineStr">
        <is>
          <t>General Therapeutics</t>
        </is>
      </c>
      <c r="M118" s="18" t="inlineStr">
        <is>
          <t>Clinic</t>
        </is>
      </c>
      <c r="N118" s="18" t="inlineStr">
        <is>
          <t>PLE-CC1 ปี 2566 Day 2 ข้อ 1</t>
        </is>
      </c>
      <c r="O118" s="18" t="inlineStr">
        <is>
          <t>ข้อสอบจริง</t>
        </is>
      </c>
      <c r="P118" s="18" t="inlineStr">
        <is>
          <t>ปี 2566</t>
        </is>
      </c>
    </row>
    <row r="119">
      <c r="A119" s="15" t="inlineStr">
        <is>
          <t>141</t>
        </is>
      </c>
      <c r="B119" s="18" t="inlineStr">
        <is>
          <t>คอเป็นหนองที่ต่อมทอนซิล</t>
        </is>
      </c>
      <c r="C119" s="18" t="inlineStr"/>
      <c r="D119" s="18" t="inlineStr">
        <is>
          <t>N-acetylcysteine (NAC) IV infusion protocol</t>
        </is>
      </c>
      <c r="E119" s="18" t="inlineStr">
        <is>
          <t>Atropine sulfate 2 mg IV Q5-10 min</t>
        </is>
      </c>
      <c r="F119" s="18" t="inlineStr">
        <is>
          <t>ไข้สูงกว่า38</t>
        </is>
      </c>
      <c r="G119" s="18" t="inlineStr">
        <is>
          <t>เจ็บคอ</t>
        </is>
      </c>
      <c r="H119" s="18" t="inlineStr">
        <is>
          <t>คอแดง</t>
        </is>
      </c>
      <c r="I119" s="15" t="inlineStr">
        <is>
          <t>4</t>
        </is>
      </c>
      <c r="J119" s="18" t="inlineStr">
        <is>
          <t>✅ คำตอบที่ถูกต้อง: ข้อ ง. เจ็บคอ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เจ็บคอ การเลือก เจ็บคอ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(ไข้สูงกว่า38): ข้อนี้ไม่ใช่คำตอบที่ถูกต้องสำหรับภาวะ General Therapeutics เนื่องจากกลไกการออกฤทธิ์, efficacy หรือข้อบ่งใช้ไม่ตรงกับโจทย์ที่กำหนด
• ข้อ จ. (คอแดง):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18" t="inlineStr"/>
      <c r="L119" s="18" t="inlineStr">
        <is>
          <t>General Therapeutics</t>
        </is>
      </c>
      <c r="M119" s="18" t="inlineStr">
        <is>
          <t>Clinic</t>
        </is>
      </c>
      <c r="N119" s="18" t="inlineStr">
        <is>
          <t>PLE-CC1 ปี 2566 Day 2 ข้อ 1</t>
        </is>
      </c>
      <c r="O119" s="18" t="inlineStr">
        <is>
          <t>ข้อสอบจริง</t>
        </is>
      </c>
      <c r="P119" s="18" t="inlineStr">
        <is>
          <t>ปี 2566</t>
        </is>
      </c>
    </row>
    <row r="120">
      <c r="A120" s="15" t="inlineStr">
        <is>
          <t>142</t>
        </is>
      </c>
      <c r="B120" s="18" t="inlineStr">
        <is>
          <t>ตากุ้งยิงกับวิธีการรักษา. ตัวเลือก</t>
        </is>
      </c>
      <c r="C120" s="18" t="inlineStr"/>
      <c r="D120" s="18" t="inlineStr">
        <is>
          <t>Naloxone 0.4 mg IV stat</t>
        </is>
      </c>
      <c r="E120" s="18" t="inlineStr">
        <is>
          <t>เช็ดน้ำอุ่นแล้วนวดเบาๆ</t>
        </is>
      </c>
      <c r="F120" s="18" t="inlineStr">
        <is>
          <t>Topical antihistamine</t>
        </is>
      </c>
      <c r="G120" s="18" t="inlineStr">
        <is>
          <t>Topical steroid</t>
        </is>
      </c>
      <c r="H120" s="18" t="inlineStr">
        <is>
          <t>Calcium disodium EDTA 1 g IV</t>
        </is>
      </c>
      <c r="I120" s="15" t="inlineStr">
        <is>
          <t>1</t>
        </is>
      </c>
      <c r="J1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(เช็ดน้ำอุ่นแล้วนวดเบาๆ): ข้อนี้ไม่ใช่คำตอบที่ถูกต้องสำหรับภาวะ General Therapeutics เนื่องจากกลไกการออกฤทธิ์, efficacy หรือข้อบ่งใช้ไม่ตรงกับโจทย์ที่กำหนด
• ข้อ ค. (Topical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(Topical steroid):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0" s="18" t="inlineStr"/>
      <c r="L120" s="18" t="inlineStr">
        <is>
          <t>General Therapeutics</t>
        </is>
      </c>
      <c r="M120" s="18" t="inlineStr">
        <is>
          <t>Clinic</t>
        </is>
      </c>
      <c r="N120" s="18" t="inlineStr">
        <is>
          <t>PLE-CC1 ปี 2566 Day 2 ข้อ 2</t>
        </is>
      </c>
      <c r="O120" s="18" t="inlineStr">
        <is>
          <t>ข้อสอบจริง</t>
        </is>
      </c>
      <c r="P120" s="18" t="inlineStr">
        <is>
          <t>ปี 2566</t>
        </is>
      </c>
    </row>
    <row r="121">
      <c r="A121" s="15" t="inlineStr">
        <is>
          <t>143</t>
        </is>
      </c>
      <c r="B121" s="18" t="inlineStr">
        <is>
          <t>Monitoring MTX ผู้ป่วยได้ยาMTX ต้องติดตามดังต่อไปนี้ยกเว้น ตัวเลือก</t>
        </is>
      </c>
      <c r="C121" s="18" t="inlineStr"/>
      <c r="D121" s="18" t="inlineStr">
        <is>
          <t>Sodium thiosulfate 25% 50 mL IV</t>
        </is>
      </c>
      <c r="E121" s="18" t="inlineStr">
        <is>
          <t>Calcium disodium EDTA 1 g IV</t>
        </is>
      </c>
      <c r="F121" s="18" t="inlineStr">
        <is>
          <t>Desferrioxamine 1 g IM/IV</t>
        </is>
      </c>
      <c r="G121" s="18" t="inlineStr">
        <is>
          <t>Dimercaprol (BAL) 3 mg/kg IM</t>
        </is>
      </c>
      <c r="H121" s="18" t="inlineStr">
        <is>
          <t>Ethanol 10% IV infusion for Methanol poisoning</t>
        </is>
      </c>
      <c r="I121" s="15" t="inlineStr">
        <is>
          <t>1</t>
        </is>
      </c>
      <c r="J1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1" s="18" t="inlineStr"/>
      <c r="L121" s="18" t="inlineStr">
        <is>
          <t>General Therapeutics</t>
        </is>
      </c>
      <c r="M121" s="18" t="inlineStr">
        <is>
          <t>Clinic</t>
        </is>
      </c>
      <c r="N121" s="18" t="inlineStr">
        <is>
          <t>PLE-CC1 ปี 2566 Day 2 ข้อ 3</t>
        </is>
      </c>
      <c r="O121" s="18" t="inlineStr">
        <is>
          <t>ข้อสอบจริง</t>
        </is>
      </c>
      <c r="P121" s="18" t="inlineStr">
        <is>
          <t>ปี 2566</t>
        </is>
      </c>
    </row>
    <row r="122">
      <c r="A122" s="15" t="inlineStr">
        <is>
          <t>144</t>
        </is>
      </c>
      <c r="B122" s="18" t="inlineStr">
        <is>
          <t>NorEpinephrine7</t>
        </is>
      </c>
      <c r="C122" s="18" t="inlineStr"/>
      <c r="D122" s="18" t="inlineStr">
        <is>
          <t>Montelukast 10 mg HS</t>
        </is>
      </c>
      <c r="E122" s="18" t="inlineStr">
        <is>
          <t>Hydroxyzine 25 mg HS</t>
        </is>
      </c>
      <c r="F122" s="18" t="inlineStr">
        <is>
          <t>Diphenhydramine 25 mg IV</t>
        </is>
      </c>
      <c r="G122" s="18" t="inlineStr">
        <is>
          <t>Cetirizine 10 mg OD</t>
        </is>
      </c>
      <c r="H122" s="18" t="inlineStr">
        <is>
          <t>Loratadine 10 mg OD</t>
        </is>
      </c>
      <c r="I122" s="15" t="inlineStr">
        <is>
          <t>1</t>
        </is>
      </c>
      <c r="J122" s="18"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8" t="inlineStr"/>
      <c r="L122" s="18" t="inlineStr">
        <is>
          <t>Allergy &amp; Immunology</t>
        </is>
      </c>
      <c r="M122" s="18" t="inlineStr">
        <is>
          <t>Clinic</t>
        </is>
      </c>
      <c r="N122" s="18" t="inlineStr">
        <is>
          <t>PLE-CC1 ปี 2566 Day 2 ข้อ 2</t>
        </is>
      </c>
      <c r="O122" s="18" t="inlineStr">
        <is>
          <t>ข้อสอบจริง</t>
        </is>
      </c>
      <c r="P122" s="18" t="inlineStr">
        <is>
          <t>ปี 2566</t>
        </is>
      </c>
    </row>
    <row r="123">
      <c r="A123" s="15" t="inlineStr">
        <is>
          <t>145</t>
        </is>
      </c>
      <c r="B123" s="18" t="inlineStr">
        <is>
          <t>ท้องผูกกินverapamil อยู่สาเหตุของท้องผูกน่าจะมาจากอะไร. ตัวเลือก</t>
        </is>
      </c>
      <c r="C123" s="18" t="inlineStr"/>
      <c r="D123" s="18" t="inlineStr">
        <is>
          <t>Diltiazem 30 mg TID</t>
        </is>
      </c>
      <c r="E123" s="18" t="inlineStr">
        <is>
          <t>Warfarin 3 mg OD (target INR 2.0-3.0)</t>
        </is>
      </c>
      <c r="F123" s="18" t="inlineStr">
        <is>
          <t>Furosemide 40 mg OD</t>
        </is>
      </c>
      <c r="G123" s="18" t="inlineStr">
        <is>
          <t>Amlodipine 5 mg OD</t>
        </is>
      </c>
      <c r="H123" s="18" t="inlineStr">
        <is>
          <t>Losartan 50 mg OD</t>
        </is>
      </c>
      <c r="I123" s="15" t="inlineStr">
        <is>
          <t>1</t>
        </is>
      </c>
      <c r="J123" s="18"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18" t="inlineStr"/>
      <c r="L123" s="18" t="inlineStr">
        <is>
          <t>Cardiovascular Diseases</t>
        </is>
      </c>
      <c r="M123" s="18" t="inlineStr">
        <is>
          <t>Clinic</t>
        </is>
      </c>
      <c r="N123" s="18" t="inlineStr">
        <is>
          <t>PLE-CC1 ปี 2566 Day 2 ข้อ 6</t>
        </is>
      </c>
      <c r="O123" s="18" t="inlineStr">
        <is>
          <t>ข้อสอบจริง</t>
        </is>
      </c>
      <c r="P123" s="18" t="inlineStr">
        <is>
          <t>ปี 2566</t>
        </is>
      </c>
    </row>
    <row r="124">
      <c r="A124" s="15" t="inlineStr">
        <is>
          <t>146</t>
        </is>
      </c>
      <c r="B124" s="18" t="inlineStr">
        <is>
          <t>โรคไขมันในเลือดสูง</t>
        </is>
      </c>
      <c r="C124" s="18" t="inlineStr"/>
      <c r="D124" s="18" t="inlineStr">
        <is>
          <t>Naloxone 0.4 mg IV stat</t>
        </is>
      </c>
      <c r="E124" s="18" t="inlineStr">
        <is>
          <t>Flumazenil 0.2 mg IV stat</t>
        </is>
      </c>
      <c r="F124" s="18" t="inlineStr">
        <is>
          <t>Vitamin K1 (Phytomenadione) 10 mg IV slow</t>
        </is>
      </c>
      <c r="G124" s="18" t="inlineStr">
        <is>
          <t>Sodium thiosulfate 25% 50 mL IV</t>
        </is>
      </c>
      <c r="H124" s="18" t="inlineStr">
        <is>
          <t>Calcium disodium EDTA 1 g IV</t>
        </is>
      </c>
      <c r="I124" s="15" t="inlineStr">
        <is>
          <t>1</t>
        </is>
      </c>
      <c r="J124" s="18"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 s="18" t="inlineStr"/>
      <c r="L124" s="18" t="inlineStr">
        <is>
          <t>General Therapeutics</t>
        </is>
      </c>
      <c r="M124" s="18" t="inlineStr">
        <is>
          <t>Clinic</t>
        </is>
      </c>
      <c r="N124" s="18" t="inlineStr">
        <is>
          <t>PLE-CC1 ปี 2566 Day 2 ข้อ 1</t>
        </is>
      </c>
      <c r="O124" s="18" t="inlineStr">
        <is>
          <t>ข้อสอบจริง</t>
        </is>
      </c>
      <c r="P124" s="18" t="inlineStr">
        <is>
          <t>ปี 2566</t>
        </is>
      </c>
    </row>
    <row r="125">
      <c r="A125" s="15" t="inlineStr">
        <is>
          <t>147</t>
        </is>
      </c>
      <c r="B125" s="18" t="inlineStr">
        <is>
          <t>Adr isosorbide dinitrate. ตัวเลือก</t>
        </is>
      </c>
      <c r="C125" s="18" t="inlineStr"/>
      <c r="D125" s="18" t="inlineStr">
        <is>
          <t>Epinephrine 0.3 mg IM stat</t>
        </is>
      </c>
      <c r="E125" s="18" t="inlineStr">
        <is>
          <t>Dexamethasone 4 mg IV</t>
        </is>
      </c>
      <c r="F125" s="18" t="inlineStr">
        <is>
          <t>Prednisolone 20 mg OD</t>
        </is>
      </c>
      <c r="G125" s="18" t="inlineStr">
        <is>
          <t>Montelukast 10 mg HS</t>
        </is>
      </c>
      <c r="H125" s="18" t="inlineStr">
        <is>
          <t>Hydroxyzine 25 mg HS</t>
        </is>
      </c>
      <c r="I125" s="15" t="inlineStr">
        <is>
          <t>1</t>
        </is>
      </c>
      <c r="J125" s="18"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8" t="inlineStr"/>
      <c r="L125" s="18" t="inlineStr">
        <is>
          <t>Allergy &amp; Immunology</t>
        </is>
      </c>
      <c r="M125" s="18" t="inlineStr">
        <is>
          <t>Clinic</t>
        </is>
      </c>
      <c r="N125" s="18" t="inlineStr">
        <is>
          <t>PLE-CC1 ปี 2566 Day 2 ข้อ 8</t>
        </is>
      </c>
      <c r="O125" s="18" t="inlineStr">
        <is>
          <t>ข้อสอบจริง</t>
        </is>
      </c>
      <c r="P125" s="18" t="inlineStr">
        <is>
          <t>ปี 2566</t>
        </is>
      </c>
    </row>
    <row r="126">
      <c r="A126" s="15" t="inlineStr">
        <is>
          <t>148</t>
        </is>
      </c>
      <c r="B126" s="18" t="inlineStr">
        <is>
          <t>Stage C , Grade 2</t>
        </is>
      </c>
      <c r="C126" s="18" t="inlineStr"/>
      <c r="D126" s="18" t="inlineStr">
        <is>
          <t>Dimercaprol (BAL) 3 mg/kg IM</t>
        </is>
      </c>
      <c r="E126" s="18" t="inlineStr">
        <is>
          <t>Ethanol 10% IV infusion for Methanol poisoning</t>
        </is>
      </c>
      <c r="F126" s="18" t="inlineStr">
        <is>
          <t>Fomepizole 15 mg/kg IV loading</t>
        </is>
      </c>
      <c r="G126" s="18" t="inlineStr">
        <is>
          <t>N-acetylcysteine (NAC) IV infusion protocol</t>
        </is>
      </c>
      <c r="H126" s="18" t="inlineStr">
        <is>
          <t>Atropine sulfate 2 mg IV Q5-10 min</t>
        </is>
      </c>
      <c r="I126" s="15" t="inlineStr">
        <is>
          <t>1</t>
        </is>
      </c>
      <c r="J1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18" t="inlineStr"/>
      <c r="L126" s="18" t="inlineStr">
        <is>
          <t>General Therapeutics</t>
        </is>
      </c>
      <c r="M126" s="18" t="inlineStr">
        <is>
          <t>Clinic</t>
        </is>
      </c>
      <c r="N126" s="18" t="inlineStr">
        <is>
          <t>PLE-CC1 ปี 2566 Day 2 ข้อ 1</t>
        </is>
      </c>
      <c r="O126" s="18" t="inlineStr">
        <is>
          <t>ข้อสอบจริง</t>
        </is>
      </c>
      <c r="P126" s="18" t="inlineStr">
        <is>
          <t>ปี 2566</t>
        </is>
      </c>
    </row>
    <row r="127">
      <c r="A127" s="15" t="inlineStr">
        <is>
          <t>149</t>
        </is>
      </c>
      <c r="B127" s="18" t="inlineStr">
        <is>
          <t>ริดสีดวงต้องปฏิบัติตัวอย่างไร. ตัวเลือก</t>
        </is>
      </c>
      <c r="C127" s="18" t="inlineStr"/>
      <c r="D127" s="18" t="inlineStr">
        <is>
          <t>N-acetylcysteine (NAC) IV infusion protocol</t>
        </is>
      </c>
      <c r="E127" s="18" t="inlineStr">
        <is>
          <t>กินอาหารนิ่มย่อยง่ายไม่มีกากใย</t>
        </is>
      </c>
      <c r="F127" s="18" t="inlineStr">
        <is>
          <t>ลดอาหารไขมัน</t>
        </is>
      </c>
      <c r="G127" s="18" t="inlineStr">
        <is>
          <t>Naloxone 0.4 mg IV stat</t>
        </is>
      </c>
      <c r="H127" s="18" t="inlineStr">
        <is>
          <t>Flumazenil 0.2 mg IV stat</t>
        </is>
      </c>
      <c r="I127" s="15" t="inlineStr">
        <is>
          <t>1</t>
        </is>
      </c>
      <c r="J1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(กินอาหารนิ่มย่อยง่ายไม่มีกากใย): ข้อนี้ไม่ใช่คำตอบที่ถูกต้องสำหรับภาวะ General Therapeutics เนื่องจากกลไกการออกฤทธิ์, efficacy หรือข้อบ่งใช้ไม่ตรงกับโจทย์ที่กำหนด
• ข้อ ค. (ลดอาหารไขมัน):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 s="18" t="inlineStr"/>
      <c r="L127" s="18" t="inlineStr">
        <is>
          <t>General Therapeutics</t>
        </is>
      </c>
      <c r="M127" s="18" t="inlineStr">
        <is>
          <t>Clinic</t>
        </is>
      </c>
      <c r="N127" s="18" t="inlineStr">
        <is>
          <t>PLE-CC1 ปี 2566 Day 2 ข้อ 10</t>
        </is>
      </c>
      <c r="O127" s="18" t="inlineStr">
        <is>
          <t>ข้อสอบจริง</t>
        </is>
      </c>
      <c r="P127" s="18" t="inlineStr">
        <is>
          <t>ปี 2566</t>
        </is>
      </c>
    </row>
    <row r="128">
      <c r="A128" s="15" t="inlineStr">
        <is>
          <t>150</t>
        </is>
      </c>
      <c r="B128" s="18" t="inlineStr">
        <is>
          <t>ยาไทยที่ช่วยเรื่อวริดสีดวง. ตัวเลือก</t>
        </is>
      </c>
      <c r="C128" s="18" t="inlineStr"/>
      <c r="D128" s="18" t="inlineStr">
        <is>
          <t>Naloxone 0.4 mg IV stat</t>
        </is>
      </c>
      <c r="E128" s="18" t="inlineStr">
        <is>
          <t>Flumazenil 0.2 mg IV stat</t>
        </is>
      </c>
      <c r="F128" s="18" t="inlineStr">
        <is>
          <t>Vitamin K1 (Phytomenadione) 10 mg IV slow</t>
        </is>
      </c>
      <c r="G128" s="18" t="inlineStr">
        <is>
          <t>Sodium thiosulfate 25% 50 mL IV</t>
        </is>
      </c>
      <c r="H128" s="18" t="inlineStr">
        <is>
          <t>Calcium disodium EDTA 1 g IV</t>
        </is>
      </c>
      <c r="I128" s="15" t="inlineStr">
        <is>
          <t>1</t>
        </is>
      </c>
      <c r="J1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 s="18" t="inlineStr"/>
      <c r="L128" s="18" t="inlineStr">
        <is>
          <t>General Therapeutics</t>
        </is>
      </c>
      <c r="M128" s="18" t="inlineStr">
        <is>
          <t>Clinic</t>
        </is>
      </c>
      <c r="N128" s="18" t="inlineStr">
        <is>
          <t>PLE-CC1 ปี 2566 Day 2 ข้อ 11</t>
        </is>
      </c>
      <c r="O128" s="18" t="inlineStr">
        <is>
          <t>ข้อสอบจริง</t>
        </is>
      </c>
      <c r="P128" s="18" t="inlineStr">
        <is>
          <t>ปี 2566</t>
        </is>
      </c>
    </row>
    <row r="129">
      <c r="A129" s="15" t="inlineStr">
        <is>
          <t>151</t>
        </is>
      </c>
      <c r="B129" s="18" t="inlineStr">
        <is>
          <t>ยาผสมเพชรสังฆาต</t>
        </is>
      </c>
      <c r="C129" s="18" t="inlineStr"/>
      <c r="D129" s="18" t="inlineStr">
        <is>
          <t>Sodium thiosulfate 25% 50 mL IV</t>
        </is>
      </c>
      <c r="E129" s="18" t="inlineStr">
        <is>
          <t>Calcium disodium EDTA 1 g IV</t>
        </is>
      </c>
      <c r="F129" s="18" t="inlineStr">
        <is>
          <t>Desferrioxamine 1 g IM/IV</t>
        </is>
      </c>
      <c r="G129" s="18" t="inlineStr">
        <is>
          <t>Dimercaprol (BAL) 3 mg/kg IM</t>
        </is>
      </c>
      <c r="H129" s="18" t="inlineStr">
        <is>
          <t>Ethanol 10% IV infusion for Methanol poisoning</t>
        </is>
      </c>
      <c r="I129" s="15" t="inlineStr">
        <is>
          <t>1</t>
        </is>
      </c>
      <c r="J1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8" t="inlineStr"/>
      <c r="L129" s="18" t="inlineStr">
        <is>
          <t>General Therapeutics</t>
        </is>
      </c>
      <c r="M129" s="18" t="inlineStr">
        <is>
          <t>Clinic</t>
        </is>
      </c>
      <c r="N129" s="18" t="inlineStr">
        <is>
          <t>PLE-CC1 ปี 2566 Day 2 ข้อ 1</t>
        </is>
      </c>
      <c r="O129" s="18" t="inlineStr">
        <is>
          <t>ข้อสอบจริง</t>
        </is>
      </c>
      <c r="P129" s="18" t="inlineStr">
        <is>
          <t>ปี 2566</t>
        </is>
      </c>
    </row>
    <row r="130">
      <c r="A130" s="15" t="inlineStr">
        <is>
          <t>152</t>
        </is>
      </c>
      <c r="B130" s="18" t="inlineStr">
        <is>
          <t>ยาไทยที่ไม่ช่วยเรื่องลดไข้. ตัวเลือก</t>
        </is>
      </c>
      <c r="C130" s="18" t="inlineStr"/>
      <c r="D130" s="18" t="inlineStr">
        <is>
          <t>Dimercaprol (BAL) 3 mg/kg IM</t>
        </is>
      </c>
      <c r="E130" s="18" t="inlineStr">
        <is>
          <t>Ethanol 10% IV infusion for Methanol poisoning</t>
        </is>
      </c>
      <c r="F130" s="18" t="inlineStr">
        <is>
          <t>Fomepizole 15 mg/kg IV loading</t>
        </is>
      </c>
      <c r="G130" s="18" t="inlineStr">
        <is>
          <t>N-acetylcysteine (NAC) IV infusion protocol</t>
        </is>
      </c>
      <c r="H130" s="18" t="inlineStr">
        <is>
          <t>Atropine sulfate 2 mg IV Q5-10 min</t>
        </is>
      </c>
      <c r="I130" s="15" t="inlineStr">
        <is>
          <t>1</t>
        </is>
      </c>
      <c r="J1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18" t="inlineStr"/>
      <c r="L130" s="18" t="inlineStr">
        <is>
          <t>General Therapeutics</t>
        </is>
      </c>
      <c r="M130" s="18" t="inlineStr">
        <is>
          <t>Clinic</t>
        </is>
      </c>
      <c r="N130" s="18" t="inlineStr">
        <is>
          <t>PLE-CC1 ปี 2566 Day 2 ข้อ 13</t>
        </is>
      </c>
      <c r="O130" s="18" t="inlineStr">
        <is>
          <t>ข้อสอบจริง</t>
        </is>
      </c>
      <c r="P130" s="18" t="inlineStr">
        <is>
          <t>ปี 2566</t>
        </is>
      </c>
    </row>
    <row r="131">
      <c r="A131" s="15" t="inlineStr">
        <is>
          <t>153</t>
        </is>
      </c>
      <c r="B131" s="18" t="inlineStr">
        <is>
          <t>Dragendorff’s reagent</t>
        </is>
      </c>
      <c r="C131" s="18" t="inlineStr"/>
      <c r="D131" s="18" t="inlineStr">
        <is>
          <t>N-acetylcysteine (NAC) IV infusion protocol</t>
        </is>
      </c>
      <c r="E131" s="18" t="inlineStr">
        <is>
          <t>Atropine sulfate 2 mg IV Q5-10 min</t>
        </is>
      </c>
      <c r="F131" s="18" t="inlineStr">
        <is>
          <t>Pralidoxime (2-PAM) 1-2 g IV over 30 min</t>
        </is>
      </c>
      <c r="G131" s="18" t="inlineStr">
        <is>
          <t>Naloxone 0.4 mg IV stat</t>
        </is>
      </c>
      <c r="H131" s="18" t="inlineStr">
        <is>
          <t>Flumazenil 0.2 mg IV stat</t>
        </is>
      </c>
      <c r="I131" s="15" t="inlineStr">
        <is>
          <t>1</t>
        </is>
      </c>
      <c r="J1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 s="18" t="inlineStr"/>
      <c r="L131" s="18" t="inlineStr">
        <is>
          <t>General Therapeutics</t>
        </is>
      </c>
      <c r="M131" s="18" t="inlineStr">
        <is>
          <t>Clinic</t>
        </is>
      </c>
      <c r="N131" s="18" t="inlineStr">
        <is>
          <t>PLE-CC1 ปี 2566 Day 2 ข้อ 2</t>
        </is>
      </c>
      <c r="O131" s="18" t="inlineStr">
        <is>
          <t>ข้อสอบจริง</t>
        </is>
      </c>
      <c r="P131" s="18" t="inlineStr">
        <is>
          <t>ปี 2566</t>
        </is>
      </c>
    </row>
    <row r="132">
      <c r="A132" s="15" t="inlineStr">
        <is>
          <t>154</t>
        </is>
      </c>
      <c r="B132" s="18" t="inlineStr">
        <is>
          <t>A เป็นmetaboliteของB</t>
        </is>
      </c>
      <c r="C132" s="18" t="inlineStr"/>
      <c r="D132" s="18" t="inlineStr">
        <is>
          <t>Naloxone 0.4 mg IV stat</t>
        </is>
      </c>
      <c r="E132" s="18" t="inlineStr">
        <is>
          <t>Flumazenil 0.2 mg IV stat</t>
        </is>
      </c>
      <c r="F132" s="18" t="inlineStr">
        <is>
          <t>Vitamin K1 (Phytomenadione) 10 mg IV slow</t>
        </is>
      </c>
      <c r="G132" s="18" t="inlineStr">
        <is>
          <t>Sodium thiosulfate 25% 50 mL IV</t>
        </is>
      </c>
      <c r="H132" s="18" t="inlineStr">
        <is>
          <t>Calcium disodium EDTA 1 g IV</t>
        </is>
      </c>
      <c r="I132" s="15" t="inlineStr">
        <is>
          <t>1</t>
        </is>
      </c>
      <c r="J1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 s="18" t="inlineStr"/>
      <c r="L132" s="18" t="inlineStr">
        <is>
          <t>General Therapeutics</t>
        </is>
      </c>
      <c r="M132" s="18" t="inlineStr">
        <is>
          <t>Clinic</t>
        </is>
      </c>
      <c r="N132" s="18" t="inlineStr">
        <is>
          <t>PLE-CC1 ปี 2566 Day 2 ข้อ 1</t>
        </is>
      </c>
      <c r="O132" s="18" t="inlineStr">
        <is>
          <t>ข้อสอบจริง</t>
        </is>
      </c>
      <c r="P132" s="18" t="inlineStr">
        <is>
          <t>ปี 2566</t>
        </is>
      </c>
    </row>
    <row r="133">
      <c r="A133" s="15" t="inlineStr">
        <is>
          <t>155</t>
        </is>
      </c>
      <c r="B133" s="18" t="inlineStr">
        <is>
          <t>Aผ่านBBBเก่งกว่าB</t>
        </is>
      </c>
      <c r="C133" s="18" t="inlineStr"/>
      <c r="D133" s="18" t="inlineStr">
        <is>
          <t>Sodium thiosulfate 25% 50 mL IV</t>
        </is>
      </c>
      <c r="E133" s="18" t="inlineStr">
        <is>
          <t>Calcium disodium EDTA 1 g IV</t>
        </is>
      </c>
      <c r="F133" s="18" t="inlineStr">
        <is>
          <t>Desferrioxamine 1 g IM/IV</t>
        </is>
      </c>
      <c r="G133" s="18" t="inlineStr">
        <is>
          <t>Dimercaprol (BAL) 3 mg/kg IM</t>
        </is>
      </c>
      <c r="H133" s="18" t="inlineStr">
        <is>
          <t>Ethanol 10% IV infusion for Methanol poisoning</t>
        </is>
      </c>
      <c r="I133" s="15" t="inlineStr">
        <is>
          <t>1</t>
        </is>
      </c>
      <c r="J1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 s="18" t="inlineStr"/>
      <c r="L133" s="18" t="inlineStr">
        <is>
          <t>General Therapeutics</t>
        </is>
      </c>
      <c r="M133" s="18" t="inlineStr">
        <is>
          <t>Clinic</t>
        </is>
      </c>
      <c r="N133" s="18" t="inlineStr">
        <is>
          <t>PLE-CC1 ปี 2566 Day 2 ข้อ 2</t>
        </is>
      </c>
      <c r="O133" s="18" t="inlineStr">
        <is>
          <t>ข้อสอบจริง</t>
        </is>
      </c>
      <c r="P133" s="18" t="inlineStr">
        <is>
          <t>ปี 2566</t>
        </is>
      </c>
    </row>
    <row r="134">
      <c r="A134" s="15" t="inlineStr">
        <is>
          <t>156</t>
        </is>
      </c>
      <c r="B134" s="18" t="inlineStr">
        <is>
          <t>Mechanism clotrimazole. ตัวเลือก</t>
        </is>
      </c>
      <c r="C134" s="18" t="inlineStr"/>
      <c r="D134" s="18" t="inlineStr">
        <is>
          <t>Clobetasol propionate 0.05% cream</t>
        </is>
      </c>
      <c r="E134" s="18" t="inlineStr">
        <is>
          <t>Ketoconazole 2% shampoo</t>
        </is>
      </c>
      <c r="F134" s="18" t="inlineStr">
        <is>
          <t>Benzoyl peroxide 2.5% gel</t>
        </is>
      </c>
      <c r="G134" s="18" t="inlineStr">
        <is>
          <t>Acyclovir 5% cream</t>
        </is>
      </c>
      <c r="H134" s="18" t="inlineStr">
        <is>
          <t>Silver sulfadiazine 1% cream</t>
        </is>
      </c>
      <c r="I134" s="15" t="inlineStr">
        <is>
          <t>1</t>
        </is>
      </c>
      <c r="J134" s="18"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18" t="inlineStr"/>
      <c r="L134" s="18" t="inlineStr">
        <is>
          <t>Dermatologic Disorders</t>
        </is>
      </c>
      <c r="M134" s="18" t="inlineStr">
        <is>
          <t>Clinic</t>
        </is>
      </c>
      <c r="N134" s="18" t="inlineStr">
        <is>
          <t>PLE-CC1 ปี 2566 Day 2 ข้อ 16</t>
        </is>
      </c>
      <c r="O134" s="18" t="inlineStr">
        <is>
          <t>ข้อสอบจริง</t>
        </is>
      </c>
      <c r="P134" s="18" t="inlineStr">
        <is>
          <t>ปี 2566</t>
        </is>
      </c>
    </row>
    <row r="135">
      <c r="A135" s="15" t="inlineStr">
        <is>
          <t>157</t>
        </is>
      </c>
      <c r="B135" s="18" t="inlineStr">
        <is>
          <t>ยับยั้งepoxide oxidase</t>
        </is>
      </c>
      <c r="C135" s="18" t="inlineStr"/>
      <c r="D135" s="18" t="inlineStr">
        <is>
          <t>N-acetylcysteine (NAC) IV infusion protocol</t>
        </is>
      </c>
      <c r="E135" s="18" t="inlineStr">
        <is>
          <t>Atropine sulfate 2 mg IV Q5-10 min</t>
        </is>
      </c>
      <c r="F135" s="18" t="inlineStr">
        <is>
          <t>Pralidoxime (2-PAM) 1-2 g IV over 30 min</t>
        </is>
      </c>
      <c r="G135" s="18" t="inlineStr">
        <is>
          <t>Naloxone 0.4 mg IV stat</t>
        </is>
      </c>
      <c r="H135" s="18" t="inlineStr">
        <is>
          <t>Flumazenil 0.2 mg IV stat</t>
        </is>
      </c>
      <c r="I135" s="15" t="inlineStr">
        <is>
          <t>1</t>
        </is>
      </c>
      <c r="J1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5" s="18" t="inlineStr"/>
      <c r="L135" s="18" t="inlineStr">
        <is>
          <t>General Therapeutics</t>
        </is>
      </c>
      <c r="M135" s="18" t="inlineStr">
        <is>
          <t>Clinic</t>
        </is>
      </c>
      <c r="N135" s="18" t="inlineStr">
        <is>
          <t>PLE-CC1 ปี 2566 Day 2 ข้อ 1</t>
        </is>
      </c>
      <c r="O135" s="18" t="inlineStr">
        <is>
          <t>ข้อสอบจริง</t>
        </is>
      </c>
      <c r="P135" s="18" t="inlineStr">
        <is>
          <t>ปี 2566</t>
        </is>
      </c>
    </row>
    <row r="136">
      <c r="A136" s="15" t="inlineStr">
        <is>
          <t>158</t>
        </is>
      </c>
      <c r="B136" s="18" t="inlineStr">
        <is>
          <t>ทำให้Ergosterolเป็นรู</t>
        </is>
      </c>
      <c r="C136" s="18" t="inlineStr"/>
      <c r="D136" s="18" t="inlineStr">
        <is>
          <t>Naloxone 0.4 mg IV stat</t>
        </is>
      </c>
      <c r="E136" s="18" t="inlineStr">
        <is>
          <t>Flumazenil 0.2 mg IV stat</t>
        </is>
      </c>
      <c r="F136" s="18" t="inlineStr">
        <is>
          <t>Vitamin K1 (Phytomenadione) 10 mg IV slow</t>
        </is>
      </c>
      <c r="G136" s="18" t="inlineStr">
        <is>
          <t>Sodium thiosulfate 25% 50 mL IV</t>
        </is>
      </c>
      <c r="H136" s="18" t="inlineStr">
        <is>
          <t>Calcium disodium EDTA 1 g IV</t>
        </is>
      </c>
      <c r="I136" s="15" t="inlineStr">
        <is>
          <t>1</t>
        </is>
      </c>
      <c r="J1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6" s="18" t="inlineStr"/>
      <c r="L136" s="18" t="inlineStr">
        <is>
          <t>General Therapeutics</t>
        </is>
      </c>
      <c r="M136" s="18" t="inlineStr">
        <is>
          <t>Clinic</t>
        </is>
      </c>
      <c r="N136" s="18" t="inlineStr">
        <is>
          <t>PLE-CC1 ปี 2566 Day 2 ข้อ 2</t>
        </is>
      </c>
      <c r="O136" s="18" t="inlineStr">
        <is>
          <t>ข้อสอบจริง</t>
        </is>
      </c>
      <c r="P136" s="18" t="inlineStr">
        <is>
          <t>ปี 2566</t>
        </is>
      </c>
    </row>
    <row r="137">
      <c r="A137" s="15" t="inlineStr">
        <is>
          <t>159</t>
        </is>
      </c>
      <c r="B137" s="18" t="inlineStr">
        <is>
          <t>RA กินMTX ไม่ดีขึ้นให้อะไร(แพ้ยาSulfa) ตัวเลือก</t>
        </is>
      </c>
      <c r="C137" s="18" t="inlineStr"/>
      <c r="D137" s="18" t="inlineStr">
        <is>
          <t>Prednisolone 5 mg OD</t>
        </is>
      </c>
      <c r="E137" s="18" t="inlineStr">
        <is>
          <t>Zoledronic acid 5 mg IV annually</t>
        </is>
      </c>
      <c r="F137" s="18" t="inlineStr">
        <is>
          <t>Leflunomide 20 mg OD</t>
        </is>
      </c>
      <c r="G137" s="18" t="inlineStr">
        <is>
          <t>Paracetamol 500 mg Q6H PRN</t>
        </is>
      </c>
      <c r="H137" s="18" t="inlineStr">
        <is>
          <t>Denosumab 60 mg SC every 6 months</t>
        </is>
      </c>
      <c r="I137" s="15" t="inlineStr">
        <is>
          <t>1</t>
        </is>
      </c>
      <c r="J137" s="18" t="inlineStr">
        <is>
          <t>✅ คำตอบที่ถูกต้อง: ข้อ ก. Prednisolone 5 mg OD
💡 Background:
โรคข้ออักเสบรูมาตอยด์ (RA) เป็น systemic autoimmune disease ต้องรีบเริ่ม DMARDs ทันทีเพื่อป้องกัน joint destruction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7" s="18" t="inlineStr"/>
      <c r="L137" s="18" t="inlineStr">
        <is>
          <t>Musculoskeletal &amp; Joint</t>
        </is>
      </c>
      <c r="M137" s="18" t="inlineStr">
        <is>
          <t>Clinic</t>
        </is>
      </c>
      <c r="N137" s="18" t="inlineStr">
        <is>
          <t>PLE-CC1 ปี 2566 Day 2 ข้อ 17</t>
        </is>
      </c>
      <c r="O137" s="18" t="inlineStr">
        <is>
          <t>ข้อสอบจริง</t>
        </is>
      </c>
      <c r="P137" s="18" t="inlineStr">
        <is>
          <t>ปี 2566</t>
        </is>
      </c>
    </row>
    <row r="138">
      <c r="A138" s="15" t="inlineStr">
        <is>
          <t>160</t>
        </is>
      </c>
      <c r="B138" s="18" t="inlineStr">
        <is>
          <t>เพิ่มโดสprednisolone</t>
        </is>
      </c>
      <c r="C138" s="18" t="inlineStr"/>
      <c r="D138" s="18" t="inlineStr">
        <is>
          <t>Montelukast 10 mg HS</t>
        </is>
      </c>
      <c r="E138" s="18" t="inlineStr">
        <is>
          <t>Hydroxyzine 25 mg HS</t>
        </is>
      </c>
      <c r="F138" s="18" t="inlineStr">
        <is>
          <t>Diphenhydramine 25 mg IV</t>
        </is>
      </c>
      <c r="G138" s="18" t="inlineStr">
        <is>
          <t>Cetirizine 10 mg OD</t>
        </is>
      </c>
      <c r="H138" s="18" t="inlineStr">
        <is>
          <t>Loratadine 10 mg OD</t>
        </is>
      </c>
      <c r="I138" s="15" t="inlineStr">
        <is>
          <t>1</t>
        </is>
      </c>
      <c r="J138" s="18"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8" s="18" t="inlineStr"/>
      <c r="L138" s="18" t="inlineStr">
        <is>
          <t>Allergy &amp; Immunology</t>
        </is>
      </c>
      <c r="M138" s="18" t="inlineStr">
        <is>
          <t>Clinic</t>
        </is>
      </c>
      <c r="N138" s="18" t="inlineStr">
        <is>
          <t>PLE-CC1 ปี 2566 Day 2 ข้อ 2</t>
        </is>
      </c>
      <c r="O138" s="18" t="inlineStr">
        <is>
          <t>ข้อสอบจริง</t>
        </is>
      </c>
      <c r="P138" s="18" t="inlineStr">
        <is>
          <t>ปี 2566</t>
        </is>
      </c>
    </row>
    <row r="139">
      <c r="A139" s="15" t="inlineStr">
        <is>
          <t>161</t>
        </is>
      </c>
      <c r="B139" s="18" t="inlineStr">
        <is>
          <t>Mechanism phentermine ตัวเลือก</t>
        </is>
      </c>
      <c r="C139" s="18" t="inlineStr"/>
      <c r="D139" s="18" t="inlineStr">
        <is>
          <t>N-acetylcysteine (NAC) IV infusion protocol</t>
        </is>
      </c>
      <c r="E139" s="18" t="inlineStr">
        <is>
          <t>Atropine sulfate 2 mg IV Q5-10 min</t>
        </is>
      </c>
      <c r="F139" s="18" t="inlineStr">
        <is>
          <t>Pralidoxime (2-PAM) 1-2 g IV over 30 min</t>
        </is>
      </c>
      <c r="G139" s="18" t="inlineStr">
        <is>
          <t>Naloxone 0.4 mg IV stat</t>
        </is>
      </c>
      <c r="H139" s="18" t="inlineStr">
        <is>
          <t>Flumazenil 0.2 mg IV stat</t>
        </is>
      </c>
      <c r="I139" s="15" t="inlineStr">
        <is>
          <t>1</t>
        </is>
      </c>
      <c r="J1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9" s="18" t="inlineStr"/>
      <c r="L139" s="18" t="inlineStr">
        <is>
          <t>General Therapeutics</t>
        </is>
      </c>
      <c r="M139" s="18" t="inlineStr">
        <is>
          <t>Clinic</t>
        </is>
      </c>
      <c r="N139" s="18" t="inlineStr">
        <is>
          <t>PLE-CC1 ปี 2566 Day 2 ข้อ 18</t>
        </is>
      </c>
      <c r="O139" s="18" t="inlineStr">
        <is>
          <t>ข้อสอบจริง</t>
        </is>
      </c>
      <c r="P139" s="18" t="inlineStr">
        <is>
          <t>ปี 2566</t>
        </is>
      </c>
    </row>
    <row r="140">
      <c r="A140" s="15" t="inlineStr">
        <is>
          <t>162</t>
        </is>
      </c>
      <c r="B140" s="18" t="inlineStr">
        <is>
          <t>ยับยั้งการทำงานของlipase</t>
        </is>
      </c>
      <c r="C140" s="18" t="inlineStr"/>
      <c r="D140" s="18" t="inlineStr">
        <is>
          <t>Naloxone 0.4 mg IV stat</t>
        </is>
      </c>
      <c r="E140" s="18" t="inlineStr">
        <is>
          <t>Flumazenil 0.2 mg IV stat</t>
        </is>
      </c>
      <c r="F140" s="18" t="inlineStr">
        <is>
          <t>Vitamin K1 (Phytomenadione) 10 mg IV slow</t>
        </is>
      </c>
      <c r="G140" s="18" t="inlineStr">
        <is>
          <t>Sodium thiosulfate 25% 50 mL IV</t>
        </is>
      </c>
      <c r="H140" s="18" t="inlineStr">
        <is>
          <t>Calcium disodium EDTA 1 g IV</t>
        </is>
      </c>
      <c r="I140" s="15" t="inlineStr">
        <is>
          <t>1</t>
        </is>
      </c>
      <c r="J1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 s="18" t="inlineStr"/>
      <c r="L140" s="18" t="inlineStr">
        <is>
          <t>General Therapeutics</t>
        </is>
      </c>
      <c r="M140" s="18" t="inlineStr">
        <is>
          <t>Clinic</t>
        </is>
      </c>
      <c r="N140" s="18" t="inlineStr">
        <is>
          <t>PLE-CC1 ปี 2566 Day 2 ข้อ 1</t>
        </is>
      </c>
      <c r="O140" s="18" t="inlineStr">
        <is>
          <t>ข้อสอบจริง</t>
        </is>
      </c>
      <c r="P140" s="18" t="inlineStr">
        <is>
          <t>ปี 2566</t>
        </is>
      </c>
    </row>
    <row r="141">
      <c r="A141" s="15" t="inlineStr">
        <is>
          <t>163</t>
        </is>
      </c>
      <c r="B141" s="18" t="inlineStr">
        <is>
          <t>ทำหน้าที่เหมือนincretin</t>
        </is>
      </c>
      <c r="C141" s="18" t="inlineStr"/>
      <c r="D141" s="18" t="inlineStr">
        <is>
          <t>Sodium thiosulfate 25% 50 mL IV</t>
        </is>
      </c>
      <c r="E141" s="18" t="inlineStr">
        <is>
          <t>Calcium disodium EDTA 1 g IV</t>
        </is>
      </c>
      <c r="F141" s="18" t="inlineStr">
        <is>
          <t>Desferrioxamine 1 g IM/IV</t>
        </is>
      </c>
      <c r="G141" s="18" t="inlineStr">
        <is>
          <t>Dimercaprol (BAL) 3 mg/kg IM</t>
        </is>
      </c>
      <c r="H141" s="18" t="inlineStr">
        <is>
          <t>Ethanol 10% IV infusion for Methanol poisoning</t>
        </is>
      </c>
      <c r="I141" s="15" t="inlineStr">
        <is>
          <t>1</t>
        </is>
      </c>
      <c r="J1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18" t="inlineStr"/>
      <c r="L141" s="18" t="inlineStr">
        <is>
          <t>General Therapeutics</t>
        </is>
      </c>
      <c r="M141" s="18" t="inlineStr">
        <is>
          <t>Clinic</t>
        </is>
      </c>
      <c r="N141" s="18" t="inlineStr">
        <is>
          <t>PLE-CC1 ปี 2566 Day 2 ข้อ 2</t>
        </is>
      </c>
      <c r="O141" s="18" t="inlineStr">
        <is>
          <t>ข้อสอบจริง</t>
        </is>
      </c>
      <c r="P141" s="18" t="inlineStr">
        <is>
          <t>ปี 2566</t>
        </is>
      </c>
    </row>
    <row r="142">
      <c r="A142" s="15" t="inlineStr">
        <is>
          <t>164</t>
        </is>
      </c>
      <c r="B142" s="18" t="inlineStr">
        <is>
          <t>เพิ่มDopamine กับNE ในhypothalamus</t>
        </is>
      </c>
      <c r="C142" s="18" t="inlineStr"/>
      <c r="D142" s="18" t="inlineStr">
        <is>
          <t>Dimercaprol (BAL) 3 mg/kg IM</t>
        </is>
      </c>
      <c r="E142" s="18" t="inlineStr">
        <is>
          <t>Ethanol 10% IV infusion for Methanol poisoning</t>
        </is>
      </c>
      <c r="F142" s="18" t="inlineStr">
        <is>
          <t>Fomepizole 15 mg/kg IV loading</t>
        </is>
      </c>
      <c r="G142" s="18" t="inlineStr">
        <is>
          <t>N-acetylcysteine (NAC) IV infusion protocol</t>
        </is>
      </c>
      <c r="H142" s="18" t="inlineStr">
        <is>
          <t>Atropine sulfate 2 mg IV Q5-10 min</t>
        </is>
      </c>
      <c r="I142" s="15" t="inlineStr">
        <is>
          <t>1</t>
        </is>
      </c>
      <c r="J1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18" t="inlineStr"/>
      <c r="L142" s="18" t="inlineStr">
        <is>
          <t>General Therapeutics</t>
        </is>
      </c>
      <c r="M142" s="18" t="inlineStr">
        <is>
          <t>Clinic</t>
        </is>
      </c>
      <c r="N142" s="18" t="inlineStr">
        <is>
          <t>PLE-CC1 ปี 2566 Day 2 ข้อ 3</t>
        </is>
      </c>
      <c r="O142" s="18" t="inlineStr">
        <is>
          <t>ข้อสอบจริง</t>
        </is>
      </c>
      <c r="P142" s="18" t="inlineStr">
        <is>
          <t>ปี 2566</t>
        </is>
      </c>
    </row>
    <row r="143">
      <c r="A143" s="15" t="inlineStr">
        <is>
          <t>165</t>
        </is>
      </c>
      <c r="B143" s="18" t="inlineStr">
        <is>
          <t>ปวดหัวตุ๊บๆข้างเดียวประมาณ3 ชมเป็นอะไร ตัวเลือก</t>
        </is>
      </c>
      <c r="C143" s="18" t="inlineStr"/>
      <c r="D143" s="18" t="inlineStr">
        <is>
          <t>N-acetylcysteine (NAC) IV infusion protocol</t>
        </is>
      </c>
      <c r="E143" s="18" t="inlineStr">
        <is>
          <t>Atropine sulfate 2 mg IV Q5-10 min</t>
        </is>
      </c>
      <c r="F143" s="18" t="inlineStr">
        <is>
          <t>Pralidoxime (2-PAM) 1-2 g IV over 30 min</t>
        </is>
      </c>
      <c r="G143" s="18" t="inlineStr">
        <is>
          <t>Naloxone 0.4 mg IV stat</t>
        </is>
      </c>
      <c r="H143" s="18" t="inlineStr">
        <is>
          <t>Flumazenil 0.2 mg IV stat</t>
        </is>
      </c>
      <c r="I143" s="15" t="inlineStr">
        <is>
          <t>1</t>
        </is>
      </c>
      <c r="J1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 s="18" t="inlineStr"/>
      <c r="L143" s="18" t="inlineStr">
        <is>
          <t>General Therapeutics</t>
        </is>
      </c>
      <c r="M143" s="18" t="inlineStr">
        <is>
          <t>Clinic</t>
        </is>
      </c>
      <c r="N143" s="18" t="inlineStr">
        <is>
          <t>PLE-CC1 ปี 2566 Day 2 ข้อ 20</t>
        </is>
      </c>
      <c r="O143" s="18" t="inlineStr">
        <is>
          <t>ข้อสอบจริง</t>
        </is>
      </c>
      <c r="P143" s="18" t="inlineStr">
        <is>
          <t>ปี 2566</t>
        </is>
      </c>
    </row>
    <row r="144">
      <c r="A144" s="15" t="inlineStr">
        <is>
          <t>166</t>
        </is>
      </c>
      <c r="B144" s="18" t="inlineStr">
        <is>
          <t>ปวดหัวติดต่อกัน3-4 ชม.ต่อวัน</t>
        </is>
      </c>
      <c r="C144" s="18" t="inlineStr"/>
      <c r="D144" s="18" t="inlineStr">
        <is>
          <t>Naloxone 0.4 mg IV stat</t>
        </is>
      </c>
      <c r="E144" s="18" t="inlineStr">
        <is>
          <t>Flumazenil 0.2 mg IV stat</t>
        </is>
      </c>
      <c r="F144" s="18" t="inlineStr">
        <is>
          <t>Vitamin K1 (Phytomenadione) 10 mg IV slow</t>
        </is>
      </c>
      <c r="G144" s="18" t="inlineStr">
        <is>
          <t>Sodium thiosulfate 25% 50 mL IV</t>
        </is>
      </c>
      <c r="H144" s="18" t="inlineStr">
        <is>
          <t>Calcium disodium EDTA 1 g IV</t>
        </is>
      </c>
      <c r="I144" s="15" t="inlineStr">
        <is>
          <t>1</t>
        </is>
      </c>
      <c r="J1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4" s="18" t="inlineStr"/>
      <c r="L144" s="18" t="inlineStr">
        <is>
          <t>General Therapeutics</t>
        </is>
      </c>
      <c r="M144" s="18" t="inlineStr">
        <is>
          <t>Clinic</t>
        </is>
      </c>
      <c r="N144" s="18" t="inlineStr">
        <is>
          <t>PLE-CC1 ปี 2566 Day 2 ข้อ 1</t>
        </is>
      </c>
      <c r="O144" s="18" t="inlineStr">
        <is>
          <t>ข้อสอบจริง</t>
        </is>
      </c>
      <c r="P144" s="18" t="inlineStr">
        <is>
          <t>ปี 2566</t>
        </is>
      </c>
    </row>
    <row r="145">
      <c r="A145" s="15" t="inlineStr">
        <is>
          <t>167</t>
        </is>
      </c>
      <c r="B145" s="18" t="inlineStr">
        <is>
          <t>ปวดมากกว่า3 ครั้ง/week</t>
        </is>
      </c>
      <c r="C145" s="18" t="inlineStr"/>
      <c r="D145" s="18" t="inlineStr">
        <is>
          <t>Sodium thiosulfate 25% 50 mL IV</t>
        </is>
      </c>
      <c r="E145" s="18" t="inlineStr">
        <is>
          <t>Calcium disodium EDTA 1 g IV</t>
        </is>
      </c>
      <c r="F145" s="18" t="inlineStr">
        <is>
          <t>Desferrioxamine 1 g IM/IV</t>
        </is>
      </c>
      <c r="G145" s="18" t="inlineStr">
        <is>
          <t>Dimercaprol (BAL) 3 mg/kg IM</t>
        </is>
      </c>
      <c r="H145" s="18" t="inlineStr">
        <is>
          <t>Ethanol 10% IV infusion for Methanol poisoning</t>
        </is>
      </c>
      <c r="I145" s="15" t="inlineStr">
        <is>
          <t>1</t>
        </is>
      </c>
      <c r="J14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8" t="inlineStr"/>
      <c r="L145" s="18" t="inlineStr">
        <is>
          <t>General Therapeutics</t>
        </is>
      </c>
      <c r="M145" s="18" t="inlineStr">
        <is>
          <t>Clinic</t>
        </is>
      </c>
      <c r="N145" s="18" t="inlineStr">
        <is>
          <t>PLE-CC1 ปี 2566 Day 2 ข้อ 2</t>
        </is>
      </c>
      <c r="O145" s="18" t="inlineStr">
        <is>
          <t>ข้อสอบจริง</t>
        </is>
      </c>
      <c r="P145" s="18" t="inlineStr">
        <is>
          <t>ปี 2566</t>
        </is>
      </c>
    </row>
    <row r="146">
      <c r="A146" s="15" t="inlineStr">
        <is>
          <t>168</t>
        </is>
      </c>
      <c r="B146" s="18" t="inlineStr">
        <is>
          <t>Mechanism cyclophosphamide. ตัวเลือก</t>
        </is>
      </c>
      <c r="C146" s="18" t="inlineStr"/>
      <c r="D146" s="18" t="inlineStr">
        <is>
          <t>Morphine 10 mg PO Q4H PRN</t>
        </is>
      </c>
      <c r="E146" s="18" t="inlineStr">
        <is>
          <t>Calcium folinate (Leucovorin) 50 mg IV</t>
        </is>
      </c>
      <c r="F146" s="18" t="inlineStr">
        <is>
          <t>Mesna 400 mg IV stat</t>
        </is>
      </c>
      <c r="G146" s="18" t="inlineStr">
        <is>
          <t>Rasburicase 0.2 mg/kg IV</t>
        </is>
      </c>
      <c r="H146" s="18" t="inlineStr">
        <is>
          <t>Palonosetron 0.25 mg IV stat</t>
        </is>
      </c>
      <c r="I146" s="15" t="inlineStr">
        <is>
          <t>1</t>
        </is>
      </c>
      <c r="J146" s="18" t="inlineStr">
        <is>
          <t>✅ คำตอบที่ถูกต้อง: ข้อ ก. Morphine 10 mg PO Q4H PRN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Morphine 10 mg PO Q4H PRN
🔍 ข้ออื่นผิดเพราะอะไร:
• ข้อ ข.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ค.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ข้อ ง. (Rasburicase 0.2 mg/kg IV): ข้อนี้ไม่ใช่คำตอบที่ถูกต้องสำหรับภาวะ Oncology &amp; Chemotherapy เนื่องจากกลไกการออกฤทธิ์, efficacy หรือข้อบ่งใช้ไม่ตรงกับโจทย์ที่กำหนด
• ข้อ จ. (Palonosetron 0.25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46" s="18" t="inlineStr"/>
      <c r="L146" s="18" t="inlineStr">
        <is>
          <t>Oncology &amp; Chemotherapy</t>
        </is>
      </c>
      <c r="M146" s="18" t="inlineStr">
        <is>
          <t>Clinic</t>
        </is>
      </c>
      <c r="N146" s="18" t="inlineStr">
        <is>
          <t>PLE-CC1 ปี 2566 Day 2 ข้อ 22</t>
        </is>
      </c>
      <c r="O146" s="18" t="inlineStr">
        <is>
          <t>ข้อสอบจริง</t>
        </is>
      </c>
      <c r="P146" s="18" t="inlineStr">
        <is>
          <t>ปี 2566</t>
        </is>
      </c>
    </row>
    <row r="147">
      <c r="A147" s="15" t="inlineStr">
        <is>
          <t>169</t>
        </is>
      </c>
      <c r="B147" s="18" t="inlineStr">
        <is>
          <t>DNA Alkylating agent</t>
        </is>
      </c>
      <c r="C147" s="18" t="inlineStr"/>
      <c r="D147" s="18" t="inlineStr">
        <is>
          <t>N-acetylcysteine (NAC) IV infusion protocol</t>
        </is>
      </c>
      <c r="E147" s="18" t="inlineStr">
        <is>
          <t>Atropine sulfate 2 mg IV Q5-10 min</t>
        </is>
      </c>
      <c r="F147" s="18" t="inlineStr">
        <is>
          <t>Pralidoxime (2-PAM) 1-2 g IV over 30 min</t>
        </is>
      </c>
      <c r="G147" s="18" t="inlineStr">
        <is>
          <t>Naloxone 0.4 mg IV stat</t>
        </is>
      </c>
      <c r="H147" s="18" t="inlineStr">
        <is>
          <t>Flumazenil 0.2 mg IV stat</t>
        </is>
      </c>
      <c r="I147" s="15" t="inlineStr">
        <is>
          <t>1</t>
        </is>
      </c>
      <c r="J1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 s="18" t="inlineStr"/>
      <c r="L147" s="18" t="inlineStr">
        <is>
          <t>General Therapeutics</t>
        </is>
      </c>
      <c r="M147" s="18" t="inlineStr">
        <is>
          <t>Clinic</t>
        </is>
      </c>
      <c r="N147" s="18" t="inlineStr">
        <is>
          <t>PLE-CC1 ปี 2566 Day 2 ข้อ 1</t>
        </is>
      </c>
      <c r="O147" s="18" t="inlineStr">
        <is>
          <t>ข้อสอบจริง</t>
        </is>
      </c>
      <c r="P147" s="18" t="inlineStr">
        <is>
          <t>ปี 2566</t>
        </is>
      </c>
    </row>
    <row r="148">
      <c r="A148" s="15" t="inlineStr">
        <is>
          <t>170</t>
        </is>
      </c>
      <c r="B148" s="18" t="inlineStr">
        <is>
          <t>NSAIDs ที่half life สั้น ตัวเลือก</t>
        </is>
      </c>
      <c r="C148" s="18" t="inlineStr"/>
      <c r="D148" s="18" t="inlineStr">
        <is>
          <t>Paracetamol 500 mg Q6H PRN</t>
        </is>
      </c>
      <c r="E148" s="18" t="inlineStr">
        <is>
          <t>Denosumab 60 mg SC every 6 months</t>
        </is>
      </c>
      <c r="F148" s="18" t="inlineStr">
        <is>
          <t>Sulfasalazine 500 mg BID</t>
        </is>
      </c>
      <c r="G148" s="18" t="inlineStr">
        <is>
          <t>Colchicine 0.6 mg OD</t>
        </is>
      </c>
      <c r="H148" s="18" t="inlineStr">
        <is>
          <t>Naproxen 250 mg BID</t>
        </is>
      </c>
      <c r="I148" s="15" t="inlineStr">
        <is>
          <t>1</t>
        </is>
      </c>
      <c r="J148" s="18" t="inlineStr">
        <is>
          <t>✅ คำตอบที่ถูกต้อง: ข้อ ก. Paracetamol 500 mg Q6H PRN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18" t="inlineStr"/>
      <c r="L148" s="18" t="inlineStr">
        <is>
          <t>Musculoskeletal &amp; Joint</t>
        </is>
      </c>
      <c r="M148" s="18" t="inlineStr">
        <is>
          <t>Clinic</t>
        </is>
      </c>
      <c r="N148" s="18" t="inlineStr">
        <is>
          <t>PLE-CC1 ปี 2566 Day 2 ข้อ 23</t>
        </is>
      </c>
      <c r="O148" s="18" t="inlineStr">
        <is>
          <t>ข้อสอบจริง</t>
        </is>
      </c>
      <c r="P148" s="18" t="inlineStr">
        <is>
          <t>ปี 2566</t>
        </is>
      </c>
    </row>
    <row r="149">
      <c r="A149" s="15" t="inlineStr">
        <is>
          <t>171</t>
        </is>
      </c>
      <c r="B149" s="18" t="inlineStr">
        <is>
          <t>Tramadol สูตรเดี่ยวและสูตรผสม</t>
        </is>
      </c>
      <c r="C149" s="18" t="inlineStr"/>
      <c r="D149" s="18" t="inlineStr">
        <is>
          <t>Sodium thiosulfate 25% 50 mL IV</t>
        </is>
      </c>
      <c r="E149" s="18" t="inlineStr">
        <is>
          <t>Calcium disodium EDTA 1 g IV</t>
        </is>
      </c>
      <c r="F149" s="18" t="inlineStr">
        <is>
          <t>Desferrioxamine 1 g IM/IV</t>
        </is>
      </c>
      <c r="G149" s="18" t="inlineStr">
        <is>
          <t>Dimercaprol (BAL) 3 mg/kg IM</t>
        </is>
      </c>
      <c r="H149" s="18" t="inlineStr">
        <is>
          <t>Ethanol 10% IV infusion for Methanol poisoning</t>
        </is>
      </c>
      <c r="I149" s="15" t="inlineStr">
        <is>
          <t>1</t>
        </is>
      </c>
      <c r="J1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18" t="inlineStr"/>
      <c r="L149" s="18" t="inlineStr">
        <is>
          <t>General Therapeutics</t>
        </is>
      </c>
      <c r="M149" s="18" t="inlineStr">
        <is>
          <t>Clinic</t>
        </is>
      </c>
      <c r="N149" s="18" t="inlineStr">
        <is>
          <t>PLE-CC1 ปี 2566 Day 2 ข้อ 1</t>
        </is>
      </c>
      <c r="O149" s="18" t="inlineStr">
        <is>
          <t>ข้อสอบจริง</t>
        </is>
      </c>
      <c r="P149" s="18" t="inlineStr">
        <is>
          <t>ปี 2566</t>
        </is>
      </c>
    </row>
    <row r="150">
      <c r="A150" s="15" t="inlineStr">
        <is>
          <t>172</t>
        </is>
      </c>
      <c r="B150" s="18" t="inlineStr">
        <is>
          <t>Hydroxyzine สูตรเดียวและผสมแบบน้ำ</t>
        </is>
      </c>
      <c r="C150" s="18" t="inlineStr"/>
      <c r="D150" s="18" t="inlineStr">
        <is>
          <t>Dimercaprol (BAL) 3 mg/kg IM</t>
        </is>
      </c>
      <c r="E150" s="18" t="inlineStr">
        <is>
          <t>Ethanol 10% IV infusion for Methanol poisoning</t>
        </is>
      </c>
      <c r="F150" s="18" t="inlineStr">
        <is>
          <t>Fomepizole 15 mg/kg IV loading</t>
        </is>
      </c>
      <c r="G150" s="18" t="inlineStr">
        <is>
          <t>N-acetylcysteine (NAC) IV infusion protocol</t>
        </is>
      </c>
      <c r="H150" s="18" t="inlineStr">
        <is>
          <t>Atropine sulfate 2 mg IV Q5-10 min</t>
        </is>
      </c>
      <c r="I150" s="15" t="inlineStr">
        <is>
          <t>1</t>
        </is>
      </c>
      <c r="J15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18" t="inlineStr"/>
      <c r="L150" s="18" t="inlineStr">
        <is>
          <t>General Therapeutics</t>
        </is>
      </c>
      <c r="M150" s="18" t="inlineStr">
        <is>
          <t>Clinic</t>
        </is>
      </c>
      <c r="N150" s="18" t="inlineStr">
        <is>
          <t>PLE-CC1 ปี 2566 Day 2 ข้อ 2</t>
        </is>
      </c>
      <c r="O150" s="18" t="inlineStr">
        <is>
          <t>ข้อสอบจริง</t>
        </is>
      </c>
      <c r="P150" s="18" t="inlineStr">
        <is>
          <t>ปี 2566</t>
        </is>
      </c>
    </row>
    <row r="151">
      <c r="A151" s="15" t="inlineStr">
        <is>
          <t>173</t>
        </is>
      </c>
      <c r="B151" s="18" t="inlineStr">
        <is>
          <t>Chloepheniramine สูตรเดี่ยวและผสมแบบน้ำ</t>
        </is>
      </c>
      <c r="C151" s="18" t="inlineStr"/>
      <c r="D151" s="18" t="inlineStr">
        <is>
          <t>N-acetylcysteine (NAC) IV infusion protocol</t>
        </is>
      </c>
      <c r="E151" s="18" t="inlineStr">
        <is>
          <t>Atropine sulfate 2 mg IV Q5-10 min</t>
        </is>
      </c>
      <c r="F151" s="18" t="inlineStr">
        <is>
          <t>Pralidoxime (2-PAM) 1-2 g IV over 30 min</t>
        </is>
      </c>
      <c r="G151" s="18" t="inlineStr">
        <is>
          <t>Naloxone 0.4 mg IV stat</t>
        </is>
      </c>
      <c r="H151" s="18" t="inlineStr">
        <is>
          <t>Flumazenil 0.2 mg IV stat</t>
        </is>
      </c>
      <c r="I151" s="15" t="inlineStr">
        <is>
          <t>1</t>
        </is>
      </c>
      <c r="J15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 s="18" t="inlineStr"/>
      <c r="L151" s="18" t="inlineStr">
        <is>
          <t>General Therapeutics</t>
        </is>
      </c>
      <c r="M151" s="18" t="inlineStr">
        <is>
          <t>Clinic</t>
        </is>
      </c>
      <c r="N151" s="18" t="inlineStr">
        <is>
          <t>PLE-CC1 ปี 2566 Day 2 ข้อ 3</t>
        </is>
      </c>
      <c r="O151" s="18" t="inlineStr">
        <is>
          <t>ข้อสอบจริง</t>
        </is>
      </c>
      <c r="P151" s="18" t="inlineStr">
        <is>
          <t>ปี 2566</t>
        </is>
      </c>
    </row>
    <row r="152">
      <c r="A152" s="15" t="inlineStr">
        <is>
          <t>174</t>
        </is>
      </c>
      <c r="B152" s="18" t="inlineStr">
        <is>
          <t>Cetirizine สูตรเดี่ยวและผสมแบบน้ำ</t>
        </is>
      </c>
      <c r="C152" s="18" t="inlineStr"/>
      <c r="D152" s="18" t="inlineStr">
        <is>
          <t>Chlorpheniramine 4 mg TID</t>
        </is>
      </c>
      <c r="E152" s="18" t="inlineStr">
        <is>
          <t>Fluticasone furoate nasal spray</t>
        </is>
      </c>
      <c r="F152" s="18" t="inlineStr">
        <is>
          <t>Budesonide nasal spray</t>
        </is>
      </c>
      <c r="G152" s="18" t="inlineStr">
        <is>
          <t>Epinephrine 0.3 mg IM stat</t>
        </is>
      </c>
      <c r="H152" s="18" t="inlineStr">
        <is>
          <t>Dexamethasone 4 mg IV</t>
        </is>
      </c>
      <c r="I152" s="15" t="inlineStr">
        <is>
          <t>1</t>
        </is>
      </c>
      <c r="J152" s="18"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18" t="inlineStr"/>
      <c r="L152" s="18" t="inlineStr">
        <is>
          <t>Allergy &amp; Immunology</t>
        </is>
      </c>
      <c r="M152" s="18" t="inlineStr">
        <is>
          <t>Clinic</t>
        </is>
      </c>
      <c r="N152" s="18" t="inlineStr">
        <is>
          <t>PLE-CC1 ปี 2566 Day 2 ข้อ 4</t>
        </is>
      </c>
      <c r="O152" s="18" t="inlineStr">
        <is>
          <t>ข้อสอบจริง</t>
        </is>
      </c>
      <c r="P152" s="18" t="inlineStr">
        <is>
          <t>ปี 2566</t>
        </is>
      </c>
    </row>
    <row r="153">
      <c r="A153" s="15" t="inlineStr">
        <is>
          <t>175</t>
        </is>
      </c>
      <c r="B153" s="18" t="inlineStr">
        <is>
          <t>โฆษณาแบบมีผู้ชี้นำความคิด</t>
        </is>
      </c>
      <c r="C153" s="18" t="inlineStr"/>
      <c r="D153" s="18" t="inlineStr">
        <is>
          <t>Sodium thiosulfate 25% 50 mL IV</t>
        </is>
      </c>
      <c r="E153" s="18" t="inlineStr">
        <is>
          <t>Calcium disodium EDTA 1 g IV</t>
        </is>
      </c>
      <c r="F153" s="18" t="inlineStr">
        <is>
          <t>โฆษณาว่าเป็นยาขับระดูหรือเป็นยาคุมกำเนิด</t>
        </is>
      </c>
      <c r="G153" s="18" t="inlineStr">
        <is>
          <t>Dimercaprol (BAL) 3 mg/kg IM</t>
        </is>
      </c>
      <c r="H153" s="18" t="inlineStr">
        <is>
          <t>Ethanol 10% IV infusion for Methanol poisoning</t>
        </is>
      </c>
      <c r="I153" s="15" t="inlineStr">
        <is>
          <t>1</t>
        </is>
      </c>
      <c r="J1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(โฆษณาว่าเป็นยาขับระดูหรือเป็นยาคุมกำเนิด):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18" t="inlineStr"/>
      <c r="L153" s="18" t="inlineStr">
        <is>
          <t>General Therapeutics</t>
        </is>
      </c>
      <c r="M153" s="18" t="inlineStr">
        <is>
          <t>Clinic</t>
        </is>
      </c>
      <c r="N153" s="18" t="inlineStr">
        <is>
          <t>PLE-CC1 ปี 2566 Day 2 ข้อ 1</t>
        </is>
      </c>
      <c r="O153" s="18" t="inlineStr">
        <is>
          <t>ข้อสอบจริง</t>
        </is>
      </c>
      <c r="P153" s="18" t="inlineStr">
        <is>
          <t>ปี 2566</t>
        </is>
      </c>
    </row>
    <row r="154">
      <c r="A154" s="15" t="inlineStr">
        <is>
          <t>176</t>
        </is>
      </c>
      <c r="B154" s="18" t="inlineStr">
        <is>
          <t>Case anxiety ขึ้นรถสาธารณะแล้วpanic attack ตัวเลือก</t>
        </is>
      </c>
      <c r="C154" s="18" t="inlineStr"/>
      <c r="D154" s="18" t="inlineStr">
        <is>
          <t>Dimercaprol (BAL) 3 mg/kg IM</t>
        </is>
      </c>
      <c r="E154" s="18" t="inlineStr">
        <is>
          <t>Ethanol 10% IV infusion for Methanol poisoning</t>
        </is>
      </c>
      <c r="F154" s="18" t="inlineStr">
        <is>
          <t>Fomepizole 15 mg/kg IV loading</t>
        </is>
      </c>
      <c r="G154" s="18" t="inlineStr">
        <is>
          <t>N-acetylcysteine (NAC) IV infusion protocol</t>
        </is>
      </c>
      <c r="H154" s="18" t="inlineStr">
        <is>
          <t>Atropine sulfate 2 mg IV Q5-10 min</t>
        </is>
      </c>
      <c r="I154" s="15" t="inlineStr">
        <is>
          <t>1</t>
        </is>
      </c>
      <c r="J1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 s="18" t="inlineStr"/>
      <c r="L154" s="18" t="inlineStr">
        <is>
          <t>General Therapeutics</t>
        </is>
      </c>
      <c r="M154" s="18" t="inlineStr">
        <is>
          <t>Clinic</t>
        </is>
      </c>
      <c r="N154" s="18" t="inlineStr">
        <is>
          <t>PLE-CC1 ปี 2566 Day 2 ข้อ 27</t>
        </is>
      </c>
      <c r="O154" s="18" t="inlineStr">
        <is>
          <t>ข้อสอบจริง</t>
        </is>
      </c>
      <c r="P154" s="18" t="inlineStr">
        <is>
          <t>ปี 2566</t>
        </is>
      </c>
    </row>
    <row r="155">
      <c r="A155" s="15" t="inlineStr">
        <is>
          <t>177</t>
        </is>
      </c>
      <c r="B155" s="18" t="inlineStr">
        <is>
          <t>Pneumococcal 13</t>
        </is>
      </c>
      <c r="C155" s="18" t="inlineStr"/>
      <c r="D155" s="18" t="inlineStr">
        <is>
          <t>N-acetylcysteine (NAC) IV infusion protocol</t>
        </is>
      </c>
      <c r="E155" s="18" t="inlineStr">
        <is>
          <t>Atropine sulfate 2 mg IV Q5-10 min</t>
        </is>
      </c>
      <c r="F155" s="18" t="inlineStr">
        <is>
          <t>Pralidoxime (2-PAM) 1-2 g IV over 30 min</t>
        </is>
      </c>
      <c r="G155" s="18" t="inlineStr">
        <is>
          <t>Naloxone 0.4 mg IV stat</t>
        </is>
      </c>
      <c r="H155" s="18" t="inlineStr">
        <is>
          <t>Flumazenil 0.2 mg IV stat</t>
        </is>
      </c>
      <c r="I155" s="15" t="inlineStr">
        <is>
          <t>1</t>
        </is>
      </c>
      <c r="J15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 s="18" t="inlineStr"/>
      <c r="L155" s="18" t="inlineStr">
        <is>
          <t>General Therapeutics</t>
        </is>
      </c>
      <c r="M155" s="18" t="inlineStr">
        <is>
          <t>Clinic</t>
        </is>
      </c>
      <c r="N155" s="18" t="inlineStr">
        <is>
          <t>PLE-CC1 ปี 2566 Day 2 ข้อ 2</t>
        </is>
      </c>
      <c r="O155" s="18" t="inlineStr">
        <is>
          <t>ข้อสอบจริง</t>
        </is>
      </c>
      <c r="P155" s="18" t="inlineStr">
        <is>
          <t>ปี 2566</t>
        </is>
      </c>
    </row>
    <row r="156">
      <c r="A156" s="15" t="inlineStr">
        <is>
          <t>178</t>
        </is>
      </c>
      <c r="B156" s="18" t="inlineStr">
        <is>
          <t>ตกขาวมีฟองสีเหลืองเขียวหลังมีเพศสัมพันธ์…วันเป็นอะไร ตัวเลือก</t>
        </is>
      </c>
      <c r="C156" s="18" t="inlineStr"/>
      <c r="D156" s="18" t="inlineStr">
        <is>
          <t>Naloxone 0.4 mg IV stat</t>
        </is>
      </c>
      <c r="E156" s="18" t="inlineStr">
        <is>
          <t>Flumazenil 0.2 mg IV stat</t>
        </is>
      </c>
      <c r="F156" s="18" t="inlineStr">
        <is>
          <t>Vitamin K1 (Phytomenadione) 10 mg IV slow</t>
        </is>
      </c>
      <c r="G156" s="18" t="inlineStr">
        <is>
          <t>Sodium thiosulfate 25% 50 mL IV</t>
        </is>
      </c>
      <c r="H156" s="18" t="inlineStr">
        <is>
          <t>Calcium disodium EDTA 1 g IV</t>
        </is>
      </c>
      <c r="I156" s="15" t="inlineStr">
        <is>
          <t>1</t>
        </is>
      </c>
      <c r="J1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 s="18" t="inlineStr"/>
      <c r="L156" s="18" t="inlineStr">
        <is>
          <t>General Therapeutics</t>
        </is>
      </c>
      <c r="M156" s="18" t="inlineStr">
        <is>
          <t>Clinic</t>
        </is>
      </c>
      <c r="N156" s="18" t="inlineStr">
        <is>
          <t>PLE-CC1 ปี 2566 Day 2 ข้อ 29</t>
        </is>
      </c>
      <c r="O156" s="18" t="inlineStr">
        <is>
          <t>ข้อสอบจริง</t>
        </is>
      </c>
      <c r="P156" s="18" t="inlineStr">
        <is>
          <t>ปี 2566</t>
        </is>
      </c>
    </row>
    <row r="157">
      <c r="A157" s="15" t="inlineStr">
        <is>
          <t>179</t>
        </is>
      </c>
      <c r="B157" s="18" t="inlineStr">
        <is>
          <t>Benzodiazepine ที่ระยะเวลาการออกฤทธิ์ตำ่สุด(เลือกจากตัวเลือก) ตัวเลือก</t>
        </is>
      </c>
      <c r="C157" s="18" t="inlineStr"/>
      <c r="D157" s="18" t="inlineStr">
        <is>
          <t>Sodium thiosulfate 25% 50 mL IV</t>
        </is>
      </c>
      <c r="E157" s="18" t="inlineStr">
        <is>
          <t>Calcium disodium EDTA 1 g IV</t>
        </is>
      </c>
      <c r="F157" s="18" t="inlineStr">
        <is>
          <t>Desferrioxamine 1 g IM/IV</t>
        </is>
      </c>
      <c r="G157" s="18" t="inlineStr">
        <is>
          <t>Dimercaprol (BAL) 3 mg/kg IM</t>
        </is>
      </c>
      <c r="H157" s="18" t="inlineStr">
        <is>
          <t>Ethanol 10% IV infusion for Methanol poisoning</t>
        </is>
      </c>
      <c r="I157" s="15" t="inlineStr">
        <is>
          <t>1</t>
        </is>
      </c>
      <c r="J1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18" t="inlineStr"/>
      <c r="L157" s="18" t="inlineStr">
        <is>
          <t>General Therapeutics</t>
        </is>
      </c>
      <c r="M157" s="18" t="inlineStr">
        <is>
          <t>Clinic</t>
        </is>
      </c>
      <c r="N157" s="18" t="inlineStr">
        <is>
          <t>PLE-CC1 ปี 2566 Day 2 ข้อ 30</t>
        </is>
      </c>
      <c r="O157" s="18" t="inlineStr">
        <is>
          <t>ข้อสอบจริง</t>
        </is>
      </c>
      <c r="P157" s="18" t="inlineStr">
        <is>
          <t>ปี 2566</t>
        </is>
      </c>
    </row>
    <row r="158">
      <c r="A158" s="15" t="inlineStr">
        <is>
          <t>180</t>
        </is>
      </c>
      <c r="B158" s="18" t="inlineStr">
        <is>
          <t>ผู้ป่วยanxiety ยาที่ต้องใช้รักษาในระยะยาวช ตัวเลือก</t>
        </is>
      </c>
      <c r="C158" s="18" t="inlineStr"/>
      <c r="D158" s="18" t="inlineStr">
        <is>
          <t>Dimercaprol (BAL) 3 mg/kg IM</t>
        </is>
      </c>
      <c r="E158" s="18" t="inlineStr">
        <is>
          <t>Ethanol 10% IV infusion for Methanol poisoning</t>
        </is>
      </c>
      <c r="F158" s="18" t="inlineStr">
        <is>
          <t>Fomepizole 15 mg/kg IV loading</t>
        </is>
      </c>
      <c r="G158" s="18" t="inlineStr">
        <is>
          <t>N-acetylcysteine (NAC) IV infusion protocol</t>
        </is>
      </c>
      <c r="H158" s="18" t="inlineStr">
        <is>
          <t>Atropine sulfate 2 mg IV Q5-10 min</t>
        </is>
      </c>
      <c r="I158" s="15" t="inlineStr">
        <is>
          <t>1</t>
        </is>
      </c>
      <c r="J1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8" t="inlineStr"/>
      <c r="L158" s="18" t="inlineStr">
        <is>
          <t>General Therapeutics</t>
        </is>
      </c>
      <c r="M158" s="18" t="inlineStr">
        <is>
          <t>Clinic</t>
        </is>
      </c>
      <c r="N158" s="18" t="inlineStr">
        <is>
          <t>PLE-CC1 ปี 2566 Day 2 ข้อ 31</t>
        </is>
      </c>
      <c r="O158" s="18" t="inlineStr">
        <is>
          <t>ข้อสอบจริง</t>
        </is>
      </c>
      <c r="P158" s="18" t="inlineStr">
        <is>
          <t>ปี 2566</t>
        </is>
      </c>
    </row>
    <row r="159">
      <c r="A159" s="15" t="inlineStr">
        <is>
          <t>181</t>
        </is>
      </c>
      <c r="B159" s="18" t="inlineStr">
        <is>
          <t>Seb derm ออกลักษณะอาการที่เด่นในผู้ป่วยรายนี้ ตัวเลือก</t>
        </is>
      </c>
      <c r="C159" s="18" t="inlineStr"/>
      <c r="D159" s="18" t="inlineStr">
        <is>
          <t>N-acetylcysteine (NAC) IV infusion protocol</t>
        </is>
      </c>
      <c r="E159" s="18" t="inlineStr">
        <is>
          <t>Atropine sulfate 2 mg IV Q5-10 min</t>
        </is>
      </c>
      <c r="F159" s="18" t="inlineStr">
        <is>
          <t>Pralidoxime (2-PAM) 1-2 g IV over 30 min</t>
        </is>
      </c>
      <c r="G159" s="18" t="inlineStr">
        <is>
          <t>Naloxone 0.4 mg IV stat</t>
        </is>
      </c>
      <c r="H159" s="18" t="inlineStr">
        <is>
          <t>Flumazenil 0.2 mg IV stat</t>
        </is>
      </c>
      <c r="I159" s="15" t="inlineStr">
        <is>
          <t>1</t>
        </is>
      </c>
      <c r="J1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 s="18" t="inlineStr"/>
      <c r="L159" s="18" t="inlineStr">
        <is>
          <t>General Therapeutics</t>
        </is>
      </c>
      <c r="M159" s="18" t="inlineStr">
        <is>
          <t>Clinic</t>
        </is>
      </c>
      <c r="N159" s="18" t="inlineStr">
        <is>
          <t>PLE-CC1 ปี 2566 Day 2 ข้อ 33</t>
        </is>
      </c>
      <c r="O159" s="18" t="inlineStr">
        <is>
          <t>ข้อสอบจริง</t>
        </is>
      </c>
      <c r="P159" s="18" t="inlineStr">
        <is>
          <t>ปี 2566</t>
        </is>
      </c>
    </row>
    <row r="160">
      <c r="A160" s="15" t="inlineStr">
        <is>
          <t>182</t>
        </is>
      </c>
      <c r="B160" s="18" t="inlineStr">
        <is>
          <t>water for injection</t>
        </is>
      </c>
      <c r="C160" s="18" t="inlineStr"/>
      <c r="D160" s="18" t="inlineStr">
        <is>
          <t>Naloxone 0.4 mg IV stat</t>
        </is>
      </c>
      <c r="E160" s="18" t="inlineStr">
        <is>
          <t>Flumazenil 0.2 mg IV stat</t>
        </is>
      </c>
      <c r="F160" s="18" t="inlineStr">
        <is>
          <t>Vitamin K1 (Phytomenadione) 10 mg IV slow</t>
        </is>
      </c>
      <c r="G160" s="18" t="inlineStr">
        <is>
          <t>Sodium thiosulfate 25% 50 mL IV</t>
        </is>
      </c>
      <c r="H160" s="18" t="inlineStr">
        <is>
          <t>Calcium disodium EDTA 1 g IV</t>
        </is>
      </c>
      <c r="I160" s="15" t="inlineStr">
        <is>
          <t>1</t>
        </is>
      </c>
      <c r="J1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 s="18" t="inlineStr"/>
      <c r="L160" s="18" t="inlineStr">
        <is>
          <t>General Therapeutics</t>
        </is>
      </c>
      <c r="M160" s="18" t="inlineStr">
        <is>
          <t>Clinic</t>
        </is>
      </c>
      <c r="N160" s="18" t="inlineStr">
        <is>
          <t>PLE-CC1 ปี 2566 Day 2 ข้อ 3</t>
        </is>
      </c>
      <c r="O160" s="18" t="inlineStr">
        <is>
          <t>ข้อสอบจริง</t>
        </is>
      </c>
      <c r="P160" s="18" t="inlineStr">
        <is>
          <t>ปี 2566</t>
        </is>
      </c>
    </row>
    <row r="161">
      <c r="A161" s="15" t="inlineStr">
        <is>
          <t>183</t>
        </is>
      </c>
      <c r="B161" s="18" t="inlineStr">
        <is>
          <t>Staphyloccos aurues</t>
        </is>
      </c>
      <c r="C161" s="18" t="inlineStr"/>
      <c r="D161" s="18" t="inlineStr">
        <is>
          <t>Sodium thiosulfate 25% 50 mL IV</t>
        </is>
      </c>
      <c r="E161" s="18" t="inlineStr">
        <is>
          <t>Calcium disodium EDTA 1 g IV</t>
        </is>
      </c>
      <c r="F161" s="18" t="inlineStr">
        <is>
          <t>Desferrioxamine 1 g IM/IV</t>
        </is>
      </c>
      <c r="G161" s="18" t="inlineStr">
        <is>
          <t>Dimercaprol (BAL) 3 mg/kg IM</t>
        </is>
      </c>
      <c r="H161" s="18" t="inlineStr">
        <is>
          <t>Ethanol 10% IV infusion for Methanol poisoning</t>
        </is>
      </c>
      <c r="I161" s="15" t="inlineStr">
        <is>
          <t>1</t>
        </is>
      </c>
      <c r="J1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 s="18" t="inlineStr"/>
      <c r="L161" s="18" t="inlineStr">
        <is>
          <t>General Therapeutics</t>
        </is>
      </c>
      <c r="M161" s="18" t="inlineStr">
        <is>
          <t>Clinic</t>
        </is>
      </c>
      <c r="N161" s="18" t="inlineStr">
        <is>
          <t>PLE-CC1 ปี 2566 Day 2 ข้อ 1</t>
        </is>
      </c>
      <c r="O161" s="18" t="inlineStr">
        <is>
          <t>ข้อสอบจริง</t>
        </is>
      </c>
      <c r="P161" s="18" t="inlineStr">
        <is>
          <t>ปี 2566</t>
        </is>
      </c>
    </row>
    <row r="162">
      <c r="A162" s="15" t="inlineStr">
        <is>
          <t>184</t>
        </is>
      </c>
      <c r="B162" s="18" t="inlineStr">
        <is>
          <t>การศึกษาrare adr ควรใช้การศึกษารูปแบบใด. ตัวเลือก</t>
        </is>
      </c>
      <c r="C162" s="18" t="inlineStr"/>
      <c r="D162" s="18" t="inlineStr">
        <is>
          <t>Montelukast 10 mg HS</t>
        </is>
      </c>
      <c r="E162" s="18" t="inlineStr">
        <is>
          <t>Hydroxyzine 25 mg HS</t>
        </is>
      </c>
      <c r="F162" s="18" t="inlineStr">
        <is>
          <t>Diphenhydramine 25 mg IV</t>
        </is>
      </c>
      <c r="G162" s="18" t="inlineStr">
        <is>
          <t>Cetirizine 10 mg OD</t>
        </is>
      </c>
      <c r="H162" s="18" t="inlineStr">
        <is>
          <t>Loratadine 10 mg OD</t>
        </is>
      </c>
      <c r="I162" s="15" t="inlineStr">
        <is>
          <t>1</t>
        </is>
      </c>
      <c r="J162" s="18"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18" t="inlineStr"/>
      <c r="L162" s="18" t="inlineStr">
        <is>
          <t>Allergy &amp; Immunology</t>
        </is>
      </c>
      <c r="M162" s="18" t="inlineStr">
        <is>
          <t>Clinic</t>
        </is>
      </c>
      <c r="N162" s="18" t="inlineStr">
        <is>
          <t>PLE-CC1 ปี 2566 Day 2 ข้อ 40</t>
        </is>
      </c>
      <c r="O162" s="18" t="inlineStr">
        <is>
          <t>ข้อสอบจริง</t>
        </is>
      </c>
      <c r="P162" s="18" t="inlineStr">
        <is>
          <t>ปี 2566</t>
        </is>
      </c>
    </row>
    <row r="163">
      <c r="A163" s="15" t="inlineStr">
        <is>
          <t>185</t>
        </is>
      </c>
      <c r="B163" s="18" t="inlineStr">
        <is>
          <t>Niclosamide 4เม็ดเม็ดละ500 mg</t>
        </is>
      </c>
      <c r="C163" s="18" t="inlineStr"/>
      <c r="D163" s="18" t="inlineStr">
        <is>
          <t>N-acetylcysteine (NAC) IV infusion protocol</t>
        </is>
      </c>
      <c r="E163" s="18" t="inlineStr">
        <is>
          <t>Atropine sulfate 2 mg IV Q5-10 min</t>
        </is>
      </c>
      <c r="F163" s="18" t="inlineStr">
        <is>
          <t>Pralidoxime (2-PAM) 1-2 g IV over 30 min</t>
        </is>
      </c>
      <c r="G163" s="18" t="inlineStr">
        <is>
          <t>Naloxone 0.4 mg IV stat</t>
        </is>
      </c>
      <c r="H163" s="18" t="inlineStr">
        <is>
          <t>Flumazenil 0.2 mg IV stat</t>
        </is>
      </c>
      <c r="I163" s="15" t="inlineStr">
        <is>
          <t>1</t>
        </is>
      </c>
      <c r="J1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 s="18" t="inlineStr"/>
      <c r="L163" s="18" t="inlineStr">
        <is>
          <t>General Therapeutics</t>
        </is>
      </c>
      <c r="M163" s="18" t="inlineStr">
        <is>
          <t>Clinic</t>
        </is>
      </c>
      <c r="N163" s="18" t="inlineStr">
        <is>
          <t>PLE-CC1 ปี 2566 Day 2 ข้อ 1</t>
        </is>
      </c>
      <c r="O163" s="18" t="inlineStr">
        <is>
          <t>ข้อสอบจริง</t>
        </is>
      </c>
      <c r="P163" s="18" t="inlineStr">
        <is>
          <t>ปี 2566</t>
        </is>
      </c>
    </row>
    <row r="164">
      <c r="A164" s="15" t="inlineStr">
        <is>
          <t>186</t>
        </is>
      </c>
      <c r="B164" s="18" t="inlineStr">
        <is>
          <t>Paracetamol 325 mg 10 เม็ด</t>
        </is>
      </c>
      <c r="C164" s="18" t="inlineStr"/>
      <c r="D164" s="18" t="inlineStr">
        <is>
          <t>Naloxone 0.4 mg IV stat</t>
        </is>
      </c>
      <c r="E164" s="18" t="inlineStr">
        <is>
          <t>Flumazenil 0.2 mg IV stat</t>
        </is>
      </c>
      <c r="F164" s="18" t="inlineStr">
        <is>
          <t>Vitamin K1 (Phytomenadione) 10 mg IV slow</t>
        </is>
      </c>
      <c r="G164" s="18" t="inlineStr">
        <is>
          <t>Sodium thiosulfate 25% 50 mL IV</t>
        </is>
      </c>
      <c r="H164" s="18" t="inlineStr">
        <is>
          <t>Calcium disodium EDTA 1 g IV</t>
        </is>
      </c>
      <c r="I164" s="15" t="inlineStr">
        <is>
          <t>1</t>
        </is>
      </c>
      <c r="J1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 s="18" t="inlineStr"/>
      <c r="L164" s="18" t="inlineStr">
        <is>
          <t>General Therapeutics</t>
        </is>
      </c>
      <c r="M164" s="18" t="inlineStr">
        <is>
          <t>Clinic</t>
        </is>
      </c>
      <c r="N164" s="18" t="inlineStr">
        <is>
          <t>PLE-CC1 ปี 2566 Day 2 ข้อ 3</t>
        </is>
      </c>
      <c r="O164" s="18" t="inlineStr">
        <is>
          <t>ข้อสอบจริง</t>
        </is>
      </c>
      <c r="P164" s="18" t="inlineStr">
        <is>
          <t>ปี 2566</t>
        </is>
      </c>
    </row>
    <row r="165">
      <c r="A165" s="15" t="inlineStr">
        <is>
          <t>187</t>
        </is>
      </c>
      <c r="B165" s="18" t="inlineStr">
        <is>
          <t>Hydatid Cyst</t>
        </is>
      </c>
      <c r="C165" s="18" t="inlineStr"/>
      <c r="D165" s="18" t="inlineStr">
        <is>
          <t>Sodium thiosulfate 25% 50 mL IV</t>
        </is>
      </c>
      <c r="E165" s="18" t="inlineStr">
        <is>
          <t>Calcium disodium EDTA 1 g IV</t>
        </is>
      </c>
      <c r="F165" s="18" t="inlineStr">
        <is>
          <t>Desferrioxamine 1 g IM/IV</t>
        </is>
      </c>
      <c r="G165" s="18" t="inlineStr">
        <is>
          <t>Dimercaprol (BAL) 3 mg/kg IM</t>
        </is>
      </c>
      <c r="H165" s="18" t="inlineStr">
        <is>
          <t>Ethanol 10% IV infusion for Methanol poisoning</t>
        </is>
      </c>
      <c r="I165" s="15" t="inlineStr">
        <is>
          <t>1</t>
        </is>
      </c>
      <c r="J1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 s="18" t="inlineStr"/>
      <c r="L165" s="18" t="inlineStr">
        <is>
          <t>General Therapeutics</t>
        </is>
      </c>
      <c r="M165" s="18" t="inlineStr">
        <is>
          <t>Clinic</t>
        </is>
      </c>
      <c r="N165" s="18" t="inlineStr">
        <is>
          <t>PLE-CC1 ปี 2566 Day 2 ข้อ 5</t>
        </is>
      </c>
      <c r="O165" s="18" t="inlineStr">
        <is>
          <t>ข้อสอบจริง</t>
        </is>
      </c>
      <c r="P165" s="18" t="inlineStr">
        <is>
          <t>ปี 2566</t>
        </is>
      </c>
    </row>
    <row r="166">
      <c r="A166" s="15" t="inlineStr">
        <is>
          <t>188</t>
        </is>
      </c>
      <c r="B166" s="18" t="inlineStr">
        <is>
          <t>pH ต้องเท่ากับน้ำตาเท่านั้น</t>
        </is>
      </c>
      <c r="C166" s="18" t="inlineStr"/>
      <c r="D166" s="18" t="inlineStr">
        <is>
          <t>Dimercaprol (BAL) 3 mg/kg IM</t>
        </is>
      </c>
      <c r="E166" s="18" t="inlineStr">
        <is>
          <t>Ethanol 10% IV infusion for Methanol poisoning</t>
        </is>
      </c>
      <c r="F166" s="18" t="inlineStr">
        <is>
          <t>Fomepizole 15 mg/kg IV loading</t>
        </is>
      </c>
      <c r="G166" s="18" t="inlineStr">
        <is>
          <t>N-acetylcysteine (NAC) IV infusion protocol</t>
        </is>
      </c>
      <c r="H166" s="18" t="inlineStr">
        <is>
          <t>Atropine sulfate 2 mg IV Q5-10 min</t>
        </is>
      </c>
      <c r="I166" s="15" t="inlineStr">
        <is>
          <t>1</t>
        </is>
      </c>
      <c r="J1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6" s="18" t="inlineStr"/>
      <c r="L166" s="18" t="inlineStr">
        <is>
          <t>General Therapeutics</t>
        </is>
      </c>
      <c r="M166" s="18" t="inlineStr">
        <is>
          <t>Clinic</t>
        </is>
      </c>
      <c r="N166" s="18" t="inlineStr">
        <is>
          <t>PLE-CC1 ปี 2566 Day 2 ข้อ 1</t>
        </is>
      </c>
      <c r="O166" s="18" t="inlineStr">
        <is>
          <t>ข้อสอบจริง</t>
        </is>
      </c>
      <c r="P166" s="18" t="inlineStr">
        <is>
          <t>ปี 2566</t>
        </is>
      </c>
    </row>
    <row r="167">
      <c r="A167" s="15" t="inlineStr">
        <is>
          <t>189</t>
        </is>
      </c>
      <c r="B167" s="18" t="inlineStr">
        <is>
          <t>ต้องตรวจParticle size</t>
        </is>
      </c>
      <c r="C167" s="18" t="inlineStr"/>
      <c r="D167" s="18" t="inlineStr">
        <is>
          <t>N-acetylcysteine (NAC) IV infusion protocol</t>
        </is>
      </c>
      <c r="E167" s="18" t="inlineStr">
        <is>
          <t>Atropine sulfate 2 mg IV Q5-10 min</t>
        </is>
      </c>
      <c r="F167" s="18" t="inlineStr">
        <is>
          <t>Pralidoxime (2-PAM) 1-2 g IV over 30 min</t>
        </is>
      </c>
      <c r="G167" s="18" t="inlineStr">
        <is>
          <t>Naloxone 0.4 mg IV stat</t>
        </is>
      </c>
      <c r="H167" s="18" t="inlineStr">
        <is>
          <t>Flumazenil 0.2 mg IV stat</t>
        </is>
      </c>
      <c r="I167" s="15" t="inlineStr">
        <is>
          <t>1</t>
        </is>
      </c>
      <c r="J1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7" s="18" t="inlineStr"/>
      <c r="L167" s="18" t="inlineStr">
        <is>
          <t>General Therapeutics</t>
        </is>
      </c>
      <c r="M167" s="18" t="inlineStr">
        <is>
          <t>Clinic</t>
        </is>
      </c>
      <c r="N167" s="18" t="inlineStr">
        <is>
          <t>PLE-CC1 ปี 2566 Day 2 ข้อ 3</t>
        </is>
      </c>
      <c r="O167" s="18" t="inlineStr">
        <is>
          <t>ข้อสอบจริง</t>
        </is>
      </c>
      <c r="P167" s="18" t="inlineStr">
        <is>
          <t>ปี 2566</t>
        </is>
      </c>
    </row>
    <row r="168">
      <c r="A168" s="15" t="inlineStr">
        <is>
          <t>190</t>
        </is>
      </c>
      <c r="B168" s="18" t="inlineStr">
        <is>
          <t>ต้องตรวจความปราศจากเชื้อ</t>
        </is>
      </c>
      <c r="C168" s="18" t="inlineStr"/>
      <c r="D168" s="18" t="inlineStr">
        <is>
          <t>Metered Dose Inhaler (MDI) with HFA propellant</t>
        </is>
      </c>
      <c r="E168" s="18" t="inlineStr">
        <is>
          <t>Dry Powder Inhaler (DPI) with Carrier Lactose</t>
        </is>
      </c>
      <c r="F168" s="18" t="inlineStr">
        <is>
          <t>Isotonic Sodium Chloride 0.9% Osmotic Adjustment</t>
        </is>
      </c>
      <c r="G168" s="18" t="inlineStr">
        <is>
          <t>Moist Heat Steam Sterilization (Autoclave 121 C, 15 psi, 15 min)</t>
        </is>
      </c>
      <c r="H168" s="18" t="inlineStr">
        <is>
          <t>Dry Heat Sterilization (Hot Air Oven 160-170 C, 2 hours)</t>
        </is>
      </c>
      <c r="I168" s="15" t="inlineStr">
        <is>
          <t>4</t>
        </is>
      </c>
      <c r="J168" s="18" t="inlineStr">
        <is>
          <t>✅ คำตอบที่ถูกต้อง: ข้อ ง.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ก.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18" t="inlineStr"/>
      <c r="L168" s="18" t="inlineStr">
        <is>
          <t>Sterile Products</t>
        </is>
      </c>
      <c r="M168" s="18" t="inlineStr">
        <is>
          <t>Product</t>
        </is>
      </c>
      <c r="N168" s="18" t="inlineStr">
        <is>
          <t>PLE-CC1 ปี 2566 Day 2 ข้อ 4</t>
        </is>
      </c>
      <c r="O168" s="18" t="inlineStr">
        <is>
          <t>ข้อสอบจริง</t>
        </is>
      </c>
      <c r="P168" s="18" t="inlineStr">
        <is>
          <t>ปี 2566</t>
        </is>
      </c>
    </row>
    <row r="169">
      <c r="A169" s="15" t="inlineStr">
        <is>
          <t>191</t>
        </is>
      </c>
      <c r="B169" s="18" t="inlineStr">
        <is>
          <t>ขวดพลาสติกใส่ซองกันชื้น</t>
        </is>
      </c>
      <c r="C169" s="18" t="inlineStr"/>
      <c r="D169" s="18" t="inlineStr">
        <is>
          <t>Sodium thiosulfate 25% 50 mL IV</t>
        </is>
      </c>
      <c r="E169" s="18" t="inlineStr">
        <is>
          <t>Calcium disodium EDTA 1 g IV</t>
        </is>
      </c>
      <c r="F169" s="18" t="inlineStr">
        <is>
          <t>Desferrioxamine 1 g IM/IV</t>
        </is>
      </c>
      <c r="G169" s="18" t="inlineStr">
        <is>
          <t>Dimercaprol (BAL) 3 mg/kg IM</t>
        </is>
      </c>
      <c r="H169" s="18" t="inlineStr">
        <is>
          <t>Ethanol 10% IV infusion for Methanol poisoning</t>
        </is>
      </c>
      <c r="I169" s="15" t="inlineStr">
        <is>
          <t>1</t>
        </is>
      </c>
      <c r="J1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 s="18" t="inlineStr"/>
      <c r="L169" s="18" t="inlineStr">
        <is>
          <t>General Therapeutics</t>
        </is>
      </c>
      <c r="M169" s="18" t="inlineStr">
        <is>
          <t>Clinic</t>
        </is>
      </c>
      <c r="N169" s="18" t="inlineStr">
        <is>
          <t>PLE-CC1 ปี 2566 Day 2 ข้อ 1</t>
        </is>
      </c>
      <c r="O169" s="18" t="inlineStr">
        <is>
          <t>ข้อสอบจริง</t>
        </is>
      </c>
      <c r="P169" s="18" t="inlineStr">
        <is>
          <t>ปี 2566</t>
        </is>
      </c>
    </row>
    <row r="170">
      <c r="A170" s="15" t="inlineStr">
        <is>
          <t>192</t>
        </is>
      </c>
      <c r="B170" s="18" t="inlineStr">
        <is>
          <t>ขวดแก้วสีชาใส่ซองกันชื้น</t>
        </is>
      </c>
      <c r="C170" s="18" t="inlineStr"/>
      <c r="D170" s="18" t="inlineStr">
        <is>
          <t>Dimercaprol (BAL) 3 mg/kg IM</t>
        </is>
      </c>
      <c r="E170" s="18" t="inlineStr">
        <is>
          <t>Ethanol 10% IV infusion for Methanol poisoning</t>
        </is>
      </c>
      <c r="F170" s="18" t="inlineStr">
        <is>
          <t>Fomepizole 15 mg/kg IV loading</t>
        </is>
      </c>
      <c r="G170" s="18" t="inlineStr">
        <is>
          <t>N-acetylcysteine (NAC) IV infusion protocol</t>
        </is>
      </c>
      <c r="H170" s="18" t="inlineStr">
        <is>
          <t>Atropine sulfate 2 mg IV Q5-10 min</t>
        </is>
      </c>
      <c r="I170" s="15" t="inlineStr">
        <is>
          <t>1</t>
        </is>
      </c>
      <c r="J1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 s="18" t="inlineStr"/>
      <c r="L170" s="18" t="inlineStr">
        <is>
          <t>General Therapeutics</t>
        </is>
      </c>
      <c r="M170" s="18" t="inlineStr">
        <is>
          <t>Clinic</t>
        </is>
      </c>
      <c r="N170" s="18" t="inlineStr">
        <is>
          <t>PLE-CC1 ปี 2566 Day 2 ข้อ 2</t>
        </is>
      </c>
      <c r="O170" s="18" t="inlineStr">
        <is>
          <t>ข้อสอบจริง</t>
        </is>
      </c>
      <c r="P170" s="18" t="inlineStr">
        <is>
          <t>ปี 2566</t>
        </is>
      </c>
    </row>
    <row r="171">
      <c r="A171" s="15" t="inlineStr">
        <is>
          <t>193</t>
        </is>
      </c>
      <c r="B171" s="18" t="inlineStr">
        <is>
          <t>แผงด้านนึงเป็นal foil อีกด้านใส</t>
        </is>
      </c>
      <c r="C171" s="18" t="inlineStr"/>
      <c r="D171" s="18" t="inlineStr">
        <is>
          <t>N-acetylcysteine (NAC) IV infusion protocol</t>
        </is>
      </c>
      <c r="E171" s="18" t="inlineStr">
        <is>
          <t>Atropine sulfate 2 mg IV Q5-10 min</t>
        </is>
      </c>
      <c r="F171" s="18" t="inlineStr">
        <is>
          <t>Pralidoxime (2-PAM) 1-2 g IV over 30 min</t>
        </is>
      </c>
      <c r="G171" s="18" t="inlineStr">
        <is>
          <t>Naloxone 0.4 mg IV stat</t>
        </is>
      </c>
      <c r="H171" s="18" t="inlineStr">
        <is>
          <t>Flumazenil 0.2 mg IV stat</t>
        </is>
      </c>
      <c r="I171" s="15" t="inlineStr">
        <is>
          <t>1</t>
        </is>
      </c>
      <c r="J1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 s="18" t="inlineStr"/>
      <c r="L171" s="18" t="inlineStr">
        <is>
          <t>General Therapeutics</t>
        </is>
      </c>
      <c r="M171" s="18" t="inlineStr">
        <is>
          <t>Clinic</t>
        </is>
      </c>
      <c r="N171" s="18" t="inlineStr">
        <is>
          <t>PLE-CC1 ปี 2566 Day 2 ข้อ 4</t>
        </is>
      </c>
      <c r="O171" s="18" t="inlineStr">
        <is>
          <t>ข้อสอบจริง</t>
        </is>
      </c>
      <c r="P171" s="18" t="inlineStr">
        <is>
          <t>ปี 2566</t>
        </is>
      </c>
    </row>
    <row r="172">
      <c r="A172" s="15" t="inlineStr">
        <is>
          <t>194</t>
        </is>
      </c>
      <c r="B172" s="18" t="inlineStr">
        <is>
          <t>แผงทั้ง2ด้านalu</t>
        </is>
      </c>
      <c r="C172" s="18" t="inlineStr"/>
      <c r="D172" s="18" t="inlineStr">
        <is>
          <t>Naloxone 0.4 mg IV stat</t>
        </is>
      </c>
      <c r="E172" s="18" t="inlineStr">
        <is>
          <t>Flumazenil 0.2 mg IV stat</t>
        </is>
      </c>
      <c r="F172" s="18" t="inlineStr">
        <is>
          <t>Vitamin K1 (Phytomenadione) 10 mg IV slow</t>
        </is>
      </c>
      <c r="G172" s="18" t="inlineStr">
        <is>
          <t>Sodium thiosulfate 25% 50 mL IV</t>
        </is>
      </c>
      <c r="H172" s="18" t="inlineStr">
        <is>
          <t>Calcium disodium EDTA 1 g IV</t>
        </is>
      </c>
      <c r="I172" s="15" t="inlineStr">
        <is>
          <t>5</t>
        </is>
      </c>
      <c r="J172" s="18" t="inlineStr">
        <is>
          <t>✅ คำตอบที่ถูกต้อง: ข้อ จ.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 s="18" t="inlineStr"/>
      <c r="L172" s="18" t="inlineStr">
        <is>
          <t>General Therapeutics</t>
        </is>
      </c>
      <c r="M172" s="18" t="inlineStr">
        <is>
          <t>Clinic</t>
        </is>
      </c>
      <c r="N172" s="18" t="inlineStr">
        <is>
          <t>PLE-CC1 ปี 2566 Day 2 ข้อ 5</t>
        </is>
      </c>
      <c r="O172" s="18" t="inlineStr">
        <is>
          <t>ข้อสอบจริง</t>
        </is>
      </c>
      <c r="P172" s="18" t="inlineStr">
        <is>
          <t>ปี 2566</t>
        </is>
      </c>
    </row>
    <row r="173">
      <c r="A173" s="15" t="inlineStr">
        <is>
          <t>195</t>
        </is>
      </c>
      <c r="B173" s="18" t="inlineStr">
        <is>
          <t>ยามะขามแขกlongterm adr. ตัวเลือก</t>
        </is>
      </c>
      <c r="C173" s="18" t="inlineStr"/>
      <c r="D173" s="18" t="inlineStr">
        <is>
          <t>Epinephrine 0.3 mg IM stat</t>
        </is>
      </c>
      <c r="E173" s="18" t="inlineStr">
        <is>
          <t>Dexamethasone 4 mg IV</t>
        </is>
      </c>
      <c r="F173" s="18" t="inlineStr">
        <is>
          <t>Prednisolone 20 mg OD</t>
        </is>
      </c>
      <c r="G173" s="18" t="inlineStr">
        <is>
          <t>Montelukast 10 mg HS</t>
        </is>
      </c>
      <c r="H173" s="18" t="inlineStr">
        <is>
          <t>Hydroxyzine 25 mg HS</t>
        </is>
      </c>
      <c r="I173" s="15" t="inlineStr">
        <is>
          <t>1</t>
        </is>
      </c>
      <c r="J173" s="18"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18" t="inlineStr"/>
      <c r="L173" s="18" t="inlineStr">
        <is>
          <t>Allergy &amp; Immunology</t>
        </is>
      </c>
      <c r="M173" s="18" t="inlineStr">
        <is>
          <t>Clinic</t>
        </is>
      </c>
      <c r="N173" s="18" t="inlineStr">
        <is>
          <t>PLE-CC1 ปี 2566 Day 2 ข้อ 45</t>
        </is>
      </c>
      <c r="O173" s="18" t="inlineStr">
        <is>
          <t>ข้อสอบจริง</t>
        </is>
      </c>
      <c r="P173" s="18" t="inlineStr">
        <is>
          <t>ปี 2566</t>
        </is>
      </c>
    </row>
    <row r="174">
      <c r="A174" s="15" t="inlineStr">
        <is>
          <t>196</t>
        </is>
      </c>
      <c r="B174" s="18" t="inlineStr">
        <is>
          <t>Dysmenorrhea ยาfirst line ในกรณีไม่มีcontraindication ตัวเลือก</t>
        </is>
      </c>
      <c r="C174" s="18" t="inlineStr"/>
      <c r="D174" s="18" t="inlineStr">
        <is>
          <t>Ethinylestradiol 35 mcg + Cyproterone acetate 2 mg</t>
        </is>
      </c>
      <c r="E174" s="18" t="inlineStr">
        <is>
          <t>Desogestrel 75 mcg OD (Progestin-only)</t>
        </is>
      </c>
      <c r="F174" s="18" t="inlineStr">
        <is>
          <t>Levonorgestrel 1.5 mg stat (Emergency)</t>
        </is>
      </c>
      <c r="G174" s="18" t="inlineStr">
        <is>
          <t>Mefenamic acid 500 mg TID</t>
        </is>
      </c>
      <c r="H174" s="18" t="inlineStr">
        <is>
          <t>Tamsulosin 0.4 mg HS</t>
        </is>
      </c>
      <c r="I174" s="15" t="inlineStr">
        <is>
          <t>1</t>
        </is>
      </c>
      <c r="J174" s="18"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 s="18" t="inlineStr"/>
      <c r="L174" s="18" t="inlineStr">
        <is>
          <t>Gynaecologic &amp; GU</t>
        </is>
      </c>
      <c r="M174" s="18" t="inlineStr">
        <is>
          <t>Clinic</t>
        </is>
      </c>
      <c r="N174" s="18" t="inlineStr">
        <is>
          <t>PLE-CC1 ปี 2566 Day 2 ข้อ 46</t>
        </is>
      </c>
      <c r="O174" s="18" t="inlineStr">
        <is>
          <t>ข้อสอบจริง</t>
        </is>
      </c>
      <c r="P174" s="18" t="inlineStr">
        <is>
          <t>ปี 2566</t>
        </is>
      </c>
    </row>
    <row r="175">
      <c r="A175" s="15" t="inlineStr">
        <is>
          <t>197</t>
        </is>
      </c>
      <c r="B175" s="18" t="inlineStr">
        <is>
          <t>Ibuprofen 400 mg tid pc</t>
        </is>
      </c>
      <c r="C175" s="18" t="inlineStr"/>
      <c r="D175" s="18" t="inlineStr">
        <is>
          <t>Febuxostat 40 mg OD</t>
        </is>
      </c>
      <c r="E175" s="18" t="inlineStr">
        <is>
          <t>Celecoxib 200 mg OD</t>
        </is>
      </c>
      <c r="F175" s="18" t="inlineStr">
        <is>
          <t>Methotrexate 10 mg weekly</t>
        </is>
      </c>
      <c r="G175" s="18" t="inlineStr">
        <is>
          <t>Alendronate 70 mg weekly</t>
        </is>
      </c>
      <c r="H175" s="18" t="inlineStr">
        <is>
          <t>Glucosamine sulfate 1500 mg OD</t>
        </is>
      </c>
      <c r="I175" s="15" t="inlineStr">
        <is>
          <t>1</t>
        </is>
      </c>
      <c r="J175" s="18"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5" s="18" t="inlineStr"/>
      <c r="L175" s="18" t="inlineStr">
        <is>
          <t>Musculoskeletal &amp; Joint</t>
        </is>
      </c>
      <c r="M175" s="18" t="inlineStr">
        <is>
          <t>Clinic</t>
        </is>
      </c>
      <c r="N175" s="18" t="inlineStr">
        <is>
          <t>PLE-CC1 ปี 2566 Day 2 ข้อ 1</t>
        </is>
      </c>
      <c r="O175" s="18" t="inlineStr">
        <is>
          <t>ข้อสอบจริง</t>
        </is>
      </c>
      <c r="P175" s="18" t="inlineStr">
        <is>
          <t>ปี 2566</t>
        </is>
      </c>
    </row>
    <row r="176">
      <c r="A176" s="15" t="inlineStr">
        <is>
          <t>198</t>
        </is>
      </c>
      <c r="B176" s="18" t="inlineStr">
        <is>
          <t>Bisocodyl มีDv 0.2 ต้องการผลิตยาเหน็บ10 mg จำนวน10 แท่ง(น้ำหนักเม็ดเปล่า2 g) น้ำหนักยาพื้นที่ต้องเตรียมคือเท่าไหร่ ตัวเลือก</t>
        </is>
      </c>
      <c r="C176" s="18" t="inlineStr"/>
      <c r="D176" s="18" t="inlineStr">
        <is>
          <t>Elixir with 10-20% Alcohol cosolvent</t>
        </is>
      </c>
      <c r="E176" s="18" t="inlineStr">
        <is>
          <t>Flocculated Oral Suspension with Xanthan Gum</t>
        </is>
      </c>
      <c r="F176" s="18" t="inlineStr">
        <is>
          <t>Deflocculated Suspension formulation</t>
        </is>
      </c>
      <c r="G176" s="18" t="inlineStr">
        <is>
          <t>O/W Emulsion stabilized by Polysorbate 80 / Span 80</t>
        </is>
      </c>
      <c r="H176" s="18" t="inlineStr">
        <is>
          <t>W/O Emulsion with Sorbitan monooleate</t>
        </is>
      </c>
      <c r="I176" s="15" t="inlineStr">
        <is>
          <t>1</t>
        </is>
      </c>
      <c r="J176" s="1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18" t="inlineStr"/>
      <c r="L176" s="18" t="inlineStr">
        <is>
          <t>Liquid &amp; Semisolids</t>
        </is>
      </c>
      <c r="M176" s="18" t="inlineStr">
        <is>
          <t>Product</t>
        </is>
      </c>
      <c r="N176" s="18" t="inlineStr">
        <is>
          <t>PLE-CC1 ปี 2566 Day 2 ข้อ 47</t>
        </is>
      </c>
      <c r="O176" s="18" t="inlineStr">
        <is>
          <t>ข้อสอบจริง</t>
        </is>
      </c>
      <c r="P176" s="18" t="inlineStr">
        <is>
          <t>ปี 2566</t>
        </is>
      </c>
    </row>
    <row r="177">
      <c r="A177" s="15" t="inlineStr">
        <is>
          <t>199</t>
        </is>
      </c>
      <c r="B177" s="18" t="inlineStr">
        <is>
          <t>มีอีกชื่อว่าCocoa butter</t>
        </is>
      </c>
      <c r="C177" s="18" t="inlineStr"/>
      <c r="D177" s="18" t="inlineStr">
        <is>
          <t>Sodium thiosulfate 25% 50 mL IV</t>
        </is>
      </c>
      <c r="E177" s="18" t="inlineStr">
        <is>
          <t>Calcium disodium EDTA 1 g IV</t>
        </is>
      </c>
      <c r="F177" s="18" t="inlineStr">
        <is>
          <t>Desferrioxamine 1 g IM/IV</t>
        </is>
      </c>
      <c r="G177" s="18" t="inlineStr">
        <is>
          <t>Dimercaprol (BAL) 3 mg/kg IM</t>
        </is>
      </c>
      <c r="H177" s="18" t="inlineStr">
        <is>
          <t>Ethanol 10% IV infusion for Methanol poisoning</t>
        </is>
      </c>
      <c r="I177" s="15" t="inlineStr">
        <is>
          <t>1</t>
        </is>
      </c>
      <c r="J1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18" t="inlineStr"/>
      <c r="L177" s="18" t="inlineStr">
        <is>
          <t>General Therapeutics</t>
        </is>
      </c>
      <c r="M177" s="18" t="inlineStr">
        <is>
          <t>Clinic</t>
        </is>
      </c>
      <c r="N177" s="18" t="inlineStr">
        <is>
          <t>PLE-CC1 ปี 2566 Day 2 ข้อ 1</t>
        </is>
      </c>
      <c r="O177" s="18" t="inlineStr">
        <is>
          <t>ข้อสอบจริง</t>
        </is>
      </c>
      <c r="P177" s="18" t="inlineStr">
        <is>
          <t>ปี 2566</t>
        </is>
      </c>
    </row>
    <row r="178">
      <c r="A178" s="15" t="inlineStr">
        <is>
          <t>200</t>
        </is>
      </c>
      <c r="B178" s="18" t="inlineStr">
        <is>
          <t>Hydrophilic base</t>
        </is>
      </c>
      <c r="C178" s="18" t="inlineStr"/>
      <c r="D178" s="18" t="inlineStr">
        <is>
          <t>Dimercaprol (BAL) 3 mg/kg IM</t>
        </is>
      </c>
      <c r="E178" s="18" t="inlineStr">
        <is>
          <t>Ethanol 10% IV infusion for Methanol poisoning</t>
        </is>
      </c>
      <c r="F178" s="18" t="inlineStr">
        <is>
          <t>Fomepizole 15 mg/kg IV loading</t>
        </is>
      </c>
      <c r="G178" s="18" t="inlineStr">
        <is>
          <t>N-acetylcysteine (NAC) IV infusion protocol</t>
        </is>
      </c>
      <c r="H178" s="18" t="inlineStr">
        <is>
          <t>Atropine sulfate 2 mg IV Q5-10 min</t>
        </is>
      </c>
      <c r="I178" s="15" t="inlineStr">
        <is>
          <t>1</t>
        </is>
      </c>
      <c r="J1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 s="18" t="inlineStr"/>
      <c r="L178" s="18" t="inlineStr">
        <is>
          <t>General Therapeutics</t>
        </is>
      </c>
      <c r="M178" s="18" t="inlineStr">
        <is>
          <t>Clinic</t>
        </is>
      </c>
      <c r="N178" s="18" t="inlineStr">
        <is>
          <t>PLE-CC1 ปี 2566 Day 2 ข้อ 1</t>
        </is>
      </c>
      <c r="O178" s="18" t="inlineStr">
        <is>
          <t>ข้อสอบจริง</t>
        </is>
      </c>
      <c r="P178" s="18" t="inlineStr">
        <is>
          <t>ปี 2566</t>
        </is>
      </c>
    </row>
    <row r="179">
      <c r="A179" s="15" t="inlineStr">
        <is>
          <t>201</t>
        </is>
      </c>
      <c r="B179" s="18" t="inlineStr">
        <is>
          <t>Absorbtion base</t>
        </is>
      </c>
      <c r="C179" s="18" t="inlineStr"/>
      <c r="D179" s="18" t="inlineStr">
        <is>
          <t>N-acetylcysteine (NAC) IV infusion protocol</t>
        </is>
      </c>
      <c r="E179" s="18" t="inlineStr">
        <is>
          <t>Atropine sulfate 2 mg IV Q5-10 min</t>
        </is>
      </c>
      <c r="F179" s="18" t="inlineStr">
        <is>
          <t>Pralidoxime (2-PAM) 1-2 g IV over 30 min</t>
        </is>
      </c>
      <c r="G179" s="18" t="inlineStr">
        <is>
          <t>Naloxone 0.4 mg IV stat</t>
        </is>
      </c>
      <c r="H179" s="18" t="inlineStr">
        <is>
          <t>Flumazenil 0.2 mg IV stat</t>
        </is>
      </c>
      <c r="I179" s="15" t="inlineStr">
        <is>
          <t>1</t>
        </is>
      </c>
      <c r="J1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 s="18" t="inlineStr"/>
      <c r="L179" s="18" t="inlineStr">
        <is>
          <t>General Therapeutics</t>
        </is>
      </c>
      <c r="M179" s="18" t="inlineStr">
        <is>
          <t>Clinic</t>
        </is>
      </c>
      <c r="N179" s="18" t="inlineStr">
        <is>
          <t>PLE-CC1 ปี 2566 Day 2 ข้อ 2</t>
        </is>
      </c>
      <c r="O179" s="18" t="inlineStr">
        <is>
          <t>ข้อสอบจริง</t>
        </is>
      </c>
      <c r="P179" s="18" t="inlineStr">
        <is>
          <t>ปี 2566</t>
        </is>
      </c>
    </row>
    <row r="180">
      <c r="A180" s="15" t="inlineStr">
        <is>
          <t>202</t>
        </is>
      </c>
      <c r="B180" s="18" t="inlineStr">
        <is>
          <t>oleaginous base</t>
        </is>
      </c>
      <c r="C180" s="18" t="inlineStr"/>
      <c r="D180" s="18" t="inlineStr">
        <is>
          <t>Deflocculated Suspension formulation</t>
        </is>
      </c>
      <c r="E180" s="18" t="inlineStr">
        <is>
          <t>O/W Emulsion stabilized by Polysorbate 80 / Span 80</t>
        </is>
      </c>
      <c r="F180" s="18" t="inlineStr">
        <is>
          <t>W/O Emulsion with Sorbitan monooleate</t>
        </is>
      </c>
      <c r="G180" s="18" t="inlineStr">
        <is>
          <t>Carbopol 940 hydrogel neutralized with Triethanolamine</t>
        </is>
      </c>
      <c r="H180" s="18" t="inlineStr">
        <is>
          <t>Oleaginous Ointment base (White Petrolatum)</t>
        </is>
      </c>
      <c r="I180" s="15" t="inlineStr">
        <is>
          <t>1</t>
        </is>
      </c>
      <c r="J180" s="1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Liquid &amp; Semisolids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18" t="inlineStr"/>
      <c r="L180" s="18" t="inlineStr">
        <is>
          <t>Liquid &amp; Semisolids</t>
        </is>
      </c>
      <c r="M180" s="18" t="inlineStr">
        <is>
          <t>Product</t>
        </is>
      </c>
      <c r="N180" s="18" t="inlineStr">
        <is>
          <t>PLE-CC1 ปี 2566 Day 2 ข้อ 3</t>
        </is>
      </c>
      <c r="O180" s="18" t="inlineStr">
        <is>
          <t>ข้อสอบจริง</t>
        </is>
      </c>
      <c r="P180" s="18" t="inlineStr">
        <is>
          <t>ปี 2566</t>
        </is>
      </c>
    </row>
    <row r="181">
      <c r="A181" s="15" t="inlineStr">
        <is>
          <t>203</t>
        </is>
      </c>
      <c r="B181" s="18" t="inlineStr">
        <is>
          <t>Cardiac arrhythmia</t>
        </is>
      </c>
      <c r="C181" s="18" t="inlineStr"/>
      <c r="D181" s="18" t="inlineStr">
        <is>
          <t>Bisoprolol 5 mg OD</t>
        </is>
      </c>
      <c r="E181" s="18" t="inlineStr">
        <is>
          <t>Spironolactone 25 mg OD</t>
        </is>
      </c>
      <c r="F181" s="18" t="inlineStr">
        <is>
          <t>Clopidogrel 75 mg OD</t>
        </is>
      </c>
      <c r="G181" s="18" t="inlineStr">
        <is>
          <t>Aspirin 81 mg OD</t>
        </is>
      </c>
      <c r="H181" s="18" t="inlineStr">
        <is>
          <t>Sacubitril/Valsartan 49/51 mg BID</t>
        </is>
      </c>
      <c r="I181" s="15" t="inlineStr">
        <is>
          <t>1</t>
        </is>
      </c>
      <c r="J181" s="18"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1" s="18" t="inlineStr"/>
      <c r="L181" s="18" t="inlineStr">
        <is>
          <t>Cardiovascular Diseases</t>
        </is>
      </c>
      <c r="M181" s="18" t="inlineStr">
        <is>
          <t>Clinic</t>
        </is>
      </c>
      <c r="N181" s="18" t="inlineStr">
        <is>
          <t>PLE-CC1 ปี 2566 Day 2 ข้อ 1</t>
        </is>
      </c>
      <c r="O181" s="18" t="inlineStr">
        <is>
          <t>ข้อสอบจริง</t>
        </is>
      </c>
      <c r="P181" s="18" t="inlineStr">
        <is>
          <t>ปี 2566</t>
        </is>
      </c>
    </row>
    <row r="182">
      <c r="A182" s="15" t="inlineStr">
        <is>
          <t>204</t>
        </is>
      </c>
      <c r="B182" s="18" t="inlineStr">
        <is>
          <t>พารามิเตอที่ไม่ต้องสังเกตในคนที่เสียน้ำ. ตัวเลือก</t>
        </is>
      </c>
      <c r="C182" s="18" t="inlineStr"/>
      <c r="D182" s="18" t="inlineStr">
        <is>
          <t>Dimercaprol (BAL) 3 mg/kg IM</t>
        </is>
      </c>
      <c r="E182" s="18" t="inlineStr">
        <is>
          <t>Ethanol 10% IV infusion for Methanol poisoning</t>
        </is>
      </c>
      <c r="F182" s="18" t="inlineStr">
        <is>
          <t>Fomepizole 15 mg/kg IV loading</t>
        </is>
      </c>
      <c r="G182" s="18" t="inlineStr">
        <is>
          <t>N-acetylcysteine (NAC) IV infusion protocol</t>
        </is>
      </c>
      <c r="H182" s="18" t="inlineStr">
        <is>
          <t>Atropine sulfate 2 mg IV Q5-10 min</t>
        </is>
      </c>
      <c r="I182" s="15" t="inlineStr">
        <is>
          <t>1</t>
        </is>
      </c>
      <c r="J1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 s="18" t="inlineStr"/>
      <c r="L182" s="18" t="inlineStr">
        <is>
          <t>General Therapeutics</t>
        </is>
      </c>
      <c r="M182" s="18" t="inlineStr">
        <is>
          <t>Clinic</t>
        </is>
      </c>
      <c r="N182" s="18" t="inlineStr">
        <is>
          <t>PLE-CC1 ปี 2566 Day 2 ข้อ 51</t>
        </is>
      </c>
      <c r="O182" s="18" t="inlineStr">
        <is>
          <t>ข้อสอบจริง</t>
        </is>
      </c>
      <c r="P182" s="18" t="inlineStr">
        <is>
          <t>ปี 2566</t>
        </is>
      </c>
    </row>
    <row r="183">
      <c r="A183" s="15" t="inlineStr">
        <is>
          <t>205</t>
        </is>
      </c>
      <c r="B183" s="18" t="inlineStr">
        <is>
          <t>ถามเรื่องกราฟของfirst order pharmacokinetic ให้กราฟlnX = 0.46 - 0.02t Shelf life = ln(100/90)/k แล้วshelf lifeเป็นเท่าไหร่ ตัวเลือก</t>
        </is>
      </c>
      <c r="C183" s="18" t="inlineStr"/>
      <c r="D183" s="18" t="inlineStr">
        <is>
          <t>Good Manufacturing Practice (GMP PIC/S)</t>
        </is>
      </c>
      <c r="E183" s="18" t="inlineStr">
        <is>
          <t>Standard Operating Procedure (SOP) Validation</t>
        </is>
      </c>
      <c r="F183" s="18" t="inlineStr">
        <is>
          <t>High-Density Polyethylene (HDPE) Container</t>
        </is>
      </c>
      <c r="G183" s="18" t="inlineStr">
        <is>
          <t>Type I Borosilicate Glass Ampoule</t>
        </is>
      </c>
      <c r="H183" s="18" t="inlineStr">
        <is>
          <t>Accelerated Stability Testing (40 C / 75% RH)</t>
        </is>
      </c>
      <c r="I183" s="15" t="inlineStr">
        <is>
          <t>1</t>
        </is>
      </c>
      <c r="J183" s="18" t="inlineStr">
        <is>
          <t>✅ คำตอบที่ถูกต้อง: ข้อ ก.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ค.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ง.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จ.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18" t="inlineStr"/>
      <c r="L183" s="18" t="inlineStr">
        <is>
          <t>Preformulation &amp; Stability</t>
        </is>
      </c>
      <c r="M183" s="18" t="inlineStr">
        <is>
          <t>Product</t>
        </is>
      </c>
      <c r="N183" s="18" t="inlineStr">
        <is>
          <t>PLE-CC1 ปี 2566 Day 2 ข้อ 53</t>
        </is>
      </c>
      <c r="O183" s="18" t="inlineStr">
        <is>
          <t>ข้อสอบจริง</t>
        </is>
      </c>
      <c r="P183" s="18" t="inlineStr">
        <is>
          <t>ปี 2566</t>
        </is>
      </c>
    </row>
    <row r="184">
      <c r="A184" s="15" t="inlineStr">
        <is>
          <t>206</t>
        </is>
      </c>
      <c r="B184" s="18" t="inlineStr">
        <is>
          <t>transdermal patch drug delivery system ที่เป็นdrug in adhesive (choice เป็นรูป) ตัวเลือก</t>
        </is>
      </c>
      <c r="C184" s="18" t="inlineStr"/>
      <c r="D184" s="18" t="inlineStr">
        <is>
          <t>Naloxone 0.4 mg IV stat</t>
        </is>
      </c>
      <c r="E184" s="18" t="inlineStr">
        <is>
          <t>Flumazenil 0.2 mg IV stat</t>
        </is>
      </c>
      <c r="F184" s="18" t="inlineStr">
        <is>
          <t>Vitamin K1 (Phytomenadione) 10 mg IV slow</t>
        </is>
      </c>
      <c r="G184" s="18" t="inlineStr">
        <is>
          <t>Sodium thiosulfate 25% 50 mL IV</t>
        </is>
      </c>
      <c r="H184" s="18" t="inlineStr">
        <is>
          <t>Calcium disodium EDTA 1 g IV</t>
        </is>
      </c>
      <c r="I184" s="15" t="inlineStr">
        <is>
          <t>1</t>
        </is>
      </c>
      <c r="J1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 s="18" t="inlineStr"/>
      <c r="L184" s="18" t="inlineStr">
        <is>
          <t>General Therapeutics</t>
        </is>
      </c>
      <c r="M184" s="18" t="inlineStr">
        <is>
          <t>Clinic</t>
        </is>
      </c>
      <c r="N184" s="18" t="inlineStr">
        <is>
          <t>PLE-CC1 ปี 2566 Day 2 ข้อ 55</t>
        </is>
      </c>
      <c r="O184" s="18" t="inlineStr">
        <is>
          <t>ข้อสอบจริง</t>
        </is>
      </c>
      <c r="P184" s="18" t="inlineStr">
        <is>
          <t>ปี 2566</t>
        </is>
      </c>
    </row>
    <row r="185">
      <c r="A185" s="15" t="inlineStr">
        <is>
          <t>207</t>
        </is>
      </c>
      <c r="B185" s="18" t="inlineStr">
        <is>
          <t>ประคบอุ่นนวดเบาๆ</t>
        </is>
      </c>
      <c r="C185" s="18" t="inlineStr"/>
      <c r="D185" s="18" t="inlineStr">
        <is>
          <t>Sodium thiosulfate 25% 50 mL IV</t>
        </is>
      </c>
      <c r="E185" s="18" t="inlineStr">
        <is>
          <t>Calcium disodium EDTA 1 g IV</t>
        </is>
      </c>
      <c r="F185" s="18" t="inlineStr">
        <is>
          <t>Desferrioxamine 1 g IM/IV</t>
        </is>
      </c>
      <c r="G185" s="18" t="inlineStr">
        <is>
          <t>Dimercaprol (BAL) 3 mg/kg IM</t>
        </is>
      </c>
      <c r="H185" s="18" t="inlineStr">
        <is>
          <t>Ethanol 10% IV infusion for Methanol poisoning</t>
        </is>
      </c>
      <c r="I185" s="15" t="inlineStr">
        <is>
          <t>1</t>
        </is>
      </c>
      <c r="J1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18" t="inlineStr"/>
      <c r="L185" s="18" t="inlineStr">
        <is>
          <t>General Therapeutics</t>
        </is>
      </c>
      <c r="M185" s="18" t="inlineStr">
        <is>
          <t>Clinic</t>
        </is>
      </c>
      <c r="N185" s="18" t="inlineStr">
        <is>
          <t>PLE-CC1 ปี 2566 Day 2 ข้อ 1</t>
        </is>
      </c>
      <c r="O185" s="18" t="inlineStr">
        <is>
          <t>ข้อสอบจริง</t>
        </is>
      </c>
      <c r="P185" s="18" t="inlineStr">
        <is>
          <t>ปี 2566</t>
        </is>
      </c>
    </row>
    <row r="186">
      <c r="A186" s="15" t="inlineStr">
        <is>
          <t>208</t>
        </is>
      </c>
      <c r="B186" s="18" t="inlineStr">
        <is>
          <t>mixtard ประกอบด้วยNPH/RI 2 ตัวนี้คืออะไรสัดส่วนเท่าไร ตัวเลือก</t>
        </is>
      </c>
      <c r="C186" s="18" t="inlineStr"/>
      <c r="D186" s="18" t="inlineStr">
        <is>
          <t>Dimercaprol (BAL) 3 mg/kg IM</t>
        </is>
      </c>
      <c r="E186" s="18" t="inlineStr">
        <is>
          <t>Ethanol 10% IV infusion for Methanol poisoning</t>
        </is>
      </c>
      <c r="F186" s="18" t="inlineStr">
        <is>
          <t>Fomepizole 15 mg/kg IV loading</t>
        </is>
      </c>
      <c r="G186" s="18" t="inlineStr">
        <is>
          <t>N-acetylcysteine (NAC) IV infusion protocol</t>
        </is>
      </c>
      <c r="H186" s="18" t="inlineStr">
        <is>
          <t>Atropine sulfate 2 mg IV Q5-10 min</t>
        </is>
      </c>
      <c r="I186" s="15" t="inlineStr">
        <is>
          <t>1</t>
        </is>
      </c>
      <c r="J1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 s="18" t="inlineStr"/>
      <c r="L186" s="18" t="inlineStr">
        <is>
          <t>General Therapeutics</t>
        </is>
      </c>
      <c r="M186" s="18" t="inlineStr">
        <is>
          <t>Clinic</t>
        </is>
      </c>
      <c r="N186" s="18" t="inlineStr">
        <is>
          <t>PLE-CC1 ปี 2566 Day 2 ข้อ 59</t>
        </is>
      </c>
      <c r="O186" s="18" t="inlineStr">
        <is>
          <t>ข้อสอบจริง</t>
        </is>
      </c>
      <c r="P186" s="18" t="inlineStr">
        <is>
          <t>ปี 2566</t>
        </is>
      </c>
    </row>
    <row r="187">
      <c r="A187" s="15" t="inlineStr">
        <is>
          <t>209</t>
        </is>
      </c>
      <c r="B187" s="18" t="inlineStr">
        <is>
          <t>NPH 70 / RI 30 เป็นอินซูลินออกฤทธิ์ปานกลางกับสั้น</t>
        </is>
      </c>
      <c r="C187" s="18" t="inlineStr"/>
      <c r="D187" s="18" t="inlineStr">
        <is>
          <t>N-acetylcysteine (NAC) IV infusion protocol</t>
        </is>
      </c>
      <c r="E187" s="18" t="inlineStr">
        <is>
          <t>Atropine sulfate 2 mg IV Q5-10 min</t>
        </is>
      </c>
      <c r="F187" s="18" t="inlineStr">
        <is>
          <t>Pralidoxime (2-PAM) 1-2 g IV over 30 min</t>
        </is>
      </c>
      <c r="G187" s="18" t="inlineStr">
        <is>
          <t>Naloxone 0.4 mg IV stat</t>
        </is>
      </c>
      <c r="H187" s="18" t="inlineStr">
        <is>
          <t>Flumazenil 0.2 mg IV stat</t>
        </is>
      </c>
      <c r="I187" s="15" t="inlineStr">
        <is>
          <t>1</t>
        </is>
      </c>
      <c r="J1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 s="18" t="inlineStr"/>
      <c r="L187" s="18" t="inlineStr">
        <is>
          <t>General Therapeutics</t>
        </is>
      </c>
      <c r="M187" s="18" t="inlineStr">
        <is>
          <t>Clinic</t>
        </is>
      </c>
      <c r="N187" s="18" t="inlineStr">
        <is>
          <t>PLE-CC1 ปี 2566 Day 2 ข้อ 1</t>
        </is>
      </c>
      <c r="O187" s="18" t="inlineStr">
        <is>
          <t>ข้อสอบจริง</t>
        </is>
      </c>
      <c r="P187" s="18" t="inlineStr">
        <is>
          <t>ปี 2566</t>
        </is>
      </c>
    </row>
    <row r="188">
      <c r="A188" s="15" t="inlineStr">
        <is>
          <t>210</t>
        </is>
      </c>
      <c r="B188" s="18" t="inlineStr">
        <is>
          <t>Trichomonas ให้ยาอะไร ตัวเลือก</t>
        </is>
      </c>
      <c r="C188" s="18" t="inlineStr"/>
      <c r="D188" s="18" t="inlineStr">
        <is>
          <t>Naloxone 0.4 mg IV stat</t>
        </is>
      </c>
      <c r="E188" s="18" t="inlineStr">
        <is>
          <t>Flumazenil 0.2 mg IV stat</t>
        </is>
      </c>
      <c r="F188" s="18" t="inlineStr">
        <is>
          <t>Vitamin K1 (Phytomenadione) 10 mg IV slow</t>
        </is>
      </c>
      <c r="G188" s="18" t="inlineStr">
        <is>
          <t>Sodium thiosulfate 25% 50 mL IV</t>
        </is>
      </c>
      <c r="H188" s="18" t="inlineStr">
        <is>
          <t>Calcium disodium EDTA 1 g IV</t>
        </is>
      </c>
      <c r="I188" s="15" t="inlineStr">
        <is>
          <t>1</t>
        </is>
      </c>
      <c r="J1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 s="18" t="inlineStr"/>
      <c r="L188" s="18" t="inlineStr">
        <is>
          <t>General Therapeutics</t>
        </is>
      </c>
      <c r="M188" s="18" t="inlineStr">
        <is>
          <t>Clinic</t>
        </is>
      </c>
      <c r="N188" s="18" t="inlineStr">
        <is>
          <t>PLE-CC1 ปี 2566 Day 2 ข้อ 60</t>
        </is>
      </c>
      <c r="O188" s="18" t="inlineStr">
        <is>
          <t>ข้อสอบจริง</t>
        </is>
      </c>
      <c r="P188" s="18" t="inlineStr">
        <is>
          <t>ปี 2566</t>
        </is>
      </c>
    </row>
    <row r="189">
      <c r="A189" s="15" t="inlineStr">
        <is>
          <t>211</t>
        </is>
      </c>
      <c r="B189" s="18" t="inlineStr">
        <is>
          <t>ไม่ได้เพราะต้องมีใบสั่งแพทย์แผนจีนหรือไทย</t>
        </is>
      </c>
      <c r="C189" s="18" t="inlineStr"/>
      <c r="D189" s="18" t="inlineStr">
        <is>
          <t>Sodium thiosulfate 25% 50 mL IV</t>
        </is>
      </c>
      <c r="E189" s="18" t="inlineStr">
        <is>
          <t>Calcium disodium EDTA 1 g IV</t>
        </is>
      </c>
      <c r="F189" s="18" t="inlineStr">
        <is>
          <t>Desferrioxamine 1 g IM/IV</t>
        </is>
      </c>
      <c r="G189" s="18" t="inlineStr">
        <is>
          <t>Dimercaprol (BAL) 3 mg/kg IM</t>
        </is>
      </c>
      <c r="H189" s="18" t="inlineStr">
        <is>
          <t>Ethanol 10% IV infusion for Methanol poisoning</t>
        </is>
      </c>
      <c r="I189" s="15" t="inlineStr">
        <is>
          <t>1</t>
        </is>
      </c>
      <c r="J1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18" t="inlineStr"/>
      <c r="L189" s="18" t="inlineStr">
        <is>
          <t>General Therapeutics</t>
        </is>
      </c>
      <c r="M189" s="18" t="inlineStr">
        <is>
          <t>Clinic</t>
        </is>
      </c>
      <c r="N189" s="18" t="inlineStr">
        <is>
          <t>PLE-CC1 ปี 2566 Day 2 ข้อ 2</t>
        </is>
      </c>
      <c r="O189" s="18" t="inlineStr">
        <is>
          <t>ข้อสอบจริง</t>
        </is>
      </c>
      <c r="P189" s="18" t="inlineStr">
        <is>
          <t>ปี 2566</t>
        </is>
      </c>
    </row>
    <row r="190">
      <c r="A190" s="15" t="inlineStr">
        <is>
          <t>212</t>
        </is>
      </c>
      <c r="B190" s="18" t="inlineStr">
        <is>
          <t>ยับยั้ง5HT2c agonist</t>
        </is>
      </c>
      <c r="C190" s="18" t="inlineStr"/>
      <c r="D190" s="18" t="inlineStr">
        <is>
          <t>Dimercaprol (BAL) 3 mg/kg IM</t>
        </is>
      </c>
      <c r="E190" s="18" t="inlineStr">
        <is>
          <t>Ethanol 10% IV infusion for Methanol poisoning</t>
        </is>
      </c>
      <c r="F190" s="18" t="inlineStr">
        <is>
          <t>Fomepizole 15 mg/kg IV loading</t>
        </is>
      </c>
      <c r="G190" s="18" t="inlineStr">
        <is>
          <t>N-acetylcysteine (NAC) IV infusion protocol</t>
        </is>
      </c>
      <c r="H190" s="18" t="inlineStr">
        <is>
          <t>Atropine sulfate 2 mg IV Q5-10 min</t>
        </is>
      </c>
      <c r="I190" s="15" t="inlineStr">
        <is>
          <t>1</t>
        </is>
      </c>
      <c r="J1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 s="18" t="inlineStr"/>
      <c r="L190" s="18" t="inlineStr">
        <is>
          <t>General Therapeutics</t>
        </is>
      </c>
      <c r="M190" s="18" t="inlineStr">
        <is>
          <t>Clinic</t>
        </is>
      </c>
      <c r="N190" s="18" t="inlineStr">
        <is>
          <t>PLE-CC1 ปี 2566 Day 2 ข้อ 2</t>
        </is>
      </c>
      <c r="O190" s="18" t="inlineStr">
        <is>
          <t>ข้อสอบจริง</t>
        </is>
      </c>
      <c r="P190" s="18" t="inlineStr">
        <is>
          <t>ปี 2566</t>
        </is>
      </c>
    </row>
    <row r="191">
      <c r="A191" s="15" t="inlineStr">
        <is>
          <t>213</t>
        </is>
      </c>
      <c r="B191" s="18" t="inlineStr">
        <is>
          <t>ยับยั้งalpha receptor</t>
        </is>
      </c>
      <c r="C191" s="18" t="inlineStr"/>
      <c r="D191" s="18" t="inlineStr">
        <is>
          <t>N-acetylcysteine (NAC) IV infusion protocol</t>
        </is>
      </c>
      <c r="E191" s="18" t="inlineStr">
        <is>
          <t>Atropine sulfate 2 mg IV Q5-10 min</t>
        </is>
      </c>
      <c r="F191" s="18" t="inlineStr">
        <is>
          <t>Pralidoxime (2-PAM) 1-2 g IV over 30 min</t>
        </is>
      </c>
      <c r="G191" s="18" t="inlineStr">
        <is>
          <t>Naloxone 0.4 mg IV stat</t>
        </is>
      </c>
      <c r="H191" s="18" t="inlineStr">
        <is>
          <t>Flumazenil 0.2 mg IV stat</t>
        </is>
      </c>
      <c r="I191" s="15" t="inlineStr">
        <is>
          <t>1</t>
        </is>
      </c>
      <c r="J1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 s="18" t="inlineStr"/>
      <c r="L191" s="18" t="inlineStr">
        <is>
          <t>General Therapeutics</t>
        </is>
      </c>
      <c r="M191" s="18" t="inlineStr">
        <is>
          <t>Clinic</t>
        </is>
      </c>
      <c r="N191" s="18" t="inlineStr">
        <is>
          <t>PLE-CC1 ปี 2566 Day 2 ข้อ 3</t>
        </is>
      </c>
      <c r="O191" s="18" t="inlineStr">
        <is>
          <t>ข้อสอบจริง</t>
        </is>
      </c>
      <c r="P191" s="18" t="inlineStr">
        <is>
          <t>ปี 2566</t>
        </is>
      </c>
    </row>
    <row r="192">
      <c r="A192" s="15" t="inlineStr">
        <is>
          <t>214</t>
        </is>
      </c>
      <c r="B192" s="18" t="inlineStr">
        <is>
          <t>Propylene glycol</t>
        </is>
      </c>
      <c r="C192" s="18" t="inlineStr"/>
      <c r="D192" s="18" t="inlineStr">
        <is>
          <t>Naloxone 0.4 mg IV stat</t>
        </is>
      </c>
      <c r="E192" s="18" t="inlineStr">
        <is>
          <t>Flumazenil 0.2 mg IV stat</t>
        </is>
      </c>
      <c r="F192" s="18" t="inlineStr">
        <is>
          <t>Vitamin K1 (Phytomenadione) 10 mg IV slow</t>
        </is>
      </c>
      <c r="G192" s="18" t="inlineStr">
        <is>
          <t>Sodium thiosulfate 25% 50 mL IV</t>
        </is>
      </c>
      <c r="H192" s="18" t="inlineStr">
        <is>
          <t>Calcium disodium EDTA 1 g IV</t>
        </is>
      </c>
      <c r="I192" s="15" t="inlineStr">
        <is>
          <t>1</t>
        </is>
      </c>
      <c r="J1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 s="18" t="inlineStr"/>
      <c r="L192" s="18" t="inlineStr">
        <is>
          <t>General Therapeutics</t>
        </is>
      </c>
      <c r="M192" s="18" t="inlineStr">
        <is>
          <t>Clinic</t>
        </is>
      </c>
      <c r="N192" s="18" t="inlineStr">
        <is>
          <t>PLE-CC1 ปี 2566 Day 2 ข้อ 1</t>
        </is>
      </c>
      <c r="O192" s="18" t="inlineStr">
        <is>
          <t>ข้อสอบจริง</t>
        </is>
      </c>
      <c r="P192" s="18" t="inlineStr">
        <is>
          <t>ปี 2566</t>
        </is>
      </c>
    </row>
    <row r="193">
      <c r="A193" s="15" t="inlineStr">
        <is>
          <t>215</t>
        </is>
      </c>
      <c r="B193" s="18" t="inlineStr">
        <is>
          <t>กราฟระหว่างlnX กับt จากX = X0e^-kt และมีสมการมาให้ว่ากราฟนี้เป็นกราฟของlnx = 0.46-0.02t ถามว่าShelf-life ของ ผลิตภัณฑ์จะมีอายุกี่เดือนให้สูตรมาว่าshelf-life = ln(100/90)/k (กำหนดค่าln มาให้) ตัวเลือก</t>
        </is>
      </c>
      <c r="C193" s="18" t="inlineStr"/>
      <c r="D193" s="18" t="inlineStr">
        <is>
          <t>Sodium thiosulfate 25% 50 mL IV</t>
        </is>
      </c>
      <c r="E193" s="18" t="inlineStr">
        <is>
          <t>Calcium disodium EDTA 1 g IV</t>
        </is>
      </c>
      <c r="F193" s="18" t="inlineStr">
        <is>
          <t>Desferrioxamine 1 g IM/IV</t>
        </is>
      </c>
      <c r="G193" s="18" t="inlineStr">
        <is>
          <t>Dimercaprol (BAL) 3 mg/kg IM</t>
        </is>
      </c>
      <c r="H193" s="18" t="inlineStr">
        <is>
          <t>Ethanol 10% IV infusion for Methanol poisoning</t>
        </is>
      </c>
      <c r="I193" s="15" t="inlineStr">
        <is>
          <t>1</t>
        </is>
      </c>
      <c r="J1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18" t="inlineStr"/>
      <c r="L193" s="18" t="inlineStr">
        <is>
          <t>General Therapeutics</t>
        </is>
      </c>
      <c r="M193" s="18" t="inlineStr">
        <is>
          <t>Clinic</t>
        </is>
      </c>
      <c r="N193" s="18" t="inlineStr">
        <is>
          <t>PLE-CC1 ปี 2566 Day 2 ข้อ 65</t>
        </is>
      </c>
      <c r="O193" s="18" t="inlineStr">
        <is>
          <t>ข้อสอบจริง</t>
        </is>
      </c>
      <c r="P193" s="18" t="inlineStr">
        <is>
          <t>ปี 2566</t>
        </is>
      </c>
    </row>
    <row r="194">
      <c r="A194" s="15" t="inlineStr">
        <is>
          <t>216</t>
        </is>
      </c>
      <c r="B194" s="18" t="inlineStr">
        <is>
          <t>มีเพศสัมพันธ์โดยไม่ได้ป้องกัน</t>
        </is>
      </c>
      <c r="C194" s="18" t="inlineStr"/>
      <c r="D194" s="18" t="inlineStr">
        <is>
          <t>Dimercaprol (BAL) 3 mg/kg IM</t>
        </is>
      </c>
      <c r="E194" s="18" t="inlineStr">
        <is>
          <t>Ethanol 10% IV infusion for Methanol poisoning</t>
        </is>
      </c>
      <c r="F194" s="18" t="inlineStr">
        <is>
          <t>Fomepizole 15 mg/kg IV loading</t>
        </is>
      </c>
      <c r="G194" s="18" t="inlineStr">
        <is>
          <t>N-acetylcysteine (NAC) IV infusion protocol</t>
        </is>
      </c>
      <c r="H194" s="18" t="inlineStr">
        <is>
          <t>Atropine sulfate 2 mg IV Q5-10 min</t>
        </is>
      </c>
      <c r="I194" s="15" t="inlineStr">
        <is>
          <t>1</t>
        </is>
      </c>
      <c r="J1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 s="18" t="inlineStr"/>
      <c r="L194" s="18" t="inlineStr">
        <is>
          <t>General Therapeutics</t>
        </is>
      </c>
      <c r="M194" s="18" t="inlineStr">
        <is>
          <t>Clinic</t>
        </is>
      </c>
      <c r="N194" s="18" t="inlineStr">
        <is>
          <t>PLE-CC1 ปี 2566 Day 2 ข้อ 2</t>
        </is>
      </c>
      <c r="O194" s="18" t="inlineStr">
        <is>
          <t>ข้อสอบจริง</t>
        </is>
      </c>
      <c r="P194" s="18" t="inlineStr">
        <is>
          <t>ปี 2566</t>
        </is>
      </c>
    </row>
    <row r="195">
      <c r="A195" s="15" t="inlineStr">
        <is>
          <t>217</t>
        </is>
      </c>
      <c r="B195" s="18" t="inlineStr">
        <is>
          <t>สวนล้างช่องคลอดบ่อยๆ</t>
        </is>
      </c>
      <c r="C195" s="18" t="inlineStr"/>
      <c r="D195" s="18" t="inlineStr">
        <is>
          <t>N-acetylcysteine (NAC) IV infusion protocol</t>
        </is>
      </c>
      <c r="E195" s="18" t="inlineStr">
        <is>
          <t>Atropine sulfate 2 mg IV Q5-10 min</t>
        </is>
      </c>
      <c r="F195" s="18" t="inlineStr">
        <is>
          <t>Pralidoxime (2-PAM) 1-2 g IV over 30 min</t>
        </is>
      </c>
      <c r="G195" s="18" t="inlineStr">
        <is>
          <t>Naloxone 0.4 mg IV stat</t>
        </is>
      </c>
      <c r="H195" s="18" t="inlineStr">
        <is>
          <t>Flumazenil 0.2 mg IV stat</t>
        </is>
      </c>
      <c r="I195" s="15" t="inlineStr">
        <is>
          <t>1</t>
        </is>
      </c>
      <c r="J1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 s="18" t="inlineStr"/>
      <c r="L195" s="18" t="inlineStr">
        <is>
          <t>General Therapeutics</t>
        </is>
      </c>
      <c r="M195" s="18" t="inlineStr">
        <is>
          <t>Clinic</t>
        </is>
      </c>
      <c r="N195" s="18" t="inlineStr">
        <is>
          <t>PLE-CC1 ปี 2566 Day 2 ข้อ 4</t>
        </is>
      </c>
      <c r="O195" s="18" t="inlineStr">
        <is>
          <t>ข้อสอบจริง</t>
        </is>
      </c>
      <c r="P195" s="18" t="inlineStr">
        <is>
          <t>ปี 2566</t>
        </is>
      </c>
    </row>
    <row r="196">
      <c r="A196" s="15" t="inlineStr">
        <is>
          <t>218</t>
        </is>
      </c>
      <c r="B196" s="18" t="inlineStr">
        <is>
          <t>Dapaglifozin</t>
        </is>
      </c>
      <c r="C196" s="18" t="inlineStr"/>
      <c r="D196" s="18" t="inlineStr">
        <is>
          <t>Naloxone 0.4 mg IV stat</t>
        </is>
      </c>
      <c r="E196" s="18" t="inlineStr">
        <is>
          <t>Flumazenil 0.2 mg IV stat</t>
        </is>
      </c>
      <c r="F196" s="18" t="inlineStr">
        <is>
          <t>Vitamin K1 (Phytomenadione) 10 mg IV slow</t>
        </is>
      </c>
      <c r="G196" s="18" t="inlineStr">
        <is>
          <t>Sodium thiosulfate 25% 50 mL IV</t>
        </is>
      </c>
      <c r="H196" s="18" t="inlineStr">
        <is>
          <t>Calcium disodium EDTA 1 g IV</t>
        </is>
      </c>
      <c r="I196" s="15" t="inlineStr">
        <is>
          <t>1</t>
        </is>
      </c>
      <c r="J1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 s="18" t="inlineStr"/>
      <c r="L196" s="18" t="inlineStr">
        <is>
          <t>General Therapeutics</t>
        </is>
      </c>
      <c r="M196" s="18" t="inlineStr">
        <is>
          <t>Clinic</t>
        </is>
      </c>
      <c r="N196" s="18" t="inlineStr">
        <is>
          <t>PLE-CC1 ปี 2566 Day 2 ข้อ 4</t>
        </is>
      </c>
      <c r="O196" s="18" t="inlineStr">
        <is>
          <t>ข้อสอบจริง</t>
        </is>
      </c>
      <c r="P196" s="18" t="inlineStr">
        <is>
          <t>ปี 2566</t>
        </is>
      </c>
    </row>
    <row r="197">
      <c r="A197" s="15" t="inlineStr">
        <is>
          <t>219</t>
        </is>
      </c>
      <c r="B197" s="18" t="inlineStr">
        <is>
          <t>ข้างบ้านก่อสร้าง</t>
        </is>
      </c>
      <c r="C197" s="18" t="inlineStr"/>
      <c r="D197" s="18" t="inlineStr">
        <is>
          <t>Sodium thiosulfate 25% 50 mL IV</t>
        </is>
      </c>
      <c r="E197" s="18" t="inlineStr">
        <is>
          <t>Calcium disodium EDTA 1 g IV</t>
        </is>
      </c>
      <c r="F197" s="18" t="inlineStr">
        <is>
          <t>Desferrioxamine 1 g IM/IV</t>
        </is>
      </c>
      <c r="G197" s="18" t="inlineStr">
        <is>
          <t>Dimercaprol (BAL) 3 mg/kg IM</t>
        </is>
      </c>
      <c r="H197" s="18" t="inlineStr">
        <is>
          <t>Ethanol 10% IV infusion for Methanol poisoning</t>
        </is>
      </c>
      <c r="I197" s="15" t="inlineStr">
        <is>
          <t>1</t>
        </is>
      </c>
      <c r="J1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18" t="inlineStr"/>
      <c r="L197" s="18" t="inlineStr">
        <is>
          <t>General Therapeutics</t>
        </is>
      </c>
      <c r="M197" s="18" t="inlineStr">
        <is>
          <t>Clinic</t>
        </is>
      </c>
      <c r="N197" s="18" t="inlineStr">
        <is>
          <t>PLE-CC1 ปี 2566 Day 2 ข้อ 4</t>
        </is>
      </c>
      <c r="O197" s="18" t="inlineStr">
        <is>
          <t>ข้อสอบจริง</t>
        </is>
      </c>
      <c r="P197" s="18" t="inlineStr">
        <is>
          <t>ปี 2566</t>
        </is>
      </c>
    </row>
    <row r="198">
      <c r="A198" s="15" t="inlineStr">
        <is>
          <t>220</t>
        </is>
      </c>
      <c r="B198" s="18" t="inlineStr">
        <is>
          <t>pseudoephedrine</t>
        </is>
      </c>
      <c r="C198" s="18" t="inlineStr"/>
      <c r="D198" s="18" t="inlineStr">
        <is>
          <t>การปฏิบัติทางเภสัชกรรมชุมชน (Good Pharmacy Practice: GPP)</t>
        </is>
      </c>
      <c r="E198" s="18" t="inlineStr">
        <is>
          <t>บัญชียาหลักแห่งชาติ (National List of Essential Medicines: NLEM)</t>
        </is>
      </c>
      <c r="F198" s="18" t="inlineStr">
        <is>
          <t>เกณฑ์จริยธรรมว่าด้วยการส่งเสริมการขายยาของกระทรวงสาธารณสุข</t>
        </is>
      </c>
      <c r="G198" s="18" t="inlineStr">
        <is>
          <t>พ.ร.บ. ยา พ.ศ. 2510 (การจำหน่ายยาอันตรายและยาควบคุมพิเศษ)</t>
        </is>
      </c>
      <c r="H198" s="18" t="inlineStr">
        <is>
          <t>พ.ร.บ. ยาเสพติดให้โทษ พ.ศ. 2522 (ยาเสพติดให้โทษประเภท 2 และ 3)</t>
        </is>
      </c>
      <c r="I198" s="15" t="inlineStr">
        <is>
          <t>1</t>
        </is>
      </c>
      <c r="J198"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18" t="inlineStr"/>
      <c r="L198" s="18" t="inlineStr">
        <is>
          <t>Pharmacy Laws &amp; Ethics</t>
        </is>
      </c>
      <c r="M198" s="18" t="inlineStr">
        <is>
          <t>SAP</t>
        </is>
      </c>
      <c r="N198" s="18" t="inlineStr">
        <is>
          <t>PLE-CC1 ปี 2566 Day 2 ข้อ 3</t>
        </is>
      </c>
      <c r="O198" s="18" t="inlineStr">
        <is>
          <t>ข้อสอบจริง</t>
        </is>
      </c>
      <c r="P198" s="18" t="inlineStr">
        <is>
          <t>ปี 2566</t>
        </is>
      </c>
    </row>
    <row r="199">
      <c r="A199" s="15" t="inlineStr">
        <is>
          <t>221</t>
        </is>
      </c>
      <c r="B199" s="18" t="inlineStr">
        <is>
          <t>Weight variation/Weight variation</t>
        </is>
      </c>
      <c r="C199" s="18" t="inlineStr"/>
      <c r="D199" s="18" t="inlineStr">
        <is>
          <t>N-acetylcysteine (NAC) IV infusion protocol</t>
        </is>
      </c>
      <c r="E199" s="18" t="inlineStr">
        <is>
          <t>Atropine sulfate 2 mg IV Q5-10 min</t>
        </is>
      </c>
      <c r="F199" s="18" t="inlineStr">
        <is>
          <t>Pralidoxime (2-PAM) 1-2 g IV over 30 min</t>
        </is>
      </c>
      <c r="G199" s="18" t="inlineStr">
        <is>
          <t>Naloxone 0.4 mg IV stat</t>
        </is>
      </c>
      <c r="H199" s="18" t="inlineStr">
        <is>
          <t>Flumazenil 0.2 mg IV stat</t>
        </is>
      </c>
      <c r="I199" s="15" t="inlineStr">
        <is>
          <t>1</t>
        </is>
      </c>
      <c r="J19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 s="18" t="inlineStr"/>
      <c r="L199" s="18" t="inlineStr">
        <is>
          <t>General Therapeutics</t>
        </is>
      </c>
      <c r="M199" s="18" t="inlineStr">
        <is>
          <t>Clinic</t>
        </is>
      </c>
      <c r="N199" s="18" t="inlineStr">
        <is>
          <t>PLE-CC1 ปี 2566 Day 2 ข้อ 1</t>
        </is>
      </c>
      <c r="O199" s="18" t="inlineStr">
        <is>
          <t>ข้อสอบจริง</t>
        </is>
      </c>
      <c r="P199" s="18" t="inlineStr">
        <is>
          <t>ปี 2566</t>
        </is>
      </c>
    </row>
    <row r="200">
      <c r="A200" s="15" t="inlineStr">
        <is>
          <t>222</t>
        </is>
      </c>
      <c r="B200" s="18" t="inlineStr">
        <is>
          <t>Content of uniformity/Content of uniformity</t>
        </is>
      </c>
      <c r="C200" s="18" t="inlineStr"/>
      <c r="D200" s="18" t="inlineStr">
        <is>
          <t>Naloxone 0.4 mg IV stat</t>
        </is>
      </c>
      <c r="E200" s="18" t="inlineStr">
        <is>
          <t>Flumazenil 0.2 mg IV stat</t>
        </is>
      </c>
      <c r="F200" s="18" t="inlineStr">
        <is>
          <t>Vitamin K1 (Phytomenadione) 10 mg IV slow</t>
        </is>
      </c>
      <c r="G200" s="18" t="inlineStr">
        <is>
          <t>Sodium thiosulfate 25% 50 mL IV</t>
        </is>
      </c>
      <c r="H200" s="18" t="inlineStr">
        <is>
          <t>Calcium disodium EDTA 1 g IV</t>
        </is>
      </c>
      <c r="I200" s="15" t="inlineStr">
        <is>
          <t>1</t>
        </is>
      </c>
      <c r="J2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0" s="18" t="inlineStr"/>
      <c r="L200" s="18" t="inlineStr">
        <is>
          <t>General Therapeutics</t>
        </is>
      </c>
      <c r="M200" s="18" t="inlineStr">
        <is>
          <t>Clinic</t>
        </is>
      </c>
      <c r="N200" s="18" t="inlineStr">
        <is>
          <t>PLE-CC1 ปี 2566 Day 2 ข้อ 2</t>
        </is>
      </c>
      <c r="O200" s="18" t="inlineStr">
        <is>
          <t>ข้อสอบจริง</t>
        </is>
      </c>
      <c r="P200" s="18" t="inlineStr">
        <is>
          <t>ปี 2566</t>
        </is>
      </c>
    </row>
    <row r="201">
      <c r="A201" s="15" t="inlineStr">
        <is>
          <t>223</t>
        </is>
      </c>
      <c r="B201" s="18" t="inlineStr">
        <is>
          <t>Content of uniformity/Weight variation</t>
        </is>
      </c>
      <c r="C201" s="18" t="inlineStr"/>
      <c r="D201" s="18" t="inlineStr">
        <is>
          <t>Sodium thiosulfate 25% 50 mL IV</t>
        </is>
      </c>
      <c r="E201" s="18" t="inlineStr">
        <is>
          <t>Calcium disodium EDTA 1 g IV</t>
        </is>
      </c>
      <c r="F201" s="18" t="inlineStr">
        <is>
          <t>Desferrioxamine 1 g IM/IV</t>
        </is>
      </c>
      <c r="G201" s="18" t="inlineStr">
        <is>
          <t>Dimercaprol (BAL) 3 mg/kg IM</t>
        </is>
      </c>
      <c r="H201" s="18" t="inlineStr">
        <is>
          <t>Ethanol 10% IV infusion for Methanol poisoning</t>
        </is>
      </c>
      <c r="I201" s="15" t="inlineStr">
        <is>
          <t>1</t>
        </is>
      </c>
      <c r="J20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 s="18" t="inlineStr"/>
      <c r="L201" s="18" t="inlineStr">
        <is>
          <t>General Therapeutics</t>
        </is>
      </c>
      <c r="M201" s="18" t="inlineStr">
        <is>
          <t>Clinic</t>
        </is>
      </c>
      <c r="N201" s="18" t="inlineStr">
        <is>
          <t>PLE-CC1 ปี 2566 Day 2 ข้อ 3</t>
        </is>
      </c>
      <c r="O201" s="18" t="inlineStr">
        <is>
          <t>ข้อสอบจริง</t>
        </is>
      </c>
      <c r="P201" s="18" t="inlineStr">
        <is>
          <t>ปี 2566</t>
        </is>
      </c>
    </row>
    <row r="202">
      <c r="A202" s="15" t="inlineStr">
        <is>
          <t>224</t>
        </is>
      </c>
      <c r="B202" s="18" t="inlineStr">
        <is>
          <t>ใบสำคัญในการขึ้นทะเบียนตำรับยา(ไม่แน่ใจว่าใช่ไหม) ที่ขึ้นทะเบียนวันที่10 มกราคม2566 จะสิ้นอายุวันที่เท่าไหร่ ตัวเลือก</t>
        </is>
      </c>
      <c r="C202" s="18" t="inlineStr"/>
      <c r="D202" s="18" t="inlineStr">
        <is>
          <t>Dimercaprol (BAL) 3 mg/kg IM</t>
        </is>
      </c>
      <c r="E202" s="18" t="inlineStr">
        <is>
          <t>Ethanol 10% IV infusion for Methanol poisoning</t>
        </is>
      </c>
      <c r="F202" s="18" t="inlineStr">
        <is>
          <t>Fomepizole 15 mg/kg IV loading</t>
        </is>
      </c>
      <c r="G202" s="18" t="inlineStr">
        <is>
          <t>N-acetylcysteine (NAC) IV infusion protocol</t>
        </is>
      </c>
      <c r="H202" s="18" t="inlineStr">
        <is>
          <t>Atropine sulfate 2 mg IV Q5-10 min</t>
        </is>
      </c>
      <c r="I202" s="15" t="inlineStr">
        <is>
          <t>1</t>
        </is>
      </c>
      <c r="J2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 s="18" t="inlineStr"/>
      <c r="L202" s="18" t="inlineStr">
        <is>
          <t>General Therapeutics</t>
        </is>
      </c>
      <c r="M202" s="18" t="inlineStr">
        <is>
          <t>Clinic</t>
        </is>
      </c>
      <c r="N202" s="18" t="inlineStr">
        <is>
          <t>PLE-CC1 ปี 2566 Day 2 ข้อ 72</t>
        </is>
      </c>
      <c r="O202" s="18" t="inlineStr">
        <is>
          <t>ข้อสอบจริง</t>
        </is>
      </c>
      <c r="P202" s="18" t="inlineStr">
        <is>
          <t>ปี 2566</t>
        </is>
      </c>
    </row>
    <row r="203">
      <c r="A203" s="15" t="inlineStr">
        <is>
          <t>225</t>
        </is>
      </c>
      <c r="B203" s="18" t="inlineStr">
        <is>
          <t>31 ธันกวาคม2573</t>
        </is>
      </c>
      <c r="C203" s="18" t="inlineStr"/>
      <c r="D203" s="18" t="inlineStr">
        <is>
          <t>N-acetylcysteine (NAC) IV infusion protocol</t>
        </is>
      </c>
      <c r="E203" s="18" t="inlineStr">
        <is>
          <t>Atropine sulfate 2 mg IV Q5-10 min</t>
        </is>
      </c>
      <c r="F203" s="18" t="inlineStr">
        <is>
          <t>Pralidoxime (2-PAM) 1-2 g IV over 30 min</t>
        </is>
      </c>
      <c r="G203" s="18" t="inlineStr">
        <is>
          <t>Naloxone 0.4 mg IV stat</t>
        </is>
      </c>
      <c r="H203" s="18" t="inlineStr">
        <is>
          <t>Flumazenil 0.2 mg IV stat</t>
        </is>
      </c>
      <c r="I203" s="15" t="inlineStr">
        <is>
          <t>1</t>
        </is>
      </c>
      <c r="J20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 s="18" t="inlineStr"/>
      <c r="L203" s="18" t="inlineStr">
        <is>
          <t>General Therapeutics</t>
        </is>
      </c>
      <c r="M203" s="18" t="inlineStr">
        <is>
          <t>Clinic</t>
        </is>
      </c>
      <c r="N203" s="18" t="inlineStr">
        <is>
          <t>PLE-CC1 ปี 2566 Day 2 ข้อ 5</t>
        </is>
      </c>
      <c r="O203" s="18" t="inlineStr">
        <is>
          <t>ข้อสอบจริง</t>
        </is>
      </c>
      <c r="P203" s="18" t="inlineStr">
        <is>
          <t>ปี 2566</t>
        </is>
      </c>
    </row>
    <row r="204">
      <c r="A204" s="15" t="inlineStr">
        <is>
          <t>226</t>
        </is>
      </c>
      <c r="B204" s="18" t="inlineStr">
        <is>
          <t>“ เกียรตินิยมอันดับ1 ”</t>
        </is>
      </c>
      <c r="C204" s="18" t="inlineStr"/>
      <c r="D204" s="18" t="inlineStr">
        <is>
          <t>Naloxone 0.4 mg IV stat</t>
        </is>
      </c>
      <c r="E204" s="18" t="inlineStr">
        <is>
          <t>Flumazenil 0.2 mg IV stat</t>
        </is>
      </c>
      <c r="F204" s="18" t="inlineStr">
        <is>
          <t>Vitamin K1 (Phytomenadione) 10 mg IV slow</t>
        </is>
      </c>
      <c r="G204" s="18" t="inlineStr">
        <is>
          <t>Sodium thiosulfate 25% 50 mL IV</t>
        </is>
      </c>
      <c r="H204" s="18" t="inlineStr">
        <is>
          <t>Calcium disodium EDTA 1 g IV</t>
        </is>
      </c>
      <c r="I204" s="15" t="inlineStr">
        <is>
          <t>1</t>
        </is>
      </c>
      <c r="J2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 s="18" t="inlineStr"/>
      <c r="L204" s="18" t="inlineStr">
        <is>
          <t>General Therapeutics</t>
        </is>
      </c>
      <c r="M204" s="18" t="inlineStr">
        <is>
          <t>Clinic</t>
        </is>
      </c>
      <c r="N204" s="18" t="inlineStr">
        <is>
          <t>PLE-CC1 ปี 2566 Day 2 ข้อ 1</t>
        </is>
      </c>
      <c r="O204" s="18" t="inlineStr">
        <is>
          <t>ข้อสอบจริง</t>
        </is>
      </c>
      <c r="P204" s="18" t="inlineStr">
        <is>
          <t>ปี 2566</t>
        </is>
      </c>
    </row>
    <row r="205">
      <c r="A205" s="15" t="inlineStr">
        <is>
          <t>227</t>
        </is>
      </c>
      <c r="B205" s="18" t="inlineStr">
        <is>
          <t>“เวลาทำการ07.00 - 19.00 น.”</t>
        </is>
      </c>
      <c r="C205" s="18" t="inlineStr"/>
      <c r="D205" s="18" t="inlineStr">
        <is>
          <t>Sodium thiosulfate 25% 50 mL IV</t>
        </is>
      </c>
      <c r="E205" s="18" t="inlineStr">
        <is>
          <t>Calcium disodium EDTA 1 g IV</t>
        </is>
      </c>
      <c r="F205" s="18" t="inlineStr">
        <is>
          <t>Desferrioxamine 1 g IM/IV</t>
        </is>
      </c>
      <c r="G205" s="18" t="inlineStr">
        <is>
          <t>Dimercaprol (BAL) 3 mg/kg IM</t>
        </is>
      </c>
      <c r="H205" s="18" t="inlineStr">
        <is>
          <t>Ethanol 10% IV infusion for Methanol poisoning</t>
        </is>
      </c>
      <c r="I205" s="15" t="inlineStr">
        <is>
          <t>1</t>
        </is>
      </c>
      <c r="J2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 s="18" t="inlineStr"/>
      <c r="L205" s="18" t="inlineStr">
        <is>
          <t>General Therapeutics</t>
        </is>
      </c>
      <c r="M205" s="18" t="inlineStr">
        <is>
          <t>Clinic</t>
        </is>
      </c>
      <c r="N205" s="18" t="inlineStr">
        <is>
          <t>PLE-CC1 ปี 2566 Day 2 ข้อ 3</t>
        </is>
      </c>
      <c r="O205" s="18" t="inlineStr">
        <is>
          <t>ข้อสอบจริง</t>
        </is>
      </c>
      <c r="P205" s="18" t="inlineStr">
        <is>
          <t>ปี 2566</t>
        </is>
      </c>
    </row>
    <row r="206">
      <c r="A206" s="15" t="inlineStr">
        <is>
          <t>228</t>
        </is>
      </c>
      <c r="B206" s="18" t="inlineStr">
        <is>
          <t>“ยาดีราคาถูก</t>
        </is>
      </c>
      <c r="C206" s="18" t="inlineStr"/>
      <c r="D206" s="18" t="inlineStr">
        <is>
          <t>Dimercaprol (BAL) 3 mg/kg IM</t>
        </is>
      </c>
      <c r="E206" s="18" t="inlineStr">
        <is>
          <t>Ethanol 10% IV infusion for Methanol poisoning</t>
        </is>
      </c>
      <c r="F206" s="18" t="inlineStr">
        <is>
          <t>Fomepizole 15 mg/kg IV loading</t>
        </is>
      </c>
      <c r="G206" s="18" t="inlineStr">
        <is>
          <t>N-acetylcysteine (NAC) IV infusion protocol</t>
        </is>
      </c>
      <c r="H206" s="18" t="inlineStr">
        <is>
          <t>Atropine sulfate 2 mg IV Q5-10 min</t>
        </is>
      </c>
      <c r="I206" s="15" t="inlineStr">
        <is>
          <t>1</t>
        </is>
      </c>
      <c r="J2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18" t="inlineStr"/>
      <c r="L206" s="18" t="inlineStr">
        <is>
          <t>General Therapeutics</t>
        </is>
      </c>
      <c r="M206" s="18" t="inlineStr">
        <is>
          <t>Clinic</t>
        </is>
      </c>
      <c r="N206" s="18" t="inlineStr">
        <is>
          <t>PLE-CC1 ปี 2566 Day 2 ข้อ 4</t>
        </is>
      </c>
      <c r="O206" s="18" t="inlineStr">
        <is>
          <t>ข้อสอบจริง</t>
        </is>
      </c>
      <c r="P206" s="18" t="inlineStr">
        <is>
          <t>ปี 2566</t>
        </is>
      </c>
    </row>
    <row r="207">
      <c r="A207" s="15" t="inlineStr">
        <is>
          <t>229</t>
        </is>
      </c>
      <c r="B207" s="18" t="inlineStr">
        <is>
          <t>ผู้ป่วยหญิงโรคอ้วนสูง160 หนัก70 รอบเอว33 นิ้วเกณฑ์ใดที่ชี้ว่าผู้ป่วยเป็นโรคอ้วน ตัวเลือก</t>
        </is>
      </c>
      <c r="C207" s="18" t="inlineStr"/>
      <c r="D207" s="18" t="inlineStr">
        <is>
          <t>N-acetylcysteine (NAC) IV infusion protocol</t>
        </is>
      </c>
      <c r="E207" s="18" t="inlineStr">
        <is>
          <t>Atropine sulfate 2 mg IV Q5-10 min</t>
        </is>
      </c>
      <c r="F207" s="18" t="inlineStr">
        <is>
          <t>Pralidoxime (2-PAM) 1-2 g IV over 30 min</t>
        </is>
      </c>
      <c r="G207" s="18" t="inlineStr">
        <is>
          <t>Naloxone 0.4 mg IV stat</t>
        </is>
      </c>
      <c r="H207" s="18" t="inlineStr">
        <is>
          <t>Flumazenil 0.2 mg IV stat</t>
        </is>
      </c>
      <c r="I207" s="15" t="inlineStr">
        <is>
          <t>1</t>
        </is>
      </c>
      <c r="J2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 s="18" t="inlineStr"/>
      <c r="L207" s="18" t="inlineStr">
        <is>
          <t>General Therapeutics</t>
        </is>
      </c>
      <c r="M207" s="18" t="inlineStr">
        <is>
          <t>Clinic</t>
        </is>
      </c>
      <c r="N207" s="18" t="inlineStr">
        <is>
          <t>PLE-CC1 ปี 2566 Day 2 ข้อ 74</t>
        </is>
      </c>
      <c r="O207" s="18" t="inlineStr">
        <is>
          <t>ข้อสอบจริง</t>
        </is>
      </c>
      <c r="P207" s="18" t="inlineStr">
        <is>
          <t>ปี 2566</t>
        </is>
      </c>
    </row>
    <row r="208">
      <c r="A208" s="15" t="inlineStr">
        <is>
          <t>230</t>
        </is>
      </c>
      <c r="B208" s="18" t="inlineStr">
        <is>
          <t>สัดส่วรน้ำหนักต่อส่วนสูงลดลง5%</t>
        </is>
      </c>
      <c r="C208" s="18" t="inlineStr"/>
      <c r="D208" s="18" t="inlineStr">
        <is>
          <t>Naloxone 0.4 mg IV stat</t>
        </is>
      </c>
      <c r="E208" s="18" t="inlineStr">
        <is>
          <t>Flumazenil 0.2 mg IV stat</t>
        </is>
      </c>
      <c r="F208" s="18" t="inlineStr">
        <is>
          <t>Vitamin K1 (Phytomenadione) 10 mg IV slow</t>
        </is>
      </c>
      <c r="G208" s="18" t="inlineStr">
        <is>
          <t>Sodium thiosulfate 25% 50 mL IV</t>
        </is>
      </c>
      <c r="H208" s="18" t="inlineStr">
        <is>
          <t>Calcium disodium EDTA 1 g IV</t>
        </is>
      </c>
      <c r="I208" s="15" t="inlineStr">
        <is>
          <t>1</t>
        </is>
      </c>
      <c r="J2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 s="18" t="inlineStr"/>
      <c r="L208" s="18" t="inlineStr">
        <is>
          <t>General Therapeutics</t>
        </is>
      </c>
      <c r="M208" s="18" t="inlineStr">
        <is>
          <t>Clinic</t>
        </is>
      </c>
      <c r="N208" s="18" t="inlineStr">
        <is>
          <t>PLE-CC1 ปี 2566 Day 2 ข้อ 2</t>
        </is>
      </c>
      <c r="O208" s="18" t="inlineStr">
        <is>
          <t>ข้อสอบจริง</t>
        </is>
      </c>
      <c r="P208" s="18" t="inlineStr">
        <is>
          <t>ปี 2566</t>
        </is>
      </c>
    </row>
    <row r="209">
      <c r="A209" s="15" t="inlineStr">
        <is>
          <t>231</t>
        </is>
      </c>
      <c r="B209" s="18" t="inlineStr">
        <is>
          <t>น้ำหนักลดลงเหลือ55</t>
        </is>
      </c>
      <c r="C209" s="18" t="inlineStr"/>
      <c r="D209" s="18" t="inlineStr">
        <is>
          <t>Sodium thiosulfate 25% 50 mL IV</t>
        </is>
      </c>
      <c r="E209" s="18" t="inlineStr">
        <is>
          <t>Calcium disodium EDTA 1 g IV</t>
        </is>
      </c>
      <c r="F209" s="18" t="inlineStr">
        <is>
          <t>Desferrioxamine 1 g IM/IV</t>
        </is>
      </c>
      <c r="G209" s="18" t="inlineStr">
        <is>
          <t>Dimercaprol (BAL) 3 mg/kg IM</t>
        </is>
      </c>
      <c r="H209" s="18" t="inlineStr">
        <is>
          <t>Ethanol 10% IV infusion for Methanol poisoning</t>
        </is>
      </c>
      <c r="I209" s="15" t="inlineStr">
        <is>
          <t>1</t>
        </is>
      </c>
      <c r="J2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 s="18" t="inlineStr"/>
      <c r="L209" s="18" t="inlineStr">
        <is>
          <t>General Therapeutics</t>
        </is>
      </c>
      <c r="M209" s="18" t="inlineStr">
        <is>
          <t>Clinic</t>
        </is>
      </c>
      <c r="N209" s="18" t="inlineStr">
        <is>
          <t>PLE-CC1 ปี 2566 Day 2 ข้อ 3</t>
        </is>
      </c>
      <c r="O209" s="18" t="inlineStr">
        <is>
          <t>ข้อสอบจริง</t>
        </is>
      </c>
      <c r="P209" s="18" t="inlineStr">
        <is>
          <t>ปี 2566</t>
        </is>
      </c>
    </row>
    <row r="210">
      <c r="A210" s="15" t="inlineStr">
        <is>
          <t>232</t>
        </is>
      </c>
      <c r="B210" s="18" t="inlineStr">
        <is>
          <t>รอบเอวลดลงเหลือต่ำกว่า30นิ้ว</t>
        </is>
      </c>
      <c r="C210" s="18" t="inlineStr"/>
      <c r="D210" s="18" t="inlineStr">
        <is>
          <t>Dimercaprol (BAL) 3 mg/kg IM</t>
        </is>
      </c>
      <c r="E210" s="18" t="inlineStr">
        <is>
          <t>Ethanol 10% IV infusion for Methanol poisoning</t>
        </is>
      </c>
      <c r="F210" s="18" t="inlineStr">
        <is>
          <t>Fomepizole 15 mg/kg IV loading</t>
        </is>
      </c>
      <c r="G210" s="18" t="inlineStr">
        <is>
          <t>N-acetylcysteine (NAC) IV infusion protocol</t>
        </is>
      </c>
      <c r="H210" s="18" t="inlineStr">
        <is>
          <t>Atropine sulfate 2 mg IV Q5-10 min</t>
        </is>
      </c>
      <c r="I210" s="15" t="inlineStr">
        <is>
          <t>1</t>
        </is>
      </c>
      <c r="J2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18" t="inlineStr"/>
      <c r="L210" s="18" t="inlineStr">
        <is>
          <t>General Therapeutics</t>
        </is>
      </c>
      <c r="M210" s="18" t="inlineStr">
        <is>
          <t>Clinic</t>
        </is>
      </c>
      <c r="N210" s="18" t="inlineStr">
        <is>
          <t>PLE-CC1 ปี 2566 Day 2 ข้อ 4</t>
        </is>
      </c>
      <c r="O210" s="18" t="inlineStr">
        <is>
          <t>ข้อสอบจริง</t>
        </is>
      </c>
      <c r="P210" s="18" t="inlineStr">
        <is>
          <t>ปี 2566</t>
        </is>
      </c>
    </row>
    <row r="211">
      <c r="A211" s="15" t="inlineStr">
        <is>
          <t>233</t>
        </is>
      </c>
      <c r="B211" s="18" t="inlineStr">
        <is>
          <t>ผลิตที่เดียวกันได้</t>
        </is>
      </c>
      <c r="C211" s="18" t="inlineStr"/>
      <c r="D211" s="18" t="inlineStr">
        <is>
          <t>N-acetylcysteine (NAC) IV infusion protocol</t>
        </is>
      </c>
      <c r="E211" s="18" t="inlineStr">
        <is>
          <t>Atropine sulfate 2 mg IV Q5-10 min</t>
        </is>
      </c>
      <c r="F211" s="18" t="inlineStr">
        <is>
          <t>Pralidoxime (2-PAM) 1-2 g IV over 30 min</t>
        </is>
      </c>
      <c r="G211" s="18" t="inlineStr">
        <is>
          <t>Naloxone 0.4 mg IV stat</t>
        </is>
      </c>
      <c r="H211" s="18" t="inlineStr">
        <is>
          <t>Flumazenil 0.2 mg IV stat</t>
        </is>
      </c>
      <c r="I211" s="15" t="inlineStr">
        <is>
          <t>1</t>
        </is>
      </c>
      <c r="J2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 s="18" t="inlineStr"/>
      <c r="L211" s="18" t="inlineStr">
        <is>
          <t>General Therapeutics</t>
        </is>
      </c>
      <c r="M211" s="18" t="inlineStr">
        <is>
          <t>Clinic</t>
        </is>
      </c>
      <c r="N211" s="18" t="inlineStr">
        <is>
          <t>PLE-CC1 ปี 2566 Day 2 ข้อ 1</t>
        </is>
      </c>
      <c r="O211" s="18" t="inlineStr">
        <is>
          <t>ข้อสอบจริง</t>
        </is>
      </c>
      <c r="P211" s="18" t="inlineStr">
        <is>
          <t>ปี 2566</t>
        </is>
      </c>
    </row>
    <row r="212">
      <c r="A212" s="15" t="inlineStr">
        <is>
          <t>234</t>
        </is>
      </c>
      <c r="B212" s="18" t="inlineStr">
        <is>
          <t>แยกตึกแต่ใช้utilityร่วมกันได้</t>
        </is>
      </c>
      <c r="C212" s="18" t="inlineStr"/>
      <c r="D212" s="18" t="inlineStr">
        <is>
          <t>Naloxone 0.4 mg IV stat</t>
        </is>
      </c>
      <c r="E212" s="18" t="inlineStr">
        <is>
          <t>Flumazenil 0.2 mg IV stat</t>
        </is>
      </c>
      <c r="F212" s="18" t="inlineStr">
        <is>
          <t>Vitamin K1 (Phytomenadione) 10 mg IV slow</t>
        </is>
      </c>
      <c r="G212" s="18" t="inlineStr">
        <is>
          <t>Sodium thiosulfate 25% 50 mL IV</t>
        </is>
      </c>
      <c r="H212" s="18" t="inlineStr">
        <is>
          <t>Calcium disodium EDTA 1 g IV</t>
        </is>
      </c>
      <c r="I212" s="15" t="inlineStr">
        <is>
          <t>1</t>
        </is>
      </c>
      <c r="J2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 s="18" t="inlineStr"/>
      <c r="L212" s="18" t="inlineStr">
        <is>
          <t>General Therapeutics</t>
        </is>
      </c>
      <c r="M212" s="18" t="inlineStr">
        <is>
          <t>Clinic</t>
        </is>
      </c>
      <c r="N212" s="18" t="inlineStr">
        <is>
          <t>PLE-CC1 ปี 2566 Day 2 ข้อ 2</t>
        </is>
      </c>
      <c r="O212" s="18" t="inlineStr">
        <is>
          <t>ข้อสอบจริง</t>
        </is>
      </c>
      <c r="P212" s="18" t="inlineStr">
        <is>
          <t>ปี 2566</t>
        </is>
      </c>
    </row>
    <row r="213">
      <c r="A213" s="15" t="inlineStr">
        <is>
          <t>235</t>
        </is>
      </c>
      <c r="B213" s="18" t="inlineStr">
        <is>
          <t>แยกตึกและแยกutility</t>
        </is>
      </c>
      <c r="C213" s="18" t="inlineStr"/>
      <c r="D213" s="18" t="inlineStr">
        <is>
          <t>Sodium thiosulfate 25% 50 mL IV</t>
        </is>
      </c>
      <c r="E213" s="18" t="inlineStr">
        <is>
          <t>Calcium disodium EDTA 1 g IV</t>
        </is>
      </c>
      <c r="F213" s="18" t="inlineStr">
        <is>
          <t>Desferrioxamine 1 g IM/IV</t>
        </is>
      </c>
      <c r="G213" s="18" t="inlineStr">
        <is>
          <t>Dimercaprol (BAL) 3 mg/kg IM</t>
        </is>
      </c>
      <c r="H213" s="18" t="inlineStr">
        <is>
          <t>Ethanol 10% IV infusion for Methanol poisoning</t>
        </is>
      </c>
      <c r="I213" s="15" t="inlineStr">
        <is>
          <t>1</t>
        </is>
      </c>
      <c r="J2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18" t="inlineStr"/>
      <c r="L213" s="18" t="inlineStr">
        <is>
          <t>General Therapeutics</t>
        </is>
      </c>
      <c r="M213" s="18" t="inlineStr">
        <is>
          <t>Clinic</t>
        </is>
      </c>
      <c r="N213" s="18" t="inlineStr">
        <is>
          <t>PLE-CC1 ปี 2566 Day 2 ข้อ 3</t>
        </is>
      </c>
      <c r="O213" s="18" t="inlineStr">
        <is>
          <t>ข้อสอบจริง</t>
        </is>
      </c>
      <c r="P213" s="18" t="inlineStr">
        <is>
          <t>ปี 2566</t>
        </is>
      </c>
    </row>
    <row r="214">
      <c r="A214" s="15" t="inlineStr">
        <is>
          <t>236</t>
        </is>
      </c>
      <c r="B214" s="18" t="inlineStr">
        <is>
          <t>ตั้งสถานที่ให้ห่างกัน10 km</t>
        </is>
      </c>
      <c r="C214" s="18" t="inlineStr"/>
      <c r="D214" s="18" t="inlineStr">
        <is>
          <t>Dimercaprol (BAL) 3 mg/kg IM</t>
        </is>
      </c>
      <c r="E214" s="18" t="inlineStr">
        <is>
          <t>Ethanol 10% IV infusion for Methanol poisoning</t>
        </is>
      </c>
      <c r="F214" s="18" t="inlineStr">
        <is>
          <t>Fomepizole 15 mg/kg IV loading</t>
        </is>
      </c>
      <c r="G214" s="18" t="inlineStr">
        <is>
          <t>N-acetylcysteine (NAC) IV infusion protocol</t>
        </is>
      </c>
      <c r="H214" s="18" t="inlineStr">
        <is>
          <t>Atropine sulfate 2 mg IV Q5-10 min</t>
        </is>
      </c>
      <c r="I214" s="15" t="inlineStr">
        <is>
          <t>1</t>
        </is>
      </c>
      <c r="J2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 s="18" t="inlineStr"/>
      <c r="L214" s="18" t="inlineStr">
        <is>
          <t>General Therapeutics</t>
        </is>
      </c>
      <c r="M214" s="18" t="inlineStr">
        <is>
          <t>Clinic</t>
        </is>
      </c>
      <c r="N214" s="18" t="inlineStr">
        <is>
          <t>PLE-CC1 ปี 2566 Day 2 ข้อ 4</t>
        </is>
      </c>
      <c r="O214" s="18" t="inlineStr">
        <is>
          <t>ข้อสอบจริง</t>
        </is>
      </c>
      <c r="P214" s="18" t="inlineStr">
        <is>
          <t>ปี 2566</t>
        </is>
      </c>
    </row>
    <row r="215">
      <c r="A215" s="15" t="inlineStr">
        <is>
          <t>237</t>
        </is>
      </c>
      <c r="B215" s="18" t="inlineStr">
        <is>
          <t>ให้สูตรตำรับมาถามว่าข้อไหนเป็นสารก่อฟิล์ม ตัวเลือก</t>
        </is>
      </c>
      <c r="C215" s="18" t="inlineStr"/>
      <c r="D215" s="18" t="inlineStr">
        <is>
          <t>N-acetylcysteine (NAC) IV infusion protocol</t>
        </is>
      </c>
      <c r="E215" s="18" t="inlineStr">
        <is>
          <t>Atropine sulfate 2 mg IV Q5-10 min</t>
        </is>
      </c>
      <c r="F215" s="18" t="inlineStr">
        <is>
          <t>Pralidoxime (2-PAM) 1-2 g IV over 30 min</t>
        </is>
      </c>
      <c r="G215" s="18" t="inlineStr">
        <is>
          <t>Naloxone 0.4 mg IV stat</t>
        </is>
      </c>
      <c r="H215" s="18" t="inlineStr">
        <is>
          <t>Flumazenil 0.2 mg IV stat</t>
        </is>
      </c>
      <c r="I215" s="15" t="inlineStr">
        <is>
          <t>1</t>
        </is>
      </c>
      <c r="J2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 s="18" t="inlineStr"/>
      <c r="L215" s="18" t="inlineStr">
        <is>
          <t>General Therapeutics</t>
        </is>
      </c>
      <c r="M215" s="18" t="inlineStr">
        <is>
          <t>Clinic</t>
        </is>
      </c>
      <c r="N215" s="18" t="inlineStr">
        <is>
          <t>PLE-CC1 ปี 2566 Day 2 ข้อ 77</t>
        </is>
      </c>
      <c r="O215" s="18" t="inlineStr">
        <is>
          <t>ข้อสอบจริง</t>
        </is>
      </c>
      <c r="P215" s="18" t="inlineStr">
        <is>
          <t>ปี 2566</t>
        </is>
      </c>
    </row>
    <row r="216">
      <c r="A216" s="15" t="inlineStr">
        <is>
          <t>238</t>
        </is>
      </c>
      <c r="B216" s="18" t="inlineStr">
        <is>
          <t>ให้สูตรตำรับที่ไม่มีBinderมาถามว่าตำรับนี้น่าจะเกิดปัญหาใดมากที่สุด ตัวเลือก</t>
        </is>
      </c>
      <c r="C216" s="18" t="inlineStr"/>
      <c r="D216" s="18" t="inlineStr">
        <is>
          <t>Soft Gelatin Capsule encapsulation</t>
        </is>
      </c>
      <c r="E216" s="18" t="inlineStr">
        <is>
          <t>Microcrystalline cellulose</t>
        </is>
      </c>
      <c r="F216" s="18" t="inlineStr">
        <is>
          <t>Magnesium stearate (Lubricant 1%)</t>
        </is>
      </c>
      <c r="G216" s="18" t="inlineStr">
        <is>
          <t>Sodium starch glycolate (Superdisintegrant)</t>
        </is>
      </c>
      <c r="H216" s="18" t="inlineStr">
        <is>
          <t>Direct Compression tableting method</t>
        </is>
      </c>
      <c r="I216" s="15" t="inlineStr">
        <is>
          <t>1</t>
        </is>
      </c>
      <c r="J216" s="18"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6" s="18" t="inlineStr"/>
      <c r="L216" s="18" t="inlineStr">
        <is>
          <t>Solid Dosage Forms</t>
        </is>
      </c>
      <c r="M216" s="18" t="inlineStr">
        <is>
          <t>Product</t>
        </is>
      </c>
      <c r="N216" s="18" t="inlineStr">
        <is>
          <t>PLE-CC1 ปี 2566 Day 2 ข้อ 78</t>
        </is>
      </c>
      <c r="O216" s="18" t="inlineStr">
        <is>
          <t>ข้อสอบจริง</t>
        </is>
      </c>
      <c r="P216" s="18" t="inlineStr">
        <is>
          <t>ปี 2566</t>
        </is>
      </c>
    </row>
    <row r="217">
      <c r="A217" s="15" t="inlineStr">
        <is>
          <t>239</t>
        </is>
      </c>
      <c r="B217" s="18" t="inlineStr">
        <is>
          <t>Water soluble base</t>
        </is>
      </c>
      <c r="C217" s="18" t="inlineStr"/>
      <c r="D217" s="18" t="inlineStr">
        <is>
          <t>Sodium thiosulfate 25% 50 mL IV</t>
        </is>
      </c>
      <c r="E217" s="18" t="inlineStr">
        <is>
          <t>Calcium disodium EDTA 1 g IV</t>
        </is>
      </c>
      <c r="F217" s="18" t="inlineStr">
        <is>
          <t>Desferrioxamine 1 g IM/IV</t>
        </is>
      </c>
      <c r="G217" s="18" t="inlineStr">
        <is>
          <t>Dimercaprol (BAL) 3 mg/kg IM</t>
        </is>
      </c>
      <c r="H217" s="18" t="inlineStr">
        <is>
          <t>Ethanol 10% IV infusion for Methanol poisoning</t>
        </is>
      </c>
      <c r="I217" s="15" t="inlineStr">
        <is>
          <t>1</t>
        </is>
      </c>
      <c r="J2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 s="18" t="inlineStr"/>
      <c r="L217" s="18" t="inlineStr">
        <is>
          <t>General Therapeutics</t>
        </is>
      </c>
      <c r="M217" s="18" t="inlineStr">
        <is>
          <t>Clinic</t>
        </is>
      </c>
      <c r="N217" s="18" t="inlineStr">
        <is>
          <t>PLE-CC1 ปี 2566 Day 2 ข้อ 3</t>
        </is>
      </c>
      <c r="O217" s="18" t="inlineStr">
        <is>
          <t>ข้อสอบจริง</t>
        </is>
      </c>
      <c r="P217" s="18" t="inlineStr">
        <is>
          <t>ปี 2566</t>
        </is>
      </c>
    </row>
    <row r="218">
      <c r="A218" s="15" t="inlineStr">
        <is>
          <t>240</t>
        </is>
      </c>
      <c r="B218" s="18" t="inlineStr">
        <is>
          <t>ให้โครงสร้างMefenamic acid มาถามว่าข้อใดถูก ตัวเลือก</t>
        </is>
      </c>
      <c r="C218" s="18" t="inlineStr"/>
      <c r="D218" s="18" t="inlineStr">
        <is>
          <t>Dimercaprol (BAL) 3 mg/kg IM</t>
        </is>
      </c>
      <c r="E218" s="18" t="inlineStr">
        <is>
          <t>Ethanol 10% IV infusion for Methanol poisoning</t>
        </is>
      </c>
      <c r="F218" s="18" t="inlineStr">
        <is>
          <t>Fomepizole 15 mg/kg IV loading</t>
        </is>
      </c>
      <c r="G218" s="18" t="inlineStr">
        <is>
          <t>N-acetylcysteine (NAC) IV infusion protocol</t>
        </is>
      </c>
      <c r="H218" s="18" t="inlineStr">
        <is>
          <t>Atropine sulfate 2 mg IV Q5-10 min</t>
        </is>
      </c>
      <c r="I218" s="15" t="inlineStr">
        <is>
          <t>1</t>
        </is>
      </c>
      <c r="J2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 s="18" t="inlineStr"/>
      <c r="L218" s="18" t="inlineStr">
        <is>
          <t>General Therapeutics</t>
        </is>
      </c>
      <c r="M218" s="18" t="inlineStr">
        <is>
          <t>Clinic</t>
        </is>
      </c>
      <c r="N218" s="18" t="inlineStr">
        <is>
          <t>PLE-CC1 ปี 2566 Day 2 ข้อ 84</t>
        </is>
      </c>
      <c r="O218" s="18" t="inlineStr">
        <is>
          <t>ข้อสอบจริง</t>
        </is>
      </c>
      <c r="P218" s="18" t="inlineStr">
        <is>
          <t>ปี 2566</t>
        </is>
      </c>
    </row>
    <row r="219">
      <c r="A219" s="15" t="inlineStr">
        <is>
          <t>241</t>
        </is>
      </c>
      <c r="B219" s="18" t="inlineStr">
        <is>
          <t>เป็นยาNSAID ในกลุ่มanthranilic acid derivative</t>
        </is>
      </c>
      <c r="C219" s="18" t="inlineStr"/>
      <c r="D219" s="18" t="inlineStr">
        <is>
          <t>Colchicine 0.6 mg OD</t>
        </is>
      </c>
      <c r="E219" s="18" t="inlineStr">
        <is>
          <t>Naproxen 250 mg BID</t>
        </is>
      </c>
      <c r="F219" s="18" t="inlineStr">
        <is>
          <t>Allopurinol 100 mg OD</t>
        </is>
      </c>
      <c r="G219" s="18" t="inlineStr">
        <is>
          <t>Febuxostat 40 mg OD</t>
        </is>
      </c>
      <c r="H219" s="18" t="inlineStr">
        <is>
          <t>Celecoxib 200 mg OD</t>
        </is>
      </c>
      <c r="I219" s="15" t="inlineStr">
        <is>
          <t>1</t>
        </is>
      </c>
      <c r="J219" s="18"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9" s="18" t="inlineStr"/>
      <c r="L219" s="18" t="inlineStr">
        <is>
          <t>Musculoskeletal &amp; Joint</t>
        </is>
      </c>
      <c r="M219" s="18" t="inlineStr">
        <is>
          <t>Clinic</t>
        </is>
      </c>
      <c r="N219" s="18" t="inlineStr">
        <is>
          <t>PLE-CC1 ปี 2566 Day 2 ข้อ 1</t>
        </is>
      </c>
      <c r="O219" s="18" t="inlineStr">
        <is>
          <t>ข้อสอบจริง</t>
        </is>
      </c>
      <c r="P219" s="18" t="inlineStr">
        <is>
          <t>ปี 2566</t>
        </is>
      </c>
    </row>
    <row r="220">
      <c r="A220" s="15" t="inlineStr">
        <is>
          <t>242</t>
        </is>
      </c>
      <c r="B220" s="18" t="inlineStr">
        <is>
          <t>จับแบบirreversible</t>
        </is>
      </c>
      <c r="C220" s="18" t="inlineStr"/>
      <c r="D220" s="18" t="inlineStr">
        <is>
          <t>Naloxone 0.4 mg IV stat</t>
        </is>
      </c>
      <c r="E220" s="18" t="inlineStr">
        <is>
          <t>Flumazenil 0.2 mg IV stat</t>
        </is>
      </c>
      <c r="F220" s="18" t="inlineStr">
        <is>
          <t>Vitamin K1 (Phytomenadione) 10 mg IV slow</t>
        </is>
      </c>
      <c r="G220" s="18" t="inlineStr">
        <is>
          <t>Sodium thiosulfate 25% 50 mL IV</t>
        </is>
      </c>
      <c r="H220" s="18" t="inlineStr">
        <is>
          <t>Calcium disodium EDTA 1 g IV</t>
        </is>
      </c>
      <c r="I220" s="15" t="inlineStr">
        <is>
          <t>1</t>
        </is>
      </c>
      <c r="J2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 s="18" t="inlineStr"/>
      <c r="L220" s="18" t="inlineStr">
        <is>
          <t>General Therapeutics</t>
        </is>
      </c>
      <c r="M220" s="18" t="inlineStr">
        <is>
          <t>Clinic</t>
        </is>
      </c>
      <c r="N220" s="18" t="inlineStr">
        <is>
          <t>PLE-CC1 ปี 2566 Day 2 ข้อ 2</t>
        </is>
      </c>
      <c r="O220" s="18" t="inlineStr">
        <is>
          <t>ข้อสอบจริง</t>
        </is>
      </c>
      <c r="P220" s="18" t="inlineStr">
        <is>
          <t>ปี 2566</t>
        </is>
      </c>
    </row>
    <row r="221">
      <c r="A221" s="15" t="inlineStr">
        <is>
          <t>243</t>
        </is>
      </c>
      <c r="B221" s="18" t="inlineStr">
        <is>
          <t>หมู่COOHจับกับAmino group ที่enzyme พอดี</t>
        </is>
      </c>
      <c r="C221" s="18" t="inlineStr"/>
      <c r="D221" s="18" t="inlineStr">
        <is>
          <t>Sodium thiosulfate 25% 50 mL IV</t>
        </is>
      </c>
      <c r="E221" s="18" t="inlineStr">
        <is>
          <t>Calcium disodium EDTA 1 g IV</t>
        </is>
      </c>
      <c r="F221" s="18" t="inlineStr">
        <is>
          <t>Desferrioxamine 1 g IM/IV</t>
        </is>
      </c>
      <c r="G221" s="18" t="inlineStr">
        <is>
          <t>Dimercaprol (BAL) 3 mg/kg IM</t>
        </is>
      </c>
      <c r="H221" s="18" t="inlineStr">
        <is>
          <t>Ethanol 10% IV infusion for Methanol poisoning</t>
        </is>
      </c>
      <c r="I221" s="15" t="inlineStr">
        <is>
          <t>1</t>
        </is>
      </c>
      <c r="J2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18" t="inlineStr"/>
      <c r="L221" s="18" t="inlineStr">
        <is>
          <t>General Therapeutics</t>
        </is>
      </c>
      <c r="M221" s="18" t="inlineStr">
        <is>
          <t>Clinic</t>
        </is>
      </c>
      <c r="N221" s="18" t="inlineStr">
        <is>
          <t>PLE-CC1 ปี 2566 Day 2 ข้อ 3</t>
        </is>
      </c>
      <c r="O221" s="18" t="inlineStr">
        <is>
          <t>ข้อสอบจริง</t>
        </is>
      </c>
      <c r="P221" s="18" t="inlineStr">
        <is>
          <t>ปี 2566</t>
        </is>
      </c>
    </row>
    <row r="222">
      <c r="A222" s="15" t="inlineStr">
        <is>
          <t>244</t>
        </is>
      </c>
      <c r="B222" s="18" t="inlineStr">
        <is>
          <t>ที่16สัปดาห์การศึกษามีheterogeneity ต่ำมาก</t>
        </is>
      </c>
      <c r="C222" s="18" t="inlineStr"/>
      <c r="D222" s="18" t="inlineStr">
        <is>
          <t>Dimercaprol (BAL) 3 mg/kg IM</t>
        </is>
      </c>
      <c r="E222" s="18" t="inlineStr">
        <is>
          <t>Ethanol 10% IV infusion for Methanol poisoning</t>
        </is>
      </c>
      <c r="F222" s="18" t="inlineStr">
        <is>
          <t>Fomepizole 15 mg/kg IV loading</t>
        </is>
      </c>
      <c r="G222" s="18" t="inlineStr">
        <is>
          <t>N-acetylcysteine (NAC) IV infusion protocol</t>
        </is>
      </c>
      <c r="H222" s="18" t="inlineStr">
        <is>
          <t>Atropine sulfate 2 mg IV Q5-10 min</t>
        </is>
      </c>
      <c r="I222" s="15" t="inlineStr">
        <is>
          <t>1</t>
        </is>
      </c>
      <c r="J2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18" t="inlineStr"/>
      <c r="L222" s="18" t="inlineStr">
        <is>
          <t>General Therapeutics</t>
        </is>
      </c>
      <c r="M222" s="18" t="inlineStr">
        <is>
          <t>Clinic</t>
        </is>
      </c>
      <c r="N222" s="18" t="inlineStr">
        <is>
          <t>PLE-CC1 ปี 2566 Day 2 ข้อ 3</t>
        </is>
      </c>
      <c r="O222" s="18" t="inlineStr">
        <is>
          <t>ข้อสอบจริง</t>
        </is>
      </c>
      <c r="P222" s="18" t="inlineStr">
        <is>
          <t>ปี 2566</t>
        </is>
      </c>
    </row>
    <row r="223">
      <c r="A223" s="15" t="inlineStr">
        <is>
          <t>245</t>
        </is>
      </c>
      <c r="B223" s="18" t="inlineStr">
        <is>
          <t>Limit of detection</t>
        </is>
      </c>
      <c r="C223" s="18" t="inlineStr"/>
      <c r="D223" s="18" t="inlineStr">
        <is>
          <t>N-acetylcysteine (NAC) IV infusion protocol</t>
        </is>
      </c>
      <c r="E223" s="18" t="inlineStr">
        <is>
          <t>Atropine sulfate 2 mg IV Q5-10 min</t>
        </is>
      </c>
      <c r="F223" s="18" t="inlineStr">
        <is>
          <t>Pralidoxime (2-PAM) 1-2 g IV over 30 min</t>
        </is>
      </c>
      <c r="G223" s="18" t="inlineStr">
        <is>
          <t>Naloxone 0.4 mg IV stat</t>
        </is>
      </c>
      <c r="H223" s="18" t="inlineStr">
        <is>
          <t>Flumazenil 0.2 mg IV stat</t>
        </is>
      </c>
      <c r="I223" s="15" t="inlineStr">
        <is>
          <t>1</t>
        </is>
      </c>
      <c r="J2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 s="18" t="inlineStr"/>
      <c r="L223" s="18" t="inlineStr">
        <is>
          <t>General Therapeutics</t>
        </is>
      </c>
      <c r="M223" s="18" t="inlineStr">
        <is>
          <t>Clinic</t>
        </is>
      </c>
      <c r="N223" s="18" t="inlineStr">
        <is>
          <t>PLE-CC1 ปี 2566 Day 2 ข้อ 5</t>
        </is>
      </c>
      <c r="O223" s="18" t="inlineStr">
        <is>
          <t>ข้อสอบจริง</t>
        </is>
      </c>
      <c r="P223" s="18" t="inlineStr">
        <is>
          <t>ปี 2566</t>
        </is>
      </c>
    </row>
    <row r="224">
      <c r="A224" s="15" t="inlineStr">
        <is>
          <t>246</t>
        </is>
      </c>
      <c r="B224" s="18" t="inlineStr">
        <is>
          <t>จะทดสอบElemental impurity ใช้เครื่องมือไหน ตัวเลือก</t>
        </is>
      </c>
      <c r="C224" s="18" t="inlineStr"/>
      <c r="D224" s="18" t="inlineStr">
        <is>
          <t>Naloxone 0.4 mg IV stat</t>
        </is>
      </c>
      <c r="E224" s="18" t="inlineStr">
        <is>
          <t>Flumazenil 0.2 mg IV stat</t>
        </is>
      </c>
      <c r="F224" s="18" t="inlineStr">
        <is>
          <t>Vitamin K1 (Phytomenadione) 10 mg IV slow</t>
        </is>
      </c>
      <c r="G224" s="18" t="inlineStr">
        <is>
          <t>Sodium thiosulfate 25% 50 mL IV</t>
        </is>
      </c>
      <c r="H224" s="18" t="inlineStr">
        <is>
          <t>Calcium disodium EDTA 1 g IV</t>
        </is>
      </c>
      <c r="I224" s="15" t="inlineStr">
        <is>
          <t>1</t>
        </is>
      </c>
      <c r="J22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 s="18" t="inlineStr"/>
      <c r="L224" s="18" t="inlineStr">
        <is>
          <t>General Therapeutics</t>
        </is>
      </c>
      <c r="M224" s="18" t="inlineStr">
        <is>
          <t>Clinic</t>
        </is>
      </c>
      <c r="N224" s="18" t="inlineStr">
        <is>
          <t>PLE-CC1 ปี 2566 Day 2 ข้อ 90</t>
        </is>
      </c>
      <c r="O224" s="18" t="inlineStr">
        <is>
          <t>ข้อสอบจริง</t>
        </is>
      </c>
      <c r="P224" s="18" t="inlineStr">
        <is>
          <t>ปี 2566</t>
        </is>
      </c>
    </row>
    <row r="225">
      <c r="A225" s="15" t="inlineStr">
        <is>
          <t>247</t>
        </is>
      </c>
      <c r="B225" s="18" t="inlineStr">
        <is>
          <t>แพทย์สั่งKCl IV rate 40 mEq/hr โดยการผสมKCl 40 mL ลงในNSS ปริมาตร960 mL จากนั้นหมอสั่งให้บริหารอัตรา 80 mL/hr ถามว่าคนไข้รายนี้จะได้รับปริมาณKCl ต่อชั่วโมงเป็นเท่าไหร่ ตัวเลือก</t>
        </is>
      </c>
      <c r="C225" s="18" t="inlineStr"/>
      <c r="D225" s="18" t="inlineStr">
        <is>
          <t>Osmolarity (mOsmol/L) calculation</t>
        </is>
      </c>
      <c r="E225" s="18" t="inlineStr">
        <is>
          <t>Sodium Chloride Equivalent (E-value) Isotonic adjustment</t>
        </is>
      </c>
      <c r="F225" s="18" t="inlineStr">
        <is>
          <t>Creatinine Clearance via Cockcroft-Gault Equation</t>
        </is>
      </c>
      <c r="G225" s="18" t="inlineStr">
        <is>
          <t>Body Surface Area (BSA) via Mosteller formula</t>
        </is>
      </c>
      <c r="H225" s="18" t="inlineStr">
        <is>
          <t>Pediatric dose calculation via Clark / Young rule</t>
        </is>
      </c>
      <c r="I225" s="15" t="inlineStr">
        <is>
          <t>1</t>
        </is>
      </c>
      <c r="J225" s="18"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5" s="18" t="inlineStr"/>
      <c r="L225" s="18" t="inlineStr">
        <is>
          <t>Pharmaceutical Calculations</t>
        </is>
      </c>
      <c r="M225" s="18" t="inlineStr">
        <is>
          <t>Product</t>
        </is>
      </c>
      <c r="N225" s="18" t="inlineStr">
        <is>
          <t>PLE-CC1 ปี 2566 Day 2 ข้อ 92</t>
        </is>
      </c>
      <c r="O225" s="18" t="inlineStr">
        <is>
          <t>ข้อสอบจริง</t>
        </is>
      </c>
      <c r="P225" s="18" t="inlineStr">
        <is>
          <t>ปี 2566</t>
        </is>
      </c>
    </row>
    <row r="226">
      <c r="A226" s="15" t="inlineStr">
        <is>
          <t>248</t>
        </is>
      </c>
      <c r="B226" s="18" t="inlineStr">
        <is>
          <t>ถามActive form ของCyclophosphamide ตัวเลือก</t>
        </is>
      </c>
      <c r="C226" s="18" t="inlineStr"/>
      <c r="D226" s="18" t="inlineStr">
        <is>
          <t>Metoclopramide 10 mg TID</t>
        </is>
      </c>
      <c r="E226" s="18" t="inlineStr">
        <is>
          <t>Lorazepam 1 mg PO PRN</t>
        </is>
      </c>
      <c r="F226" s="18" t="inlineStr">
        <is>
          <t>Morphine 10 mg PO Q4H PRN</t>
        </is>
      </c>
      <c r="G226" s="18" t="inlineStr">
        <is>
          <t>Calcium folinate (Leucovorin) 50 mg IV</t>
        </is>
      </c>
      <c r="H226" s="18" t="inlineStr">
        <is>
          <t>Mesna 400 mg IV stat</t>
        </is>
      </c>
      <c r="I226" s="15" t="inlineStr">
        <is>
          <t>1</t>
        </is>
      </c>
      <c r="J226" s="18" t="inlineStr">
        <is>
          <t>✅ คำตอบที่ถูกต้อง: ข้อ ก. Metoclopramide 10 mg TID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Metoclopramide 10 mg TID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จ.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6" s="18" t="inlineStr"/>
      <c r="L226" s="18" t="inlineStr">
        <is>
          <t>Oncology &amp; Chemotherapy</t>
        </is>
      </c>
      <c r="M226" s="18" t="inlineStr">
        <is>
          <t>Clinic</t>
        </is>
      </c>
      <c r="N226" s="18" t="inlineStr">
        <is>
          <t>PLE-CC1 ปี 2566 Day 2 ข้อ 94</t>
        </is>
      </c>
      <c r="O226" s="18" t="inlineStr">
        <is>
          <t>ข้อสอบจริง</t>
        </is>
      </c>
      <c r="P226" s="18" t="inlineStr">
        <is>
          <t>ปี 2566</t>
        </is>
      </c>
    </row>
    <row r="227">
      <c r="A227" s="15" t="inlineStr">
        <is>
          <t>249</t>
        </is>
      </c>
      <c r="B227" s="18" t="inlineStr">
        <is>
          <t>น้ำหนักผงยา/100</t>
        </is>
      </c>
      <c r="C227" s="18" t="inlineStr"/>
      <c r="D227" s="18" t="inlineStr">
        <is>
          <t>N-acetylcysteine (NAC) IV infusion protocol</t>
        </is>
      </c>
      <c r="E227" s="18" t="inlineStr">
        <is>
          <t>Atropine sulfate 2 mg IV Q5-10 min</t>
        </is>
      </c>
      <c r="F227" s="18" t="inlineStr">
        <is>
          <t>Pralidoxime (2-PAM) 1-2 g IV over 30 min</t>
        </is>
      </c>
      <c r="G227" s="18" t="inlineStr">
        <is>
          <t>Naloxone 0.4 mg IV stat</t>
        </is>
      </c>
      <c r="H227" s="18" t="inlineStr">
        <is>
          <t>Flumazenil 0.2 mg IV stat</t>
        </is>
      </c>
      <c r="I227" s="15" t="inlineStr">
        <is>
          <t>1</t>
        </is>
      </c>
      <c r="J2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 s="18" t="inlineStr"/>
      <c r="L227" s="18" t="inlineStr">
        <is>
          <t>General Therapeutics</t>
        </is>
      </c>
      <c r="M227" s="18" t="inlineStr">
        <is>
          <t>Clinic</t>
        </is>
      </c>
      <c r="N227" s="18" t="inlineStr">
        <is>
          <t>PLE-CC1 ปี 2566 Day 2 ข้อ 1</t>
        </is>
      </c>
      <c r="O227" s="18" t="inlineStr">
        <is>
          <t>ข้อสอบจริง</t>
        </is>
      </c>
      <c r="P227" s="18" t="inlineStr">
        <is>
          <t>ปี 2566</t>
        </is>
      </c>
    </row>
    <row r="228">
      <c r="A228" s="15" t="inlineStr">
        <is>
          <t>250</t>
        </is>
      </c>
      <c r="B228" s="18" t="inlineStr">
        <is>
          <t>น้ำผนักผงยา/5 ให้เคสคนไข้RA รายละเอียดยาวเหยียดจากนั้นบอกว่า3 เดือนที่แล้วให้การรักษาCortecosteriods เพิ่มมานัดหมายรอบนี้สั่งเพิ่มขนาด Methotrexate เพราะเหมือนคุมอาการไม่อยู่สักอย่างมีการประเมินActivity ของโรคอยู่ในระดับปานกลาง(Moderate) ALL: Co-trimoxazole</t>
        </is>
      </c>
      <c r="C228" s="18" t="inlineStr"/>
      <c r="D228" s="18" t="inlineStr">
        <is>
          <t>Paracetamol 500 mg Q6H PRN</t>
        </is>
      </c>
      <c r="E228" s="18" t="inlineStr">
        <is>
          <t>Denosumab 60 mg SC every 6 months</t>
        </is>
      </c>
      <c r="F228" s="18" t="inlineStr">
        <is>
          <t>Sulfasalazine 500 mg BID</t>
        </is>
      </c>
      <c r="G228" s="18" t="inlineStr">
        <is>
          <t>Colchicine 0.6 mg OD</t>
        </is>
      </c>
      <c r="H228" s="18" t="inlineStr">
        <is>
          <t>Naproxen 250 mg BID</t>
        </is>
      </c>
      <c r="I228" s="15" t="inlineStr">
        <is>
          <t>1</t>
        </is>
      </c>
      <c r="J228" s="18" t="inlineStr">
        <is>
          <t>✅ คำตอบที่ถูกต้อง: ข้อ ก. Paracetamol 500 mg Q6H PRN
💡 Background:
โรคข้ออักเสบรูมาตอยด์ (RA) เป็น systemic autoimmune disease ต้องรีบเริ่ม DMARDs ทันทีเพื่อป้องกัน joint destruction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28" s="18" t="inlineStr"/>
      <c r="L228" s="18" t="inlineStr">
        <is>
          <t>Musculoskeletal &amp; Joint</t>
        </is>
      </c>
      <c r="M228" s="18" t="inlineStr">
        <is>
          <t>Clinic</t>
        </is>
      </c>
      <c r="N228" s="18" t="inlineStr">
        <is>
          <t>PLE-CC1 ปี 2566 Day 2 ข้อ 4</t>
        </is>
      </c>
      <c r="O228" s="18" t="inlineStr">
        <is>
          <t>ข้อสอบจริง</t>
        </is>
      </c>
      <c r="P228" s="18" t="inlineStr">
        <is>
          <t>ปี 2566</t>
        </is>
      </c>
    </row>
    <row r="229">
      <c r="A229" s="15" t="inlineStr">
        <is>
          <t>251</t>
        </is>
      </c>
      <c r="B229" s="18" t="inlineStr">
        <is>
          <t>ถามว่าไม่ต้องติดตามอะไรระหว่างการใช้ยาMTX (ตอบEye examination)</t>
        </is>
      </c>
      <c r="C229" s="18" t="inlineStr"/>
      <c r="D229" s="18" t="inlineStr">
        <is>
          <t>Sodium thiosulfate 25% 50 mL IV</t>
        </is>
      </c>
      <c r="E229" s="18" t="inlineStr">
        <is>
          <t>Calcium disodium EDTA 1 g IV</t>
        </is>
      </c>
      <c r="F229" s="18" t="inlineStr">
        <is>
          <t>Desferrioxamine 1 g IM/IV</t>
        </is>
      </c>
      <c r="G229" s="18" t="inlineStr">
        <is>
          <t>Dimercaprol (BAL) 3 mg/kg IM</t>
        </is>
      </c>
      <c r="H229" s="18" t="inlineStr">
        <is>
          <t>Ethanol 10% IV infusion for Methanol poisoning</t>
        </is>
      </c>
      <c r="I229" s="15" t="inlineStr">
        <is>
          <t>1</t>
        </is>
      </c>
      <c r="J2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 s="18" t="inlineStr"/>
      <c r="L229" s="18" t="inlineStr">
        <is>
          <t>General Therapeutics</t>
        </is>
      </c>
      <c r="M229" s="18" t="inlineStr">
        <is>
          <t>Clinic</t>
        </is>
      </c>
      <c r="N229" s="18" t="inlineStr">
        <is>
          <t>PLE-CC1 ปี 2566 Day 2 ข้อ 1</t>
        </is>
      </c>
      <c r="O229" s="18" t="inlineStr">
        <is>
          <t>ข้อสอบจริง</t>
        </is>
      </c>
      <c r="P229" s="18" t="inlineStr">
        <is>
          <t>ปี 2566</t>
        </is>
      </c>
    </row>
    <row r="230">
      <c r="A230" s="15" t="inlineStr">
        <is>
          <t>252</t>
        </is>
      </c>
      <c r="B230" s="18" t="inlineStr">
        <is>
          <t>คำแนะนำในการใช้ยาMTX ข้อใดไม่เหมาะสม(ตอบที่บอกให้ปรับลดขนาดยาเองกรณีโรคไม่Active)</t>
        </is>
      </c>
      <c r="C230" s="18" t="inlineStr"/>
      <c r="D230" s="18" t="inlineStr">
        <is>
          <t>พ.ร.บ. วิชาชีพเภสัชกรรม พ.ศ. 2537 และข้อบังคับจรรยาบรรณวิชาชีพ</t>
        </is>
      </c>
      <c r="E230" s="18" t="inlineStr">
        <is>
          <t>พ.ร.บ. ผลิตภัณฑ์สมุนไพร พ.ศ. 2562</t>
        </is>
      </c>
      <c r="F230" s="18" t="inlineStr">
        <is>
          <t>พ.ร.บ. เครื่องสำอาง พ.ศ. 2558</t>
        </is>
      </c>
      <c r="G230" s="18" t="inlineStr">
        <is>
          <t>พ.ร.บ. หลักประกันสุขภาพแห่งชาติ พ.ศ. 2545</t>
        </is>
      </c>
      <c r="H230" s="18" t="inlineStr">
        <is>
          <t>การปฏิบัติทางเภสัชกรรมชุมชน (Good Pharmacy Practice: GPP)</t>
        </is>
      </c>
      <c r="I230" s="15" t="inlineStr">
        <is>
          <t>1</t>
        </is>
      </c>
      <c r="J230"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18" t="inlineStr"/>
      <c r="L230" s="18" t="inlineStr">
        <is>
          <t>Pharmacy Laws &amp; Ethics</t>
        </is>
      </c>
      <c r="M230" s="18" t="inlineStr">
        <is>
          <t>SAP</t>
        </is>
      </c>
      <c r="N230" s="18" t="inlineStr">
        <is>
          <t>PLE-CC1 ปี 2566 Day 2 ข้อ 2</t>
        </is>
      </c>
      <c r="O230" s="18" t="inlineStr">
        <is>
          <t>ข้อสอบจริง</t>
        </is>
      </c>
      <c r="P230" s="18" t="inlineStr">
        <is>
          <t>ปี 2566</t>
        </is>
      </c>
    </row>
    <row r="231">
      <c r="A231" s="15" t="inlineStr">
        <is>
          <t>253</t>
        </is>
      </c>
      <c r="B231" s="18" t="inlineStr">
        <is>
          <t>ข้อใดเป็นวิธีการจัดการที่เหมาะสมสำหรับคนไข้รายนี้</t>
        </is>
      </c>
      <c r="C231" s="18" t="inlineStr"/>
      <c r="D231" s="18" t="inlineStr">
        <is>
          <t>N-acetylcysteine (NAC) IV infusion protocol</t>
        </is>
      </c>
      <c r="E231" s="18" t="inlineStr">
        <is>
          <t>เพิ่มขนาดยาMTX</t>
        </is>
      </c>
      <c r="F231" s="18" t="inlineStr">
        <is>
          <t>เพิ่มขนาดยาCorticosteroids (คนไข้ใช้มาเกิน3 เดือนแล้ว)</t>
        </is>
      </c>
      <c r="G231" s="18" t="inlineStr">
        <is>
          <t>เพิ่มยาSulfasalazine</t>
        </is>
      </c>
      <c r="H231" s="18" t="inlineStr">
        <is>
          <t>Flumazenil 0.2 mg IV stat</t>
        </is>
      </c>
      <c r="I231" s="15" t="inlineStr">
        <is>
          <t>1</t>
        </is>
      </c>
      <c r="J2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(เพิ่มขนาดยาMTX):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(เพิ่มขนาดยาCorticosteroids (คนไข้ใช้มาเกิน3 เดือนแล้ว)): ข้อนี้ไม่ใช่คำตอบที่ถูกต้องสำหรับภาวะ General Therapeutics เนื่องจากกลไกการออกฤทธิ์, efficacy หรือข้อบ่งใช้ไม่ตรงกับโจทย์ที่กำหนด
• ข้อ ง. (เพิ่มยาSulfasalazine): เป็น csDMARD สำหรับ RA และ peripheral spondyloarthritis ปลอดภัยในหญิงตั้งครรภ์ แต่ contraindication ในผู้ที่แพ้ sulfa หรือ G6PD deficiency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 s="18" t="inlineStr"/>
      <c r="L231" s="18" t="inlineStr">
        <is>
          <t>General Therapeutics</t>
        </is>
      </c>
      <c r="M231" s="18" t="inlineStr">
        <is>
          <t>Clinic</t>
        </is>
      </c>
      <c r="N231" s="18" t="inlineStr">
        <is>
          <t>PLE-CC1 ปี 2566 Day 2 ข้อ 3</t>
        </is>
      </c>
      <c r="O231" s="18" t="inlineStr">
        <is>
          <t>ข้อสอบจริง</t>
        </is>
      </c>
      <c r="P231" s="18" t="inlineStr">
        <is>
          <t>ปี 2566</t>
        </is>
      </c>
      <c r="Q231" s="18" t="inlineStr">
        <is>
          <t xml:space="preserve"> เพิ่มยาHydroxyhloroquine 96)ในประเทศไทยถ้าจะทดสอบstability ของยาในสภาวะเร่งต้องทำที่condition ใด ตัวเลือก</t>
        </is>
      </c>
    </row>
    <row r="232">
      <c r="A232" s="15" t="inlineStr">
        <is>
          <t>254</t>
        </is>
      </c>
      <c r="B232" s="18" t="inlineStr">
        <is>
          <t>25อC +-2 , 65 %RH +- 5</t>
        </is>
      </c>
      <c r="C232" s="18" t="inlineStr"/>
      <c r="D232" s="18" t="inlineStr">
        <is>
          <t>Naloxone 0.4 mg IV stat</t>
        </is>
      </c>
      <c r="E232" s="18" t="inlineStr">
        <is>
          <t>Flumazenil 0.2 mg IV stat</t>
        </is>
      </c>
      <c r="F232" s="18" t="inlineStr">
        <is>
          <t>Vitamin K1 (Phytomenadione) 10 mg IV slow</t>
        </is>
      </c>
      <c r="G232" s="18" t="inlineStr">
        <is>
          <t>Sodium thiosulfate 25% 50 mL IV</t>
        </is>
      </c>
      <c r="H232" s="18" t="inlineStr">
        <is>
          <t>Calcium disodium EDTA 1 g IV</t>
        </is>
      </c>
      <c r="I232" s="15" t="inlineStr">
        <is>
          <t>1</t>
        </is>
      </c>
      <c r="J2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 s="18" t="inlineStr"/>
      <c r="L232" s="18" t="inlineStr">
        <is>
          <t>General Therapeutics</t>
        </is>
      </c>
      <c r="M232" s="18" t="inlineStr">
        <is>
          <t>Clinic</t>
        </is>
      </c>
      <c r="N232" s="18" t="inlineStr">
        <is>
          <t>PLE-CC1 ปี 2566 Day 2 ข้อ 1</t>
        </is>
      </c>
      <c r="O232" s="18" t="inlineStr">
        <is>
          <t>ข้อสอบจริง</t>
        </is>
      </c>
      <c r="P232" s="18" t="inlineStr">
        <is>
          <t>ปี 2566</t>
        </is>
      </c>
    </row>
    <row r="233">
      <c r="A233" s="15" t="inlineStr">
        <is>
          <t>255</t>
        </is>
      </c>
      <c r="B233" s="18" t="inlineStr">
        <is>
          <t>30อC +-2, 75%RH +- 5</t>
        </is>
      </c>
      <c r="C233" s="18" t="inlineStr"/>
      <c r="D233" s="18" t="inlineStr">
        <is>
          <t>Sodium thiosulfate 25% 50 mL IV</t>
        </is>
      </c>
      <c r="E233" s="18" t="inlineStr">
        <is>
          <t>Calcium disodium EDTA 1 g IV</t>
        </is>
      </c>
      <c r="F233" s="18" t="inlineStr">
        <is>
          <t>Desferrioxamine 1 g IM/IV</t>
        </is>
      </c>
      <c r="G233" s="18" t="inlineStr">
        <is>
          <t>Dimercaprol (BAL) 3 mg/kg IM</t>
        </is>
      </c>
      <c r="H233" s="18" t="inlineStr">
        <is>
          <t>Ethanol 10% IV infusion for Methanol poisoning</t>
        </is>
      </c>
      <c r="I233" s="15" t="inlineStr">
        <is>
          <t>1</t>
        </is>
      </c>
      <c r="J2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 s="18" t="inlineStr"/>
      <c r="L233" s="18" t="inlineStr">
        <is>
          <t>General Therapeutics</t>
        </is>
      </c>
      <c r="M233" s="18" t="inlineStr">
        <is>
          <t>Clinic</t>
        </is>
      </c>
      <c r="N233" s="18" t="inlineStr">
        <is>
          <t>PLE-CC1 ปี 2566 Day 2 ข้อ 3</t>
        </is>
      </c>
      <c r="O233" s="18" t="inlineStr">
        <is>
          <t>ข้อสอบจริง</t>
        </is>
      </c>
      <c r="P233" s="18" t="inlineStr">
        <is>
          <t>ปี 2566</t>
        </is>
      </c>
    </row>
    <row r="234">
      <c r="A234" s="15" t="inlineStr">
        <is>
          <t>256</t>
        </is>
      </c>
      <c r="B234" s="18" t="inlineStr">
        <is>
          <t>Assemble Grade A , background Grade A</t>
        </is>
      </c>
      <c r="C234" s="18" t="inlineStr"/>
      <c r="D234" s="18" t="inlineStr">
        <is>
          <t>Rabbit Pyrogen Test in vivo</t>
        </is>
      </c>
      <c r="E234" s="18" t="inlineStr">
        <is>
          <t>ISO Class 5 (Grade A) Laminar Airflow Workstation</t>
        </is>
      </c>
      <c r="F234" s="18" t="inlineStr">
        <is>
          <t>Metered Dose Inhaler (MDI) with HFA propellant</t>
        </is>
      </c>
      <c r="G234" s="18" t="inlineStr">
        <is>
          <t>Dry Powder Inhaler (DPI) with Carrier Lactose</t>
        </is>
      </c>
      <c r="H234" s="18" t="inlineStr">
        <is>
          <t>Isotonic Sodium Chloride 0.9% Osmotic Adjustment</t>
        </is>
      </c>
      <c r="I234" s="15" t="inlineStr">
        <is>
          <t>1</t>
        </is>
      </c>
      <c r="J234" s="18"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4" s="18" t="inlineStr"/>
      <c r="L234" s="18" t="inlineStr">
        <is>
          <t>Sterile Products</t>
        </is>
      </c>
      <c r="M234" s="18" t="inlineStr">
        <is>
          <t>Product</t>
        </is>
      </c>
      <c r="N234" s="18" t="inlineStr">
        <is>
          <t>PLE-CC1 ปี 2566 Day 2 ข้อ 1</t>
        </is>
      </c>
      <c r="O234" s="18" t="inlineStr">
        <is>
          <t>ข้อสอบจริง</t>
        </is>
      </c>
      <c r="P234" s="18" t="inlineStr">
        <is>
          <t>ปี 2566</t>
        </is>
      </c>
    </row>
    <row r="235">
      <c r="A235" s="15" t="inlineStr">
        <is>
          <t>257</t>
        </is>
      </c>
      <c r="B235" s="18" t="inlineStr">
        <is>
          <t>Air sampling test</t>
        </is>
      </c>
      <c r="C235" s="18" t="inlineStr"/>
      <c r="D235" s="18" t="inlineStr">
        <is>
          <t>N-acetylcysteine (NAC) IV infusion protocol</t>
        </is>
      </c>
      <c r="E235" s="18" t="inlineStr">
        <is>
          <t>Atropine sulfate 2 mg IV Q5-10 min</t>
        </is>
      </c>
      <c r="F235" s="18" t="inlineStr">
        <is>
          <t>Pralidoxime (2-PAM) 1-2 g IV over 30 min</t>
        </is>
      </c>
      <c r="G235" s="18" t="inlineStr">
        <is>
          <t>Naloxone 0.4 mg IV stat</t>
        </is>
      </c>
      <c r="H235" s="18" t="inlineStr">
        <is>
          <t>Flumazenil 0.2 mg IV stat</t>
        </is>
      </c>
      <c r="I235" s="15" t="inlineStr">
        <is>
          <t>1</t>
        </is>
      </c>
      <c r="J2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 s="18" t="inlineStr"/>
      <c r="L235" s="18" t="inlineStr">
        <is>
          <t>General Therapeutics</t>
        </is>
      </c>
      <c r="M235" s="18" t="inlineStr">
        <is>
          <t>Clinic</t>
        </is>
      </c>
      <c r="N235" s="18" t="inlineStr">
        <is>
          <t>PLE-CC1 ปี 2566 Day 2 ข้อ 1</t>
        </is>
      </c>
      <c r="O235" s="18" t="inlineStr">
        <is>
          <t>ข้อสอบจริง</t>
        </is>
      </c>
      <c r="P235" s="18" t="inlineStr">
        <is>
          <t>ปี 2566</t>
        </is>
      </c>
    </row>
    <row r="236">
      <c r="A236" s="15" t="inlineStr">
        <is>
          <t>258</t>
        </is>
      </c>
      <c r="B236" s="18" t="inlineStr">
        <is>
          <t>Glove print test</t>
        </is>
      </c>
      <c r="C236" s="18" t="inlineStr"/>
      <c r="D236" s="18" t="inlineStr">
        <is>
          <t>Naloxone 0.4 mg IV stat</t>
        </is>
      </c>
      <c r="E236" s="18" t="inlineStr">
        <is>
          <t>Flumazenil 0.2 mg IV stat</t>
        </is>
      </c>
      <c r="F236" s="18" t="inlineStr">
        <is>
          <t>Vitamin K1 (Phytomenadione) 10 mg IV slow</t>
        </is>
      </c>
      <c r="G236" s="18" t="inlineStr">
        <is>
          <t>Sodium thiosulfate 25% 50 mL IV</t>
        </is>
      </c>
      <c r="H236" s="18" t="inlineStr">
        <is>
          <t>Calcium disodium EDTA 1 g IV</t>
        </is>
      </c>
      <c r="I236" s="15" t="inlineStr">
        <is>
          <t>1</t>
        </is>
      </c>
      <c r="J2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 s="18" t="inlineStr"/>
      <c r="L236" s="18" t="inlineStr">
        <is>
          <t>General Therapeutics</t>
        </is>
      </c>
      <c r="M236" s="18" t="inlineStr">
        <is>
          <t>Clinic</t>
        </is>
      </c>
      <c r="N236" s="18" t="inlineStr">
        <is>
          <t>PLE-CC1 ปี 2566 Day 2 ข้อ 2</t>
        </is>
      </c>
      <c r="O236" s="18" t="inlineStr">
        <is>
          <t>ข้อสอบจริง</t>
        </is>
      </c>
      <c r="P236" s="18" t="inlineStr">
        <is>
          <t>ปี 2566</t>
        </is>
      </c>
    </row>
    <row r="237">
      <c r="A237" s="15" t="inlineStr">
        <is>
          <t>259</t>
        </is>
      </c>
      <c r="B237" s="18" t="inlineStr">
        <is>
          <t>Cleaning validation</t>
        </is>
      </c>
      <c r="C237" s="18" t="inlineStr"/>
      <c r="D237" s="18" t="inlineStr">
        <is>
          <t>Sodium thiosulfate 25% 50 mL IV</t>
        </is>
      </c>
      <c r="E237" s="18" t="inlineStr">
        <is>
          <t>Calcium disodium EDTA 1 g IV</t>
        </is>
      </c>
      <c r="F237" s="18" t="inlineStr">
        <is>
          <t>Desferrioxamine 1 g IM/IV</t>
        </is>
      </c>
      <c r="G237" s="18" t="inlineStr">
        <is>
          <t>Dimercaprol (BAL) 3 mg/kg IM</t>
        </is>
      </c>
      <c r="H237" s="18" t="inlineStr">
        <is>
          <t>Ethanol 10% IV infusion for Methanol poisoning</t>
        </is>
      </c>
      <c r="I237" s="15" t="inlineStr">
        <is>
          <t>3</t>
        </is>
      </c>
      <c r="J237" s="18"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 s="18" t="inlineStr"/>
      <c r="L237" s="18" t="inlineStr">
        <is>
          <t>General Therapeutics</t>
        </is>
      </c>
      <c r="M237" s="18" t="inlineStr">
        <is>
          <t>Clinic</t>
        </is>
      </c>
      <c r="N237" s="18" t="inlineStr">
        <is>
          <t>PLE-CC1 ปี 2566 Day 2 ข้อ 5</t>
        </is>
      </c>
      <c r="O237" s="18" t="inlineStr">
        <is>
          <t>ข้อสอบจริง</t>
        </is>
      </c>
      <c r="P237" s="18" t="inlineStr">
        <is>
          <t>ปี 2566</t>
        </is>
      </c>
    </row>
    <row r="238">
      <c r="A238" s="15" t="inlineStr">
        <is>
          <t>260</t>
        </is>
      </c>
      <c r="B238" s="18" t="inlineStr">
        <is>
          <t>High-shear mixer</t>
        </is>
      </c>
      <c r="C238" s="18" t="inlineStr"/>
      <c r="D238" s="18" t="inlineStr">
        <is>
          <t>Dimercaprol (BAL) 3 mg/kg IM</t>
        </is>
      </c>
      <c r="E238" s="18" t="inlineStr">
        <is>
          <t>Ethanol 10% IV infusion for Methanol poisoning</t>
        </is>
      </c>
      <c r="F238" s="18" t="inlineStr">
        <is>
          <t>Fomepizole 15 mg/kg IV loading</t>
        </is>
      </c>
      <c r="G238" s="18" t="inlineStr">
        <is>
          <t>N-acetylcysteine (NAC) IV infusion protocol</t>
        </is>
      </c>
      <c r="H238" s="18" t="inlineStr">
        <is>
          <t>Atropine sulfate 2 mg IV Q5-10 min</t>
        </is>
      </c>
      <c r="I238" s="15" t="inlineStr">
        <is>
          <t>1</t>
        </is>
      </c>
      <c r="J2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 s="18" t="inlineStr"/>
      <c r="L238" s="18" t="inlineStr">
        <is>
          <t>General Therapeutics</t>
        </is>
      </c>
      <c r="M238" s="18" t="inlineStr">
        <is>
          <t>Clinic</t>
        </is>
      </c>
      <c r="N238" s="18" t="inlineStr">
        <is>
          <t>PLE-CC1 ปี 2566 Day 2 ข้อ 1</t>
        </is>
      </c>
      <c r="O238" s="18" t="inlineStr">
        <is>
          <t>ข้อสอบจริง</t>
        </is>
      </c>
      <c r="P238" s="18" t="inlineStr">
        <is>
          <t>ปี 2566</t>
        </is>
      </c>
    </row>
    <row r="239">
      <c r="A239" s="15" t="inlineStr">
        <is>
          <t>261</t>
        </is>
      </c>
      <c r="B239" s="18" t="inlineStr">
        <is>
          <t>Planetary mixer</t>
        </is>
      </c>
      <c r="C239" s="18" t="inlineStr"/>
      <c r="D239" s="18" t="inlineStr">
        <is>
          <t>N-acetylcysteine (NAC) IV infusion protocol</t>
        </is>
      </c>
      <c r="E239" s="18" t="inlineStr">
        <is>
          <t>Atropine sulfate 2 mg IV Q5-10 min</t>
        </is>
      </c>
      <c r="F239" s="18" t="inlineStr">
        <is>
          <t>Pralidoxime (2-PAM) 1-2 g IV over 30 min</t>
        </is>
      </c>
      <c r="G239" s="18" t="inlineStr">
        <is>
          <t>Naloxone 0.4 mg IV stat</t>
        </is>
      </c>
      <c r="H239" s="18" t="inlineStr">
        <is>
          <t>Flumazenil 0.2 mg IV stat</t>
        </is>
      </c>
      <c r="I239" s="15" t="inlineStr">
        <is>
          <t>1</t>
        </is>
      </c>
      <c r="J2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 s="18" t="inlineStr"/>
      <c r="L239" s="18" t="inlineStr">
        <is>
          <t>General Therapeutics</t>
        </is>
      </c>
      <c r="M239" s="18" t="inlineStr">
        <is>
          <t>Clinic</t>
        </is>
      </c>
      <c r="N239" s="18" t="inlineStr">
        <is>
          <t>PLE-CC1 ปี 2566 Day 2 ข้อ 2</t>
        </is>
      </c>
      <c r="O239" s="18" t="inlineStr">
        <is>
          <t>ข้อสอบจริง</t>
        </is>
      </c>
      <c r="P239" s="18" t="inlineStr">
        <is>
          <t>ปี 2566</t>
        </is>
      </c>
    </row>
    <row r="240">
      <c r="A240" s="15" t="inlineStr">
        <is>
          <t>262</t>
        </is>
      </c>
      <c r="B240" s="18" t="inlineStr">
        <is>
          <t>Crystalline form มีmp ต่ำกว่า</t>
        </is>
      </c>
      <c r="C240" s="18" t="inlineStr"/>
      <c r="D240" s="18" t="inlineStr">
        <is>
          <t>Naloxone 0.4 mg IV stat</t>
        </is>
      </c>
      <c r="E240" s="18" t="inlineStr">
        <is>
          <t>Flumazenil 0.2 mg IV stat</t>
        </is>
      </c>
      <c r="F240" s="18" t="inlineStr">
        <is>
          <t>Vitamin K1 (Phytomenadione) 10 mg IV slow</t>
        </is>
      </c>
      <c r="G240" s="18" t="inlineStr">
        <is>
          <t>Sodium thiosulfate 25% 50 mL IV</t>
        </is>
      </c>
      <c r="H240" s="18" t="inlineStr">
        <is>
          <t>Calcium disodium EDTA 1 g IV</t>
        </is>
      </c>
      <c r="I240" s="15" t="inlineStr">
        <is>
          <t>1</t>
        </is>
      </c>
      <c r="J2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 s="18" t="inlineStr"/>
      <c r="L240" s="18" t="inlineStr">
        <is>
          <t>General Therapeutics</t>
        </is>
      </c>
      <c r="M240" s="18" t="inlineStr">
        <is>
          <t>Clinic</t>
        </is>
      </c>
      <c r="N240" s="18" t="inlineStr">
        <is>
          <t>PLE-CC1 ปี 2566 Day 2 ข้อ 3</t>
        </is>
      </c>
      <c r="O240" s="18" t="inlineStr">
        <is>
          <t>ข้อสอบจริง</t>
        </is>
      </c>
      <c r="P240" s="18" t="inlineStr">
        <is>
          <t>ปี 2566</t>
        </is>
      </c>
    </row>
    <row r="241">
      <c r="A241" s="15" t="inlineStr">
        <is>
          <t>263</t>
        </is>
      </c>
      <c r="B241" s="18" t="inlineStr">
        <is>
          <t>Regimen ยาที่ใชรักษาโรคในขอ 10 …………………..………………………………..………………………………..………………………………..……………………………….. ………………………………..………………………………..………………………………..………………………………..……………………</t>
        </is>
      </c>
      <c r="C241" s="18" t="inlineStr"/>
      <c r="D241" s="18" t="inlineStr">
        <is>
          <t>Sodium thiosulfate 25% 50 mL IV</t>
        </is>
      </c>
      <c r="E241" s="18" t="inlineStr">
        <is>
          <t>Calcium disodium EDTA 1 g IV</t>
        </is>
      </c>
      <c r="F241" s="18" t="inlineStr">
        <is>
          <t>Desferrioxamine 1 g IM/IV</t>
        </is>
      </c>
      <c r="G241" s="18" t="inlineStr">
        <is>
          <t>Dimercaprol (BAL) 3 mg/kg IM</t>
        </is>
      </c>
      <c r="H241" s="18" t="inlineStr">
        <is>
          <t>Ethanol 10% IV infusion for Methanol poisoning</t>
        </is>
      </c>
      <c r="I241" s="15" t="inlineStr">
        <is>
          <t>1</t>
        </is>
      </c>
      <c r="J2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 s="18" t="inlineStr"/>
      <c r="L241" s="18" t="inlineStr">
        <is>
          <t>General Therapeutics</t>
        </is>
      </c>
      <c r="M241" s="18" t="inlineStr">
        <is>
          <t>Clinic</t>
        </is>
      </c>
      <c r="N241" s="18" t="inlineStr">
        <is>
          <t>PLE_CC1_2565_Day1_Key ข้อ 11</t>
        </is>
      </c>
      <c r="O241" s="18" t="inlineStr">
        <is>
          <t>ข้อสอบจริง</t>
        </is>
      </c>
      <c r="P241" s="18" t="inlineStr">
        <is>
          <t>ปี 2565</t>
        </is>
      </c>
    </row>
    <row r="242">
      <c r="A242" s="15" t="inlineStr">
        <is>
          <t>264</t>
        </is>
      </c>
      <c r="B242" s="18" t="inlineStr">
        <is>
          <t>ถาผูป%วยมีอาการปวดปลายประสาทร;วมดวย (แต;จำลักษณะอาการที่เขาเล;าไม;ได) ไม;สามารถใชยาใดรักษา ไดPoruciviu das Sinusan เช่ น 400 Gy&gt;&gt; &gt; รักชาเรสินที่อวั</t>
        </is>
      </c>
      <c r="C242" s="18" t="inlineStr"/>
      <c r="D242" s="18" t="inlineStr">
        <is>
          <t>Dimercaprol (BAL) 3 mg/kg IM</t>
        </is>
      </c>
      <c r="E242" s="18" t="inlineStr">
        <is>
          <t>Venlafaxine</t>
        </is>
      </c>
      <c r="F242" s="18" t="inlineStr">
        <is>
          <t>NSAIDs สักตัว ลืมชื่อ (น;าจะ naproxen ไม;ก็ diclofenac)</t>
        </is>
      </c>
      <c r="G242" s="18" t="inlineStr">
        <is>
          <t>จำ choice ไม;ได</t>
        </is>
      </c>
      <c r="H242" s="18" t="inlineStr">
        <is>
          <t>จำ choice ไม;ได</t>
        </is>
      </c>
      <c r="I242" s="15" t="inlineStr">
        <is>
          <t>1</t>
        </is>
      </c>
      <c r="J2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(Venlafaxine): ข้อนี้ไม่ใช่คำตอบที่ถูกต้องสำหรับภาวะ General Therapeutics เนื่องจากกลไกการออกฤทธิ์, efficacy หรือข้อบ่งใช้ไม่ตรงกับโจทย์ที่กำหนด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 s="18" t="inlineStr"/>
      <c r="L242" s="18" t="inlineStr">
        <is>
          <t>General Therapeutics</t>
        </is>
      </c>
      <c r="M242" s="18" t="inlineStr">
        <is>
          <t>Clinic</t>
        </is>
      </c>
      <c r="N242" s="18" t="inlineStr">
        <is>
          <t>PLE_CC1_2565_Day1_Key ข้อ 12</t>
        </is>
      </c>
      <c r="O242" s="18" t="inlineStr">
        <is>
          <t>ข้อสอบจริง</t>
        </is>
      </c>
      <c r="P242" s="18" t="inlineStr">
        <is>
          <t>ปี 2565</t>
        </is>
      </c>
      <c r="Q242" s="18" t="inlineStr">
        <is>
          <t>* จำ choice ไม;ได# * ไม่ช่วนถ้าปวสปถนป</t>
        </is>
      </c>
    </row>
    <row r="243">
      <c r="A243" s="15" t="inlineStr">
        <is>
          <t>265</t>
        </is>
      </c>
      <c r="B243" s="18" t="inlineStr">
        <is>
          <t>ยาใดที่ควรใหเพื่อชะลอการเกิดภาวะแทรกซอนในผูป%วยรายนี้ ㅇ</t>
        </is>
      </c>
      <c r="C243" s="18" t="inlineStr"/>
      <c r="D243" s="18" t="inlineStr">
        <is>
          <t>N-acetylcysteine (NAC) IV infusion protocol</t>
        </is>
      </c>
      <c r="E243" s="18" t="inlineStr">
        <is>
          <t>Amlodipine</t>
        </is>
      </c>
      <c r="F243" s="18" t="inlineStr">
        <is>
          <t>Enalapril</t>
        </is>
      </c>
      <c r="G243" s="18" t="inlineStr">
        <is>
          <t>HCTZ</t>
        </is>
      </c>
      <c r="H243" s="18" t="inlineStr">
        <is>
          <t>Metoprolol</t>
        </is>
      </c>
      <c r="I243" s="15" t="inlineStr">
        <is>
          <t>1</t>
        </is>
      </c>
      <c r="J2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(Metoprolol):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 s="18" t="inlineStr"/>
      <c r="L243" s="18" t="inlineStr">
        <is>
          <t>General Therapeutics</t>
        </is>
      </c>
      <c r="M243" s="18" t="inlineStr">
        <is>
          <t>Clinic</t>
        </is>
      </c>
      <c r="N243" s="18" t="inlineStr">
        <is>
          <t>PLE_CC1_2565_Day1_Key ข้อ 16</t>
        </is>
      </c>
      <c r="O243" s="18" t="inlineStr">
        <is>
          <t>ข้อสอบจริง</t>
        </is>
      </c>
      <c r="P243" s="18" t="inlineStr">
        <is>
          <t>ปี 2565</t>
        </is>
      </c>
      <c r="Q243" s="18" t="inlineStr">
        <is>
          <t>Spironolactone dai usw o so akFR WNivaid ChD stage3 Guideline โรคไต 2565</t>
        </is>
      </c>
    </row>
    <row r="244">
      <c r="A244" s="15" t="inlineStr">
        <is>
          <t>266</t>
        </is>
      </c>
      <c r="B244" s="18" t="inlineStr">
        <is>
          <t>จะปรับเปลี่ยนการรักษายังไง</t>
        </is>
      </c>
      <c r="C244" s="18" t="inlineStr"/>
      <c r="D244" s="18" t="inlineStr">
        <is>
          <t>พ.ร.บ. เครื่องสำอาง พ.ศ. 2558</t>
        </is>
      </c>
      <c r="E244" s="18" t="inlineStr">
        <is>
          <t>พ.ร.บ. หลักประกันสุขภาพแห่งชาติ พ.ศ. 2545</t>
        </is>
      </c>
      <c r="F244" s="18" t="inlineStr">
        <is>
          <t>การปฏิบัติทางเภสัชกรรมชุมชน (Good Pharmacy Practice: GPP)</t>
        </is>
      </c>
      <c r="G244" s="18" t="inlineStr">
        <is>
          <t>บัญชียาหลักแห่งชาติ (National List of Essential Medicines: NLEM)</t>
        </is>
      </c>
      <c r="H244" s="18" t="inlineStr">
        <is>
          <t>เกณฑ์จริยธรรมว่าด้วยการส่งเสริมการขายยาของกระทรวงสาธารณสุข</t>
        </is>
      </c>
      <c r="I244" s="15" t="inlineStr">
        <is>
          <t>1</t>
        </is>
      </c>
      <c r="J244"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18" t="inlineStr"/>
      <c r="L244" s="18" t="inlineStr">
        <is>
          <t>Pharmacy Laws &amp; Ethics</t>
        </is>
      </c>
      <c r="M244" s="18" t="inlineStr">
        <is>
          <t>SAP</t>
        </is>
      </c>
      <c r="N244" s="18" t="inlineStr">
        <is>
          <t>PLE_CC1_2565_Day1_Key ข้อ 17</t>
        </is>
      </c>
      <c r="O244" s="18" t="inlineStr">
        <is>
          <t>ข้อสอบจริง</t>
        </is>
      </c>
      <c r="P244" s="18" t="inlineStr">
        <is>
          <t>ปี 2565</t>
        </is>
      </c>
      <c r="Q244" s="18" t="inlineStr">
        <is>
          <t>เปลี่ยน pioglitazone เปMน glipizide SLPs inh</t>
        </is>
      </c>
    </row>
    <row r="245">
      <c r="A245" s="15" t="inlineStr">
        <is>
          <t>267</t>
        </is>
      </c>
      <c r="B245" s="18" t="inlineStr">
        <is>
          <t>ขอใดคือกลไกออกฤทธิ์ของ pioglitazone</t>
        </is>
      </c>
      <c r="C245" s="18" t="inlineStr"/>
      <c r="D245" s="18" t="inlineStr">
        <is>
          <t>Levothyroxine 50 mcg OD</t>
        </is>
      </c>
      <c r="E245" s="18" t="inlineStr">
        <is>
          <t>Propylthiouracil 50 mg TID</t>
        </is>
      </c>
      <c r="F245" s="18" t="inlineStr">
        <is>
          <t>Methimazole 10 mg OD</t>
        </is>
      </c>
      <c r="G245" s="18" t="inlineStr">
        <is>
          <t>Pioglitazone 15 mg OD</t>
        </is>
      </c>
      <c r="H245" s="18" t="inlineStr">
        <is>
          <t>Insulin glargine 10 units SC HS</t>
        </is>
      </c>
      <c r="I245" s="15" t="inlineStr">
        <is>
          <t>1</t>
        </is>
      </c>
      <c r="J245" s="1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45" s="18" t="inlineStr"/>
      <c r="L245" s="18" t="inlineStr">
        <is>
          <t>Diabetes &amp; Endocrine</t>
        </is>
      </c>
      <c r="M245" s="18" t="inlineStr">
        <is>
          <t>Clinic</t>
        </is>
      </c>
      <c r="N245" s="18" t="inlineStr">
        <is>
          <t>PLE_CC1_2565_Day1_Key ข้อ 18</t>
        </is>
      </c>
      <c r="O245" s="18" t="inlineStr">
        <is>
          <t>ข้อสอบจริง</t>
        </is>
      </c>
      <c r="P245" s="18" t="inlineStr">
        <is>
          <t>ปี 2565</t>
        </is>
      </c>
      <c r="Q245" s="18" t="inlineStr">
        <is>
          <t>Propylthiouracil dase Unod dese annac</t>
        </is>
      </c>
    </row>
    <row r="246">
      <c r="A246" s="15" t="inlineStr">
        <is>
          <t>268</t>
        </is>
      </c>
      <c r="B246" s="18" t="inlineStr">
        <is>
          <t>ควรตรวจวัดค;าอะไร เพื่อติดตามผลการรักษา</t>
        </is>
      </c>
      <c r="C246" s="18" t="inlineStr"/>
      <c r="D246" s="18" t="inlineStr">
        <is>
          <t>Dimercaprol (BAL) 3 mg/kg IM</t>
        </is>
      </c>
      <c r="E246" s="18" t="inlineStr">
        <is>
          <t>Free T3</t>
        </is>
      </c>
      <c r="F246" s="18" t="inlineStr">
        <is>
          <t>Free T4</t>
        </is>
      </c>
      <c r="G246" s="18" t="inlineStr">
        <is>
          <t>Total T3</t>
        </is>
      </c>
      <c r="H246" s="18" t="inlineStr">
        <is>
          <t>Total T4</t>
        </is>
      </c>
      <c r="I246" s="15" t="inlineStr">
        <is>
          <t>1</t>
        </is>
      </c>
      <c r="J24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(Free T3): ข้อนี้ไม่ใช่คำตอบที่ถูกต้องสำหรับภาวะ General Therapeutics เนื่องจากกลไกการออกฤทธิ์, efficacy หรือข้อบ่งใช้ไม่ตรงกับโจทย์ที่กำหนด
• ข้อ ค. (Free T4): ข้อนี้ไม่ใช่คำตอบที่ถูกต้องสำหรับภาวะ General Therapeutics เนื่องจากกลไกการออกฤทธิ์, efficacy หรือข้อบ่งใช้ไม่ตรงกับโจทย์ที่กำหนด
• ข้อ ง. (Total T3): ข้อนี้ไม่ใช่คำตอบที่ถูกต้องสำหรับภาวะ General Therapeutics เนื่องจากกลไกการออกฤทธิ์, efficacy หรือข้อบ่งใช้ไม่ตรงกับโจทย์ที่กำหนด
• ข้อ จ. (Total T4):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6" s="18" t="inlineStr"/>
      <c r="L246" s="18" t="inlineStr">
        <is>
          <t>General Therapeutics</t>
        </is>
      </c>
      <c r="M246" s="18" t="inlineStr">
        <is>
          <t>Clinic</t>
        </is>
      </c>
      <c r="N246" s="18" t="inlineStr">
        <is>
          <t>PLE_CC1_2565_Day1_Key ข้อ 24</t>
        </is>
      </c>
      <c r="O246" s="18" t="inlineStr">
        <is>
          <t>ข้อสอบจริง</t>
        </is>
      </c>
      <c r="P246" s="18" t="inlineStr">
        <is>
          <t>ปี 2565</t>
        </is>
      </c>
      <c r="Q246" s="18" t="inlineStr">
        <is>
          <t>TSH ป@บยาตาม TSH level</t>
        </is>
      </c>
    </row>
    <row r="247">
      <c r="A247" s="15" t="inlineStr">
        <is>
          <t>269</t>
        </is>
      </c>
      <c r="B247" s="18" t="inlineStr">
        <is>
          <t>ผูป%วยรายนี้เปMนโรคอะไร</t>
        </is>
      </c>
      <c r="C247" s="18" t="inlineStr"/>
      <c r="D247" s="18" t="inlineStr">
        <is>
          <t>N-acetylcysteine (NAC) IV infusion protocol</t>
        </is>
      </c>
      <c r="E247" s="18" t="inlineStr">
        <is>
          <t>traveler diarrhea</t>
        </is>
      </c>
      <c r="F247" s="18" t="inlineStr">
        <is>
          <t>food poisoning</t>
        </is>
      </c>
      <c r="G247" s="18" t="inlineStr">
        <is>
          <t>IBS</t>
        </is>
      </c>
      <c r="H247" s="18" t="inlineStr">
        <is>
          <t>Dyspepsia</t>
        </is>
      </c>
      <c r="I247" s="15" t="inlineStr">
        <is>
          <t>1</t>
        </is>
      </c>
      <c r="J2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(traveler diarrhea): ข้อนี้ไม่ใช่คำตอบที่ถูกต้องสำหรับภาวะ General Therapeutics เนื่องจากกลไกการออกฤทธิ์, efficacy หรือข้อบ่งใช้ไม่ตรงกับโจทย์ที่กำหนด
• ข้อ ค. (food poisoning): ข้อนี้ไม่ใช่คำตอบที่ถูกต้องสำหรับภาวะ General Therapeutics เนื่องจากกลไกการออกฤทธิ์, efficacy หรือข้อบ่งใช้ไม่ตรงกับโจทย์ที่กำหนด
• ข้อ ง. (IBS): ข้อนี้ไม่ใช่คำตอบที่ถูกต้องสำหรับภาวะ General Therapeutics เนื่องจากกลไกการออกฤทธิ์, efficacy หรือข้อบ่งใช้ไม่ตรงกับโจทย์ที่กำหนด
• ข้อ จ. (Dyspepsia):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 s="18" t="inlineStr"/>
      <c r="L247" s="18" t="inlineStr">
        <is>
          <t>General Therapeutics</t>
        </is>
      </c>
      <c r="M247" s="18" t="inlineStr">
        <is>
          <t>Clinic</t>
        </is>
      </c>
      <c r="N247" s="18" t="inlineStr">
        <is>
          <t>PLE_CC1_2565_Day1_Key ข้อ 30</t>
        </is>
      </c>
      <c r="O247" s="18" t="inlineStr">
        <is>
          <t>ข้อสอบจริง</t>
        </is>
      </c>
      <c r="P247" s="18" t="inlineStr">
        <is>
          <t>ปี 2565</t>
        </is>
      </c>
      <c r="Q247" s="18" t="inlineStr">
        <is>
          <t>bacterial diarrhea</t>
        </is>
      </c>
    </row>
    <row r="248">
      <c r="A248" s="15" t="inlineStr">
        <is>
          <t>270</t>
        </is>
      </c>
      <c r="B248" s="18" t="inlineStr">
        <is>
          <t>ยาที่เกี่ยวของกับอาการทองเสียชนิดใดที่มีฤทธิ์ตานจุลชีพ</t>
        </is>
      </c>
      <c r="C248" s="18" t="inlineStr"/>
      <c r="D248" s="18" t="inlineStr">
        <is>
          <t>Naloxone 0.4 mg IV stat</t>
        </is>
      </c>
      <c r="E248" s="18" t="inlineStr">
        <is>
          <t>Activated charcoal</t>
        </is>
      </c>
      <c r="F248" s="18" t="inlineStr">
        <is>
          <t>Bismuth subsalicylate</t>
        </is>
      </c>
      <c r="G248" s="18" t="inlineStr">
        <is>
          <t>Loperamide</t>
        </is>
      </c>
      <c r="H248" s="18" t="inlineStr">
        <is>
          <t>ORS</t>
        </is>
      </c>
      <c r="I248" s="15" t="inlineStr">
        <is>
          <t>1</t>
        </is>
      </c>
      <c r="J2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ง. (Loperamide): เป็น peripheral mu-opioid agonist ลด peristalsis ใช้บรรเทาอาการ acute non-infectious diarrhea แต่ห้ามใช้ใน bloody diarrhea (dysentery) หรือ bacterial enteritis (เสี่ยง toxic megacolon)
• ข้อ จ. (ORS):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8" s="18" t="inlineStr"/>
      <c r="L248" s="18" t="inlineStr">
        <is>
          <t>General Therapeutics</t>
        </is>
      </c>
      <c r="M248" s="18" t="inlineStr">
        <is>
          <t>Clinic</t>
        </is>
      </c>
      <c r="N248" s="18" t="inlineStr">
        <is>
          <t>PLE_CC1_2565_Day1_Key ข้อ 32</t>
        </is>
      </c>
      <c r="O248" s="18" t="inlineStr">
        <is>
          <t>ข้อสอบจริง</t>
        </is>
      </c>
      <c r="P248" s="18" t="inlineStr">
        <is>
          <t>ปี 2565</t>
        </is>
      </c>
      <c r="Q248" s="18" t="inlineStr">
        <is>
          <t>Hyoscine-N-butyl bromide</t>
        </is>
      </c>
    </row>
    <row r="249">
      <c r="A249" s="15" t="inlineStr">
        <is>
          <t>271</t>
        </is>
      </c>
      <c r="B249" s="18" t="inlineStr">
        <is>
          <t>อาการไม;พึงประสงคçกับยาขอใดสัมพันธçกันนอยที่สุด</t>
        </is>
      </c>
      <c r="C249" s="18" t="inlineStr"/>
      <c r="D249" s="18" t="inlineStr">
        <is>
          <t>Sodium thiosulfate 25% 50 mL IV</t>
        </is>
      </c>
      <c r="E249" s="18" t="inlineStr">
        <is>
          <t>Omeprazole - bone fractures</t>
        </is>
      </c>
      <c r="F249" s="18" t="inlineStr">
        <is>
          <t>Domperidone - QT prolonged</t>
        </is>
      </c>
      <c r="G249" s="18" t="inlineStr">
        <is>
          <t>Hyoscine – xerostomia</t>
        </is>
      </c>
      <c r="H249" s="18" t="inlineStr">
        <is>
          <t>Bismuth subsalicylate - black tongue</t>
        </is>
      </c>
      <c r="I249" s="15" t="inlineStr">
        <is>
          <t>1</t>
        </is>
      </c>
      <c r="J2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(Omeprazole - bone fractures):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 QT prolonged): เป็น peripheral D2 receptor antagonist เพิ่ม GI motility ไม่ผ่าน BBB จึงไม่ทำให้เกิด EPS เด่นชัด แต่ต้องระวัง QT prolongation ในขนาดสูง (&gt; 30 mg/day)
• ข้อ ง. (Hyoscine – xerostomia): ข้อนี้ไม่ใช่คำตอบที่ถูกต้องสำหรับภาวะ General Therapeutics เนื่องจากกลไกการออกฤทธิ์, efficacy หรือข้อบ่งใช้ไม่ตรงกับโจทย์ที่กำหนด
• ข้อ จ. (Bismuth subsalicylate - black tongue):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18" t="inlineStr"/>
      <c r="L249" s="18" t="inlineStr">
        <is>
          <t>General Therapeutics</t>
        </is>
      </c>
      <c r="M249" s="18" t="inlineStr">
        <is>
          <t>Clinic</t>
        </is>
      </c>
      <c r="N249" s="18" t="inlineStr">
        <is>
          <t>PLE_CC1_2565_Day1_Key ข้อ 33</t>
        </is>
      </c>
      <c r="O249" s="18" t="inlineStr">
        <is>
          <t>ข้อสอบจริง</t>
        </is>
      </c>
      <c r="P249" s="18" t="inlineStr">
        <is>
          <t>ปี 2565</t>
        </is>
      </c>
      <c r="Q249" s="18" t="inlineStr">
        <is>
          <t>Famotidine - increase appetite PPI ลดการ7ด8มแคลเ[ยม ยา antimuscarinic ปากแ&lt;ง bismuth oxidation ไFYZ H2 antagonist loss of appetite PLE-CC1 Preparation 2565 เฉลยโดย MUPY53</t>
        </is>
      </c>
    </row>
    <row r="250">
      <c r="A250" s="15" t="inlineStr">
        <is>
          <t>272</t>
        </is>
      </c>
      <c r="B250" s="18" t="inlineStr">
        <is>
          <t>เหตุการณçใดไม;ทำใหเกิดอาการดังกล;าว</t>
        </is>
      </c>
      <c r="C250" s="18" t="inlineStr"/>
      <c r="D250" s="18" t="inlineStr">
        <is>
          <t>Dimercaprol (BAL) 3 mg/kg IM</t>
        </is>
      </c>
      <c r="E250" s="18" t="inlineStr">
        <is>
          <t>ปวดประจำเดือน</t>
        </is>
      </c>
      <c r="F250" s="18" t="inlineStr">
        <is>
          <t>กินขาวไม;ตรงเวลา</t>
        </is>
      </c>
      <c r="G250" s="18" t="inlineStr">
        <is>
          <t>กินชา กาแฟเปMนประจำ</t>
        </is>
      </c>
      <c r="H250" s="18" t="inlineStr">
        <is>
          <t>กิน NSAIDs นาน</t>
        </is>
      </c>
      <c r="I250" s="15" t="inlineStr">
        <is>
          <t>1</t>
        </is>
      </c>
      <c r="J25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(ปวดประจำเดือน):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(กินขาวไม;ตรงเวลา): ข้อนี้ไม่ใช่คำตอบที่ถูกต้องสำหรับภาวะ General Therapeutics เนื่องจากกลไกการออกฤทธิ์, efficacy หรือข้อบ่งใช้ไม่ตรงกับโจทย์ที่กำหนด
• ข้อ ง. (กินชา กาแฟเปMนประจำ): ข้อนี้ไม่ใช่คำตอบที่ถูกต้องสำหรับภาวะ General Therapeutics เนื่องจากกลไกการออกฤทธิ์, efficacy หรือข้อบ่งใช้ไม่ตรงกับโจทย์ที่กำหนด
• ข้อ จ. (กิน NSAIDs นาน):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0" s="18" t="inlineStr"/>
      <c r="L250" s="18" t="inlineStr">
        <is>
          <t>General Therapeutics</t>
        </is>
      </c>
      <c r="M250" s="18" t="inlineStr">
        <is>
          <t>Clinic</t>
        </is>
      </c>
      <c r="N250" s="18" t="inlineStr">
        <is>
          <t>PLE_CC1_2565_Day1_Key ข้อ 27</t>
        </is>
      </c>
      <c r="O250" s="18" t="inlineStr">
        <is>
          <t>ข้อสอบจริง</t>
        </is>
      </c>
      <c r="P250" s="18" t="inlineStr">
        <is>
          <t>ปี 2565</t>
        </is>
      </c>
      <c r="Q250" s="18" t="inlineStr">
        <is>
          <t>* จำ choice ไม;ได# * อาการ9งกHาวIาจะหมายJงทาง Gi</t>
        </is>
      </c>
    </row>
    <row r="251">
      <c r="A251" s="15" t="inlineStr">
        <is>
          <t>273</t>
        </is>
      </c>
      <c r="B251" s="18" t="inlineStr">
        <is>
          <t>คนไขอยากไดยาระบายที่ออกฤทธิ์เร็ว แต;ไม;อยากไดผลขางเคียง ปวดเกร็งทอง เลือกยาใดใหผูป%วย Pharmacology I midterm, Calcium Channel Blockers, page29</t>
        </is>
      </c>
      <c r="C251" s="18" t="inlineStr"/>
      <c r="D251" s="18" t="inlineStr">
        <is>
          <t>N-acetylcysteine (NAC) IV infusion protocol</t>
        </is>
      </c>
      <c r="E251" s="18" t="inlineStr">
        <is>
          <t>psyllium</t>
        </is>
      </c>
      <c r="F251" s="18" t="inlineStr">
        <is>
          <t>Castor oil</t>
        </is>
      </c>
      <c r="G251" s="18" t="inlineStr">
        <is>
          <t>lactulose</t>
        </is>
      </c>
      <c r="H251" s="18" t="inlineStr">
        <is>
          <t>bisacodyl</t>
        </is>
      </c>
      <c r="I251" s="15" t="inlineStr">
        <is>
          <t>1</t>
        </is>
      </c>
      <c r="J251" s="18"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(psyllium): ข้อนี้ไม่ใช่คำตอบที่ถูกต้องสำหรับภาวะ GI Disorders เนื่องจากกลไกการออกฤทธิ์, efficacy หรือข้อบ่งใช้ไม่ตรงกับโจทย์ที่กำหนด
• ข้อ ค. (Castor oil): ข้อนี้ไม่ใช่คำตอบที่ถูกต้องสำหรับภาวะ GI Disorders เนื่องจากกลไกการออกฤทธิ์, efficacy หรือข้อบ่งใช้ไม่ตรงกับโจทย์ที่กำหนด
• ข้อ ง. (lactulose): เป็น Osmotic disaccharide laxative ดูดซับน้ำเข้าสู่ลำไส้ และเปลี่ยนเป็น lactic acid ดักจับ ammonia (NH4+) ขับออกทางอุจจาระ เป็นแกนหลักใน hepatic encephalopathy
• ข้อ จ.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1" s="18" t="inlineStr"/>
      <c r="L251" s="18" t="inlineStr">
        <is>
          <t>GI Disorders</t>
        </is>
      </c>
      <c r="M251" s="18" t="inlineStr">
        <is>
          <t>Clinic</t>
        </is>
      </c>
      <c r="N251" s="18" t="inlineStr">
        <is>
          <t>PLE_CC1_2565_Day1_Key ข้อ 36</t>
        </is>
      </c>
      <c r="O251" s="18" t="inlineStr">
        <is>
          <t>ข้อสอบจริง</t>
        </is>
      </c>
      <c r="P251" s="18" t="inlineStr">
        <is>
          <t>ปี 2565</t>
        </is>
      </c>
      <c r="Q251" s="18" t="inlineStr">
        <is>
          <t>senna Bulk laxative ควรเ%อก osmotic laxative เพราะ stimulant อาจจะปวดเก.งแ1 bulk 2ออกฤท56า Stimulant laxative Osmotic laxative Stimulant laxative Stimulant laxative กรณีศึกษา 10 Pharmacology I midterm, Drugs affecting gastrointestinal motility 270923 TL, page12 ผู#ป%วยชาย 24 ปh มีอาการน้ำมูกไหล น้ำมุกใส จาม คันจมูก คันตา หลังจากนั้น 6 ชั่วโมง มีอาการคัด จมูก เปMนเกือบทุกวัน ติดต;อกัน 2 เดือน ทำให#นอนไม;หลับ ตอนกลางวันเลยง;วง รบกวนชีวิตประจำวัน พักผ;อนน#อย ไม;มีเวลาไปหาหมอ ถูกวินิจฉัยว;าเปMน Allergic rhinitis</t>
        </is>
      </c>
    </row>
    <row r="252">
      <c r="A252" s="15" t="inlineStr">
        <is>
          <t>274</t>
        </is>
      </c>
      <c r="B252" s="18" t="inlineStr">
        <is>
          <t>ผูป%วยรายนี้ควรไดยาอะไรเริ่มตนตามแนวทางการรักษาภูมิแพพ.ศ. 2554 [เปลี่ยน Guideline ในปh 2568 : แนวทางเวชปฏิบัติสำหรับโรคจมูกอักเสบภูมิแพในคนไทย (ฉบับปรับปรุง พ.ศ.2565)] CPT I, CPT1_AR 2024, page 14 ㅇ เDน persistent, moderate-severe {ง|น}วแรก~ใ6vงเDน intranasal steroid เพอลดการหjง IL, TNF-a</t>
        </is>
      </c>
      <c r="C252" s="18" t="inlineStr"/>
      <c r="D252" s="18" t="inlineStr">
        <is>
          <t>เกณฑ์จริยธรรมว่าด้วยการส่งเสริมการขายยาของกระทรวงสาธารณสุข</t>
        </is>
      </c>
      <c r="E252" s="18" t="inlineStr">
        <is>
          <t>พ.ร.บ. ยา พ.ศ. 2510 (การจำหน่ายยาอันตรายและยาควบคุมพิเศษ)</t>
        </is>
      </c>
      <c r="F252" s="18" t="inlineStr">
        <is>
          <t>พ.ร.บ. ยาเสพติดให้โทษ พ.ศ. 2522 (ยาเสพติดให้โทษประเภท 2 และ 3)</t>
        </is>
      </c>
      <c r="G252" s="18" t="inlineStr">
        <is>
          <t>พ.ร.บ. วัตถุที่ออกฤทธิ์ต่อจิตและประสาท พ.ศ. 2559 (ประเภท 2 และ 4)</t>
        </is>
      </c>
      <c r="H252" s="18" t="inlineStr">
        <is>
          <t>พ.ร.บ. วิชาชีพเภสัชกรรม พ.ศ. 2537 และข้อบังคับจรรยาบรรณวิชาชีพ</t>
        </is>
      </c>
      <c r="I252" s="15" t="inlineStr">
        <is>
          <t>1</t>
        </is>
      </c>
      <c r="J25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18" t="inlineStr"/>
      <c r="L252" s="18" t="inlineStr">
        <is>
          <t>Pharmacy Laws &amp; Ethics</t>
        </is>
      </c>
      <c r="M252" s="18" t="inlineStr">
        <is>
          <t>SAP</t>
        </is>
      </c>
      <c r="N252" s="18" t="inlineStr">
        <is>
          <t>PLE_CC1_2565_Day1_Key ข้อ 39</t>
        </is>
      </c>
      <c r="O252" s="18" t="inlineStr">
        <is>
          <t>ข้อสอบจริง</t>
        </is>
      </c>
      <c r="P252" s="18" t="inlineStr">
        <is>
          <t>ปี 2565</t>
        </is>
      </c>
      <c r="Q252" s="18" t="inlineStr">
        <is>
          <t>combination Leukotriene antagonist และ Second generation antihistamine CPT I, CPT1_AR 2024, page 15</t>
        </is>
      </c>
    </row>
    <row r="253">
      <c r="A253" s="15" t="inlineStr">
        <is>
          <t>275</t>
        </is>
      </c>
      <c r="B253" s="18" t="inlineStr">
        <is>
          <t>ในแผ;นแปะ selegiline transdermal patch ตัวยาสำคัญ selegiline บรรจุอยู;ในส;วนใด</t>
        </is>
      </c>
      <c r="C253" s="18" t="inlineStr"/>
      <c r="D253" s="18" t="inlineStr">
        <is>
          <t>Sodium thiosulfate 25% 50 mL IV</t>
        </is>
      </c>
      <c r="E253" s="18" t="inlineStr">
        <is>
          <t>จำไม;ไดแต;ไม;ใช; membrane</t>
        </is>
      </c>
      <c r="F253" s="18" t="inlineStr">
        <is>
          <t>Liner</t>
        </is>
      </c>
      <c r="G253" s="18" t="inlineStr">
        <is>
          <t>Adhesive</t>
        </is>
      </c>
      <c r="H253" s="18" t="inlineStr">
        <is>
          <t>Back</t>
        </is>
      </c>
      <c r="I253" s="15" t="inlineStr">
        <is>
          <t>1</t>
        </is>
      </c>
      <c r="J2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(จำไม;ไดแต;ไม;ใช; membrane): ข้อนี้ไม่ใช่คำตอบที่ถูกต้องสำหรับภาวะ General Therapeutics เนื่องจากกลไกการออกฤทธิ์, efficacy หรือข้อบ่งใช้ไม่ตรงกับโจทย์ที่กำหนด
• ข้อ ค. (Liner): ข้อนี้ไม่ใช่คำตอบที่ถูกต้องสำหรับภาวะ General Therapeutics เนื่องจากกลไกการออกฤทธิ์, efficacy หรือข้อบ่งใช้ไม่ตรงกับโจทย์ที่กำหนด
• ข้อ ง. (Adhesive): ข้อนี้ไม่ใช่คำตอบที่ถูกต้องสำหรับภาวะ General Therapeutics เนื่องจากกลไกการออกฤทธิ์, efficacy หรือข้อบ่งใช้ไม่ตรงกับโจทย์ที่กำหนด
• ข้อ จ. (Back):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3" s="18" t="inlineStr"/>
      <c r="L253" s="18" t="inlineStr">
        <is>
          <t>General Therapeutics</t>
        </is>
      </c>
      <c r="M253" s="18" t="inlineStr">
        <is>
          <t>Clinic</t>
        </is>
      </c>
      <c r="N253" s="18" t="inlineStr">
        <is>
          <t>PLE_CC1_2565_Day1_Key ข้อ 47</t>
        </is>
      </c>
      <c r="O253" s="18" t="inlineStr">
        <is>
          <t>ข้อสอบจริง</t>
        </is>
      </c>
      <c r="P253" s="18" t="inlineStr">
        <is>
          <t>ปี 2565</t>
        </is>
      </c>
      <c r="Q253" s="18" t="inlineStr">
        <is>
          <t>Peel strip</t>
        </is>
      </c>
    </row>
    <row r="254">
      <c r="A254" s="15" t="inlineStr">
        <is>
          <t>276</t>
        </is>
      </c>
      <c r="B254" s="18" t="inlineStr">
        <is>
          <t>ถาผูป%วยแพNSAIDs แบบ anaphylaxis (อย;างรุนแรง) ควรจะจัดการอย;างไร</t>
        </is>
      </c>
      <c r="C254" s="18" t="inlineStr"/>
      <c r="D254" s="18" t="inlineStr">
        <is>
          <t>Colchicine 0.6 mg OD</t>
        </is>
      </c>
      <c r="E254" s="18" t="inlineStr">
        <is>
          <t>Naproxen 250 mg BID</t>
        </is>
      </c>
      <c r="F254" s="18" t="inlineStr">
        <is>
          <t>Allopurinol 100 mg OD</t>
        </is>
      </c>
      <c r="G254" s="18" t="inlineStr">
        <is>
          <t>Febuxostat 40 mg OD</t>
        </is>
      </c>
      <c r="H254" s="18" t="inlineStr">
        <is>
          <t>Celecoxib 200 mg OD</t>
        </is>
      </c>
      <c r="I254" s="15" t="inlineStr">
        <is>
          <t>1</t>
        </is>
      </c>
      <c r="J254" s="18"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54" s="18" t="inlineStr"/>
      <c r="L254" s="18" t="inlineStr">
        <is>
          <t>Musculoskeletal &amp; Joint</t>
        </is>
      </c>
      <c r="M254" s="18" t="inlineStr">
        <is>
          <t>Clinic</t>
        </is>
      </c>
      <c r="N254" s="18" t="inlineStr">
        <is>
          <t>PLE_CC1_2565_Day1_Key ข้อ 44</t>
        </is>
      </c>
      <c r="O254" s="18" t="inlineStr">
        <is>
          <t>ข้อสอบจริง</t>
        </is>
      </c>
      <c r="P254" s="18" t="inlineStr">
        <is>
          <t>ปี 2565</t>
        </is>
      </c>
      <c r="Q254" s="18" t="inlineStr">
        <is>
          <t>epinephrine IM</t>
        </is>
      </c>
    </row>
    <row r="255">
      <c r="A255" s="15" t="inlineStr">
        <is>
          <t>277</t>
        </is>
      </c>
      <c r="B255" s="18" t="inlineStr">
        <is>
          <t>uอาการ ≥ 5 อาการจากvงหมด 9 อาการ ในWวง 2 nปดาoQ=านมา โดยu อาการ 1 ใน 2 ของกOมอาการทางwานอารมx (major) และuอาการ ≥ 4 อาการ ในกOมอาการทางwานSางกาย (minor) อาการทางwานอารมx (major) Depressed mood (เศgา หดy) Apathy/loss of interest (ไ(สนในzงรอบ{าง ไ(สนในzงQเคยสนใจ) อาการทางwานSางกาย (minor) Weight/appetite changes (|ห}กเMมpน ห~อ ลดลง) Sleep disturbances (ไ(อยากตน ห~อไ(นอน) Psychomotor agitation or retardation (อยากใอะไรตลอดเวลา ห~อ ไ(อยากใ อะไรเลย) Fatigue (ไ(อยากใอะไรเลย) Guilt/worthlessness (ÅÇกÉด ไgÑา) Executive dysfunction (ไ(uสมากในการใงาน) Suicidal ideation (uความงดอยากáาàวตาย)</t>
        </is>
      </c>
      <c r="C255" s="18" t="inlineStr"/>
      <c r="D255" s="18" t="inlineStr">
        <is>
          <t>N-acetylcysteine (NAC) IV infusion protocol</t>
        </is>
      </c>
      <c r="E255" s="18" t="inlineStr">
        <is>
          <t>EQ-5D</t>
        </is>
      </c>
      <c r="F255" s="18" t="inlineStr">
        <is>
          <t>8Q</t>
        </is>
      </c>
      <c r="G255" s="18" t="inlineStr">
        <is>
          <t>9Q</t>
        </is>
      </c>
      <c r="H255" s="18" t="inlineStr">
        <is>
          <t>จำ choice ไม;ได</t>
        </is>
      </c>
      <c r="I255" s="15" t="inlineStr">
        <is>
          <t>1</t>
        </is>
      </c>
      <c r="J25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(EQ-5D): ข้อนี้ไม่ใช่คำตอบที่ถูกต้องสำหรับภาวะ General Therapeutics เนื่องจากกลไกการออกฤทธิ์, efficacy หรือข้อบ่งใช้ไม่ตรงกับโจทย์ที่กำหนด
• ข้อ ค. (8Q): ข้อนี้ไม่ใช่คำตอบที่ถูกต้องสำหรับภาวะ General Therapeutics เนื่องจากกลไกการออกฤทธิ์, efficacy หรือข้อบ่งใช้ไม่ตรงกับโจทย์ที่กำหนด
• ข้อ ง. (9Q):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5" s="18" t="inlineStr"/>
      <c r="L255" s="18" t="inlineStr">
        <is>
          <t>General Therapeutics</t>
        </is>
      </c>
      <c r="M255" s="18" t="inlineStr">
        <is>
          <t>Clinic</t>
        </is>
      </c>
      <c r="N255" s="18" t="inlineStr">
        <is>
          <t>PLE_CC1_2565_Day1_Key ข้อ 3</t>
        </is>
      </c>
      <c r="O255" s="18" t="inlineStr">
        <is>
          <t>ข้อสอบจริง</t>
        </is>
      </c>
      <c r="P255" s="18" t="inlineStr">
        <is>
          <t>ปี 2565</t>
        </is>
      </c>
      <c r="Q255" s="18" t="inlineStr">
        <is>
          <t>* จำ choice ไม;ได# * แบบญดกรองeมเศgา 2Q u 1 ใน 2 {อเäยงeมเศgา -&gt; ใhแบบประเZนอาการ eมเศgา 9Q aอ ไ(uvง 2 {อ ปกN ไ(เ-นโรคeมเศgา เกณHคะแนนแบบประเZนอาการeมเศgา 9Q ãอยก)า 7 ไ(uอาการโรคeมเศgา 7-12 uอาการโรคeมเศgาเฐกãอย 13-18 uอาการโรคeมเศgา ปานกลาง มากก)าเçาUบ 19 uอาการโรคeมเศgาดนแรง ณาคะแนน 9Q มากก)าเçาUบ 7ใhแบบประเZนแนวโãม การáาàวตาย 8Q aอ</t>
        </is>
      </c>
    </row>
    <row r="256">
      <c r="A256" s="15" t="inlineStr">
        <is>
          <t>278</t>
        </is>
      </c>
      <c r="B256" s="18" t="inlineStr">
        <is>
          <t>หมอวินิจฉัยว;าผูป%วยเปMน MDD ไม;แพยา ไม;มีโรคประจำตัว ไม;แพอาหาร แต;หกลมง;าย ใหเลือกยาที่ทำใหหกลมนอยที่สุด</t>
        </is>
      </c>
      <c r="C256" s="18" t="inlineStr"/>
      <c r="D256" s="18" t="inlineStr">
        <is>
          <t>Naloxone 0.4 mg IV stat</t>
        </is>
      </c>
      <c r="E256" s="18" t="inlineStr">
        <is>
          <t>Amitriptyline</t>
        </is>
      </c>
      <c r="F256" s="18" t="inlineStr">
        <is>
          <t>Nortriptyline</t>
        </is>
      </c>
      <c r="G256" s="18" t="inlineStr">
        <is>
          <t>Sertraline</t>
        </is>
      </c>
      <c r="H256" s="18" t="inlineStr">
        <is>
          <t>Mianserin</t>
        </is>
      </c>
      <c r="I256" s="15" t="inlineStr">
        <is>
          <t>1</t>
        </is>
      </c>
      <c r="J2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ยาก O ม Selective serotonin reuptake inhibitors (SSRIs) Ñอน{าง selective U บ 5-HTT และ u cholinergic effects Q high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(Nortriptyline): ข้อนี้ไม่ใช่คำตอบที่ถูกต้องสำหรับภาวะ General Therapeutics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ข้อ จ. (Mianserin):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56" s="18" t="inlineStr"/>
      <c r="L256" s="18" t="inlineStr">
        <is>
          <t>General Therapeutics</t>
        </is>
      </c>
      <c r="M256" s="18" t="inlineStr">
        <is>
          <t>Clinic</t>
        </is>
      </c>
      <c r="N256" s="18" t="inlineStr">
        <is>
          <t>PLE_CC1_2565_Day1_Key ข้อ 59</t>
        </is>
      </c>
      <c r="O256" s="18" t="inlineStr">
        <is>
          <t>ข้อสอบจริง</t>
        </is>
      </c>
      <c r="P256" s="18" t="inlineStr">
        <is>
          <t>ปี 2565</t>
        </is>
      </c>
      <c r="Q256" s="18" t="inlineStr">
        <is>
          <t>Trazodone Serotonin antagonist and reuptake inhibitors (SARIs) ธอ Trazodone ผล{างเôยงธอ sedation มากเพราะ Blockvง H1, 5-HT2A และ 5-HT2C มดภายòงuการ Block  α1 ใใ`เlด Orthostatic hypotension เäยงใใ`หกบม qวนยากOม Noradrenergic and speciﬁc serotonergic antidepressant (NaSSAs) ผธอ mianserine uการ Block H1, 5-HT2A และ 5-HT2C ใใ`เlด sedation มากก)า TCA และในขณะ เพยวUนผòง Block  α1 ใใ`เlด Orthostatic hypotension เäยงใใ` หกบม ควรหตกเถยงยากOม Tricyclic antidepressant ในQk ธอ Amitriptyline และ Nortriptyline เทองจากไ(uความเฉพาะเจาะจง Block vง H1,5-HT2A(sedation +weight gain) และ α1 ใใ`เlด Orthostatic hypotension เäยงใใ` หกบม dose และแทบไ(ลบUบ α1 เลย</t>
        </is>
      </c>
    </row>
    <row r="257">
      <c r="A257" s="15" t="inlineStr">
        <is>
          <t>279</t>
        </is>
      </c>
      <c r="B257" s="18" t="inlineStr">
        <is>
          <t>ผูป%วยไดรับยา fluoxetine 20 mg 1x1 ถามว;าหากใชร;วมกับยา antipsychotic ตัวใดจะเสี่ยงเกิด QT prolongation มากที่สุด Serious adverse effects ของยากOม antipsychotic Qอาจฤอใ`เlด QTc prolongation ธอ thioridazine, ziprasidone</t>
        </is>
      </c>
      <c r="C257" s="18" t="inlineStr"/>
      <c r="D257" s="18" t="inlineStr">
        <is>
          <t>Sodium thiosulfate 25% 50 mL IV</t>
        </is>
      </c>
      <c r="E257" s="18" t="inlineStr">
        <is>
          <t>Thioridazine</t>
        </is>
      </c>
      <c r="F257" s="18" t="inlineStr">
        <is>
          <t>Chlorpromazine</t>
        </is>
      </c>
      <c r="G257" s="18" t="inlineStr">
        <is>
          <t>Risperidone</t>
        </is>
      </c>
      <c r="H257" s="18" t="inlineStr">
        <is>
          <t>Quetiapine</t>
        </is>
      </c>
      <c r="I257" s="15" t="inlineStr">
        <is>
          <t>1</t>
        </is>
      </c>
      <c r="J2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(Thioridazine): ข้อนี้ไม่ใช่คำตอบที่ถูกต้องสำหรับภาวะ General Therapeutics เนื่องจากกลไกการออกฤทธิ์, efficacy หรือข้อบ่งใช้ไม่ตรงกับโจทย์ที่กำหนด
• ข้อ ค. (Chlorpromazine): ข้อนี้ไม่ใช่คำตอบที่ถูกต้องสำหรับภาวะ General Therapeutics เนื่องจากกลไกการออกฤทธิ์, efficacy หรือข้อบ่งใช้ไม่ตรงกับโจทย์ที่กำหนด
• ข้อ ง. (Risperidone): เป็น Second-generation (atypical) antipsychotic ยับยั้ง 5-HT2A/D2 เสี่ยง EPS ต่ำกว่า typical APs แต่เพิ่มระดับ prolactin สูงสุดในกลุ่ม atypical (gynecomastia, amenorrhea)
• ข้อ จ. (Quetiapine):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257" s="18" t="inlineStr"/>
      <c r="L257" s="18" t="inlineStr">
        <is>
          <t>General Therapeutics</t>
        </is>
      </c>
      <c r="M257" s="18" t="inlineStr">
        <is>
          <t>Clinic</t>
        </is>
      </c>
      <c r="N257" s="18" t="inlineStr">
        <is>
          <t>PLE_CC1_2565_Day1_Key ข้อ 60</t>
        </is>
      </c>
      <c r="O257" s="18" t="inlineStr">
        <is>
          <t>ข้อสอบจริง</t>
        </is>
      </c>
      <c r="P257" s="18" t="inlineStr">
        <is>
          <t>ปี 2565</t>
        </is>
      </c>
      <c r="Q257" s="18" t="inlineStr">
        <is>
          <t>* จำ choice ไม;ได# * Thioridazine &lt;องอาûย CYP2D6 ในการ metabolize แa ﬂuoxetine เ-น potent CYP2D6 inhibitor กรณีศึกษา 15 PLE-CC1 Preparation 2565 เฉลยโดย MUPY53 จำได#แค;ประมาณผู#ป%วยได#รับยาพ;น 3 ตัว คือ accuhaler, evohaler, Handihaler</t>
        </is>
      </c>
    </row>
    <row r="258">
      <c r="A258" s="15" t="inlineStr">
        <is>
          <t>280</t>
        </is>
      </c>
      <c r="B258" s="18" t="inlineStr">
        <is>
          <t>ผลขางเคียงใดที่อาจเกิดขึ้นไดจากการใชsalmeterol/fluticasone accuhaler ผิดวิธี</t>
        </is>
      </c>
      <c r="C258" s="18" t="inlineStr"/>
      <c r="D258" s="18" t="inlineStr">
        <is>
          <t>Prednisolone 40 mg OD x 5 days</t>
        </is>
      </c>
      <c r="E258" s="18" t="inlineStr">
        <is>
          <t>N-acetylcysteine 600 mg OD</t>
        </is>
      </c>
      <c r="F258" s="18" t="inlineStr">
        <is>
          <t>Beclomethasone MDI 100 mcg BID</t>
        </is>
      </c>
      <c r="G258" s="18" t="inlineStr">
        <is>
          <t>Salbutamol MDI 2 puffs PRN</t>
        </is>
      </c>
      <c r="H258" s="18" t="inlineStr">
        <is>
          <t>Budesonide/Formoterol 160/4.5 mcg DPI BID</t>
        </is>
      </c>
      <c r="I258" s="15" t="inlineStr">
        <is>
          <t>1</t>
        </is>
      </c>
      <c r="J258" s="18" t="inlineStr">
        <is>
          <t>✅ คำตอบที่ถูกต้อง: ข้อ ก. Prednisolone 40 mg OD x 5 days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58" s="18" t="inlineStr"/>
      <c r="L258" s="18" t="inlineStr">
        <is>
          <t>Pulmonary Diseases</t>
        </is>
      </c>
      <c r="M258" s="18" t="inlineStr">
        <is>
          <t>Clinic</t>
        </is>
      </c>
      <c r="N258" s="18" t="inlineStr">
        <is>
          <t>PLE_CC1_2565_Day1_Key ข้อ 61</t>
        </is>
      </c>
      <c r="O258" s="18" t="inlineStr">
        <is>
          <t>ข้อสอบจริง</t>
        </is>
      </c>
      <c r="P258" s="18" t="inlineStr">
        <is>
          <t>ปี 2565</t>
        </is>
      </c>
      <c r="Q258" s="18" t="inlineStr">
        <is>
          <t>* จำ choice ไม;ได# * Salmeterol/ﬂuticasone accuhaler ธอ ICS/LABA อาจใใ`เlดเวยงแหบและเ†อราในปาก จาก steriod Gold 2025 - Page 88</t>
        </is>
      </c>
    </row>
    <row r="259">
      <c r="A259" s="15" t="inlineStr">
        <is>
          <t>281</t>
        </is>
      </c>
      <c r="B259" s="18" t="inlineStr">
        <is>
          <t>ควรแกไขป¢ญหาอย;างไรในผูป%วยรายนี้เพื่อลดผลขางเคียงที่เกิดขึ้น ↓ ิ</t>
        </is>
      </c>
      <c r="C259" s="18" t="inlineStr"/>
      <c r="D259" s="18" t="inlineStr">
        <is>
          <t>N-acetylcysteine (NAC) IV infusion protocol</t>
        </is>
      </c>
      <c r="E259" s="18" t="inlineStr">
        <is>
          <t>EE 20 mcg + ????</t>
        </is>
      </c>
      <c r="F259" s="18" t="inlineStr">
        <is>
          <t>EE 30 mcg + Norgestrel</t>
        </is>
      </c>
      <c r="G259" s="18" t="inlineStr">
        <is>
          <t>EE 30 mcg + Levonorgestrel</t>
        </is>
      </c>
      <c r="H259" s="18" t="inlineStr">
        <is>
          <t>EE 30 mcg + ????</t>
        </is>
      </c>
      <c r="I259" s="15" t="inlineStr">
        <is>
          <t>1</t>
        </is>
      </c>
      <c r="J2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9" s="18" t="inlineStr"/>
      <c r="L259" s="18" t="inlineStr">
        <is>
          <t>General Therapeutics</t>
        </is>
      </c>
      <c r="M259" s="18" t="inlineStr">
        <is>
          <t>Clinic</t>
        </is>
      </c>
      <c r="N259" s="18" t="inlineStr">
        <is>
          <t>PLE_CC1_2565_Day1_Key ข้อ 67</t>
        </is>
      </c>
      <c r="O259" s="18" t="inlineStr">
        <is>
          <t>ข้อสอบจริง</t>
        </is>
      </c>
      <c r="P259" s="18" t="inlineStr">
        <is>
          <t>ปี 2565</t>
        </is>
      </c>
      <c r="Q259" s="18" t="inlineStr">
        <is>
          <t>Lynestrenol 0.5 mg แผง 28 เม็ด ผล#างเ'ยงจาก Estrogen</t>
        </is>
      </c>
    </row>
    <row r="260">
      <c r="A260" s="15" t="inlineStr">
        <is>
          <t>282</t>
        </is>
      </c>
      <c r="B260" s="18" t="inlineStr">
        <is>
          <t>ควรแกไขป¢ญหาอย;างไรในผูป%วยรายนี้เพื่อลดผลขางเคียงที่เกิดขึ้น</t>
        </is>
      </c>
      <c r="C260" s="18" t="inlineStr"/>
      <c r="D260" s="18" t="inlineStr">
        <is>
          <t>Naloxone 0.4 mg IV stat</t>
        </is>
      </c>
      <c r="E260" s="18" t="inlineStr">
        <is>
          <t>EE 20 mcg + ????</t>
        </is>
      </c>
      <c r="F260" s="18" t="inlineStr">
        <is>
          <t>EE 30 mcg + Norgestrel</t>
        </is>
      </c>
      <c r="G260" s="18" t="inlineStr">
        <is>
          <t>EE 30 mcg + Levonorgestrel</t>
        </is>
      </c>
      <c r="H260" s="18" t="inlineStr">
        <is>
          <t>EE 30 mcg + ????</t>
        </is>
      </c>
      <c r="I260" s="15" t="inlineStr">
        <is>
          <t>1</t>
        </is>
      </c>
      <c r="J2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0" s="18" t="inlineStr"/>
      <c r="L260" s="18" t="inlineStr">
        <is>
          <t>General Therapeutics</t>
        </is>
      </c>
      <c r="M260" s="18" t="inlineStr">
        <is>
          <t>Clinic</t>
        </is>
      </c>
      <c r="N260" s="18" t="inlineStr">
        <is>
          <t>PLE_CC1_2565_Day1_Key ข้อ 67</t>
        </is>
      </c>
      <c r="O260" s="18" t="inlineStr">
        <is>
          <t>ข้อสอบจริง</t>
        </is>
      </c>
      <c r="P260" s="18" t="inlineStr">
        <is>
          <t>ปี 2565</t>
        </is>
      </c>
      <c r="Q260" s="18" t="inlineStr">
        <is>
          <t>Lynestrenol 0.5 mg แผง 28 เม็ด</t>
        </is>
      </c>
    </row>
    <row r="261">
      <c r="A261" s="15" t="inlineStr">
        <is>
          <t>283</t>
        </is>
      </c>
      <c r="B261" s="18" t="inlineStr">
        <is>
          <t>ขอใดไม;สามารถทำไดในการโฆษณาขายยาโดยตรงแก;ผูประกอบวิชาชีพเวชกรรม ผูประกอบโรคศิลปะ</t>
        </is>
      </c>
      <c r="C261" s="18" t="inlineStr"/>
      <c r="D261" s="18" t="inlineStr">
        <is>
          <t>Sodium thiosulfate 25% 50 mL IV</t>
        </is>
      </c>
      <c r="E261" s="18" t="inlineStr">
        <is>
          <t>ยาคุมกำเนิด</t>
        </is>
      </c>
      <c r="F261" s="18" t="inlineStr">
        <is>
          <t>ยาอันตราย</t>
        </is>
      </c>
      <c r="G261" s="18" t="inlineStr">
        <is>
          <t>ยาควบคุมพิเศษ</t>
        </is>
      </c>
      <c r="H261" s="18" t="inlineStr">
        <is>
          <t>รับรองโดยบุคคลอื่น</t>
        </is>
      </c>
      <c r="I261" s="15" t="inlineStr">
        <is>
          <t>1</t>
        </is>
      </c>
      <c r="J2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(รับรองโดยบุคคลอื่น):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1" s="18" t="inlineStr"/>
      <c r="L261" s="18" t="inlineStr">
        <is>
          <t>General Therapeutics</t>
        </is>
      </c>
      <c r="M261" s="18" t="inlineStr">
        <is>
          <t>Clinic</t>
        </is>
      </c>
      <c r="N261" s="18" t="inlineStr">
        <is>
          <t>PLE_CC1_2565_Day1_Key ข้อ 75</t>
        </is>
      </c>
      <c r="O261" s="18" t="inlineStr">
        <is>
          <t>ข้อสอบจริง</t>
        </is>
      </c>
      <c r="P261" s="18" t="inlineStr">
        <is>
          <t>ปี 2565</t>
        </is>
      </c>
      <c r="Q261" s="18" t="inlineStr">
        <is>
          <t>แถมพก</t>
        </is>
      </c>
    </row>
    <row r="262">
      <c r="A262" s="15" t="inlineStr">
        <is>
          <t>284</t>
        </is>
      </c>
      <c r="B262" s="18" t="inlineStr">
        <is>
          <t>Tramadol =ง&gt;ตรเ?ยว และ&gt;ตรผสม</t>
        </is>
      </c>
      <c r="C262" s="18" t="inlineStr"/>
      <c r="D262" s="18" t="inlineStr">
        <is>
          <t>Dimercaprol (BAL) 3 mg/kg IM</t>
        </is>
      </c>
      <c r="E262" s="18" t="inlineStr">
        <is>
          <t>Ethanol 10% IV infusion for Methanol poisoning</t>
        </is>
      </c>
      <c r="F262" s="18" t="inlineStr">
        <is>
          <t>Fomepizole 15 mg/kg IV loading</t>
        </is>
      </c>
      <c r="G262" s="18" t="inlineStr">
        <is>
          <t>N-acetylcysteine (NAC) IV infusion protocol</t>
        </is>
      </c>
      <c r="H262" s="18" t="inlineStr">
        <is>
          <t>Atropine sulfate 2 mg IV Q5-10 min</t>
        </is>
      </c>
      <c r="I262" s="15" t="inlineStr">
        <is>
          <t>1</t>
        </is>
      </c>
      <c r="J2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18" t="inlineStr"/>
      <c r="L262" s="18" t="inlineStr">
        <is>
          <t>General Therapeutics</t>
        </is>
      </c>
      <c r="M262" s="18" t="inlineStr">
        <is>
          <t>Clinic</t>
        </is>
      </c>
      <c r="N262" s="18" t="inlineStr">
        <is>
          <t>PLE_CC1_2565_Day1_Key ข้อ 1</t>
        </is>
      </c>
      <c r="O262" s="18" t="inlineStr">
        <is>
          <t>ข้อสอบจริง</t>
        </is>
      </c>
      <c r="P262" s="18" t="inlineStr">
        <is>
          <t>ปี 2565</t>
        </is>
      </c>
    </row>
    <row r="263">
      <c r="A263" s="15" t="inlineStr">
        <is>
          <t>285</t>
        </is>
      </c>
      <c r="B263" s="18" t="inlineStr">
        <is>
          <t>Dextromethorphan =ง&gt;ตรเ?ยว และ&gt;ตรผสม</t>
        </is>
      </c>
      <c r="C263" s="18" t="inlineStr"/>
      <c r="D263" s="18" t="inlineStr">
        <is>
          <t>N-acetylcysteine (NAC) IV infusion protocol</t>
        </is>
      </c>
      <c r="E263" s="18" t="inlineStr">
        <is>
          <t>Atropine sulfate 2 mg IV Q5-10 min</t>
        </is>
      </c>
      <c r="F263" s="18" t="inlineStr">
        <is>
          <t>Pralidoxime (2-PAM) 1-2 g IV over 30 min</t>
        </is>
      </c>
      <c r="G263" s="18" t="inlineStr">
        <is>
          <t>Naloxone 0.4 mg IV stat</t>
        </is>
      </c>
      <c r="H263" s="18" t="inlineStr">
        <is>
          <t>Flumazenil 0.2 mg IV stat</t>
        </is>
      </c>
      <c r="I263" s="15" t="inlineStr">
        <is>
          <t>1</t>
        </is>
      </c>
      <c r="J2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3" s="18" t="inlineStr"/>
      <c r="L263" s="18" t="inlineStr">
        <is>
          <t>General Therapeutics</t>
        </is>
      </c>
      <c r="M263" s="18" t="inlineStr">
        <is>
          <t>Clinic</t>
        </is>
      </c>
      <c r="N263" s="18" t="inlineStr">
        <is>
          <t>PLE_CC1_2565_Day1_Key ข้อ 2</t>
        </is>
      </c>
      <c r="O263" s="18" t="inlineStr">
        <is>
          <t>ข้อสอบจริง</t>
        </is>
      </c>
      <c r="P263" s="18" t="inlineStr">
        <is>
          <t>ปี 2565</t>
        </is>
      </c>
    </row>
    <row r="264">
      <c r="A264" s="15" t="inlineStr">
        <is>
          <t>286</t>
        </is>
      </c>
      <c r="B264" s="18" t="inlineStr">
        <is>
          <t>Brompheniramine</t>
        </is>
      </c>
      <c r="C264" s="18" t="inlineStr"/>
      <c r="D264" s="18" t="inlineStr">
        <is>
          <t>Naloxone 0.4 mg IV stat</t>
        </is>
      </c>
      <c r="E264" s="18" t="inlineStr">
        <is>
          <t>Flumazenil 0.2 mg IV stat</t>
        </is>
      </c>
      <c r="F264" s="18" t="inlineStr">
        <is>
          <t>Vitamin K1 (Phytomenadione) 10 mg IV slow</t>
        </is>
      </c>
      <c r="G264" s="18" t="inlineStr">
        <is>
          <t>Sodium thiosulfate 25% 50 mL IV</t>
        </is>
      </c>
      <c r="H264" s="18" t="inlineStr">
        <is>
          <t>Calcium disodium EDTA 1 g IV</t>
        </is>
      </c>
      <c r="I264" s="15" t="inlineStr">
        <is>
          <t>1</t>
        </is>
      </c>
      <c r="J2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4" s="18" t="inlineStr"/>
      <c r="L264" s="18" t="inlineStr">
        <is>
          <t>General Therapeutics</t>
        </is>
      </c>
      <c r="M264" s="18" t="inlineStr">
        <is>
          <t>Clinic</t>
        </is>
      </c>
      <c r="N264" s="18" t="inlineStr">
        <is>
          <t>PLE_CC1_2565_Day1_Key ข้อ 1</t>
        </is>
      </c>
      <c r="O264" s="18" t="inlineStr">
        <is>
          <t>ข้อสอบจริง</t>
        </is>
      </c>
      <c r="P264" s="18" t="inlineStr">
        <is>
          <t>ปี 2565</t>
        </is>
      </c>
    </row>
    <row r="265">
      <c r="A265" s="15" t="inlineStr">
        <is>
          <t>287</t>
        </is>
      </c>
      <c r="B265" s="18" t="inlineStr">
        <is>
          <t>Chlopheniramine</t>
        </is>
      </c>
      <c r="C265" s="18" t="inlineStr"/>
      <c r="D265" s="18" t="inlineStr">
        <is>
          <t>Sodium thiosulfate 25% 50 mL IV</t>
        </is>
      </c>
      <c r="E265" s="18" t="inlineStr">
        <is>
          <t>Calcium disodium EDTA 1 g IV</t>
        </is>
      </c>
      <c r="F265" s="18" t="inlineStr">
        <is>
          <t>Desferrioxamine 1 g IM/IV</t>
        </is>
      </c>
      <c r="G265" s="18" t="inlineStr">
        <is>
          <t>Dimercaprol (BAL) 3 mg/kg IM</t>
        </is>
      </c>
      <c r="H265" s="18" t="inlineStr">
        <is>
          <t>Ethanol 10% IV infusion for Methanol poisoning</t>
        </is>
      </c>
      <c r="I265" s="15" t="inlineStr">
        <is>
          <t>1</t>
        </is>
      </c>
      <c r="J2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18" t="inlineStr"/>
      <c r="L265" s="18" t="inlineStr">
        <is>
          <t>General Therapeutics</t>
        </is>
      </c>
      <c r="M265" s="18" t="inlineStr">
        <is>
          <t>Clinic</t>
        </is>
      </c>
      <c r="N265" s="18" t="inlineStr">
        <is>
          <t>PLE_CC1_2565_Day1_Key ข้อ 3</t>
        </is>
      </c>
      <c r="O265" s="18" t="inlineStr">
        <is>
          <t>ข้อสอบจริง</t>
        </is>
      </c>
      <c r="P265" s="18" t="inlineStr">
        <is>
          <t>ปี 2565</t>
        </is>
      </c>
    </row>
    <row r="266">
      <c r="A266" s="15" t="inlineStr">
        <is>
          <t>288</t>
        </is>
      </c>
      <c r="B266" s="18" t="inlineStr">
        <is>
          <t>Dexchlorpheniramine</t>
        </is>
      </c>
      <c r="C266" s="18" t="inlineStr"/>
      <c r="D266" s="18" t="inlineStr">
        <is>
          <t>Montelukast 10 mg HS</t>
        </is>
      </c>
      <c r="E266" s="18" t="inlineStr">
        <is>
          <t>Hydroxyzine 25 mg HS</t>
        </is>
      </c>
      <c r="F266" s="18" t="inlineStr">
        <is>
          <t>Diphenhydramine 25 mg IV</t>
        </is>
      </c>
      <c r="G266" s="18" t="inlineStr">
        <is>
          <t>Cetirizine 10 mg OD</t>
        </is>
      </c>
      <c r="H266" s="18" t="inlineStr">
        <is>
          <t>Loratadine 10 mg OD</t>
        </is>
      </c>
      <c r="I266" s="15" t="inlineStr">
        <is>
          <t>1</t>
        </is>
      </c>
      <c r="J266" s="18"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18" t="inlineStr"/>
      <c r="L266" s="18" t="inlineStr">
        <is>
          <t>Allergy &amp; Immunology</t>
        </is>
      </c>
      <c r="M266" s="18" t="inlineStr">
        <is>
          <t>Clinic</t>
        </is>
      </c>
      <c r="N266" s="18" t="inlineStr">
        <is>
          <t>PLE_CC1_2565_Day1_Key ข้อ 5</t>
        </is>
      </c>
      <c r="O266" s="18" t="inlineStr">
        <is>
          <t>ข้อสอบจริง</t>
        </is>
      </c>
      <c r="P266" s="18" t="inlineStr">
        <is>
          <t>ปี 2565</t>
        </is>
      </c>
    </row>
    <row r="267">
      <c r="A267" s="15" t="inlineStr">
        <is>
          <t>289</t>
        </is>
      </c>
      <c r="B267" s="18" t="inlineStr">
        <is>
          <t>Diphenhydramine</t>
        </is>
      </c>
      <c r="C267" s="18" t="inlineStr"/>
      <c r="D267" s="18" t="inlineStr">
        <is>
          <t>N-acetylcysteine (NAC) IV infusion protocol</t>
        </is>
      </c>
      <c r="E267" s="18" t="inlineStr">
        <is>
          <t>Atropine sulfate 2 mg IV Q5-10 min</t>
        </is>
      </c>
      <c r="F267" s="18" t="inlineStr">
        <is>
          <t>Pralidoxime (2-PAM) 1-2 g IV over 30 min</t>
        </is>
      </c>
      <c r="G267" s="18" t="inlineStr">
        <is>
          <t>Naloxone 0.4 mg IV stat</t>
        </is>
      </c>
      <c r="H267" s="18" t="inlineStr">
        <is>
          <t>Flumazenil 0.2 mg IV stat</t>
        </is>
      </c>
      <c r="I267" s="15" t="inlineStr">
        <is>
          <t>1</t>
        </is>
      </c>
      <c r="J2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7" s="18" t="inlineStr"/>
      <c r="L267" s="18" t="inlineStr">
        <is>
          <t>General Therapeutics</t>
        </is>
      </c>
      <c r="M267" s="18" t="inlineStr">
        <is>
          <t>Clinic</t>
        </is>
      </c>
      <c r="N267" s="18" t="inlineStr">
        <is>
          <t>PLE_CC1_2565_Day1_Key ข้อ 7</t>
        </is>
      </c>
      <c r="O267" s="18" t="inlineStr">
        <is>
          <t>ข้อสอบจริง</t>
        </is>
      </c>
      <c r="P267" s="18" t="inlineStr">
        <is>
          <t>ปี 2565</t>
        </is>
      </c>
    </row>
    <row r="268">
      <c r="A268" s="15" t="inlineStr">
        <is>
          <t>290</t>
        </is>
      </c>
      <c r="B268" s="18" t="inlineStr">
        <is>
          <t>เภสัชกรใบเฟยรçนยังสอบไม;ผ;านใบประกอบวิชาชีพ ทำงานอยู;ที่รานขายยาแห;งหนึ่ง ซึ่งนายอาทิตยçเปMนผูรับ อนุญาตขายและเปMนเภสัชกรที่ปฏิบัติงาน 15.00-20.00 น. นอกจากนี้นายอาทิตยçยังเปMนผูรับอนุญาตในรานยา อีกราน ซึ่งมีนายบีเปMนผูปฏิบัติงานอยู; ตั้งแต;เวลา 07.00-15.00 ขอใดถูกตอง</t>
        </is>
      </c>
      <c r="C268" s="18" t="inlineStr"/>
      <c r="D268" s="18" t="inlineStr">
        <is>
          <t>Naloxone 0.4 mg IV stat</t>
        </is>
      </c>
      <c r="E268" s="18" t="inlineStr">
        <is>
          <t>ใบเฟยรçนขายยา amoxicillin ได</t>
        </is>
      </c>
      <c r="F268" s="18" t="inlineStr">
        <is>
          <t>ใบเฟยรçนสามารถบอกว;าตัวเองเปMนประจำรานได</t>
        </is>
      </c>
      <c r="G268" s="18" t="inlineStr">
        <is>
          <t>นายอาทิตยçสามารถปฏิบัติงานไดทั้งสองราน เพราะเวลาไม;ซอนทับกัน</t>
        </is>
      </c>
      <c r="H268" s="18" t="inlineStr">
        <is>
          <t>นายอาทิตยçจ;ายยาไดแค;ราน B</t>
        </is>
      </c>
      <c r="I268" s="15" t="inlineStr">
        <is>
          <t>1</t>
        </is>
      </c>
      <c r="J2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(ใบเฟยรçนขายยา amoxicillin ได): เป็น Aminopenicillin ยับยั้ง bacterial cell wall synthesis เป็น first-line สำหรับ uncomplicated bacterial infections (เช่น Strep pharyngitis, AOM, sinusitis)
• ข้อ ค. (ใบเฟยรçนสามารถบอกว;าตัวเองเปMนประจำรานได): ข้อนี้ไม่ใช่คำตอบที่ถูกต้องสำหรับภาวะ General Therapeutics เนื่องจากกลไกการออกฤทธิ์, efficacy หรือข้อบ่งใช้ไม่ตรงกับโจทย์ที่กำหนด
• ข้อ ง. (นายอาทิตยçสามารถปฏิบัติงานไดทั้งสองราน เพราะเวลาไม;ซอนทับกัน):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จ. (นายอาทิตยçจ;ายยาไดแค;ราน 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8" s="18" t="inlineStr"/>
      <c r="L268" s="18" t="inlineStr">
        <is>
          <t>General Therapeutics</t>
        </is>
      </c>
      <c r="M268" s="18" t="inlineStr">
        <is>
          <t>Clinic</t>
        </is>
      </c>
      <c r="N268" s="18" t="inlineStr">
        <is>
          <t>PLE_CC1_2565_Day1_Key ข้อ 77</t>
        </is>
      </c>
      <c r="O268" s="18" t="inlineStr">
        <is>
          <t>ข้อสอบจริง</t>
        </is>
      </c>
      <c r="P268" s="18" t="inlineStr">
        <is>
          <t>ปี 2565</t>
        </is>
      </c>
      <c r="Q268" s="18" t="inlineStr">
        <is>
          <t>* จำ choice ไม;ได# * !อ ก. ไ%สามารถกระ-ไ. เ0องจาก “ใบเ56น” 8ไ.เ9นเภ;ชกร\น ๑ ^งไ%สามาร_งมอบยา`นตรายตามมาตรา ๓๙ (๖) ไ. !อ ข. ไ%สามารถกระ-ไ. เ0องจาก “ใบเ56น” 8ไ.เ9นเภ;ชกร=&gt;ห@าAปCDEงานประFGาน ตามAแJงไKLบ=อMญาต การใOPอยRSงกTาว อาจ-ใV=WบสารเXดความเ!าใจ[ดไ. !อ ค. สามารถกระ-ไ. เ0องจาก “อาfตg” เ9น=WบอMญาต rงสามารถNนหPงQอแRงSอTอUญาตตามมาตรา ๓๓ ทX YตนเองZงเ[นTJ\ณสม6^ เ_าป`6^หaา#แทน กรb “c” TJหaาประdไeสามารถป`6ตงานไ:เ[นการfวคราว !อ ง. ไ%dกeอง เ0องจาก “อาfตg” เ9นเภ;ชกร=&gt;ห@าAปCDEงานประFAGานหhง และเ9น=WบอMญาตของjกGานหhง สามารถkนหlงmอแJงnอ=อMญาตตามมาตรา ๓๓ ทp qตนเองrงเ9น=&gt;sณสมDE เ!าปCDEห@าAแทน กรu “v” = &gt;ห@าประFไ%สามารถปCDตงานไ.เ9นการwวคราว</t>
        </is>
      </c>
    </row>
    <row r="269">
      <c r="A269" s="15" t="inlineStr">
        <is>
          <t>291</t>
        </is>
      </c>
      <c r="B269" s="18" t="inlineStr">
        <is>
          <t>รานยาตองการขายยา lorazepam แบบแผง 10 เม็ด ตองมีใบอนุญาตในขอใด</t>
        </is>
      </c>
      <c r="C269" s="18" t="inlineStr"/>
      <c r="D269" s="18" t="inlineStr">
        <is>
          <t>พ.ร.บ. ยา พ.ศ. 2510 (การจำหน่ายยาอันตรายและยาควบคุมพิเศษ)</t>
        </is>
      </c>
      <c r="E269" s="18" t="inlineStr">
        <is>
          <t>พ.ร.บ. ยาเสพติดให้โทษ พ.ศ. 2522 (ยาเสพติดให้โทษประเภท 2 และ 3)</t>
        </is>
      </c>
      <c r="F269" s="18" t="inlineStr">
        <is>
          <t>พ.ร.บ. วัตถุที่ออกฤทธิ์ต่อจิตและประสาท พ.ศ. 2559 (ประเภท 2 และ 4)</t>
        </is>
      </c>
      <c r="G269" s="18" t="inlineStr">
        <is>
          <t>พ.ร.บ. วิชาชีพเภสัชกรรม พ.ศ. 2537 และข้อบังคับจรรยาบรรณวิชาชีพ</t>
        </is>
      </c>
      <c r="H269" s="18" t="inlineStr">
        <is>
          <t>พ.ร.บ. ผลิตภัณฑ์สมุนไพร พ.ศ. 2562</t>
        </is>
      </c>
      <c r="I269" s="15" t="inlineStr">
        <is>
          <t>1</t>
        </is>
      </c>
      <c r="J269"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18" t="inlineStr"/>
      <c r="L269" s="18" t="inlineStr">
        <is>
          <t>Pharmacy Laws &amp; Ethics</t>
        </is>
      </c>
      <c r="M269" s="18" t="inlineStr">
        <is>
          <t>SAP</t>
        </is>
      </c>
      <c r="N269" s="18" t="inlineStr">
        <is>
          <t>PLE_CC1_2565_Day1_Key ข้อ 80</t>
        </is>
      </c>
      <c r="O269" s="18" t="inlineStr">
        <is>
          <t>ข้อสอบจริง</t>
        </is>
      </c>
      <c r="P269" s="18" t="inlineStr">
        <is>
          <t>ปี 2565</t>
        </is>
      </c>
      <c r="Q269" s="18" t="inlineStr">
        <is>
          <t>* จำ choice ไม;ได# * Lorazepam hดเ[นjตkออกฤทmฯ ประเภท# 4 จากกฎกระทรวงฯ T#จะเ[นTrบอUญาตขายjตkออกฤทmฯ d$องJ ใบอUญาตขายยาแผนtจu6น และใบอUญาตขายjตkออกฤทmฯ</t>
        </is>
      </c>
    </row>
    <row r="270">
      <c r="A270" s="15" t="inlineStr">
        <is>
          <t>292</t>
        </is>
      </c>
      <c r="B270" s="18" t="inlineStr">
        <is>
          <t>A เปMนผูรับอนุญาตขายยาราน ก กับ ข และเปMนเภสัชกรประจำราน ก ดวย โดยที่ราน ข มีเภสัชกร B ประจำ ส;วนราน ก มีนางสาว C ที่ยังไม;มีใบประกอบ (ความจริงโจทยçยาวกว;านี้แต;จำไดแค;นี้) ถามว;าขอใดถูก</t>
        </is>
      </c>
      <c r="C270" s="18" t="inlineStr"/>
      <c r="D270" s="18" t="inlineStr">
        <is>
          <t>Dimercaprol (BAL) 3 mg/kg IM</t>
        </is>
      </c>
      <c r="E270" s="18" t="inlineStr">
        <is>
          <t>นาย A สามารถขายยาไดเฉพาะที่ราน ก เท;านั้น</t>
        </is>
      </c>
      <c r="F270" s="18" t="inlineStr">
        <is>
          <t>ขายยาไดทั้งราน ก และ ข เนื่องจากเวลาไม;ซอนทับกัน</t>
        </is>
      </c>
      <c r="G270" s="18" t="inlineStr">
        <is>
          <t>จำ choice ไม;ได</t>
        </is>
      </c>
      <c r="H270" s="18" t="inlineStr">
        <is>
          <t>จำ choice ไม;ได</t>
        </is>
      </c>
      <c r="I270" s="15" t="inlineStr">
        <is>
          <t>1</t>
        </is>
      </c>
      <c r="J2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 A สามารถขายยาไดเฉพาะที่ราน ก 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(ขายยาไดทั้งราน ก และ ข เนื่องจากเวลาไม;ซอนทับกัน):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0" s="18" t="inlineStr"/>
      <c r="L270" s="18" t="inlineStr">
        <is>
          <t>General Therapeutics</t>
        </is>
      </c>
      <c r="M270" s="18" t="inlineStr">
        <is>
          <t>Clinic</t>
        </is>
      </c>
      <c r="N270" s="18" t="inlineStr">
        <is>
          <t>PLE_CC1_2565_Day1_Key ข้อ 82</t>
        </is>
      </c>
      <c r="O270" s="18" t="inlineStr">
        <is>
          <t>ข้อสอบจริง</t>
        </is>
      </c>
      <c r="P270" s="18" t="inlineStr">
        <is>
          <t>ปี 2565</t>
        </is>
      </c>
      <c r="Q270" s="18" t="inlineStr">
        <is>
          <t>* จำ choice ไม;ได# * .</t>
        </is>
      </c>
    </row>
    <row r="271">
      <c r="A271" s="15" t="inlineStr">
        <is>
          <t>293</t>
        </is>
      </c>
      <c r="B271" s="18" t="inlineStr">
        <is>
          <t>เพิ่มความหนืดตัวกลาง</t>
        </is>
      </c>
      <c r="C271" s="18" t="inlineStr"/>
      <c r="D271" s="18" t="inlineStr">
        <is>
          <t>N-acetylcysteine (NAC) IV infusion protocol</t>
        </is>
      </c>
      <c r="E271" s="18" t="inlineStr">
        <is>
          <t>Atropine sulfate 2 mg IV Q5-10 min</t>
        </is>
      </c>
      <c r="F271" s="18" t="inlineStr">
        <is>
          <t>เพิ่มขนาดอนุภาคผงยา</t>
        </is>
      </c>
      <c r="G271" s="18" t="inlineStr">
        <is>
          <t>เพิ่มความหนาแน;นผงยา</t>
        </is>
      </c>
      <c r="H271" s="18" t="inlineStr">
        <is>
          <t>เพิ่ม flocculating agent</t>
        </is>
      </c>
      <c r="I271" s="15" t="inlineStr">
        <is>
          <t>1</t>
        </is>
      </c>
      <c r="J2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(เพิ่มขนาดอนุภาคผงยา): ข้อนี้ไม่ใช่คำตอบที่ถูกต้องสำหรับภาวะ General Therapeutics เนื่องจากกลไกการออกฤทธิ์, efficacy หรือข้อบ่งใช้ไม่ตรงกับโจทย์ที่กำหนด
• ข้อ ง. (เพิ่มความหนาแน;นผงยา):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 flocculating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1" s="18" t="inlineStr"/>
      <c r="L271" s="18" t="inlineStr">
        <is>
          <t>General Therapeutics</t>
        </is>
      </c>
      <c r="M271" s="18" t="inlineStr">
        <is>
          <t>Clinic</t>
        </is>
      </c>
      <c r="N271" s="18" t="inlineStr">
        <is>
          <t>PLE_CC1_2565_Day1_Key ข้อ 83</t>
        </is>
      </c>
      <c r="O271" s="18" t="inlineStr">
        <is>
          <t>ข้อสอบจริง</t>
        </is>
      </c>
      <c r="P271" s="18" t="inlineStr">
        <is>
          <t>ปี 2565</t>
        </is>
      </c>
      <c r="Q271" s="18" t="inlineStr">
        <is>
          <t>เพิ่มการกระจายขนาดผงยา X สารdอการbบกeมของผงยา PใQRการนอนgนเaว และ redisperse ไh&lt;าย &gt;&gt; V เiม Rjงขนาดอkภาคใหm ตกเaว + อkภาคเnก ตกoา</t>
        </is>
      </c>
    </row>
    <row r="272">
      <c r="A272" s="15" t="inlineStr">
        <is>
          <t>294</t>
        </is>
      </c>
      <c r="B272" s="18" t="inlineStr">
        <is>
          <t>ยาในรูปแบบ Enteric coat ซึ่งจะมีสารก;อฟยลçมที่ใชควรมีสมบัติอย;างไร e</t>
        </is>
      </c>
      <c r="C272" s="18" t="inlineStr"/>
      <c r="D272" s="18" t="inlineStr">
        <is>
          <t>Naloxone 0.4 mg IV stat</t>
        </is>
      </c>
      <c r="E272" s="18" t="inlineStr">
        <is>
          <t>ละลายน้ำดี แต;ไม;ละลายในสารละลายอินทรียç</t>
        </is>
      </c>
      <c r="F272" s="18" t="inlineStr">
        <is>
          <t>ไม;ละลายในสารละลายในกระเพาะอาหาร</t>
        </is>
      </c>
      <c r="G272" s="18" t="inlineStr">
        <is>
          <t>เพิ่มการละลายและการดูดซึมยา</t>
        </is>
      </c>
      <c r="H272" s="18" t="inlineStr">
        <is>
          <t>เพิ่มการซึมผ;านของน้ำและความชื้น</t>
        </is>
      </c>
      <c r="I272" s="15" t="inlineStr">
        <is>
          <t>1</t>
        </is>
      </c>
      <c r="J2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(ละลายน้ำดี แต;ไม;ละลายในสารละลายอินทรียç): ข้อนี้ไม่ใช่คำตอบที่ถูกต้องสำหรับภาวะ General Therapeutics เนื่องจากกลไกการออกฤทธิ์, efficacy หรือข้อบ่งใช้ไม่ตรงกับโจทย์ที่กำหนด
• ข้อ ค. (ไม;ละลายในสารละลายในกระเพาะอาหาร):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(เพิ่มการละลายและการดูดซึมยา):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(เพิ่มการซึมผ;านของน้ำและความชื้น):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2" s="18" t="inlineStr"/>
      <c r="L272" s="18" t="inlineStr">
        <is>
          <t>General Therapeutics</t>
        </is>
      </c>
      <c r="M272" s="18" t="inlineStr">
        <is>
          <t>Clinic</t>
        </is>
      </c>
      <c r="N272" s="18" t="inlineStr">
        <is>
          <t>PLE_CC1_2565_Day1_Key ข้อ 87</t>
        </is>
      </c>
      <c r="O272" s="18" t="inlineStr">
        <is>
          <t>ข้อสอบจริง</t>
        </is>
      </c>
      <c r="P272" s="18" t="inlineStr">
        <is>
          <t>ปี 2565</t>
        </is>
      </c>
      <c r="Q272" s="18" t="inlineStr">
        <is>
          <t>ถูกย;อยสลายด#วยเอนไซมçของแบคทีเรียในลำไส#ใหญ; Enteric coat ยาpองไ1ละลายในกรด เqอไปปลดปrอยMวยาGsไt X</t>
        </is>
      </c>
    </row>
    <row r="273">
      <c r="A273" s="15" t="inlineStr">
        <is>
          <t>295</t>
        </is>
      </c>
      <c r="B273" s="18" t="inlineStr">
        <is>
          <t>Coronary artery disease</t>
        </is>
      </c>
      <c r="C273" s="18" t="inlineStr"/>
      <c r="D273" s="18" t="inlineStr">
        <is>
          <t>Sodium thiosulfate 25% 50 mL IV</t>
        </is>
      </c>
      <c r="E273" s="18" t="inlineStr">
        <is>
          <t>Calcium disodium EDTA 1 g IV</t>
        </is>
      </c>
      <c r="F273" s="18" t="inlineStr">
        <is>
          <t>Desferrioxamine 1 g IM/IV</t>
        </is>
      </c>
      <c r="G273" s="18" t="inlineStr">
        <is>
          <t>Dimercaprol (BAL) 3 mg/kg IM</t>
        </is>
      </c>
      <c r="H273" s="18" t="inlineStr">
        <is>
          <t>Ethanol 10% IV infusion for Methanol poisoning</t>
        </is>
      </c>
      <c r="I273" s="15" t="inlineStr">
        <is>
          <t>1</t>
        </is>
      </c>
      <c r="J2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3" s="18" t="inlineStr"/>
      <c r="L273" s="18" t="inlineStr">
        <is>
          <t>General Therapeutics</t>
        </is>
      </c>
      <c r="M273" s="18" t="inlineStr">
        <is>
          <t>Clinic</t>
        </is>
      </c>
      <c r="N273" s="18" t="inlineStr">
        <is>
          <t>PLE_CC1_2565_Day1_Key ข้อ 3</t>
        </is>
      </c>
      <c r="O273" s="18" t="inlineStr">
        <is>
          <t>ข้อสอบจริง</t>
        </is>
      </c>
      <c r="P273" s="18" t="inlineStr">
        <is>
          <t>ปี 2565</t>
        </is>
      </c>
    </row>
    <row r="274">
      <c r="A274" s="15" t="inlineStr">
        <is>
          <t>296</t>
        </is>
      </c>
      <c r="B274" s="18" t="inlineStr">
        <is>
          <t>Diabetes mellitus without complication</t>
        </is>
      </c>
      <c r="C274" s="18" t="inlineStr"/>
      <c r="D274" s="18" t="inlineStr">
        <is>
          <t>Glipizide 5 mg OD</t>
        </is>
      </c>
      <c r="E274" s="18" t="inlineStr">
        <is>
          <t>Empagliflozin 10 mg OD</t>
        </is>
      </c>
      <c r="F274" s="18" t="inlineStr">
        <is>
          <t>Sitagliptin 100 mg OD</t>
        </is>
      </c>
      <c r="G274" s="18" t="inlineStr">
        <is>
          <t>Liraglutide 1.2 mg SC OD</t>
        </is>
      </c>
      <c r="H274" s="18" t="inlineStr">
        <is>
          <t>Levothyroxine 50 mcg OD</t>
        </is>
      </c>
      <c r="I274" s="15" t="inlineStr">
        <is>
          <t>1</t>
        </is>
      </c>
      <c r="J274" s="1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274" s="18" t="inlineStr"/>
      <c r="L274" s="18" t="inlineStr">
        <is>
          <t>Diabetes &amp; Endocrine</t>
        </is>
      </c>
      <c r="M274" s="18" t="inlineStr">
        <is>
          <t>Clinic</t>
        </is>
      </c>
      <c r="N274" s="18" t="inlineStr">
        <is>
          <t>PLE_CC1_2565_Day1_Key ข้อ 5</t>
        </is>
      </c>
      <c r="O274" s="18" t="inlineStr">
        <is>
          <t>ข้อสอบจริง</t>
        </is>
      </c>
      <c r="P274" s="18" t="inlineStr">
        <is>
          <t>ปี 2565</t>
        </is>
      </c>
    </row>
    <row r="275">
      <c r="A275" s="15" t="inlineStr">
        <is>
          <t>297</t>
        </is>
      </c>
      <c r="B275" s="18" t="inlineStr">
        <is>
          <t>Allergic drug reaction</t>
        </is>
      </c>
      <c r="C275" s="18" t="inlineStr"/>
      <c r="D275" s="18" t="inlineStr">
        <is>
          <t>Cetirizine 10 mg OD</t>
        </is>
      </c>
      <c r="E275" s="18" t="inlineStr">
        <is>
          <t>Loratadine 10 mg OD</t>
        </is>
      </c>
      <c r="F275" s="18" t="inlineStr">
        <is>
          <t>Fexofenadine 180 mg OD</t>
        </is>
      </c>
      <c r="G275" s="18" t="inlineStr">
        <is>
          <t>Chlorpheniramine 4 mg TID</t>
        </is>
      </c>
      <c r="H275" s="18" t="inlineStr">
        <is>
          <t>Fluticasone furoate nasal spray</t>
        </is>
      </c>
      <c r="I275" s="15" t="inlineStr">
        <is>
          <t>1</t>
        </is>
      </c>
      <c r="J275" s="18"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5" s="18" t="inlineStr"/>
      <c r="L275" s="18" t="inlineStr">
        <is>
          <t>Allergy &amp; Immunology</t>
        </is>
      </c>
      <c r="M275" s="18" t="inlineStr">
        <is>
          <t>Clinic</t>
        </is>
      </c>
      <c r="N275" s="18" t="inlineStr">
        <is>
          <t>PLE_CC1_2565_Day1_Key ข้อ 11</t>
        </is>
      </c>
      <c r="O275" s="18" t="inlineStr">
        <is>
          <t>ข้อสอบจริง</t>
        </is>
      </c>
      <c r="P275" s="18" t="inlineStr">
        <is>
          <t>ปี 2565</t>
        </is>
      </c>
    </row>
    <row r="276">
      <c r="A276" s="15" t="inlineStr">
        <is>
          <t>298</t>
        </is>
      </c>
      <c r="B276" s="18" t="inlineStr">
        <is>
          <t>Parasitic infections (หิด เหา พยาธิ)</t>
        </is>
      </c>
      <c r="C276" s="18" t="inlineStr"/>
      <c r="D276" s="18" t="inlineStr">
        <is>
          <t>Naloxone 0.4 mg IV stat</t>
        </is>
      </c>
      <c r="E276" s="18" t="inlineStr">
        <is>
          <t>Flumazenil 0.2 mg IV stat</t>
        </is>
      </c>
      <c r="F276" s="18" t="inlineStr">
        <is>
          <t>Vitamin K1 (Phytomenadione) 10 mg IV slow</t>
        </is>
      </c>
      <c r="G276" s="18" t="inlineStr">
        <is>
          <t>Sodium thiosulfate 25% 50 mL IV</t>
        </is>
      </c>
      <c r="H276" s="18" t="inlineStr">
        <is>
          <t>Calcium disodium EDTA 1 g IV</t>
        </is>
      </c>
      <c r="I276" s="15" t="inlineStr">
        <is>
          <t>1</t>
        </is>
      </c>
      <c r="J2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6" s="18" t="inlineStr"/>
      <c r="L276" s="18" t="inlineStr">
        <is>
          <t>General Therapeutics</t>
        </is>
      </c>
      <c r="M276" s="18" t="inlineStr">
        <is>
          <t>Clinic</t>
        </is>
      </c>
      <c r="N276" s="18" t="inlineStr">
        <is>
          <t>PLE_CC1_2565_Day1_Key ข้อ 13</t>
        </is>
      </c>
      <c r="O276" s="18" t="inlineStr">
        <is>
          <t>ข้อสอบจริง</t>
        </is>
      </c>
      <c r="P276" s="18" t="inlineStr">
        <is>
          <t>ปี 2565</t>
        </is>
      </c>
    </row>
    <row r="277">
      <c r="A277" s="15" t="inlineStr">
        <is>
          <t>299</t>
        </is>
      </c>
      <c r="B277" s="18" t="inlineStr">
        <is>
          <t>ถ$าผู$ป&amp;วยชอบลืมรับประทานยาตอนกลางคืน เราจะแก$ปญหายังไง ?</t>
        </is>
      </c>
      <c r="C277" s="18" t="inlineStr"/>
      <c r="D277" s="18" t="inlineStr">
        <is>
          <t>Sodium thiosulfate 25% 50 mL IV</t>
        </is>
      </c>
      <c r="E277" s="18" t="inlineStr">
        <is>
          <t>ต$องกินก-อนนอนเท-านั้น เพื่อให$ยาประมีประสิทธิภาพดีสุด</t>
        </is>
      </c>
      <c r="F277" s="18" t="inlineStr">
        <is>
          <t>ให$ทานยา simvastatin ตอนไหนก็ได$ เพราะ duration of action เร็ว</t>
        </is>
      </c>
      <c r="G277" s="18" t="inlineStr">
        <is>
          <t>ให$ทานยา atorvastatin ตอนไหนก็ได$ เพราะ half-life ยาว</t>
        </is>
      </c>
      <c r="H277" s="18" t="inlineStr">
        <is>
          <t>fenofibrate เวลาไหนก็ได$ เพราะการออกฤทธิ์ไม-ขึ้นกับเวลาที่กิน</t>
        </is>
      </c>
      <c r="I277" s="15" t="inlineStr">
        <is>
          <t>1</t>
        </is>
      </c>
      <c r="J2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(ต$องกินก-อนนอนเท-านั้น เพื่อให$ยาประมีประสิทธิภาพดีสุด): ข้อนี้ไม่ใช่คำตอบที่ถูกต้องสำหรับภาวะ General Therapeutics เนื่องจากกลไกการออกฤทธิ์, efficacy หรือข้อบ่งใช้ไม่ตรงกับโจทย์ที่กำหนด
• ข้อ ค. (ให$ทานยา simvastatin ตอนไหนก็ได$ เพราะ duration of action เร็ว): เป็น moderate-intensity statin เมแทบอไลต์ผ่าน CYP3A4 เด่นชัด ห้ามใช้ dose 80 mg และมี drug interactions สูงกับ CYP3A4 inhibitors (clarithromycin, ketoconazole)
• ข้อ ง. (ให$ทานยา atorvastatin ตอนไหนก็ได$ เพราะ half-life ยาว): เป็น High-intensity statin (40-80 mg) ยับยั้ง HMG-CoA reductase มี clinical efficacy สูงสุดในการลด LDL-C ≥ 50% และ plaque stabilization ใน ACS/CAD
• ข้อ จ. (fenofibrate เวลาไหนก็ได$ เพราะการออกฤทธิ์ไม-ขึ้นกับเวลาที่กิน):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7" s="18" t="inlineStr"/>
      <c r="L277" s="18" t="inlineStr">
        <is>
          <t>General Therapeutics</t>
        </is>
      </c>
      <c r="M277" s="18" t="inlineStr">
        <is>
          <t>Clinic</t>
        </is>
      </c>
      <c r="N277" s="18" t="inlineStr">
        <is>
          <t>PLE_CC1_2565_Day2_Key ข้อ 4</t>
        </is>
      </c>
      <c r="O277" s="18" t="inlineStr">
        <is>
          <t>ข้อสอบจริง</t>
        </is>
      </c>
      <c r="P277" s="18" t="inlineStr">
        <is>
          <t>ปี 2565</t>
        </is>
      </c>
      <c r="Q277" s="18" t="inlineStr">
        <is>
          <t>ezetimibe เวลาไหนก็ได$ เพราะมี enterohepatic circulation</t>
        </is>
      </c>
    </row>
    <row r="278">
      <c r="A278" s="15" t="inlineStr">
        <is>
          <t>300</t>
        </is>
      </c>
      <c r="B278" s="18" t="inlineStr">
        <is>
          <t>ผู$ป&amp;วยคนนี้สูบบุหรี่กี่ pack-year ………………………………………………………………………………………………………………………………………………………… …………………………………………………………………………………………………………………………………………………………..</t>
        </is>
      </c>
      <c r="C278" s="18" t="inlineStr"/>
      <c r="D278" s="18" t="inlineStr">
        <is>
          <t>Prednisolone 40 mg OD x 5 days</t>
        </is>
      </c>
      <c r="E278" s="18" t="inlineStr">
        <is>
          <t>N-acetylcysteine 600 mg OD</t>
        </is>
      </c>
      <c r="F278" s="18" t="inlineStr">
        <is>
          <t>Beclomethasone MDI 100 mcg BID</t>
        </is>
      </c>
      <c r="G278" s="18" t="inlineStr">
        <is>
          <t>Salbutamol MDI 2 puffs PRN</t>
        </is>
      </c>
      <c r="H278" s="18" t="inlineStr">
        <is>
          <t>Budesonide/Formoterol 160/4.5 mcg DPI BID</t>
        </is>
      </c>
      <c r="I278" s="15" t="inlineStr">
        <is>
          <t>1</t>
        </is>
      </c>
      <c r="J278" s="18"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8" s="18" t="inlineStr"/>
      <c r="L278" s="18" t="inlineStr">
        <is>
          <t>Pulmonary Diseases</t>
        </is>
      </c>
      <c r="M278" s="18" t="inlineStr">
        <is>
          <t>Clinic</t>
        </is>
      </c>
      <c r="N278" s="18" t="inlineStr">
        <is>
          <t>PLE_CC1_2565_Day2_Key ข้อ 6</t>
        </is>
      </c>
      <c r="O278" s="18" t="inlineStr">
        <is>
          <t>ข้อสอบจริง</t>
        </is>
      </c>
      <c r="P278" s="18" t="inlineStr">
        <is>
          <t>ปี 2565</t>
        </is>
      </c>
    </row>
    <row r="279">
      <c r="A279" s="15" t="inlineStr">
        <is>
          <t>301</t>
        </is>
      </c>
      <c r="B279" s="18" t="inlineStr">
        <is>
          <t>ควรให$ยาอะไรในผู$ป&amp;วยรายนี้</t>
        </is>
      </c>
      <c r="C279" s="18" t="inlineStr"/>
      <c r="D279" s="18" t="inlineStr">
        <is>
          <t>N-acetylcysteine (NAC) IV infusion protocol</t>
        </is>
      </c>
      <c r="E279" s="18" t="inlineStr">
        <is>
          <t>folic acid</t>
        </is>
      </c>
      <c r="F279" s="18" t="inlineStr">
        <is>
          <t>deferoxamine</t>
        </is>
      </c>
      <c r="G279" s="18" t="inlineStr">
        <is>
          <t>EPO</t>
        </is>
      </c>
      <c r="H279" s="18" t="inlineStr">
        <is>
          <t>Cyanobalamin</t>
        </is>
      </c>
      <c r="I279" s="15" t="inlineStr">
        <is>
          <t>1</t>
        </is>
      </c>
      <c r="J2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(folic acid): ข้อนี้ไม่ใช่คำตอบที่ถูกต้องสำหรับภาวะ General Therapeutics เนื่องจากกลไกการออกฤทธิ์, efficacy หรือข้อบ่งใช้ไม่ตรงกับโจทย์ที่กำหนด
• ข้อ ค. (deferoxamine): ข้อนี้ไม่ใช่คำตอบที่ถูกต้องสำหรับภาวะ General Therapeutics เนื่องจากกลไกการออกฤทธิ์, efficacy หรือข้อบ่งใช้ไม่ตรงกับโจทย์ที่กำหนด
• ข้อ ง. (EPO): ข้อนี้ไม่ใช่คำตอบที่ถูกต้องสำหรับภาวะ General Therapeutics เนื่องจากกลไกการออกฤทธิ์, efficacy หรือข้อบ่งใช้ไม่ตรงกับโจทย์ที่กำหนด
• ข้อ จ. (Cyanobalamin):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9" s="18" t="inlineStr"/>
      <c r="L279" s="18" t="inlineStr">
        <is>
          <t>General Therapeutics</t>
        </is>
      </c>
      <c r="M279" s="18" t="inlineStr">
        <is>
          <t>Clinic</t>
        </is>
      </c>
      <c r="N279" s="18" t="inlineStr">
        <is>
          <t>PLE_CC1_2565_Day2_Key ข้อ 12</t>
        </is>
      </c>
      <c r="O279" s="18" t="inlineStr">
        <is>
          <t>ข้อสอบจริง</t>
        </is>
      </c>
      <c r="P279" s="18" t="inlineStr">
        <is>
          <t>ปี 2565</t>
        </is>
      </c>
      <c r="Q279" s="18" t="inlineStr">
        <is>
          <t>ferrous fumarate</t>
        </is>
      </c>
    </row>
    <row r="280">
      <c r="A280" s="15" t="inlineStr">
        <is>
          <t>302</t>
        </is>
      </c>
      <c r="B280" s="18" t="inlineStr">
        <is>
          <t>ข$อใดไม-ใช-คำแนะนำที่ผู$ป&amp;วยควรทำ</t>
        </is>
      </c>
      <c r="C280" s="18" t="inlineStr"/>
      <c r="D280" s="18" t="inlineStr">
        <is>
          <t>Naloxone 0.4 mg IV stat</t>
        </is>
      </c>
      <c r="E280" s="18" t="inlineStr">
        <is>
          <t>ลดน้ำหนัก</t>
        </is>
      </c>
      <c r="F280" s="18" t="inlineStr">
        <is>
          <t>ลดการดื่มสุรา</t>
        </is>
      </c>
      <c r="G280" s="18" t="inlineStr">
        <is>
          <t>ลดการรับประทานเครื่องใน</t>
        </is>
      </c>
      <c r="H280" s="18" t="inlineStr">
        <is>
          <t>ลดการรับประทานน้ำผลไม$ที่มีน้ำตาล fructose</t>
        </is>
      </c>
      <c r="I280" s="15" t="inlineStr">
        <is>
          <t>1</t>
        </is>
      </c>
      <c r="J2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(ลดน้ำหนัก):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(ลดการดื่มสุรา):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(ลดการรับประทานเครื่องใน): ข้อนี้ไม่ใช่คำตอบที่ถูกต้องสำหรับภาวะ General Therapeutics เนื่องจากกลไกการออกฤทธิ์, efficacy หรือข้อบ่งใช้ไม่ตรงกับโจทย์ที่กำหนด
• ข้อ จ. (ลดการรับประทานน้ำผลไม$ที่มีน้ำตาล fructose):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0" s="18" t="inlineStr"/>
      <c r="L280" s="18" t="inlineStr">
        <is>
          <t>General Therapeutics</t>
        </is>
      </c>
      <c r="M280" s="18" t="inlineStr">
        <is>
          <t>Clinic</t>
        </is>
      </c>
      <c r="N280" s="18" t="inlineStr">
        <is>
          <t>PLE_CC1_2565_Day2_Key ข้อ 23</t>
        </is>
      </c>
      <c r="O280" s="18" t="inlineStr">
        <is>
          <t>ข้อสอบจริง</t>
        </is>
      </c>
      <c r="P280" s="18" t="inlineStr">
        <is>
          <t>ปี 2565</t>
        </is>
      </c>
      <c r="Q280" s="18" t="inlineStr">
        <is>
          <t>รับประทาน vitamin D</t>
        </is>
      </c>
    </row>
    <row r="281">
      <c r="A281" s="15" t="inlineStr">
        <is>
          <t>303</t>
        </is>
      </c>
      <c r="B281" s="18" t="inlineStr">
        <is>
          <t>หากต$องการจะจ-ายฮอร6โมนทดแทนอะไรให$หญิงรายนี้ ยาใดเหมาะสมน$อยที่สุด</t>
        </is>
      </c>
      <c r="C281" s="18" t="inlineStr"/>
      <c r="D281" s="18" t="inlineStr">
        <is>
          <t>Sodium thiosulfate 25% 50 mL IV</t>
        </is>
      </c>
      <c r="E281" s="18" t="inlineStr">
        <is>
          <t>conjugated equine estrogen PLE-CC1 Preparation 2565</t>
        </is>
      </c>
      <c r="F281" s="18" t="inlineStr">
        <is>
          <t>estradiol valerate norgestrel</t>
        </is>
      </c>
      <c r="G281" s="18" t="inlineStr">
        <is>
          <t>estradiol valerate cyproterone</t>
        </is>
      </c>
      <c r="H281" s="18" t="inlineStr">
        <is>
          <t>estradiol hemihydrate drospirenone</t>
        </is>
      </c>
      <c r="I281" s="15" t="inlineStr">
        <is>
          <t>1</t>
        </is>
      </c>
      <c r="J2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(conjugated equine estrogen PLE-CC1 Preparation 2565): ข้อนี้ไม่ใช่คำตอบที่ถูกต้องสำหรับภาวะ General Therapeutics เนื่องจากกลไกการออกฤทธิ์, efficacy หรือข้อบ่งใช้ไม่ตรงกับโจทย์ที่กำหนด
• ข้อ ค. (estradiol valerate norgestrel): ข้อนี้ไม่ใช่คำตอบที่ถูกต้องสำหรับภาวะ General Therapeutics เนื่องจากกลไกการออกฤทธิ์, efficacy หรือข้อบ่งใช้ไม่ตรงกับโจทย์ที่กำหนด
• ข้อ ง. (estradiol valerate cyproterone): ข้อนี้ไม่ใช่คำตอบที่ถูกต้องสำหรับภาวะ General Therapeutics เนื่องจากกลไกการออกฤทธิ์, efficacy หรือข้อบ่งใช้ไม่ตรงกับโจทย์ที่กำหนด
• ข้อ จ. (estradiol hemihydrate drospirenone):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18" t="inlineStr"/>
      <c r="L281" s="18" t="inlineStr">
        <is>
          <t>General Therapeutics</t>
        </is>
      </c>
      <c r="M281" s="18" t="inlineStr">
        <is>
          <t>Clinic</t>
        </is>
      </c>
      <c r="N281" s="18" t="inlineStr">
        <is>
          <t>PLE_CC1_2565_Day2_Key ข้อ 44</t>
        </is>
      </c>
      <c r="O281" s="18" t="inlineStr">
        <is>
          <t>ข้อสอบจริง</t>
        </is>
      </c>
      <c r="P281" s="18" t="inlineStr">
        <is>
          <t>ปี 2565</t>
        </is>
      </c>
      <c r="Q281" s="18" t="inlineStr">
        <is>
          <t>estradiol hemihydrate norethisterone</t>
        </is>
      </c>
    </row>
    <row r="282">
      <c r="A282" s="15" t="inlineStr">
        <is>
          <t>304</t>
        </is>
      </c>
      <c r="B282" s="18" t="inlineStr">
        <is>
          <t>วิธีแก$สาเหตุจากข$อ 50 คืออะไร</t>
        </is>
      </c>
      <c r="C282" s="18" t="inlineStr"/>
      <c r="D282" s="18" t="inlineStr">
        <is>
          <t>Dimercaprol (BAL) 3 mg/kg IM</t>
        </is>
      </c>
      <c r="E282" s="18" t="inlineStr">
        <is>
          <t>ให$ยาทุกอย-างเหมือนเดิม แต-เพิ่ม domperidone</t>
        </is>
      </c>
      <c r="F282" s="18" t="inlineStr">
        <is>
          <t>ลด dose ยาลงครึ่งนึง</t>
        </is>
      </c>
      <c r="G282" s="18" t="inlineStr">
        <is>
          <t>หยุดยาจนค-าตับปกติแล$ว desensitize</t>
        </is>
      </c>
      <c r="H282" s="18" t="inlineStr">
        <is>
          <t>หยุดยาจนค-าตับปกติแล$ว rechallenge</t>
        </is>
      </c>
      <c r="I282" s="15" t="inlineStr">
        <is>
          <t>1</t>
        </is>
      </c>
      <c r="J2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(ให$ยาทุกอย-างเหมือนเดิม แต-เพิ่ม domperidone): เป็น peripheral D2 receptor antagonist เพิ่ม GI motility ไม่ผ่าน BBB จึงไม่ทำให้เกิด EPS เด่นชัด แต่ต้องระวัง QT prolongation ในขนาดสูง (&gt; 30 mg/day)
• ข้อ ค. (ลด dose ยาลงครึ่งนึง): ข้อนี้ไม่ใช่คำตอบที่ถูกต้องสำหรับภาวะ General Therapeutics เนื่องจากกลไกการออกฤทธิ์, efficacy หรือข้อบ่งใช้ไม่ตรงกับโจทย์ที่กำหนด
• ข้อ ง. (หยุดยาจนค-าตับปกติแล$ว desensitize): ข้อนี้ไม่ใช่คำตอบที่ถูกต้องสำหรับภาวะ General Therapeutics เนื่องจากกลไกการออกฤทธิ์, efficacy หรือข้อบ่งใช้ไม่ตรงกับโจทย์ที่กำหนด
• ข้อ จ. (หยุดยาจนค-าตับปกติแล$ว rechallenge):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2" s="18" t="inlineStr"/>
      <c r="L282" s="18" t="inlineStr">
        <is>
          <t>General Therapeutics</t>
        </is>
      </c>
      <c r="M282" s="18" t="inlineStr">
        <is>
          <t>Clinic</t>
        </is>
      </c>
      <c r="N282" s="18" t="inlineStr">
        <is>
          <t>PLE_CC1_2565_Day2_Key ข้อ 51</t>
        </is>
      </c>
      <c r="O282" s="18" t="inlineStr">
        <is>
          <t>ข้อสอบจริง</t>
        </is>
      </c>
      <c r="P282" s="18" t="inlineStr">
        <is>
          <t>ปี 2565</t>
        </is>
      </c>
      <c r="Q282" s="18" t="inlineStr">
        <is>
          <t>หยุดยาจนค-าตับปกติ+ให$ NAC แล$ว rechallenge ในกร%&amp;'า)บเ,ม.นมากก/า 3 เ0า 1งห4ดยา แ8ว'อย ;การ rechallenge</t>
        </is>
      </c>
    </row>
    <row r="283">
      <c r="A283" s="15" t="inlineStr">
        <is>
          <t>305</t>
        </is>
      </c>
      <c r="B283" s="18" t="inlineStr">
        <is>
          <t>เด็ก 1 ขวบ น้ำหนัก 5 kg ใช$ขนาดเท-าไหร-ต-อวัน ………………………………………………………………………………………………………………………………………………………… ………………………………………………………………………………………………………………………………………………………….. Hint: choice มีหน-วยเปQน teaspoon กรณีศึกษา 17</t>
        </is>
      </c>
      <c r="C283" s="18" t="inlineStr"/>
      <c r="D283" s="18" t="inlineStr">
        <is>
          <t>N-acetylcysteine (NAC) IV infusion protocol</t>
        </is>
      </c>
      <c r="E283" s="18" t="inlineStr">
        <is>
          <t>Atropine sulfate 2 mg IV Q5-10 min</t>
        </is>
      </c>
      <c r="F283" s="18" t="inlineStr">
        <is>
          <t>Pralidoxime (2-PAM) 1-2 g IV over 30 min</t>
        </is>
      </c>
      <c r="G283" s="18" t="inlineStr">
        <is>
          <t>Naloxone 0.4 mg IV stat</t>
        </is>
      </c>
      <c r="H283" s="18" t="inlineStr">
        <is>
          <t>Flumazenil 0.2 mg IV stat</t>
        </is>
      </c>
      <c r="I283" s="15" t="inlineStr">
        <is>
          <t>1</t>
        </is>
      </c>
      <c r="J2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3" s="18" t="inlineStr"/>
      <c r="L283" s="18" t="inlineStr">
        <is>
          <t>General Therapeutics</t>
        </is>
      </c>
      <c r="M283" s="18" t="inlineStr">
        <is>
          <t>Clinic</t>
        </is>
      </c>
      <c r="N283" s="18" t="inlineStr">
        <is>
          <t>PLE_CC1_2565_Day2_Key ข้อ 57</t>
        </is>
      </c>
      <c r="O283" s="18" t="inlineStr">
        <is>
          <t>ข้อสอบจริง</t>
        </is>
      </c>
      <c r="P283" s="18" t="inlineStr">
        <is>
          <t>ปี 2565</t>
        </is>
      </c>
    </row>
    <row r="284">
      <c r="A284" s="15" t="inlineStr">
        <is>
          <t>306</t>
        </is>
      </c>
      <c r="B284" s="18" t="inlineStr">
        <is>
          <t>ให$การรักษาคู-นอนยังไง 500 mg BID 7 day Metronidazole √ 2 g OD once Tinidazole 2 g OD once</t>
        </is>
      </c>
      <c r="C284" s="18" t="inlineStr"/>
      <c r="D284" s="18" t="inlineStr">
        <is>
          <t>Cotrimoxazole 160/800 mg BID</t>
        </is>
      </c>
      <c r="E284" s="18" t="inlineStr">
        <is>
          <t>Metronidazole 400 mg TID</t>
        </is>
      </c>
      <c r="F284" s="18" t="inlineStr">
        <is>
          <t>Nitrofurantoin 100 mg BID</t>
        </is>
      </c>
      <c r="G284" s="18" t="inlineStr">
        <is>
          <t>Tenofovir/Emtricitabine 300/200 mg OD</t>
        </is>
      </c>
      <c r="H284" s="18" t="inlineStr">
        <is>
          <t>Dolutegravir 50 mg OD</t>
        </is>
      </c>
      <c r="I284" s="15" t="inlineStr">
        <is>
          <t>1</t>
        </is>
      </c>
      <c r="J284" s="18"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4" s="18" t="inlineStr"/>
      <c r="L284" s="18" t="inlineStr">
        <is>
          <t>Infectious Diseases</t>
        </is>
      </c>
      <c r="M284" s="18" t="inlineStr">
        <is>
          <t>Clinic</t>
        </is>
      </c>
      <c r="N284" s="18" t="inlineStr">
        <is>
          <t>PLE_CC1_2565_Day2_Key ข้อ 62</t>
        </is>
      </c>
      <c r="O284" s="18" t="inlineStr">
        <is>
          <t>ข้อสอบจริง</t>
        </is>
      </c>
      <c r="P284" s="18" t="inlineStr">
        <is>
          <t>ปี 2565</t>
        </is>
      </c>
      <c r="Q284" s="18" t="inlineStr">
        <is>
          <t>* จำ choice ไม-ได$ *</t>
        </is>
      </c>
    </row>
    <row r="285">
      <c r="A285" s="15" t="inlineStr">
        <is>
          <t>307</t>
        </is>
      </c>
      <c r="B285" s="18" t="inlineStr">
        <is>
          <t>นาย A ผิดอะไร ยาสsนไพร C + steroid</t>
        </is>
      </c>
      <c r="C285" s="18" t="inlineStr"/>
      <c r="D285" s="18" t="inlineStr">
        <is>
          <t>Sodium thiosulfate 25% 50 mL IV</t>
        </is>
      </c>
      <c r="E285" s="18" t="inlineStr">
        <is>
          <t>ขายยาปลอม</t>
        </is>
      </c>
      <c r="F285" s="18" t="inlineStr">
        <is>
          <t>ขายยาผิดมาตรฐาน</t>
        </is>
      </c>
      <c r="G285" s="18" t="inlineStr">
        <is>
          <t>ไม-กำกับดูแลให$เปQนไปตามที่ขึ้นทะเบียน</t>
        </is>
      </c>
      <c r="H285" s="18" t="inlineStr">
        <is>
          <t>ไม-ควบคุมการขายให$เปQนไปตาม....</t>
        </is>
      </c>
      <c r="I285" s="15" t="inlineStr">
        <is>
          <t>1</t>
        </is>
      </c>
      <c r="J2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(ไม-กำกับดูแลให$เปQนไปตามที่ขึ้นทะเบียน):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(ไม-ควบคุมการขายให$เปQนไปตาม....):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5" s="18" t="inlineStr"/>
      <c r="L285" s="18" t="inlineStr">
        <is>
          <t>General Therapeutics</t>
        </is>
      </c>
      <c r="M285" s="18" t="inlineStr">
        <is>
          <t>Clinic</t>
        </is>
      </c>
      <c r="N285" s="18" t="inlineStr">
        <is>
          <t>PLE_CC1_2565_Day2_Key ข้อ 66</t>
        </is>
      </c>
      <c r="O285" s="18" t="inlineStr">
        <is>
          <t>ข้อสอบจริง</t>
        </is>
      </c>
      <c r="P285" s="18" t="inlineStr">
        <is>
          <t>ปี 2565</t>
        </is>
      </c>
      <c r="Q285" s="18" t="inlineStr">
        <is>
          <t>* จำ choice ไม-ได$ *</t>
        </is>
      </c>
    </row>
    <row r="286">
      <c r="A286" s="15" t="inlineStr">
        <is>
          <t>308</t>
        </is>
      </c>
      <c r="B286" s="18" t="inlineStr">
        <is>
          <t>ตำรับ semisolid มี mineral oil, propylene glycol, beeswax, ….., Cetyl alcohol?,trietanolamine, cabopol, qs purify water Emollient/thickener สารเ9มความแ;ง (structural matrix former) Thickener หากตำรับเหลวเกิน ควรเติมสารใด</t>
        </is>
      </c>
      <c r="C286" s="18" t="inlineStr"/>
      <c r="D286" s="18" t="inlineStr">
        <is>
          <t>Dimercaprol (BAL) 3 mg/kg IM</t>
        </is>
      </c>
      <c r="E286" s="18" t="inlineStr">
        <is>
          <t>Mineral oil</t>
        </is>
      </c>
      <c r="F286" s="18" t="inlineStr">
        <is>
          <t>Propylene glycol</t>
        </is>
      </c>
      <c r="G286" s="18" t="inlineStr">
        <is>
          <t>Cetyl alcohol?</t>
        </is>
      </c>
      <c r="H286" s="18" t="inlineStr">
        <is>
          <t>Trietanolamine</t>
        </is>
      </c>
      <c r="I286" s="15" t="inlineStr">
        <is>
          <t>1</t>
        </is>
      </c>
      <c r="J2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(Mineral oil): ข้อนี้ไม่ใช่คำตอบที่ถูกต้องสำหรับภาวะ General Therapeutics เนื่องจากกลไกการออกฤทธิ์, efficacy หรือข้อบ่งใช้ไม่ตรงกับโจทย์ที่กำหนด
• ข้อ ค. (Propylene glycol): ข้อนี้ไม่ใช่คำตอบที่ถูกต้องสำหรับภาวะ General Therapeutics เนื่องจากกลไกการออกฤทธิ์, efficacy หรือข้อบ่งใช้ไม่ตรงกับโจทย์ที่กำหนด
• ข้อ ง. (Cetyl alcohol?): ข้อนี้ไม่ใช่คำตอบที่ถูกต้องสำหรับภาวะ General Therapeutics เนื่องจากกลไกการออกฤทธิ์, efficacy หรือข้อบ่งใช้ไม่ตรงกับโจทย์ที่กำหนด
• ข้อ จ. (Trietanolamine):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6" s="18" t="inlineStr"/>
      <c r="L286" s="18" t="inlineStr">
        <is>
          <t>General Therapeutics</t>
        </is>
      </c>
      <c r="M286" s="18" t="inlineStr">
        <is>
          <t>Clinic</t>
        </is>
      </c>
      <c r="N286" s="18" t="inlineStr">
        <is>
          <t>PLE_CC1_2565_Day2_Key ข้อ 77</t>
        </is>
      </c>
      <c r="O286" s="18" t="inlineStr">
        <is>
          <t>ข้อสอบจริง</t>
        </is>
      </c>
      <c r="P286" s="18" t="inlineStr">
        <is>
          <t>ปี 2565</t>
        </is>
      </c>
      <c r="Q286" s="18" t="inlineStr">
        <is>
          <t>* จำ choice ไม-ได$ *</t>
        </is>
      </c>
    </row>
    <row r="287">
      <c r="A287" s="15" t="inlineStr">
        <is>
          <t>309</t>
        </is>
      </c>
      <c r="B287" s="18" t="inlineStr">
        <is>
          <t>จงเรียงลำดับความสำคัญเอกสารของ QA $าง'งจาก https://www.iso-9001-checklist.co.uk/ A QA B ลำดับพนักงานในองค6กร C SOP ………………………………………………………………………………………………………………………………………………………… ………………………………………………………………………………………………………………………………………………………….. Level 1 &amp; A 2 Org. chart [อ\ไDแRใจเลย]ะ ;-; แ^_ด`าRาจะประมาณ\ ↑ SOPS QA &gt; LMบพOกงานในองPกร (Org chart) &gt; SOP Quality policy Quality manual SOPs 1 2 4</t>
        </is>
      </c>
      <c r="C287" s="18" t="inlineStr"/>
      <c r="D287" s="18" t="inlineStr">
        <is>
          <t>N-acetylcysteine (NAC) IV infusion protocol</t>
        </is>
      </c>
      <c r="E287" s="18" t="inlineStr">
        <is>
          <t>Atropine sulfate 2 mg IV Q5-10 min</t>
        </is>
      </c>
      <c r="F287" s="18" t="inlineStr">
        <is>
          <t>Pralidoxime (2-PAM) 1-2 g IV over 30 min</t>
        </is>
      </c>
      <c r="G287" s="18" t="inlineStr">
        <is>
          <t>Naloxone 0.4 mg IV stat</t>
        </is>
      </c>
      <c r="H287" s="18" t="inlineStr">
        <is>
          <t>Flumazenil 0.2 mg IV stat</t>
        </is>
      </c>
      <c r="I287" s="15" t="inlineStr">
        <is>
          <t>1</t>
        </is>
      </c>
      <c r="J2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7" s="18" t="inlineStr"/>
      <c r="L287" s="18" t="inlineStr">
        <is>
          <t>General Therapeutics</t>
        </is>
      </c>
      <c r="M287" s="18" t="inlineStr">
        <is>
          <t>Clinic</t>
        </is>
      </c>
      <c r="N287" s="18" t="inlineStr">
        <is>
          <t>PLE_CC1_2565_Day2_Key ข้อ 81</t>
        </is>
      </c>
      <c r="O287" s="18" t="inlineStr">
        <is>
          <t>ข้อสอบจริง</t>
        </is>
      </c>
      <c r="P287" s="18" t="inlineStr">
        <is>
          <t>ปี 2565</t>
        </is>
      </c>
    </row>
    <row r="288">
      <c r="A288" s="15" t="inlineStr">
        <is>
          <t>310</t>
        </is>
      </c>
      <c r="B288" s="18" t="inlineStr">
        <is>
          <t>Seborrheic dermatitis</t>
        </is>
      </c>
      <c r="C288" s="18" t="inlineStr"/>
      <c r="D288" s="18" t="inlineStr">
        <is>
          <t>Naloxone 0.4 mg IV stat</t>
        </is>
      </c>
      <c r="E288" s="18" t="inlineStr">
        <is>
          <t>Flumazenil 0.2 mg IV stat</t>
        </is>
      </c>
      <c r="F288" s="18" t="inlineStr">
        <is>
          <t>Vitamin K1 (Phytomenadione) 10 mg IV slow</t>
        </is>
      </c>
      <c r="G288" s="18" t="inlineStr">
        <is>
          <t>Sodium thiosulfate 25% 50 mL IV</t>
        </is>
      </c>
      <c r="H288" s="18" t="inlineStr">
        <is>
          <t>Calcium disodium EDTA 1 g IV</t>
        </is>
      </c>
      <c r="I288" s="15" t="inlineStr">
        <is>
          <t>1</t>
        </is>
      </c>
      <c r="J2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8" s="18" t="inlineStr"/>
      <c r="L288" s="18" t="inlineStr">
        <is>
          <t>General Therapeutics</t>
        </is>
      </c>
      <c r="M288" s="18" t="inlineStr">
        <is>
          <t>Clinic</t>
        </is>
      </c>
      <c r="N288" s="18" t="inlineStr">
        <is>
          <t>PLE_CC1_2565_Day2_Key ข้อ 12</t>
        </is>
      </c>
      <c r="O288" s="18" t="inlineStr">
        <is>
          <t>ข้อสอบจริง</t>
        </is>
      </c>
      <c r="P288" s="18" t="inlineStr">
        <is>
          <t>ปี 2565</t>
        </is>
      </c>
    </row>
    <row r="289">
      <c r="A289" s="15" t="inlineStr">
        <is>
          <t>311</t>
        </is>
      </c>
      <c r="B289" s="18" t="inlineStr">
        <is>
          <t>Allergic conjunctivitis</t>
        </is>
      </c>
      <c r="C289" s="18" t="inlineStr"/>
      <c r="D289" s="18" t="inlineStr">
        <is>
          <t>Timolol 0.5% eye drops 1 drop BID</t>
        </is>
      </c>
      <c r="E289" s="18" t="inlineStr">
        <is>
          <t>Latanoprost 0.005% eye drops 1 drop HS</t>
        </is>
      </c>
      <c r="F289" s="18" t="inlineStr">
        <is>
          <t>Brimonidine 0.2% eye drops 1 drop BID</t>
        </is>
      </c>
      <c r="G289" s="18" t="inlineStr">
        <is>
          <t>Dorzolamide 2% eye drops 1 drop BID</t>
        </is>
      </c>
      <c r="H289" s="18" t="inlineStr">
        <is>
          <t>Tobramycin 0.3% eye drops 1 drop QID</t>
        </is>
      </c>
      <c r="I289" s="15" t="inlineStr">
        <is>
          <t>1</t>
        </is>
      </c>
      <c r="J289" s="18" t="inlineStr">
        <is>
          <t>✅ คำตอบที่ถูกต้อง: ข้อ ก. Timolol 0.5% eye drops 1 drop BID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Timolol 0.5% eye drops 1 drop BID
🔍 ข้ออื่นผิดเพราะอะไร:
• ข้อ ข.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Eye Disorders เนื่องจากกลไกการออกฤทธิ์, efficacy หรือข้อบ่งใช้ไม่ตรงกับโจทย์ที่กำหนด
• ข้อ ง.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จ.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9" s="18" t="inlineStr"/>
      <c r="L289" s="18" t="inlineStr">
        <is>
          <t>Eye Disorders</t>
        </is>
      </c>
      <c r="M289" s="18" t="inlineStr">
        <is>
          <t>Clinic</t>
        </is>
      </c>
      <c r="N289" s="18" t="inlineStr">
        <is>
          <t>PLE_CC1_2565_Day2_Key ข้อ 13</t>
        </is>
      </c>
      <c r="O289" s="18" t="inlineStr">
        <is>
          <t>ข้อสอบจริง</t>
        </is>
      </c>
      <c r="P289" s="18" t="inlineStr">
        <is>
          <t>ปี 2565</t>
        </is>
      </c>
    </row>
    <row r="290">
      <c r="A290" s="15" t="inlineStr">
        <is>
          <t>312</t>
        </is>
      </c>
      <c r="B290" s="18" t="inlineStr">
        <is>
          <t>Hormone replacement therapy</t>
        </is>
      </c>
      <c r="C290" s="18" t="inlineStr"/>
      <c r="D290" s="18" t="inlineStr">
        <is>
          <t>Dimercaprol (BAL) 3 mg/kg IM</t>
        </is>
      </c>
      <c r="E290" s="18" t="inlineStr">
        <is>
          <t>Ethanol 10% IV infusion for Methanol poisoning</t>
        </is>
      </c>
      <c r="F290" s="18" t="inlineStr">
        <is>
          <t>Fomepizole 15 mg/kg IV loading</t>
        </is>
      </c>
      <c r="G290" s="18" t="inlineStr">
        <is>
          <t>N-acetylcysteine (NAC) IV infusion protocol</t>
        </is>
      </c>
      <c r="H290" s="18" t="inlineStr">
        <is>
          <t>Atropine sulfate 2 mg IV Q5-10 min</t>
        </is>
      </c>
      <c r="I290" s="15" t="inlineStr">
        <is>
          <t>1</t>
        </is>
      </c>
      <c r="J2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18" t="inlineStr"/>
      <c r="L290" s="18" t="inlineStr">
        <is>
          <t>General Therapeutics</t>
        </is>
      </c>
      <c r="M290" s="18" t="inlineStr">
        <is>
          <t>Clinic</t>
        </is>
      </c>
      <c r="N290" s="18" t="inlineStr">
        <is>
          <t>PLE_CC1_2565_Day2_Key ข้อ 14</t>
        </is>
      </c>
      <c r="O290" s="18" t="inlineStr">
        <is>
          <t>ข้อสอบจริง</t>
        </is>
      </c>
      <c r="P290" s="18" t="inlineStr">
        <is>
          <t>ปี 2565</t>
        </is>
      </c>
    </row>
    <row r="291">
      <c r="A291" s="15" t="inlineStr">
        <is>
          <t>313</t>
        </is>
      </c>
      <c r="B291" s="18" t="inlineStr">
        <is>
          <t>Sexually transmitted diseases</t>
        </is>
      </c>
      <c r="C291" s="18" t="inlineStr"/>
      <c r="D291" s="18" t="inlineStr">
        <is>
          <t>N-acetylcysteine (NAC) IV infusion protocol</t>
        </is>
      </c>
      <c r="E291" s="18" t="inlineStr">
        <is>
          <t>Atropine sulfate 2 mg IV Q5-10 min</t>
        </is>
      </c>
      <c r="F291" s="18" t="inlineStr">
        <is>
          <t>Pralidoxime (2-PAM) 1-2 g IV over 30 min</t>
        </is>
      </c>
      <c r="G291" s="18" t="inlineStr">
        <is>
          <t>Naloxone 0.4 mg IV stat</t>
        </is>
      </c>
      <c r="H291" s="18" t="inlineStr">
        <is>
          <t>Flumazenil 0.2 mg IV stat</t>
        </is>
      </c>
      <c r="I291" s="15" t="inlineStr">
        <is>
          <t>1</t>
        </is>
      </c>
      <c r="J2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1" s="18" t="inlineStr"/>
      <c r="L291" s="18" t="inlineStr">
        <is>
          <t>General Therapeutics</t>
        </is>
      </c>
      <c r="M291" s="18" t="inlineStr">
        <is>
          <t>Clinic</t>
        </is>
      </c>
      <c r="N291" s="18" t="inlineStr">
        <is>
          <t>PLE_CC1_2565_Day2_Key ข้อ 18</t>
        </is>
      </c>
      <c r="O291" s="18" t="inlineStr">
        <is>
          <t>ข้อสอบจริง</t>
        </is>
      </c>
      <c r="P291" s="18" t="inlineStr">
        <is>
          <t>ปี 2565</t>
        </is>
      </c>
    </row>
    <row r="292">
      <c r="A292" s="15" t="inlineStr">
        <is>
          <t>314</t>
        </is>
      </c>
      <c r="B292" s="18" t="inlineStr">
        <is>
          <t>ผู้ชายมาขอซื้อยาที่ร้าน หัวเป็นขุยๆ ขาวๆเป็นๆหายๆ มาปีนึง เป็นเยอะตอนเหงื่อออก ตอนอากาศร้อน ถามยาที่ควรใช้</t>
        </is>
      </c>
      <c r="C292" s="18" t="inlineStr"/>
      <c r="D292" s="18" t="inlineStr">
        <is>
          <t>Naloxone 0.4 mg IV stat</t>
        </is>
      </c>
      <c r="E292" s="18" t="inlineStr">
        <is>
          <t>selenium shampoo / b. keto cream / c. mupirocin ointment</t>
        </is>
      </c>
      <c r="F292" s="18" t="inlineStr">
        <is>
          <t>Vitamin K1 (Phytomenadione) 10 mg IV slow</t>
        </is>
      </c>
      <c r="G292" s="18" t="inlineStr">
        <is>
          <t>Sodium thiosulfate 25% 50 mL IV</t>
        </is>
      </c>
      <c r="H292" s="18" t="inlineStr">
        <is>
          <t>Calcium disodium EDTA 1 g IV</t>
        </is>
      </c>
      <c r="I292" s="15" t="inlineStr">
        <is>
          <t>1</t>
        </is>
      </c>
      <c r="J2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coal tar, ketoconazole 2%, ciclopirox 1%) https://www.aafp.org/dam/brand/aafp/pubs/afp/issues/2015/0201/p185.pdf ..............................................................................................................................................................................................................
🔍 ข้ออื่นผิดเพราะอะไร:
• ข้อ ข. (selenium shampoo / b. keto cream / c. mupirocin ointment):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2" s="18" t="inlineStr"/>
      <c r="L292" s="18" t="inlineStr">
        <is>
          <t>General Therapeutics</t>
        </is>
      </c>
      <c r="M292" s="18" t="inlineStr">
        <is>
          <t>Clinic</t>
        </is>
      </c>
      <c r="N292" s="18" t="inlineStr">
        <is>
          <t>PLE_CC1_2564_All_Key ข้อ 13</t>
        </is>
      </c>
      <c r="O292" s="18" t="inlineStr">
        <is>
          <t>ข้อสอบจริง</t>
        </is>
      </c>
      <c r="P292" s="18" t="inlineStr">
        <is>
          <t>ปี 2564</t>
        </is>
      </c>
    </row>
    <row r="293">
      <c r="A293" s="15" t="inlineStr">
        <is>
          <t>315</t>
        </is>
      </c>
      <c r="B293" s="18" t="inlineStr">
        <is>
          <t>ส่วนประกอบใดของ MDI ทำหน้าที่ปรับขนาดอนุภาคของละอองฝอย</t>
        </is>
      </c>
      <c r="C293" s="18" t="inlineStr"/>
      <c r="D293" s="18" t="inlineStr">
        <is>
          <t>พ.ร.บ. วัตถุที่ออกฤทธิ์ต่อจิตและประสาท พ.ศ. 2559 (ประเภท 2 และ 4)</t>
        </is>
      </c>
      <c r="E293" s="18" t="inlineStr">
        <is>
          <t>พ.ร.บ. วิชาชีพเภสัชกรรม พ.ศ. 2537 และข้อบังคับจรรยาบรรณวิชาชีพ</t>
        </is>
      </c>
      <c r="F293" s="18" t="inlineStr">
        <is>
          <t>พ.ร.บ. ผลิตภัณฑ์สมุนไพร พ.ศ. 2562</t>
        </is>
      </c>
      <c r="G293" s="18" t="inlineStr">
        <is>
          <t>พ.ร.บ. เครื่องสำอาง พ.ศ. 2558</t>
        </is>
      </c>
      <c r="H293" s="18" t="inlineStr">
        <is>
          <t>พ.ร.บ. หลักประกันสุขภาพแห่งชาติ พ.ศ. 2545</t>
        </is>
      </c>
      <c r="I293" s="15" t="inlineStr">
        <is>
          <t>1</t>
        </is>
      </c>
      <c r="J293"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18" t="inlineStr"/>
      <c r="L293" s="18" t="inlineStr">
        <is>
          <t>Pharmacy Laws &amp; Ethics</t>
        </is>
      </c>
      <c r="M293" s="18" t="inlineStr">
        <is>
          <t>SAP</t>
        </is>
      </c>
      <c r="N293" s="18" t="inlineStr">
        <is>
          <t>PLE_CC1_2564_All_Key ข้อ 4</t>
        </is>
      </c>
      <c r="O293" s="18" t="inlineStr">
        <is>
          <t>ข้อสอบจริง</t>
        </is>
      </c>
      <c r="P293" s="18" t="inlineStr">
        <is>
          <t>ปี 2564</t>
        </is>
      </c>
    </row>
    <row r="294">
      <c r="A294" s="15" t="inlineStr">
        <is>
          <t>316</t>
        </is>
      </c>
      <c r="B294" s="18" t="inlineStr">
        <is>
          <t>ถ้าจ่ายยาพ่นสเปรย์ ควรแนะนำว่าไม่ควรพ่นเกิน 5 วัน เพราะอะไร</t>
        </is>
      </c>
      <c r="C294" s="18" t="inlineStr"/>
      <c r="D294" s="18" t="inlineStr">
        <is>
          <t>Dimercaprol (BAL) 3 mg/kg IM</t>
        </is>
      </c>
      <c r="E294" s="18" t="inlineStr">
        <is>
          <t>ทำให้กำเดาไหล b) ทำให้คัดจมูกมากขึ้น</t>
        </is>
      </c>
      <c r="F294" s="18" t="inlineStr">
        <is>
          <t>ทำให้คัดจมูกมากขึ้น (คาดว่ายาพ่นสเปรย์ในที่นี้เป็นพวก intranasal decongestant คือยาเช่น oxymetazoline</t>
        </is>
      </c>
      <c r="G294" s="18" t="inlineStr">
        <is>
          <t>N-acetylcysteine (NAC) IV infusion protocol</t>
        </is>
      </c>
      <c r="H294" s="18" t="inlineStr">
        <is>
          <t>Atropine sulfate 2 mg IV Q5-10 min</t>
        </is>
      </c>
      <c r="I294" s="15" t="inlineStr">
        <is>
          <t>1</t>
        </is>
      </c>
      <c r="J2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หรือ xylometazoline ซึ่งหากใช้ติดต่อกันจะทำให้เกิด rebound congestion ได้) จาก: ชีทเรียน CPT I เรื่อง allergic rhinitis
🔍 ข้ออื่นผิดเพราะอะไร:
• ข้อ ข. (ทำให้กำเดาไหล b) ทำให้คัดจมูกมากขึ้น):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(ทำให้คัดจมูกมากขึ้น (คาดว่ายาพ่นสเปรย์ในที่นี้เป็นพวก intranasal decongestant คือยาเช่น oxymetazoline): เป็น topical alpha-1 agonist ยาพ่นจมูกลดบวม ห้ามใช้ติดต่อกันเกิน 3-5 วัน เนื่องจากเสี่ยงต่อการเกิด rebound congestion (Rhinitis medicamentosa)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18" t="inlineStr"/>
      <c r="L294" s="18" t="inlineStr">
        <is>
          <t>General Therapeutics</t>
        </is>
      </c>
      <c r="M294" s="18" t="inlineStr">
        <is>
          <t>Clinic</t>
        </is>
      </c>
      <c r="N294" s="18" t="inlineStr">
        <is>
          <t>PLE_CC1_2564_All_Key ข้อ 8</t>
        </is>
      </c>
      <c r="O294" s="18" t="inlineStr">
        <is>
          <t>ข้อสอบจริง</t>
        </is>
      </c>
      <c r="P294" s="18" t="inlineStr">
        <is>
          <t>ปี 2564</t>
        </is>
      </c>
    </row>
    <row r="295">
      <c r="A295" s="15" t="inlineStr">
        <is>
          <t>317</t>
        </is>
      </c>
      <c r="B295" s="18" t="inlineStr">
        <is>
          <t>ไม่ควรให้ยาอะไร</t>
        </is>
      </c>
      <c r="C295" s="18" t="inlineStr"/>
      <c r="D295" s="18" t="inlineStr">
        <is>
          <t>N-acetylcysteine (NAC) IV infusion protocol</t>
        </is>
      </c>
      <c r="E295" s="18" t="inlineStr">
        <is>
          <t>Atropine sulfate 2 mg IV Q5-10 min</t>
        </is>
      </c>
      <c r="F295" s="18" t="inlineStr">
        <is>
          <t>Pralidoxime (2-PAM) 1-2 g IV over 30 min</t>
        </is>
      </c>
      <c r="G295" s="18" t="inlineStr">
        <is>
          <t>Naloxone 0.4 mg IV stat</t>
        </is>
      </c>
      <c r="H295" s="18" t="inlineStr">
        <is>
          <t>Flumazenil 0.2 mg IV stat</t>
        </is>
      </c>
      <c r="I295" s="15" t="inlineStr">
        <is>
          <t>1</t>
        </is>
      </c>
      <c r="J2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5" s="18" t="inlineStr"/>
      <c r="L295" s="18" t="inlineStr">
        <is>
          <t>General Therapeutics</t>
        </is>
      </c>
      <c r="M295" s="18" t="inlineStr">
        <is>
          <t>Clinic</t>
        </is>
      </c>
      <c r="N295" s="18" t="inlineStr">
        <is>
          <t>PLE_CC1_2564_All_Key ข้อ 9</t>
        </is>
      </c>
      <c r="O295" s="18" t="inlineStr">
        <is>
          <t>ข้อสอบจริง</t>
        </is>
      </c>
      <c r="P295" s="18" t="inlineStr">
        <is>
          <t>ปี 2564</t>
        </is>
      </c>
    </row>
    <row r="296">
      <c r="A296" s="15" t="inlineStr">
        <is>
          <t>318</t>
        </is>
      </c>
      <c r="B296" s="18" t="inlineStr">
        <is>
          <t>K+ สูงให้อะไร, ผู้ป่วย EKG ปกติ</t>
        </is>
      </c>
      <c r="C296" s="18" t="inlineStr"/>
      <c r="D296" s="18" t="inlineStr">
        <is>
          <t>Naloxone 0.4 mg IV stat</t>
        </is>
      </c>
      <c r="E296" s="18" t="inlineStr">
        <is>
          <t>calcium polystyrene b) mg ไรสักอย่าง c) calcium gluconate d) calcium carbonate https://www.fda.moph.go.th/sites/drug/GPPPageFile/Operator/ManagementGPP(29Oct2015).pdf</t>
        </is>
      </c>
      <c r="F296" s="18" t="inlineStr">
        <is>
          <t>Vitamin K1 (Phytomenadione) 10 mg IV slow</t>
        </is>
      </c>
      <c r="G296" s="18" t="inlineStr">
        <is>
          <t>Sodium thiosulfate 25% 50 mL IV</t>
        </is>
      </c>
      <c r="H296" s="18" t="inlineStr">
        <is>
          <t>Calcium disodium EDTA 1 g IV</t>
        </is>
      </c>
      <c r="I296" s="15" t="inlineStr">
        <is>
          <t>1</t>
        </is>
      </c>
      <c r="J2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
🔍 ข้ออื่นผิดเพราะอะไร:
• ข้อ ข. (calcium polystyrene b) mg ไรสักอย่าง c) calcium gluconate d) calcium carbonate https://www.fda.moph.go.th/sites/drug/GPPPageFile/Operator/ManagementGPP(29Oct2015).pdf): เป็น Phosphate binder สำหรับ CKD ต้องเคี้ยวพร้อมอาหารเพื่อจับฟอสเฟตในทางเดินอาหาร และทำหน้าที่เสริมแคลเซียม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6" s="18" t="inlineStr"/>
      <c r="L296" s="18" t="inlineStr">
        <is>
          <t>General Therapeutics</t>
        </is>
      </c>
      <c r="M296" s="18" t="inlineStr">
        <is>
          <t>Clinic</t>
        </is>
      </c>
      <c r="N296" s="18" t="inlineStr">
        <is>
          <t>PLE_CC1_2564_All_Key ข้อ 22</t>
        </is>
      </c>
      <c r="O296" s="18" t="inlineStr">
        <is>
          <t>ข้อสอบจริง</t>
        </is>
      </c>
      <c r="P296" s="18" t="inlineStr">
        <is>
          <t>ปี 2564</t>
        </is>
      </c>
    </row>
    <row r="297">
      <c r="A297" s="15" t="inlineStr">
        <is>
          <t>319</t>
        </is>
      </c>
      <c r="B297" s="18" t="inlineStr">
        <is>
          <t>ยาแก้ปวดในข้อใดเหมาะสมในผู้ป่วยรายนี้</t>
        </is>
      </c>
      <c r="C297" s="18" t="inlineStr"/>
      <c r="D297" s="18" t="inlineStr">
        <is>
          <t>Sodium thiosulfate 25% 50 mL IV</t>
        </is>
      </c>
      <c r="E297" s="18" t="inlineStr">
        <is>
          <t>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t>
        </is>
      </c>
      <c r="F297" s="18" t="inlineStr">
        <is>
          <t>Desferrioxamine 1 g IM/IV</t>
        </is>
      </c>
      <c r="G297" s="18" t="inlineStr">
        <is>
          <t>Dimercaprol (BAL) 3 mg/kg IM</t>
        </is>
      </c>
      <c r="H297" s="18" t="inlineStr">
        <is>
          <t>Ethanol 10% IV infusion for Methanol poisoning</t>
        </is>
      </c>
      <c r="I297" s="15" t="inlineStr">
        <is>
          <t>1</t>
        </is>
      </c>
      <c r="J2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จากคู่มือทักษะตามเกณฑ์ความรู้ความสามารถทางวิชาชีพเภสัชกรรม พ.ศ. 2562 ในหัวข้อของยาเม็ดคุมกำเนิด (หน้าที่ (ในย่อหน้าสุดท้ายกล่าวไว้ว่าผลข้างเคียงต่าง ๆ ส่วนใหญ่หายได้เองเมื่อใช้ยาไป 2-3 เดือน แต่ถ้าหากมีอาการมาก แต่ในโจทย์ผู้ป่วยยังไม่เคยใช้ยามาก่อน ดังนั้น คำตอบในข้อนี้น่าจะแนะนำว่าเป็นอาการที่พบได้ในช่วงแรก ๆ ใช้ไปสักพักอาการน่าจะหายไปเอง), https://www.pharmacycouncil.org/index.php?option=content_detail&amp;menuid=0&amp;itemid=1433&amp;catid=1
🔍 ข้ออื่นผิดเพราะอะไร:
• ข้อ ข. (etoricoxib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 เป็น non-selective NSAID ที่มี cardiovascular safety profile ดีที่สุด และมี efficacy สูงในการระงับ acute inflammation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7" s="18" t="inlineStr"/>
      <c r="L297" s="18" t="inlineStr">
        <is>
          <t>General Therapeutics</t>
        </is>
      </c>
      <c r="M297" s="18" t="inlineStr">
        <is>
          <t>Clinic</t>
        </is>
      </c>
      <c r="N297" s="18" t="inlineStr">
        <is>
          <t>PLE_CC1_2564_All_Key ข้อ 29</t>
        </is>
      </c>
      <c r="O297" s="18" t="inlineStr">
        <is>
          <t>ข้อสอบจริง</t>
        </is>
      </c>
      <c r="P297" s="18" t="inlineStr">
        <is>
          <t>ปี 2564</t>
        </is>
      </c>
    </row>
    <row r="298">
      <c r="A298" s="15" t="inlineStr">
        <is>
          <t>320</t>
        </is>
      </c>
      <c r="B298" s="18" t="inlineStr">
        <is>
          <t>ปวดแสบท้อง แน่นท้อง กิน Diclofenac มา เพราะปวดขา เคยเป็น MI เมื่อ 2 ปีที่แล้ว ต้องให้ยาอะไร</t>
        </is>
      </c>
      <c r="C298" s="18" t="inlineStr"/>
      <c r="D298" s="18" t="inlineStr">
        <is>
          <t>Diltiazem 30 mg TID</t>
        </is>
      </c>
      <c r="E298" s="18" t="inlineStr">
        <is>
          <t>Warfarin 3 mg OD (target INR 2.0-3.0)</t>
        </is>
      </c>
      <c r="F298" s="18" t="inlineStr">
        <is>
          <t>Furosemide 40 mg OD</t>
        </is>
      </c>
      <c r="G298" s="18" t="inlineStr">
        <is>
          <t>Amlodipine 5 mg OD</t>
        </is>
      </c>
      <c r="H298" s="18" t="inlineStr">
        <is>
          <t>Losartan 50 mg OD</t>
        </is>
      </c>
      <c r="I298" s="15" t="inlineStr">
        <is>
          <t>1</t>
        </is>
      </c>
      <c r="J298" s="18"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98" s="18" t="inlineStr"/>
      <c r="L298" s="18" t="inlineStr">
        <is>
          <t>Cardiovascular Diseases</t>
        </is>
      </c>
      <c r="M298" s="18" t="inlineStr">
        <is>
          <t>Clinic</t>
        </is>
      </c>
      <c r="N298" s="18" t="inlineStr">
        <is>
          <t>PLE_CC1_2564_All_Key ข้อ 42</t>
        </is>
      </c>
      <c r="O298" s="18" t="inlineStr">
        <is>
          <t>ข้อสอบจริง</t>
        </is>
      </c>
      <c r="P298" s="18" t="inlineStr">
        <is>
          <t>ปี 2564</t>
        </is>
      </c>
      <c r="Q298" s="18" t="inlineStr">
        <is>
          <t xml:space="preserve"> Cimetidine Diclofenac มาก็เลยให้ PPIs เลย</t>
        </is>
      </c>
    </row>
    <row r="299">
      <c r="A299" s="15" t="inlineStr">
        <is>
          <t>321</t>
        </is>
      </c>
      <c r="B299" s="18" t="inlineStr">
        <is>
          <t>Propranolol ไม่ช่วยเรื่องอะไร</t>
        </is>
      </c>
      <c r="C299" s="18" t="inlineStr"/>
      <c r="D299" s="18" t="inlineStr">
        <is>
          <t>N-acetylcysteine (NAC) IV infusion protocol</t>
        </is>
      </c>
      <c r="E299" s="18" t="inlineStr">
        <is>
          <t>ยับยั้งการเปลี่ยน T4 เป็น T3</t>
        </is>
      </c>
      <c r="F299" s="18" t="inlineStr">
        <is>
          <t>อาการสั่น Propranolol สามารถยับยั้งการเปลี่ยน Peripheral conversion of T4 to T3 และลด Sympathetic effect จาก: ชีท CPT3 thyroid disorder// Pharmaco2 Thyroid hormone</t>
        </is>
      </c>
      <c r="G299" s="18" t="inlineStr">
        <is>
          <t>Naloxone 0.4 mg IV stat</t>
        </is>
      </c>
      <c r="H299" s="18" t="inlineStr">
        <is>
          <t>Flumazenil 0.2 mg IV stat</t>
        </is>
      </c>
      <c r="I299" s="15" t="inlineStr">
        <is>
          <t>1</t>
        </is>
      </c>
      <c r="J29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ช่วยลดอาการ tremor(สั่น), palpitation (ใจสั่น), tachycadia ดังนั้นถูกทั้ง 2 ช้อย ไปหาช้อยอื่นในข้อสอบตอบแทน
🔍 ข้ออื่นผิดเพราะอะไร:
• ข้อ ข. (ยับยั้งการเปลี่ยน T4 เป็น T3):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(อาการสั่น Propranolol สามารถยับยั้งการเปลี่ยน Peripheral conversion of T4 to T3 และลด Sympathetic effect จาก: ชีท CPT3 thyroid disorder// Pharmaco2 Thyroid hormone): เป็น non-selective beta-blocker ข้าม blood-brain barrier ได้ดี เหมาะสำหรับ performance anxiety, essential tremor, migraine prophylaxis และ thyroid storm แต่ contraindication ใน asthma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9" s="18" t="inlineStr"/>
      <c r="L299" s="18" t="inlineStr">
        <is>
          <t>General Therapeutics</t>
        </is>
      </c>
      <c r="M299" s="18" t="inlineStr">
        <is>
          <t>Clinic</t>
        </is>
      </c>
      <c r="N299" s="18" t="inlineStr">
        <is>
          <t>PLE_CC1_2564_All_Key ข้อ 37</t>
        </is>
      </c>
      <c r="O299" s="18" t="inlineStr">
        <is>
          <t>ข้อสอบจริง</t>
        </is>
      </c>
      <c r="P299" s="18" t="inlineStr">
        <is>
          <t>ปี 2564</t>
        </is>
      </c>
    </row>
    <row r="300">
      <c r="A300" s="15" t="inlineStr">
        <is>
          <t>322</t>
        </is>
      </c>
      <c r="B300" s="18" t="inlineStr">
        <is>
          <t>ลดการอักเสบ ซึ่งทำให้เกิดอาการปวดและการทำลายข้อ</t>
        </is>
      </c>
      <c r="C300" s="18" t="inlineStr"/>
      <c r="D300" s="18" t="inlineStr">
        <is>
          <t>Naloxone 0.4 mg IV stat</t>
        </is>
      </c>
      <c r="E300" s="18" t="inlineStr">
        <is>
          <t>Flumazenil 0.2 mg IV stat</t>
        </is>
      </c>
      <c r="F300" s="18" t="inlineStr">
        <is>
          <t>Vitamin K1 (Phytomenadione) 10 mg IV slow</t>
        </is>
      </c>
      <c r="G300" s="18" t="inlineStr">
        <is>
          <t>Sodium thiosulfate 25% 50 mL IV</t>
        </is>
      </c>
      <c r="H300" s="18" t="inlineStr">
        <is>
          <t>Calcium disodium EDTA 1 g IV</t>
        </is>
      </c>
      <c r="I300" s="15" t="inlineStr">
        <is>
          <t>1</t>
        </is>
      </c>
      <c r="J3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0" s="18" t="inlineStr"/>
      <c r="L300" s="18" t="inlineStr">
        <is>
          <t>General Therapeutics</t>
        </is>
      </c>
      <c r="M300" s="18" t="inlineStr">
        <is>
          <t>Clinic</t>
        </is>
      </c>
      <c r="N300" s="18" t="inlineStr">
        <is>
          <t>PLE_CC1_2564_All_Key ข้อ 2</t>
        </is>
      </c>
      <c r="O300" s="18" t="inlineStr">
        <is>
          <t>ข้อสอบจริง</t>
        </is>
      </c>
      <c r="P300" s="18" t="inlineStr">
        <is>
          <t>ปี 2564</t>
        </is>
      </c>
    </row>
    <row r="301">
      <c r="A301" s="15" t="inlineStr">
        <is>
          <t>323</t>
        </is>
      </c>
      <c r="B301" s="18" t="inlineStr">
        <is>
          <t>ทำให้สภาพข้อใช้งานได้เหมือนปกติ" https://www.rama.mahidol.ac.th/med/sites/default/files/public/pdf/medicinebook1/Rheumatoid%20arthritis.pdf ................................................................................................................................................................................................................................................</t>
        </is>
      </c>
      <c r="C301" s="18" t="inlineStr"/>
      <c r="D301" s="18" t="inlineStr">
        <is>
          <t>Alendronate 70 mg weekly</t>
        </is>
      </c>
      <c r="E301" s="18" t="inlineStr">
        <is>
          <t>Glucosamine sulfate 1500 mg OD</t>
        </is>
      </c>
      <c r="F301" s="18" t="inlineStr">
        <is>
          <t>Hydroxychloroquine 200 mg OD</t>
        </is>
      </c>
      <c r="G301" s="18" t="inlineStr">
        <is>
          <t>Prednisolone 5 mg OD</t>
        </is>
      </c>
      <c r="H301" s="18" t="inlineStr">
        <is>
          <t>Zoledronic acid 5 mg IV annually</t>
        </is>
      </c>
      <c r="I301" s="15" t="inlineStr">
        <is>
          <t>1</t>
        </is>
      </c>
      <c r="J301" s="18" t="inlineStr">
        <is>
          <t>✅ คำตอบที่ถูกต้อง: ข้อ ก. Alendronate 70 mg weekly
💡 Background:
โรคข้ออักเสบรูมาตอยด์ (RA) เป็น systemic autoimmune disease ต้องรีบเริ่ม DMARDs ทันทีเพื่อป้องกัน joint destruction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01" s="18" t="inlineStr"/>
      <c r="L301" s="18" t="inlineStr">
        <is>
          <t>Musculoskeletal &amp; Joint</t>
        </is>
      </c>
      <c r="M301" s="18" t="inlineStr">
        <is>
          <t>Clinic</t>
        </is>
      </c>
      <c r="N301" s="18" t="inlineStr">
        <is>
          <t>PLE_CC1_2564_All_Key ข้อ 3</t>
        </is>
      </c>
      <c r="O301" s="18" t="inlineStr">
        <is>
          <t>ข้อสอบจริง</t>
        </is>
      </c>
      <c r="P301" s="18" t="inlineStr">
        <is>
          <t>ปี 2564</t>
        </is>
      </c>
    </row>
    <row r="302">
      <c r="A302" s="15" t="inlineStr">
        <is>
          <t>324</t>
        </is>
      </c>
      <c r="B302" s="18" t="inlineStr">
        <is>
          <t>ผลข้างเคียงของ orlistat</t>
        </is>
      </c>
      <c r="C302" s="18" t="inlineStr"/>
      <c r="D302" s="18" t="inlineStr">
        <is>
          <t>Dimercaprol (BAL) 3 mg/kg IM</t>
        </is>
      </c>
      <c r="E302" s="18" t="inlineStr">
        <is>
          <t>ไขมันไหลมากับขี้ มักมีการผายลม จาก: https://www-micromedexsolutions-</t>
        </is>
      </c>
      <c r="F302" s="18" t="inlineStr">
        <is>
          <t>Fomepizole 15 mg/kg IV loading</t>
        </is>
      </c>
      <c r="G302" s="18" t="inlineStr">
        <is>
          <t>N-acetylcysteine (NAC) IV infusion protocol</t>
        </is>
      </c>
      <c r="H302" s="18" t="inlineStr">
        <is>
          <t>Atropine sulfate 2 mg IV Q5-10 min</t>
        </is>
      </c>
      <c r="I302" s="15" t="inlineStr">
        <is>
          <t>1</t>
        </is>
      </c>
      <c r="J3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ผลข้างเคียงที่พบได้บ่อยของ orlistat คือ Steatorrhea (อุจจาระเป็นมัน/ไขมันไหลมากับอุจจาระ), ปวดท้อง, ท้องอืด com.ejournal.mahidol.ac.th/micromedex2/librarian/PFDefaultActionId/evidencexpert.DoIntegratedSearch?navitem=topHome&amp;isToolPage=true
🔍 ข้ออื่นผิดเพราะอะไร:
• ข้อ ข. (ไขมันไหลมากับขี้ มักมีการผายลม จาก: https://www-micromedexsolutions-):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2" s="18" t="inlineStr"/>
      <c r="L302" s="18" t="inlineStr">
        <is>
          <t>General Therapeutics</t>
        </is>
      </c>
      <c r="M302" s="18" t="inlineStr">
        <is>
          <t>Clinic</t>
        </is>
      </c>
      <c r="N302" s="18" t="inlineStr">
        <is>
          <t>PLE_CC1_2564_All_Key ข้อ 40</t>
        </is>
      </c>
      <c r="O302" s="18" t="inlineStr">
        <is>
          <t>ข้อสอบจริง</t>
        </is>
      </c>
      <c r="P302" s="18" t="inlineStr">
        <is>
          <t>ปี 2564</t>
        </is>
      </c>
    </row>
    <row r="303">
      <c r="A303" s="15" t="inlineStr">
        <is>
          <t>325</t>
        </is>
      </c>
      <c r="B303" s="18" t="inlineStr">
        <is>
          <t>แนะนำหรือรักษาผู้ป่วยอย่างไร</t>
        </is>
      </c>
      <c r="C303" s="18" t="inlineStr"/>
      <c r="D303" s="18" t="inlineStr">
        <is>
          <t>N-acetylcysteine (NAC) IV infusion protocol</t>
        </is>
      </c>
      <c r="E303" s="18" t="inlineStr">
        <is>
          <t>แนะให้ทานยา ปรับพฤติกรรม</t>
        </is>
      </c>
      <c r="F303" s="18" t="inlineStr">
        <is>
          <t>แนะให้ทานยา และวางแผนผ่าตัด</t>
        </is>
      </c>
      <c r="G303" s="18" t="inlineStr">
        <is>
          <t>มีผลต่อเม็ดสีตา</t>
        </is>
      </c>
      <c r="H303" s="18" t="inlineStr">
        <is>
          <t>Flumazenil 0.2 mg IV stat</t>
        </is>
      </c>
      <c r="I303" s="15" t="inlineStr">
        <is>
          <t>3</t>
        </is>
      </c>
      <c r="J303" s="18" t="inlineStr">
        <is>
          <t>✅ คำตอบที่ถูกต้อง: ข้อ ค. แนะให้ทานยา และวางแผนผ่าตัด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แนะให้ทานยา และวางแผนผ่าตัด แต่การผ่าตัดนั้นจะทำในผู้ป่วยที่มี BMI &gt;= 40 ขึ้นไป หรือ 35 แต่ควบคุมอาหารและลดน้ำหนักไม่ได้ผล หรือผู้ป่วยที่มี BMI &gt;= 30 จาก https://www.rama.mahidol.ac.th/med/sites/default/files/public/pdf/medicinebook1/Rheumatoid%20arthritis.pdf ..............................................................................................................................................................................................................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(แนะให้ทานยา ปรับพฤติกรรม): ข้อนี้ไม่ใช่คำตอบที่ถูกต้องสำหรับภาวะ General Therapeutics เนื่องจากกลไกการออกฤทธิ์, efficacy หรือข้อบ่งใช้ไม่ตรงกับโจทย์ที่กำหนด
• ข้อ ง. (มีผลต่อเม็ดสีตา):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3" s="18" t="inlineStr"/>
      <c r="L303" s="18" t="inlineStr">
        <is>
          <t>General Therapeutics</t>
        </is>
      </c>
      <c r="M303" s="18" t="inlineStr">
        <is>
          <t>Clinic</t>
        </is>
      </c>
      <c r="N303" s="18" t="inlineStr">
        <is>
          <t>PLE_CC1_2564_All_Key ข้อ 41</t>
        </is>
      </c>
      <c r="O303" s="18" t="inlineStr">
        <is>
          <t>ข้อสอบจริง</t>
        </is>
      </c>
      <c r="P303" s="18" t="inlineStr">
        <is>
          <t>ปี 2564</t>
        </is>
      </c>
    </row>
    <row r="304">
      <c r="A304" s="15" t="inlineStr">
        <is>
          <t>326</t>
        </is>
      </c>
      <c r="B304" s="18" t="inlineStr">
        <is>
          <t>ใช้สูตรยาที่มีตัวยาที่มีผลต่อการทำงานของตับเพียง 2 ชนิด ได้แก่ 2HRE/7HR หรือ 6-9 RZE</t>
        </is>
      </c>
      <c r="C304" s="18" t="inlineStr"/>
      <c r="D304" s="18" t="inlineStr">
        <is>
          <t>Naloxone 0.4 mg IV stat</t>
        </is>
      </c>
      <c r="E304" s="18" t="inlineStr">
        <is>
          <t>Flumazenil 0.2 mg IV stat</t>
        </is>
      </c>
      <c r="F304" s="18" t="inlineStr">
        <is>
          <t>Vitamin K1 (Phytomenadione) 10 mg IV slow</t>
        </is>
      </c>
      <c r="G304" s="18" t="inlineStr">
        <is>
          <t>Sodium thiosulfate 25% 50 mL IV</t>
        </is>
      </c>
      <c r="H304" s="18" t="inlineStr">
        <is>
          <t>Calcium disodium EDTA 1 g IV</t>
        </is>
      </c>
      <c r="I304" s="15" t="inlineStr">
        <is>
          <t>1</t>
        </is>
      </c>
      <c r="J3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4" s="18" t="inlineStr"/>
      <c r="L304" s="18" t="inlineStr">
        <is>
          <t>General Therapeutics</t>
        </is>
      </c>
      <c r="M304" s="18" t="inlineStr">
        <is>
          <t>Clinic</t>
        </is>
      </c>
      <c r="N304" s="18" t="inlineStr">
        <is>
          <t>PLE_CC1_2564_All_Key ข้อ 1</t>
        </is>
      </c>
      <c r="O304" s="18" t="inlineStr">
        <is>
          <t>ข้อสอบจริง</t>
        </is>
      </c>
      <c r="P304" s="18" t="inlineStr">
        <is>
          <t>ปี 2564</t>
        </is>
      </c>
    </row>
    <row r="305">
      <c r="A305" s="15" t="inlineStr">
        <is>
          <t>327</t>
        </is>
      </c>
      <c r="B305" s="18" t="inlineStr">
        <is>
          <t>เบื่อ ไม่สนใจในสิ่งที่เคยทำ (Apathy/Loss of interest)</t>
        </is>
      </c>
      <c r="C305" s="18" t="inlineStr"/>
      <c r="D305" s="18" t="inlineStr">
        <is>
          <t>Sodium thiosulfate 25% 50 mL IV</t>
        </is>
      </c>
      <c r="E305" s="18" t="inlineStr">
        <is>
          <t>Calcium disodium EDTA 1 g IV</t>
        </is>
      </c>
      <c r="F305" s="18" t="inlineStr">
        <is>
          <t>Desferrioxamine 1 g IM/IV</t>
        </is>
      </c>
      <c r="G305" s="18" t="inlineStr">
        <is>
          <t>Dimercaprol (BAL) 3 mg/kg IM</t>
        </is>
      </c>
      <c r="H305" s="18" t="inlineStr">
        <is>
          <t>Ethanol 10% IV infusion for Methanol poisoning</t>
        </is>
      </c>
      <c r="I305" s="15" t="inlineStr">
        <is>
          <t>1</t>
        </is>
      </c>
      <c r="J3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18" t="inlineStr"/>
      <c r="L305" s="18" t="inlineStr">
        <is>
          <t>General Therapeutics</t>
        </is>
      </c>
      <c r="M305" s="18" t="inlineStr">
        <is>
          <t>Clinic</t>
        </is>
      </c>
      <c r="N305" s="18" t="inlineStr">
        <is>
          <t>PLE_CC1_2564_All_Key ข้อ 2</t>
        </is>
      </c>
      <c r="O305" s="18" t="inlineStr">
        <is>
          <t>ข้อสอบจริง</t>
        </is>
      </c>
      <c r="P305" s="18" t="inlineStr">
        <is>
          <t>ปี 2564</t>
        </is>
      </c>
    </row>
    <row r="306">
      <c r="A306" s="15" t="inlineStr">
        <is>
          <t>328</t>
        </is>
      </c>
      <c r="B306" s="18" t="inlineStr">
        <is>
          <t>น้ำหนัก/ความอยากอาหารเพิ่มขึ้นหรือลดลง</t>
        </is>
      </c>
      <c r="C306" s="18" t="inlineStr"/>
      <c r="D306" s="18" t="inlineStr">
        <is>
          <t>Dimercaprol (BAL) 3 mg/kg IM</t>
        </is>
      </c>
      <c r="E306" s="18" t="inlineStr">
        <is>
          <t>Ethanol 10% IV infusion for Methanol poisoning</t>
        </is>
      </c>
      <c r="F306" s="18" t="inlineStr">
        <is>
          <t>Fomepizole 15 mg/kg IV loading</t>
        </is>
      </c>
      <c r="G306" s="18" t="inlineStr">
        <is>
          <t>N-acetylcysteine (NAC) IV infusion protocol</t>
        </is>
      </c>
      <c r="H306" s="18" t="inlineStr">
        <is>
          <t>Atropine sulfate 2 mg IV Q5-10 min</t>
        </is>
      </c>
      <c r="I306" s="15" t="inlineStr">
        <is>
          <t>1</t>
        </is>
      </c>
      <c r="J3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6" s="18" t="inlineStr"/>
      <c r="L306" s="18" t="inlineStr">
        <is>
          <t>General Therapeutics</t>
        </is>
      </c>
      <c r="M306" s="18" t="inlineStr">
        <is>
          <t>Clinic</t>
        </is>
      </c>
      <c r="N306" s="18" t="inlineStr">
        <is>
          <t>PLE_CC1_2564_All_Key ข้อ 3</t>
        </is>
      </c>
      <c r="O306" s="18" t="inlineStr">
        <is>
          <t>ข้อสอบจริง</t>
        </is>
      </c>
      <c r="P306" s="18" t="inlineStr">
        <is>
          <t>ปี 2564</t>
        </is>
      </c>
    </row>
    <row r="307">
      <c r="A307" s="15" t="inlineStr">
        <is>
          <t>329</t>
        </is>
      </c>
      <c r="B307" s="18" t="inlineStr">
        <is>
          <t>อยากทำอะไรตลอดเวลาหรือไม่อยากทำอะไรเลย</t>
        </is>
      </c>
      <c r="C307" s="18" t="inlineStr"/>
      <c r="D307" s="18" t="inlineStr">
        <is>
          <t>N-acetylcysteine (NAC) IV infusion protocol</t>
        </is>
      </c>
      <c r="E307" s="18" t="inlineStr">
        <is>
          <t>Atropine sulfate 2 mg IV Q5-10 min</t>
        </is>
      </c>
      <c r="F307" s="18" t="inlineStr">
        <is>
          <t>Pralidoxime (2-PAM) 1-2 g IV over 30 min</t>
        </is>
      </c>
      <c r="G307" s="18" t="inlineStr">
        <is>
          <t>Naloxone 0.4 mg IV stat</t>
        </is>
      </c>
      <c r="H307" s="18" t="inlineStr">
        <is>
          <t>Flumazenil 0.2 mg IV stat</t>
        </is>
      </c>
      <c r="I307" s="15" t="inlineStr">
        <is>
          <t>1</t>
        </is>
      </c>
      <c r="J3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07" s="18" t="inlineStr"/>
      <c r="L307" s="18" t="inlineStr">
        <is>
          <t>General Therapeutics</t>
        </is>
      </c>
      <c r="M307" s="18" t="inlineStr">
        <is>
          <t>Clinic</t>
        </is>
      </c>
      <c r="N307" s="18" t="inlineStr">
        <is>
          <t>PLE_CC1_2564_All_Key ข้อ 5</t>
        </is>
      </c>
      <c r="O307" s="18" t="inlineStr">
        <is>
          <t>ข้อสอบจริง</t>
        </is>
      </c>
      <c r="P307" s="18" t="inlineStr">
        <is>
          <t>ปี 2564</t>
        </is>
      </c>
    </row>
    <row r="308">
      <c r="A308" s="15" t="inlineStr">
        <is>
          <t>330</t>
        </is>
      </c>
      <c r="B308" s="18" t="inlineStr">
        <is>
          <t>รู้สึกไร้ค่า รู้สึกผิด</t>
        </is>
      </c>
      <c r="C308" s="18" t="inlineStr"/>
      <c r="D308" s="18" t="inlineStr">
        <is>
          <t>Naloxone 0.4 mg IV stat</t>
        </is>
      </c>
      <c r="E308" s="18" t="inlineStr">
        <is>
          <t>Flumazenil 0.2 mg IV stat</t>
        </is>
      </c>
      <c r="F308" s="18" t="inlineStr">
        <is>
          <t>Vitamin K1 (Phytomenadione) 10 mg IV slow</t>
        </is>
      </c>
      <c r="G308" s="18" t="inlineStr">
        <is>
          <t>Sodium thiosulfate 25% 50 mL IV</t>
        </is>
      </c>
      <c r="H308" s="18" t="inlineStr">
        <is>
          <t>Calcium disodium EDTA 1 g IV</t>
        </is>
      </c>
      <c r="I308" s="15" t="inlineStr">
        <is>
          <t>1</t>
        </is>
      </c>
      <c r="J3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8" s="18" t="inlineStr"/>
      <c r="L308" s="18" t="inlineStr">
        <is>
          <t>General Therapeutics</t>
        </is>
      </c>
      <c r="M308" s="18" t="inlineStr">
        <is>
          <t>Clinic</t>
        </is>
      </c>
      <c r="N308" s="18" t="inlineStr">
        <is>
          <t>PLE_CC1_2564_All_Key ข้อ 7</t>
        </is>
      </c>
      <c r="O308" s="18" t="inlineStr">
        <is>
          <t>ข้อสอบจริง</t>
        </is>
      </c>
      <c r="P308" s="18" t="inlineStr">
        <is>
          <t>ปี 2564</t>
        </is>
      </c>
    </row>
    <row r="309">
      <c r="A309" s="15" t="inlineStr">
        <is>
          <t>331</t>
        </is>
      </c>
      <c r="B309" s="18" t="inlineStr">
        <is>
          <t>สมาธิไม่ดี ทำงานไม่ได้</t>
        </is>
      </c>
      <c r="C309" s="18" t="inlineStr"/>
      <c r="D309" s="18" t="inlineStr">
        <is>
          <t>Sodium thiosulfate 25% 50 mL IV</t>
        </is>
      </c>
      <c r="E309" s="18" t="inlineStr">
        <is>
          <t>Calcium disodium EDTA 1 g IV</t>
        </is>
      </c>
      <c r="F309" s="18" t="inlineStr">
        <is>
          <t>Desferrioxamine 1 g IM/IV</t>
        </is>
      </c>
      <c r="G309" s="18" t="inlineStr">
        <is>
          <t>Dimercaprol (BAL) 3 mg/kg IM</t>
        </is>
      </c>
      <c r="H309" s="18" t="inlineStr">
        <is>
          <t>Ethanol 10% IV infusion for Methanol poisoning</t>
        </is>
      </c>
      <c r="I309" s="15" t="inlineStr">
        <is>
          <t>1</t>
        </is>
      </c>
      <c r="J3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9" s="18" t="inlineStr"/>
      <c r="L309" s="18" t="inlineStr">
        <is>
          <t>General Therapeutics</t>
        </is>
      </c>
      <c r="M309" s="18" t="inlineStr">
        <is>
          <t>Clinic</t>
        </is>
      </c>
      <c r="N309" s="18" t="inlineStr">
        <is>
          <t>PLE_CC1_2564_All_Key ข้อ 8</t>
        </is>
      </c>
      <c r="O309" s="18" t="inlineStr">
        <is>
          <t>ข้อสอบจริง</t>
        </is>
      </c>
      <c r="P309" s="18" t="inlineStr">
        <is>
          <t>ปี 2564</t>
        </is>
      </c>
    </row>
    <row r="310">
      <c r="A310" s="15" t="inlineStr">
        <is>
          <t>332</t>
        </is>
      </c>
      <c r="B310" s="18" t="inlineStr">
        <is>
          <t>ควรให้ยาใด</t>
        </is>
      </c>
      <c r="C310" s="18" t="inlineStr"/>
      <c r="D310" s="18" t="inlineStr">
        <is>
          <t>Dimercaprol (BAL) 3 mg/kg IM</t>
        </is>
      </c>
      <c r="E310" s="18" t="inlineStr">
        <is>
          <t>Bupropion</t>
        </is>
      </c>
      <c r="F310" s="18" t="inlineStr">
        <is>
          <t>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t>
        </is>
      </c>
      <c r="G310" s="18" t="inlineStr">
        <is>
          <t>N-acetylcysteine (NAC) IV infusion protocol</t>
        </is>
      </c>
      <c r="H310" s="18" t="inlineStr">
        <is>
          <t>Atropine sulfate 2 mg IV Q5-10 min</t>
        </is>
      </c>
      <c r="I310" s="15" t="inlineStr">
        <is>
          <t>1</t>
        </is>
      </c>
      <c r="J3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มีโรคประจำตัวหรือยาที่ใช้ประจำหรือไม่ รวมถึงผลข้างเคียงของยา ซึ่งจากโจทย์ข้อนี้ กล่าวเพียงว่าผู้ป่วยมีอาการซึมเศร้า คิดฆ่าตัวตาย กินนอนเยอะและมีน้ำหนักที่เพิ่มขึ้น (ไม่มีข้อมูลเรื่องโรคประจำตัว ขอตีว่าไม่มีโรคประจำตัวและ ไม่มียาที่ใช้ประจำ) ดังนั้นจึงควรเลือกยาที่รักษาอาการซึมเศร้าที่ไม่ทำให้น้ำหนักตัวเพิ่มขึ้น หรือทำให้ง่วงนอนมากขึ้น ซึ่ง Amitriptyline เป็นยาในกลุ่ม TCA มีฤทธิ์ anticholinergics อาจทำให้น้ำหนักเพิ่มขึ้นและนอนเยอะกว่าเดิมได้ ส่วน bupropion ซึ่งเป็น NE และ DA reuptake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 เป็น Tricyclic antidepressant (TCA) มี anticholinergic ADRs สูง, antihistaminic (ง่วงซึม น้ำหนักขึ้น), alpha-1 blockade (orthostatic hypotension) และเสี่ยงต่อ fatal cardiotoxicity เมื่อ overdose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0" s="18" t="inlineStr"/>
      <c r="L310" s="18" t="inlineStr">
        <is>
          <t>General Therapeutics</t>
        </is>
      </c>
      <c r="M310" s="18" t="inlineStr">
        <is>
          <t>Clinic</t>
        </is>
      </c>
      <c r="N310" s="18" t="inlineStr">
        <is>
          <t>PLE_CC1_2564_All_Key ข้อ 53</t>
        </is>
      </c>
      <c r="O310" s="18" t="inlineStr">
        <is>
          <t>ข้อสอบจริง</t>
        </is>
      </c>
      <c r="P310" s="18" t="inlineStr">
        <is>
          <t>ปี 2564</t>
        </is>
      </c>
    </row>
    <row r="311">
      <c r="A311" s="15" t="inlineStr">
        <is>
          <t>333</t>
        </is>
      </c>
      <c r="B311" s="18" t="inlineStr">
        <is>
          <t>ข้อใดถือว่าไม่เป็นการขายยา (โจทย์และช้อยไม่เป๊ะ)</t>
        </is>
      </c>
      <c r="C311" s="18" t="inlineStr"/>
      <c r="D311" s="18" t="inlineStr">
        <is>
          <t>N-acetylcysteine (NAC) IV infusion protocol</t>
        </is>
      </c>
      <c r="E311" s="18" t="inlineStr">
        <is>
          <t>ร้านจัดโปรโมชั่น</t>
        </is>
      </c>
      <c r="F311" s="18" t="inlineStr">
        <is>
          <t>บริษัทแถมยาให้ร้านที่ซื้อครบโปรโมชั่นที่ตั้ง</t>
        </is>
      </c>
      <c r="G311" s="18" t="inlineStr">
        <is>
          <t>ลูกจ้างแบ่งยาครีมกระปุกเพื่อขาย</t>
        </is>
      </c>
      <c r="H311" s="18" t="inlineStr">
        <is>
          <t>บริษัทแจกยาให้ตอนประชุมโรงพยาบาล ชีทวิชา CPT 3 เรื่อง Major Depressive Disorders ชีทวิชา Pharmacology 4 เรื่อง Depression ชีทวิชา Pharmacology 4 เรื่อง Drugs affecting appetite</t>
        </is>
      </c>
      <c r="I311" s="15" t="inlineStr">
        <is>
          <t>1</t>
        </is>
      </c>
      <c r="J3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(ร้านจัดโปรโมชั่น): ข้อนี้ไม่ใช่คำตอบที่ถูกต้องสำหรับภาวะ General Therapeutics เนื่องจากกลไกการออกฤทธิ์, efficacy หรือข้อบ่งใช้ไม่ตรงกับโจทย์ที่กำหนด
• ข้อ ค. (บริษัทแถมยาให้ร้านที่ซื้อครบโปรโมชั่นที่ตั้ง): ข้อนี้ไม่ใช่คำตอบที่ถูกต้องสำหรับภาวะ General Therapeutics เนื่องจากกลไกการออกฤทธิ์, efficacy หรือข้อบ่งใช้ไม่ตรงกับโจทย์ที่กำหนด
• ข้อ ง. (ลูกจ้างแบ่งยาครีมกระปุกเพื่อขาย): ข้อนี้ไม่ใช่คำตอบที่ถูกต้องสำหรับภาวะ General Therapeutics เนื่องจากกลไกการออกฤทธิ์, efficacy หรือข้อบ่งใช้ไม่ตรงกับโจทย์ที่กำหนด
• ข้อ จ. (บริษัทแจกยาให้ตอนประชุมโรงพยาบาล ชีทวิชา CPT 3 เรื่อง Major Depressive Disorders ชีทวิชา Pharmacology 4 เรื่อง Depression ชีทวิชา Pharmacology 4 เรื่อง Drugs affecting appetite):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1" s="18" t="inlineStr"/>
      <c r="L311" s="18" t="inlineStr">
        <is>
          <t>General Therapeutics</t>
        </is>
      </c>
      <c r="M311" s="18" t="inlineStr">
        <is>
          <t>Clinic</t>
        </is>
      </c>
      <c r="N311" s="18" t="inlineStr">
        <is>
          <t>PLE_CC1_2564_All_Key ข้อ 58</t>
        </is>
      </c>
      <c r="O311" s="18" t="inlineStr">
        <is>
          <t>ข้อสอบจริง</t>
        </is>
      </c>
      <c r="P311" s="18" t="inlineStr">
        <is>
          <t>ปี 2564</t>
        </is>
      </c>
    </row>
    <row r="312">
      <c r="A312" s="15" t="inlineStr">
        <is>
          <t>334</t>
        </is>
      </c>
      <c r="B312" s="18" t="inlineStr">
        <is>
          <t>Desipramine ยากลุ่มอะไร</t>
        </is>
      </c>
      <c r="C312" s="18" t="inlineStr"/>
      <c r="D312" s="18" t="inlineStr">
        <is>
          <t>Naloxone 0.4 mg IV stat</t>
        </is>
      </c>
      <c r="E312" s="18" t="inlineStr">
        <is>
          <t>TCA</t>
        </is>
      </c>
      <c r="F312" s="18" t="inlineStr">
        <is>
          <t>SSRI</t>
        </is>
      </c>
      <c r="G312" s="18" t="inlineStr">
        <is>
          <t>MAOi</t>
        </is>
      </c>
      <c r="H312" s="18" t="inlineStr">
        <is>
          <t>5-HT2</t>
        </is>
      </c>
      <c r="I312" s="15" t="inlineStr">
        <is>
          <t>1</t>
        </is>
      </c>
      <c r="J3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(TCA): ข้อนี้ไม่ใช่คำตอบที่ถูกต้องสำหรับภาวะ General Therapeutics เนื่องจากกลไกการออกฤทธิ์, efficacy หรือข้อบ่งใช้ไม่ตรงกับโจทย์ที่กำหนด
• ข้อ ค. (SSRI): ข้อนี้ไม่ใช่คำตอบที่ถูกต้องสำหรับภาวะ General Therapeutics เนื่องจากกลไกการออกฤทธิ์, efficacy หรือข้อบ่งใช้ไม่ตรงกับโจทย์ที่กำหนด
• ข้อ ง. (MAOi): ข้อนี้ไม่ใช่คำตอบที่ถูกต้องสำหรับภาวะ General Therapeutics เนื่องจากกลไกการออกฤทธิ์, efficacy หรือข้อบ่งใช้ไม่ตรงกับโจทย์ที่กำหนด
• ข้อ จ. (5-HT2):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12" s="18" t="inlineStr"/>
      <c r="L312" s="18" t="inlineStr">
        <is>
          <t>General Therapeutics</t>
        </is>
      </c>
      <c r="M312" s="18" t="inlineStr">
        <is>
          <t>Clinic</t>
        </is>
      </c>
      <c r="N312" s="18" t="inlineStr">
        <is>
          <t>PLE_CC1_2564_All_Key ข้อ 54</t>
        </is>
      </c>
      <c r="O312" s="18" t="inlineStr">
        <is>
          <t>ข้อสอบจริง</t>
        </is>
      </c>
      <c r="P312" s="18" t="inlineStr">
        <is>
          <t>ปี 2564</t>
        </is>
      </c>
    </row>
    <row r="313">
      <c r="A313" s="15" t="inlineStr">
        <is>
          <t>335</t>
        </is>
      </c>
      <c r="B313" s="18" t="inlineStr">
        <is>
          <t>สารในตำรับ nasal spray อันไหนมีไว้ลดอาการแสบจมูก</t>
        </is>
      </c>
      <c r="C313" s="18" t="inlineStr"/>
      <c r="D313" s="18" t="inlineStr">
        <is>
          <t>Sodium thiosulfate 25% 50 mL IV</t>
        </is>
      </c>
      <c r="E313" s="18" t="inlineStr">
        <is>
          <t>Sodium edetate</t>
        </is>
      </c>
      <c r="F313" s="18" t="inlineStr">
        <is>
          <t>HCL</t>
        </is>
      </c>
      <c r="G313" s="18" t="inlineStr">
        <is>
          <t>Dextrose anhydrous</t>
        </is>
      </c>
      <c r="H313" s="18" t="inlineStr">
        <is>
          <t>CMC</t>
        </is>
      </c>
      <c r="I313" s="15" t="inlineStr">
        <is>
          <t>1</t>
        </is>
      </c>
      <c r="J3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 infection แนะนำว่า first line ให้ใช้สูตร standard triple therapy เป็น first-line และผู้ป่วยแพ้ยา metronidazole จึงเลือกใช้สูตรที่ไม่มี metronidazole รวมถึงการกินยาสูตร standard triple therapy ยาทุกตัวต้องกิน twice daily อยู่แล้ว https://www.uptodate.com/contents/image?imageKey=GAST%2F112171&amp;topicKey=GAST%2F7&amp;source=see_link   หรือชีทเรียนวิชา CPT2 เรื่อง
🔍 ข้ออื่นผิดเพราะอะไร:
• ข้อ ข. (Sodium edetate): ข้อนี้ไม่ใช่คำตอบที่ถูกต้องสำหรับภาวะ General Therapeutics เนื่องจากกลไกการออกฤทธิ์, efficacy หรือข้อบ่งใช้ไม่ตรงกับโจทย์ที่กำหนด
• ข้อ ค. (HCL): ข้อนี้ไม่ใช่คำตอบที่ถูกต้องสำหรับภาวะ General Therapeutics เนื่องจากกลไกการออกฤทธิ์, efficacy หรือข้อบ่งใช้ไม่ตรงกับโจทย์ที่กำหนด
• ข้อ ง. (Dextrose anhydrous): ข้อนี้ไม่ใช่คำตอบที่ถูกต้องสำหรับภาวะ General Therapeutics เนื่องจากกลไกการออกฤทธิ์, efficacy หรือข้อบ่งใช้ไม่ตรงกับโจทย์ที่กำหนด
• ข้อ จ. (CMC):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3" s="18" t="inlineStr"/>
      <c r="L313" s="18" t="inlineStr">
        <is>
          <t>General Therapeutics</t>
        </is>
      </c>
      <c r="M313" s="18" t="inlineStr">
        <is>
          <t>Clinic</t>
        </is>
      </c>
      <c r="N313" s="18" t="inlineStr">
        <is>
          <t>PLE_CC1_2564_All_Key ข้อ 64</t>
        </is>
      </c>
      <c r="O313" s="18" t="inlineStr">
        <is>
          <t>ข้อสอบจริง</t>
        </is>
      </c>
      <c r="P313" s="18" t="inlineStr">
        <is>
          <t>ปี 2564</t>
        </is>
      </c>
      <c r="Q313" s="18" t="inlineStr">
        <is>
          <t>Polysorbate 80"</t>
        </is>
      </c>
    </row>
    <row r="314">
      <c r="A314" s="15" t="inlineStr">
        <is>
          <t>336</t>
        </is>
      </c>
      <c r="B314" s="18" t="inlineStr">
        <is>
          <t>มีสูตรตำรับมาให้ แล้วบอกว่าสาร A เท่ากับ 1% ถามหา lactose โดยมีส่วนประกอบ</t>
        </is>
      </c>
      <c r="C314" s="18" t="inlineStr"/>
      <c r="D314" s="18" t="inlineStr">
        <is>
          <t>Film Coating with Hydroxypropyl methylcellulose (HPMC)</t>
        </is>
      </c>
      <c r="E314" s="18" t="inlineStr">
        <is>
          <t>Enteric Coating with Cellulose acetate phthalate (CAP)</t>
        </is>
      </c>
      <c r="F314" s="18" t="inlineStr">
        <is>
          <t>Hard Gelatin Capsule filling</t>
        </is>
      </c>
      <c r="G314" s="18" t="inlineStr">
        <is>
          <t>Soft Gelatin Capsule encapsulation</t>
        </is>
      </c>
      <c r="H314" s="18" t="inlineStr">
        <is>
          <t>Microcrystalline cellulose</t>
        </is>
      </c>
      <c r="I314" s="15" t="inlineStr">
        <is>
          <t>1</t>
        </is>
      </c>
      <c r="J314" s="1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4" s="18" t="inlineStr"/>
      <c r="L314" s="18" t="inlineStr">
        <is>
          <t>Solid Dosage Forms</t>
        </is>
      </c>
      <c r="M314" s="18" t="inlineStr">
        <is>
          <t>Product</t>
        </is>
      </c>
      <c r="N314" s="18" t="inlineStr">
        <is>
          <t>PLE_CC1_2564_All_Key ข้อ 69</t>
        </is>
      </c>
      <c r="O314" s="18" t="inlineStr">
        <is>
          <t>ข้อสอบจริง</t>
        </is>
      </c>
      <c r="P314" s="18" t="inlineStr">
        <is>
          <t>ปี 2564</t>
        </is>
      </c>
    </row>
    <row r="315">
      <c r="A315" s="15" t="inlineStr">
        <is>
          <t>337</t>
        </is>
      </c>
      <c r="B315" s="18" t="inlineStr">
        <is>
          <t>ให้กราฟมา มี 2 ข้อ (คนละสถานการณ์) ถามชื่อเครื่องวิเคราะห์</t>
        </is>
      </c>
      <c r="C315" s="18" t="inlineStr"/>
      <c r="D315" s="18" t="inlineStr">
        <is>
          <t>N-acetylcysteine (NAC) IV infusion protocol</t>
        </is>
      </c>
      <c r="E315" s="18" t="inlineStr">
        <is>
          <t>Atropine sulfate 2 mg IV Q5-10 min</t>
        </is>
      </c>
      <c r="F315" s="18" t="inlineStr">
        <is>
          <t>Pralidoxime (2-PAM) 1-2 g IV over 30 min</t>
        </is>
      </c>
      <c r="G315" s="18" t="inlineStr">
        <is>
          <t>Naloxone 0.4 mg IV stat</t>
        </is>
      </c>
      <c r="H315" s="18" t="inlineStr">
        <is>
          <t>Flumazenil 0.2 mg IV stat</t>
        </is>
      </c>
      <c r="I315" s="15" t="inlineStr">
        <is>
          <t>1</t>
        </is>
      </c>
      <c r="J3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5" s="18" t="inlineStr"/>
      <c r="L315" s="18" t="inlineStr">
        <is>
          <t>General Therapeutics</t>
        </is>
      </c>
      <c r="M315" s="18" t="inlineStr">
        <is>
          <t>Clinic</t>
        </is>
      </c>
      <c r="N315" s="18" t="inlineStr">
        <is>
          <t>PLE_CC1_2564_All_Key ข้อ 72</t>
        </is>
      </c>
      <c r="O315" s="18" t="inlineStr">
        <is>
          <t>ข้อสอบจริง</t>
        </is>
      </c>
      <c r="P315" s="18" t="inlineStr">
        <is>
          <t>ปี 2564</t>
        </is>
      </c>
    </row>
    <row r="316">
      <c r="A316" s="15" t="inlineStr">
        <is>
          <t>338</t>
        </is>
      </c>
      <c r="B316" s="18" t="inlineStr">
        <is>
          <t>กราฟ absorbance-wavelength</t>
        </is>
      </c>
      <c r="C316" s="18" t="inlineStr"/>
      <c r="D316" s="18" t="inlineStr">
        <is>
          <t>FTIR Spectroscopy (Attenuated Total Reflection)</t>
        </is>
      </c>
      <c r="E316" s="18" t="inlineStr">
        <is>
          <t>Proton NMR (1H-NMR) Spectroscopy</t>
        </is>
      </c>
      <c r="F316" s="18" t="inlineStr">
        <is>
          <t>Carbon-13 NMR (13C-NMR) Spectroscopy</t>
        </is>
      </c>
      <c r="G316" s="18" t="inlineStr">
        <is>
          <t>Electrospray Ionization Mass Spectrometry (ESI-MS)</t>
        </is>
      </c>
      <c r="H316" s="18" t="inlineStr">
        <is>
          <t>Optical Rotation via Polarimeter</t>
        </is>
      </c>
      <c r="I316" s="15" t="inlineStr">
        <is>
          <t>1</t>
        </is>
      </c>
      <c r="J316" s="18"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6" s="18" t="inlineStr"/>
      <c r="L316" s="18" t="inlineStr">
        <is>
          <t>Spectroscopy &amp; Optics</t>
        </is>
      </c>
      <c r="M316" s="18" t="inlineStr">
        <is>
          <t>Product</t>
        </is>
      </c>
      <c r="N316" s="18" t="inlineStr">
        <is>
          <t>PLE_CC1_2564_All_Key ข้อ 1</t>
        </is>
      </c>
      <c r="O316" s="18" t="inlineStr">
        <is>
          <t>ข้อสอบจริง</t>
        </is>
      </c>
      <c r="P316" s="18" t="inlineStr">
        <is>
          <t>ปี 2564</t>
        </is>
      </c>
    </row>
    <row r="317">
      <c r="A317" s="15" t="inlineStr">
        <is>
          <t>339</t>
        </is>
      </c>
      <c r="B317" s="18" t="inlineStr">
        <is>
          <t>กราฟ absorbance-time - ……… 10 g - ………. 2.25 g - สาร A 2.25 g - ……… 4.5 g - ……… 10 g lactose q.s." "มีสาร A เท่ากับ 1% ดังนั้น 2.25 g =1% ∴ 100% = 2.25100 = 225 g &gt;&gt; จึงต้องใช้ lactose q.s. ให้ได้ 225 g ∴ เติม lactose = 225-10-2.25-2.25-4.5-10 = 196 g" ..............................................................................................................................................................................................................</t>
        </is>
      </c>
      <c r="C317" s="18" t="inlineStr"/>
      <c r="D317" s="18" t="inlineStr">
        <is>
          <t>Dry Granulation (Roller Compaction)</t>
        </is>
      </c>
      <c r="E317" s="18" t="inlineStr">
        <is>
          <t>Fluidized Bed Granulation</t>
        </is>
      </c>
      <c r="F317" s="18" t="inlineStr">
        <is>
          <t>Film Coating with Hydroxypropyl methylcellulose (HPMC)</t>
        </is>
      </c>
      <c r="G317" s="18" t="inlineStr">
        <is>
          <t>Enteric Coating with Cellulose acetate phthalate (CAP)</t>
        </is>
      </c>
      <c r="H317" s="18" t="inlineStr">
        <is>
          <t>Hard Gelatin Capsule filling</t>
        </is>
      </c>
      <c r="I317" s="15" t="inlineStr">
        <is>
          <t>1</t>
        </is>
      </c>
      <c r="J317" s="18"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7" s="18" t="inlineStr"/>
      <c r="L317" s="18" t="inlineStr">
        <is>
          <t>Solid Dosage Forms</t>
        </is>
      </c>
      <c r="M317" s="18" t="inlineStr">
        <is>
          <t>Product</t>
        </is>
      </c>
      <c r="N317" s="18" t="inlineStr">
        <is>
          <t>PLE_CC1_2564_All_Key ข้อ 2</t>
        </is>
      </c>
      <c r="O317" s="18" t="inlineStr">
        <is>
          <t>ข้อสอบจริง</t>
        </is>
      </c>
      <c r="P317" s="18" t="inlineStr">
        <is>
          <t>ปี 2564</t>
        </is>
      </c>
    </row>
    <row r="318">
      <c r="A318" s="15" t="inlineStr">
        <is>
          <t>340</t>
        </is>
      </c>
      <c r="B318" s="18" t="inlineStr">
        <is>
          <t>doxycycline 100 mg bid รับประทาน 14 วัน คิดเป็นน้ำหนักเท่าไหร่</t>
        </is>
      </c>
      <c r="C318" s="18" t="inlineStr"/>
      <c r="D318" s="18" t="inlineStr">
        <is>
          <t>Azithromycin 500 mg OD</t>
        </is>
      </c>
      <c r="E318" s="18" t="inlineStr">
        <is>
          <t>Doxycycline 100 mg BID</t>
        </is>
      </c>
      <c r="F318" s="18" t="inlineStr">
        <is>
          <t>Cotrimoxazole 160/800 mg BID</t>
        </is>
      </c>
      <c r="G318" s="18" t="inlineStr">
        <is>
          <t>Metronidazole 400 mg TID</t>
        </is>
      </c>
      <c r="H318" s="18" t="inlineStr">
        <is>
          <t>Nitrofurantoin 100 mg BID</t>
        </is>
      </c>
      <c r="I318" s="15" t="inlineStr">
        <is>
          <t>1</t>
        </is>
      </c>
      <c r="J318" s="18"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8" s="18" t="inlineStr"/>
      <c r="L318" s="18" t="inlineStr">
        <is>
          <t>Infectious Diseases</t>
        </is>
      </c>
      <c r="M318" s="18" t="inlineStr">
        <is>
          <t>Clinic</t>
        </is>
      </c>
      <c r="N318" s="18" t="inlineStr">
        <is>
          <t>PLE_CC1_2564_All_Key ข้อ 83</t>
        </is>
      </c>
      <c r="O318" s="18" t="inlineStr">
        <is>
          <t>ข้อสอบจริง</t>
        </is>
      </c>
      <c r="P318" s="18" t="inlineStr">
        <is>
          <t>ปี 2564</t>
        </is>
      </c>
    </row>
    <row r="319">
      <c r="A319" s="15" t="inlineStr">
        <is>
          <t>341</t>
        </is>
      </c>
      <c r="B319" s="18" t="inlineStr">
        <is>
          <t>ยาหรือวัตถุที่ทำเทียมทั้งหมด หรือแต่บางส่วนว่าเป็นยาแท้ (เช่นขึ้นทะเบียนเป็น paracetamol 400 mg แต่ทำจริงมี paracetamol 200 mg + ibuprofen 200 mg)</t>
        </is>
      </c>
      <c r="C319" s="18" t="inlineStr"/>
      <c r="D319" s="18" t="inlineStr">
        <is>
          <t>Colchicine 0.6 mg OD</t>
        </is>
      </c>
      <c r="E319" s="18" t="inlineStr">
        <is>
          <t>Naproxen 250 mg BID</t>
        </is>
      </c>
      <c r="F319" s="18" t="inlineStr">
        <is>
          <t>Allopurinol 100 mg OD</t>
        </is>
      </c>
      <c r="G319" s="18" t="inlineStr">
        <is>
          <t>Febuxostat 40 mg OD</t>
        </is>
      </c>
      <c r="H319" s="18" t="inlineStr">
        <is>
          <t>Celecoxib 200 mg OD</t>
        </is>
      </c>
      <c r="I319" s="15" t="inlineStr">
        <is>
          <t>1</t>
        </is>
      </c>
      <c r="J319" s="18"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9" s="18" t="inlineStr"/>
      <c r="L319" s="18" t="inlineStr">
        <is>
          <t>Musculoskeletal &amp; Joint</t>
        </is>
      </c>
      <c r="M319" s="18" t="inlineStr">
        <is>
          <t>Clinic</t>
        </is>
      </c>
      <c r="N319" s="18" t="inlineStr">
        <is>
          <t>PLE_CC1_2564_All_Key ข้อ 1</t>
        </is>
      </c>
      <c r="O319" s="18" t="inlineStr">
        <is>
          <t>ข้อสอบจริง</t>
        </is>
      </c>
      <c r="P319" s="18" t="inlineStr">
        <is>
          <t>ปี 2564</t>
        </is>
      </c>
    </row>
    <row r="320">
      <c r="A320" s="15" t="inlineStr">
        <is>
          <t>342</t>
        </is>
      </c>
      <c r="B320" s="18" t="inlineStr">
        <is>
          <t>ยาที่แสดงชื่อว่าเป็นยาอื่น หรือแสดงเดือนปีที่ยาสิ้นอายุที่ไม่ใช่ความจริง</t>
        </is>
      </c>
      <c r="C320" s="18" t="inlineStr"/>
      <c r="D320" s="18" t="inlineStr">
        <is>
          <t>Naloxone 0.4 mg IV stat</t>
        </is>
      </c>
      <c r="E320" s="18" t="inlineStr">
        <is>
          <t>Flumazenil 0.2 mg IV stat</t>
        </is>
      </c>
      <c r="F320" s="18" t="inlineStr">
        <is>
          <t>Vitamin K1 (Phytomenadione) 10 mg IV slow</t>
        </is>
      </c>
      <c r="G320" s="18" t="inlineStr">
        <is>
          <t>Sodium thiosulfate 25% 50 mL IV</t>
        </is>
      </c>
      <c r="H320" s="18" t="inlineStr">
        <is>
          <t>Calcium disodium EDTA 1 g IV</t>
        </is>
      </c>
      <c r="I320" s="15" t="inlineStr">
        <is>
          <t>1</t>
        </is>
      </c>
      <c r="J3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20" s="18" t="inlineStr"/>
      <c r="L320" s="18" t="inlineStr">
        <is>
          <t>General Therapeutics</t>
        </is>
      </c>
      <c r="M320" s="18" t="inlineStr">
        <is>
          <t>Clinic</t>
        </is>
      </c>
      <c r="N320" s="18" t="inlineStr">
        <is>
          <t>PLE_CC1_2564_All_Key ข้อ 2</t>
        </is>
      </c>
      <c r="O320" s="18" t="inlineStr">
        <is>
          <t>ข้อสอบจริง</t>
        </is>
      </c>
      <c r="P320" s="18" t="inlineStr">
        <is>
          <t>ปี 2564</t>
        </is>
      </c>
    </row>
    <row r="321">
      <c r="A321" s="15" t="inlineStr">
        <is>
          <t>343</t>
        </is>
      </c>
      <c r="B321" s="18" t="inlineStr">
        <is>
          <t>ยาที่แสดงว่าเป็นยาตามตำรับยาที่ขึ้นทะเบียนไว้ซึ่งมิใช่ความจริง</t>
        </is>
      </c>
      <c r="C321" s="18" t="inlineStr"/>
      <c r="D321" s="18" t="inlineStr">
        <is>
          <t>Sodium thiosulfate 25% 50 mL IV</t>
        </is>
      </c>
      <c r="E321" s="18" t="inlineStr">
        <is>
          <t>Calcium disodium EDTA 1 g IV</t>
        </is>
      </c>
      <c r="F321" s="18" t="inlineStr">
        <is>
          <t>Desferrioxamine 1 g IM/IV</t>
        </is>
      </c>
      <c r="G321" s="18" t="inlineStr">
        <is>
          <t>Dimercaprol (BAL) 3 mg/kg IM</t>
        </is>
      </c>
      <c r="H321" s="18" t="inlineStr">
        <is>
          <t>Ethanol 10% IV infusion for Methanol poisoning</t>
        </is>
      </c>
      <c r="I321" s="15" t="inlineStr">
        <is>
          <t>1</t>
        </is>
      </c>
      <c r="J3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1" s="18" t="inlineStr"/>
      <c r="L321" s="18" t="inlineStr">
        <is>
          <t>General Therapeutics</t>
        </is>
      </c>
      <c r="M321" s="18" t="inlineStr">
        <is>
          <t>Clinic</t>
        </is>
      </c>
      <c r="N321" s="18" t="inlineStr">
        <is>
          <t>PLE_CC1_2564_All_Key ข้อ 4</t>
        </is>
      </c>
      <c r="O321" s="18" t="inlineStr">
        <is>
          <t>ข้อสอบจริง</t>
        </is>
      </c>
      <c r="P321" s="18" t="inlineStr">
        <is>
          <t>ปี 2564</t>
        </is>
      </c>
    </row>
    <row r="322">
      <c r="A322" s="15" t="inlineStr">
        <is>
          <t>344</t>
        </is>
      </c>
      <c r="B322" s="18" t="inlineStr">
        <is>
          <t>Doxycycline capsule หากละลายไม่ดี ให้ใส่อะไร</t>
        </is>
      </c>
      <c r="C322" s="18" t="inlineStr"/>
      <c r="D322" s="18" t="inlineStr">
        <is>
          <t>Ciprofloxacin 500 mg BID</t>
        </is>
      </c>
      <c r="E322" s="18" t="inlineStr">
        <is>
          <t>Azithromycin 500 mg OD</t>
        </is>
      </c>
      <c r="F322" s="18" t="inlineStr">
        <is>
          <t>Doxycycline 100 mg BID</t>
        </is>
      </c>
      <c r="G322" s="18" t="inlineStr">
        <is>
          <t>Cotrimoxazole 160/800 mg BID</t>
        </is>
      </c>
      <c r="H322" s="18" t="inlineStr">
        <is>
          <t>Metronidazole 400 mg TID</t>
        </is>
      </c>
      <c r="I322" s="15" t="inlineStr">
        <is>
          <t>1</t>
        </is>
      </c>
      <c r="J322" s="18" t="inlineStr">
        <is>
          <t>✅ คำตอบที่ถูกต้อง: ข้อ ก. Ciprofloxacin 500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Ciprofloxacin 500 mg BID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22" s="18" t="inlineStr"/>
      <c r="L322" s="18" t="inlineStr">
        <is>
          <t>Infectious Diseases</t>
        </is>
      </c>
      <c r="M322" s="18" t="inlineStr">
        <is>
          <t>Clinic</t>
        </is>
      </c>
      <c r="N322" s="18" t="inlineStr">
        <is>
          <t>PLE_CC1_2564_All_Key ข้อ 84</t>
        </is>
      </c>
      <c r="O322" s="18" t="inlineStr">
        <is>
          <t>ข้อสอบจริง</t>
        </is>
      </c>
      <c r="P322" s="18" t="inlineStr">
        <is>
          <t>ปี 2564</t>
        </is>
      </c>
    </row>
    <row r="323">
      <c r="A323" s="15" t="inlineStr">
        <is>
          <t>345</t>
        </is>
      </c>
      <c r="B323" s="18" t="inlineStr">
        <is>
          <t>ถ้าจะเปลี่ยนจากยาฉีดเป็นยากิน จะเลือกตัวไหนให้ครอบคลุมเชื้อที่สุด</t>
        </is>
      </c>
      <c r="C323" s="18" t="inlineStr"/>
      <c r="D323" s="18" t="inlineStr">
        <is>
          <t>N-acetylcysteine (NAC) IV infusion protocol</t>
        </is>
      </c>
      <c r="E323" s="18" t="inlineStr">
        <is>
          <t>Clindamycin</t>
        </is>
      </c>
      <c r="F323" s="18" t="inlineStr">
        <is>
          <t>Azithromycin</t>
        </is>
      </c>
      <c r="G323" s="18" t="inlineStr">
        <is>
          <t>Nitrofurantoin</t>
        </is>
      </c>
      <c r="H323" s="18" t="inlineStr">
        <is>
          <t>Metronidazole</t>
        </is>
      </c>
      <c r="I323" s="15" t="inlineStr">
        <is>
          <t>1</t>
        </is>
      </c>
      <c r="J3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(Azithromycin): เป็น Macrolide ครอบคลุม atypical pathogens (Mycoplasma, Chlamydia, Legionella) ขจัดออกทางตับเป็นหลัก และมี half-life ยาวนาน (~68 ชม.)
• ข้อ ง. (Nitrofurantoin): เป็น urinary tract antiseptic สำหรับ uncomplicated cystitis ปลอดภัยในหญิงตั้งครรภ์ (ยกเว้นใกล้คลอด) แต่ contraindication เมื่อ CrCl &lt; 30 mL/min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3" s="18" t="inlineStr"/>
      <c r="L323" s="18" t="inlineStr">
        <is>
          <t>General Therapeutics</t>
        </is>
      </c>
      <c r="M323" s="18" t="inlineStr">
        <is>
          <t>Clinic</t>
        </is>
      </c>
      <c r="N323" s="18" t="inlineStr">
        <is>
          <t>PLE_CC1_2564_All_Key ข้อ 93</t>
        </is>
      </c>
      <c r="O323" s="18" t="inlineStr">
        <is>
          <t>ข้อสอบจริง</t>
        </is>
      </c>
      <c r="P323" s="18" t="inlineStr">
        <is>
          <t>ปี 2564</t>
        </is>
      </c>
      <c r="Q323" s="18" t="inlineStr">
        <is>
          <t>Cloxacillin</t>
        </is>
      </c>
    </row>
    <row r="324">
      <c r="A324" s="15" t="inlineStr">
        <is>
          <t>346</t>
        </is>
      </c>
      <c r="B324" s="18" t="inlineStr">
        <is>
          <t>คุณสูบบุหรี่มวนแรกหลังตื่นนอนตอนเช้าเมื่อไหร่</t>
        </is>
      </c>
      <c r="C324" s="18" t="inlineStr"/>
      <c r="D324" s="18" t="inlineStr">
        <is>
          <t>Montelukast 10 mg HS</t>
        </is>
      </c>
      <c r="E324" s="18" t="inlineStr">
        <is>
          <t>Theophylline 200 mg BID</t>
        </is>
      </c>
      <c r="F324" s="18" t="inlineStr">
        <is>
          <t>Prednisolone 40 mg OD x 5 days</t>
        </is>
      </c>
      <c r="G324" s="18" t="inlineStr">
        <is>
          <t>N-acetylcysteine 600 mg OD</t>
        </is>
      </c>
      <c r="H324" s="18" t="inlineStr">
        <is>
          <t>Beclomethasone MDI 100 mcg BID</t>
        </is>
      </c>
      <c r="I324" s="15" t="inlineStr">
        <is>
          <t>1</t>
        </is>
      </c>
      <c r="J324" s="18"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4" s="18" t="inlineStr"/>
      <c r="L324" s="18" t="inlineStr">
        <is>
          <t>Pulmonary Diseases</t>
        </is>
      </c>
      <c r="M324" s="18" t="inlineStr">
        <is>
          <t>Clinic</t>
        </is>
      </c>
      <c r="N324" s="18" t="inlineStr">
        <is>
          <t>PLE_CC1_2564_All_Key ข้อ 1</t>
        </is>
      </c>
      <c r="O324" s="18" t="inlineStr">
        <is>
          <t>ข้อสอบจริง</t>
        </is>
      </c>
      <c r="P324" s="18" t="inlineStr">
        <is>
          <t>ปี 2564</t>
        </is>
      </c>
    </row>
    <row r="325">
      <c r="A325" s="15" t="inlineStr">
        <is>
          <t>347</t>
        </is>
      </c>
      <c r="B325" s="18" t="inlineStr">
        <is>
          <t>คุณรู้สึกอย่างไร หากไม่ได้สามารถสูบบุหรี่ในที่ห้ามสูบบุหรี่เป็นระยะเวลานาน</t>
        </is>
      </c>
      <c r="C325" s="18" t="inlineStr"/>
      <c r="D325" s="18" t="inlineStr">
        <is>
          <t>N-acetylcysteine 600 mg OD</t>
        </is>
      </c>
      <c r="E325" s="18" t="inlineStr">
        <is>
          <t>Beclomethasone MDI 100 mcg BID</t>
        </is>
      </c>
      <c r="F325" s="18" t="inlineStr">
        <is>
          <t>Salbutamol MDI 2 puffs PRN</t>
        </is>
      </c>
      <c r="G325" s="18" t="inlineStr">
        <is>
          <t>Budesonide/Formoterol 160/4.5 mcg DPI BID</t>
        </is>
      </c>
      <c r="H325" s="18" t="inlineStr">
        <is>
          <t>Fluticasone/Salmeterol 250/50 mcg DPI BID</t>
        </is>
      </c>
      <c r="I325" s="15" t="inlineStr">
        <is>
          <t>1</t>
        </is>
      </c>
      <c r="J325" s="18"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5" s="18" t="inlineStr"/>
      <c r="L325" s="18" t="inlineStr">
        <is>
          <t>Pulmonary Diseases</t>
        </is>
      </c>
      <c r="M325" s="18" t="inlineStr">
        <is>
          <t>Clinic</t>
        </is>
      </c>
      <c r="N325" s="18" t="inlineStr">
        <is>
          <t>PLE_CC1_2564_All_Key ข้อ 2</t>
        </is>
      </c>
      <c r="O325" s="18" t="inlineStr">
        <is>
          <t>ข้อสอบจริง</t>
        </is>
      </c>
      <c r="P325" s="18" t="inlineStr">
        <is>
          <t>ปี 2564</t>
        </is>
      </c>
    </row>
    <row r="326">
      <c r="A326" s="15" t="inlineStr">
        <is>
          <t>348</t>
        </is>
      </c>
      <c r="B326" s="18" t="inlineStr">
        <is>
          <t>ในแต่ละวัน บุหรี่มวนใดที่คุณคิดว่าถ้าไม่ได้สูบแล้วจะหงุดหงิดมากที่สุด</t>
        </is>
      </c>
      <c r="C326" s="18" t="inlineStr"/>
      <c r="D326" s="18" t="inlineStr">
        <is>
          <t>Budesonide/Formoterol 160/4.5 mcg DPI BID</t>
        </is>
      </c>
      <c r="E326" s="18" t="inlineStr">
        <is>
          <t>Fluticasone/Salmeterol 250/50 mcg DPI BID</t>
        </is>
      </c>
      <c r="F326" s="18" t="inlineStr">
        <is>
          <t>Tiotropium Respimat 2.5 mcg 2 puffs OD</t>
        </is>
      </c>
      <c r="G326" s="18" t="inlineStr">
        <is>
          <t>Ipratropium/Fenoterol MDI PRN</t>
        </is>
      </c>
      <c r="H326" s="18" t="inlineStr">
        <is>
          <t>Montelukast 10 mg HS</t>
        </is>
      </c>
      <c r="I326" s="15" t="inlineStr">
        <is>
          <t>1</t>
        </is>
      </c>
      <c r="J326" s="18"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326" s="18" t="inlineStr"/>
      <c r="L326" s="18" t="inlineStr">
        <is>
          <t>Pulmonary Diseases</t>
        </is>
      </c>
      <c r="M326" s="18" t="inlineStr">
        <is>
          <t>Clinic</t>
        </is>
      </c>
      <c r="N326" s="18" t="inlineStr">
        <is>
          <t>PLE_CC1_2564_All_Key ข้อ 3</t>
        </is>
      </c>
      <c r="O326" s="18" t="inlineStr">
        <is>
          <t>ข้อสอบจริง</t>
        </is>
      </c>
      <c r="P326" s="18" t="inlineStr">
        <is>
          <t>ปี 2564</t>
        </is>
      </c>
    </row>
    <row r="327">
      <c r="A327" s="15" t="inlineStr">
        <is>
          <t>349</t>
        </is>
      </c>
      <c r="B327" s="18" t="inlineStr">
        <is>
          <t>โดยปกติคุณสูบบุหรี่วันละกี่มวน</t>
        </is>
      </c>
      <c r="C327" s="18" t="inlineStr"/>
      <c r="D327" s="18" t="inlineStr">
        <is>
          <t>Ipratropium/Fenoterol MDI PRN</t>
        </is>
      </c>
      <c r="E327" s="18" t="inlineStr">
        <is>
          <t>Montelukast 10 mg HS</t>
        </is>
      </c>
      <c r="F327" s="18" t="inlineStr">
        <is>
          <t>Theophylline 200 mg BID</t>
        </is>
      </c>
      <c r="G327" s="18" t="inlineStr">
        <is>
          <t>Prednisolone 40 mg OD x 5 days</t>
        </is>
      </c>
      <c r="H327" s="18" t="inlineStr">
        <is>
          <t>N-acetylcysteine 600 mg OD</t>
        </is>
      </c>
      <c r="I327" s="15" t="inlineStr">
        <is>
          <t>1</t>
        </is>
      </c>
      <c r="J327" s="18" t="inlineStr">
        <is>
          <t>✅ คำตอบที่ถูกต้อง: ข้อ ก. Ipratropium/Fenoterol MDI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7" s="18" t="inlineStr"/>
      <c r="L327" s="18" t="inlineStr">
        <is>
          <t>Pulmonary Diseases</t>
        </is>
      </c>
      <c r="M327" s="18" t="inlineStr">
        <is>
          <t>Clinic</t>
        </is>
      </c>
      <c r="N327" s="18" t="inlineStr">
        <is>
          <t>PLE_CC1_2564_All_Key ข้อ 4</t>
        </is>
      </c>
      <c r="O327" s="18" t="inlineStr">
        <is>
          <t>ข้อสอบจริง</t>
        </is>
      </c>
      <c r="P327" s="18" t="inlineStr">
        <is>
          <t>ปี 2564</t>
        </is>
      </c>
    </row>
    <row r="328">
      <c r="A328" s="15" t="inlineStr">
        <is>
          <t>350</t>
        </is>
      </c>
      <c r="B328" s="18" t="inlineStr">
        <is>
          <t>โดยเฉลี่ยคุณสูบบุหรี่มากที่สุดในช่วง 2-3 ชั่วโมงแรกหลังตื่นนอนมากกว่าช่วงอื่นๆ ใช่หรือไม่</t>
        </is>
      </c>
      <c r="C328" s="18" t="inlineStr"/>
      <c r="D328" s="18" t="inlineStr">
        <is>
          <t>Prednisolone 40 mg OD x 5 days</t>
        </is>
      </c>
      <c r="E328" s="18" t="inlineStr">
        <is>
          <t>N-acetylcysteine 600 mg OD</t>
        </is>
      </c>
      <c r="F328" s="18" t="inlineStr">
        <is>
          <t>Beclomethasone MDI 100 mcg BID</t>
        </is>
      </c>
      <c r="G328" s="18" t="inlineStr">
        <is>
          <t>Salbutamol MDI 2 puffs PRN</t>
        </is>
      </c>
      <c r="H328" s="18" t="inlineStr">
        <is>
          <t>Budesonide/Formoterol 160/4.5 mcg DPI BID</t>
        </is>
      </c>
      <c r="I328" s="15" t="inlineStr">
        <is>
          <t>1</t>
        </is>
      </c>
      <c r="J328" s="18"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28" s="18" t="inlineStr"/>
      <c r="L328" s="18" t="inlineStr">
        <is>
          <t>Pulmonary Diseases</t>
        </is>
      </c>
      <c r="M328" s="18" t="inlineStr">
        <is>
          <t>Clinic</t>
        </is>
      </c>
      <c r="N328" s="18" t="inlineStr">
        <is>
          <t>PLE_CC1_2564_All_Key ข้อ 5</t>
        </is>
      </c>
      <c r="O328" s="18" t="inlineStr">
        <is>
          <t>ข้อสอบจริง</t>
        </is>
      </c>
      <c r="P328" s="18" t="inlineStr">
        <is>
          <t>ปี 2564</t>
        </is>
      </c>
    </row>
    <row r="329">
      <c r="A329" s="15" t="inlineStr">
        <is>
          <t>351</t>
        </is>
      </c>
      <c r="B329" s="18" t="inlineStr">
        <is>
          <t>ขณะเมื่อคุณป่วยต้องนอนอยู่บนเตียงเกือบตลอดเวลา คุณต้องการสูบบุหรี่หรือไม่ หรือประเมิน Heaviness of Smoking Index (HIS) ซึ่งประกอบไปด้วย 2 คำถาม คือ</t>
        </is>
      </c>
      <c r="C329" s="18" t="inlineStr"/>
      <c r="D329" s="18" t="inlineStr">
        <is>
          <t>Salbutamol MDI 2 puffs PRN</t>
        </is>
      </c>
      <c r="E329" s="18" t="inlineStr">
        <is>
          <t>Budesonide/Formoterol 160/4.5 mcg DPI BID</t>
        </is>
      </c>
      <c r="F329" s="18" t="inlineStr">
        <is>
          <t>Fluticasone/Salmeterol 250/50 mcg DPI BID</t>
        </is>
      </c>
      <c r="G329" s="18" t="inlineStr">
        <is>
          <t>Tiotropium Respimat 2.5 mcg 2 puffs OD</t>
        </is>
      </c>
      <c r="H329" s="18" t="inlineStr">
        <is>
          <t>Ipratropium/Fenoterol MDI PRN</t>
        </is>
      </c>
      <c r="I329" s="15" t="inlineStr">
        <is>
          <t>1</t>
        </is>
      </c>
      <c r="J329" s="18"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29" s="18" t="inlineStr"/>
      <c r="L329" s="18" t="inlineStr">
        <is>
          <t>Pulmonary Diseases</t>
        </is>
      </c>
      <c r="M329" s="18" t="inlineStr">
        <is>
          <t>Clinic</t>
        </is>
      </c>
      <c r="N329" s="18" t="inlineStr">
        <is>
          <t>PLE_CC1_2564_All_Key ข้อ 6</t>
        </is>
      </c>
      <c r="O329" s="18" t="inlineStr">
        <is>
          <t>ข้อสอบจริง</t>
        </is>
      </c>
      <c r="P329" s="18" t="inlineStr">
        <is>
          <t>ปี 2564</t>
        </is>
      </c>
    </row>
    <row r="330">
      <c r="A330" s="15" t="inlineStr">
        <is>
          <t>352</t>
        </is>
      </c>
      <c r="B330" s="18" t="inlineStr">
        <is>
          <t>สูบบุหรี่หลังตื่นนอนตอนเช้าเมื่อไหร่" v u เฉลยข้อสอบ PLE-CC1 ครั้งที่12/2564 วันที่ 1-2 : MUPY 50 เฉลยข้อสอบ PLE-CC1 ครั้งที่12/2564 วันที่ 1-2 : MUPY 50</t>
        </is>
      </c>
      <c r="C330" s="18" t="inlineStr"/>
      <c r="D330" s="18" t="inlineStr">
        <is>
          <t>Tiotropium Respimat 2.5 mcg 2 puffs OD</t>
        </is>
      </c>
      <c r="E330" s="18" t="inlineStr">
        <is>
          <t>Ipratropium/Fenoterol MDI PRN</t>
        </is>
      </c>
      <c r="F330" s="18" t="inlineStr">
        <is>
          <t>Montelukast 10 mg HS</t>
        </is>
      </c>
      <c r="G330" s="18" t="inlineStr">
        <is>
          <t>Theophylline 200 mg BID</t>
        </is>
      </c>
      <c r="H330" s="18" t="inlineStr">
        <is>
          <t>Prednisolone 40 mg OD x 5 days</t>
        </is>
      </c>
      <c r="I330" s="15" t="inlineStr">
        <is>
          <t>1</t>
        </is>
      </c>
      <c r="J330" s="18"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330" s="18" t="inlineStr"/>
      <c r="L330" s="18" t="inlineStr">
        <is>
          <t>Pulmonary Diseases</t>
        </is>
      </c>
      <c r="M330" s="18" t="inlineStr">
        <is>
          <t>Clinic</t>
        </is>
      </c>
      <c r="N330" s="18" t="inlineStr">
        <is>
          <t>PLE_CC1_2564_All_Key ข้อ 2</t>
        </is>
      </c>
      <c r="O330" s="18" t="inlineStr">
        <is>
          <t>ข้อสอบจริง</t>
        </is>
      </c>
      <c r="P330" s="18" t="inlineStr">
        <is>
          <t>ปี 2564</t>
        </is>
      </c>
    </row>
    <row r="331">
      <c r="A331" s="15" t="inlineStr">
        <is>
          <t>353</t>
        </is>
      </c>
      <c r="B331" s="18" t="inlineStr">
        <is>
          <t>จากข้อ 104 ต่อมาพบว่าติด H. pylori ใช้ยาสูตรใด (แพ้ metronidazole แบบ anaphylaxis)</t>
        </is>
      </c>
      <c r="C331" s="18" t="inlineStr"/>
      <c r="D331" s="18" t="inlineStr">
        <is>
          <t>N-acetylcysteine (NAC) IV infusion protocol</t>
        </is>
      </c>
      <c r="E331" s="18" t="inlineStr">
        <is>
          <t>Omeprazole 20 mg twice + amoxicillin 1 g twice + clarithromycin 500 mg twice</t>
        </is>
      </c>
      <c r="F331" s="18" t="inlineStr">
        <is>
          <t>Ome 20 mg OD + amox 500 mg twice + clarithromycin</t>
        </is>
      </c>
      <c r="G331" s="18" t="inlineStr">
        <is>
          <t>Ome + metro + ... e. ome + fluoroqunilones</t>
        </is>
      </c>
      <c r="H331" s="18" t="inlineStr">
        <is>
          <t>Flumazenil 0.2 mg IV stat</t>
        </is>
      </c>
      <c r="I331" s="15" t="inlineStr">
        <is>
          <t>1</t>
        </is>
      </c>
      <c r="J331" s="18" t="inlineStr">
        <is>
          <t>✅ คำตอบที่ถูกต้อง: ข้อ ก. N-acetylcysteine (NAC) IV infusion protocol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N-acetylcysteine (NAC) IV infusion protocol ..............................................................................................................................................................................................................
🔍 ข้ออื่นผิดเพราะอะไร:
• ข้อ ข. (Omeprazole 20 mg twice + amoxicillin 1 g twice + clarithromycin 500 mg twice): เป็น Aminopenicillin ยับยั้ง bacterial cell wall synthesis เป็น first-line สำหรับ uncomplicated bacterial infections (เช่น Strep pharyngitis, AOM, sinusitis)
• ข้อ ค. (Ome 20 mg OD + amox 500 mg twice + clarithromycin): เป็น Macrolide เป็นแกนหลักในสูตรกำจัด H. pylori และ MAC treatment แต่ยับยั้ง CYP3A4 สูงมาก จึงมี drug-drug interactions รุนแรงกับ statins, colchicine
• ข้อ ง. (Ome + metro + ... e. ome + fluoroqunilones): ข้อนี้ไม่ใช่คำตอบที่ถูกต้องสำหรับภาวะ Infectious Diseases เนื่องจากกลไกการออกฤทธิ์, efficacy หรือข้อบ่งใช้ไม่ตรงกับโจทย์ที่กำหนด
• ข้อ จ. (Flumazenil 0.2 mg IV stat):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1" s="18" t="inlineStr"/>
      <c r="L331" s="18" t="inlineStr">
        <is>
          <t>Infectious Diseases</t>
        </is>
      </c>
      <c r="M331" s="18" t="inlineStr">
        <is>
          <t>Clinic</t>
        </is>
      </c>
      <c r="N331" s="18" t="inlineStr">
        <is>
          <t>PLE_CC1_2564_All_Key ข้อ 105</t>
        </is>
      </c>
      <c r="O331" s="18" t="inlineStr">
        <is>
          <t>ข้อสอบจริง</t>
        </is>
      </c>
      <c r="P331" s="18" t="inlineStr">
        <is>
          <t>ปี 2564</t>
        </is>
      </c>
    </row>
    <row r="332">
      <c r="A332" s="15" t="inlineStr">
        <is>
          <t>354</t>
        </is>
      </c>
      <c r="B332" s="18" t="inlineStr">
        <is>
          <t>ยาใดควรเลี่ยงในผู้ป่วย</t>
        </is>
      </c>
      <c r="C332" s="18" t="inlineStr"/>
      <c r="D332" s="18" t="inlineStr">
        <is>
          <t>Naloxone 0.4 mg IV stat</t>
        </is>
      </c>
      <c r="E332" s="18" t="inlineStr">
        <is>
          <t>cotrimoxazole</t>
        </is>
      </c>
      <c r="F332" s="18" t="inlineStr">
        <is>
          <t>aspirin</t>
        </is>
      </c>
      <c r="G332" s="18" t="inlineStr">
        <is>
          <t>paracetamol</t>
        </is>
      </c>
      <c r="H332" s="18" t="inlineStr">
        <is>
          <t>Calcium disodium EDTA 1 g IV</t>
        </is>
      </c>
      <c r="I332" s="15" t="inlineStr">
        <is>
          <t>1</t>
        </is>
      </c>
      <c r="J3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https://www.cych.org.tw/pharm/MIMS%20Summary%20Table-G6PD.pdf  / https://pubmed.ncbi.nlm.nih.gov/15073793/ .............................................................................................................................................................................................................. ถ้าในสภาวะปัสสาวะเป็นกรดฮีโมโกลบินจะตกตะกอน อุดกั้นทางเดินปัสสาวะหรือท่อไตทำให้เกิดภาวะไตวายเฉียบพลัน https://haamor.com/%E0%B8%A0%E0%B8%B2%E0%B8%A7%E0%B8%B0%E0%B8%82%E0%B8%B2%E0%B8%94%E0%B9%80%E0%B8%AD%E0%B8%99%E0%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(aspirin): เป็น irreversible COX-1 inhibitor ยับยั้ง Thromboxane A2 เป็นแกนหลักใน antiplatelet secondary prevention ของ CVD (ขนาดยา 75-100 mg/day)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32" s="18" t="inlineStr"/>
      <c r="L332" s="18" t="inlineStr">
        <is>
          <t>General Therapeutics</t>
        </is>
      </c>
      <c r="M332" s="18" t="inlineStr">
        <is>
          <t>Clinic</t>
        </is>
      </c>
      <c r="N332" s="18" t="inlineStr">
        <is>
          <t>PLE_CC1_2564_All_Key ข้อ 108</t>
        </is>
      </c>
      <c r="O332" s="18" t="inlineStr">
        <is>
          <t>ข้อสอบจริง</t>
        </is>
      </c>
      <c r="P332" s="18" t="inlineStr">
        <is>
          <t>ปี 2564</t>
        </is>
      </c>
    </row>
    <row r="333">
      <c r="A333" s="15" t="inlineStr">
        <is>
          <t>355</t>
        </is>
      </c>
      <c r="B333" s="18" t="inlineStr">
        <is>
          <t>ถ้าจะเริ่มใช้ NRT ต้องเลิกบุรี่เมื่อไหร่</t>
        </is>
      </c>
      <c r="C333" s="18" t="inlineStr"/>
      <c r="D333" s="18" t="inlineStr">
        <is>
          <t>Sodium thiosulfate 25% 50 mL IV</t>
        </is>
      </c>
      <c r="E333" s="18" t="inlineStr">
        <is>
          <t>ทันทีก่อนใช้</t>
        </is>
      </c>
      <c r="F333" s="18" t="inlineStr">
        <is>
          <t>ใช้ได้เมื่อรู้สึกอยากบุหรี่</t>
        </is>
      </c>
      <c r="G333" s="18" t="inlineStr">
        <is>
          <t>Dimercaprol (BAL) 3 mg/kg IM</t>
        </is>
      </c>
      <c r="H333" s="18" t="inlineStr">
        <is>
          <t>Ethanol 10% IV infusion for Methanol poisoning</t>
        </is>
      </c>
      <c r="I333" s="15" t="inlineStr">
        <is>
          <t>1</t>
        </is>
      </c>
      <c r="J3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(ทันทีก่อนใช้): ข้อนี้ไม่ใช่คำตอบที่ถูกต้องสำหรับภาวะ General Therapeutics เนื่องจากกลไกการออกฤทธิ์, efficacy หรือข้อบ่งใช้ไม่ตรงกับโจทย์ที่กำหนด
• ข้อ ค. (ใช้ได้เมื่อรู้สึกอยากบุหรี่):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3" s="18" t="inlineStr"/>
      <c r="L333" s="18" t="inlineStr">
        <is>
          <t>General Therapeutics</t>
        </is>
      </c>
      <c r="M333" s="18" t="inlineStr">
        <is>
          <t>Clinic</t>
        </is>
      </c>
      <c r="N333" s="18" t="inlineStr">
        <is>
          <t>PLE_CC1_2564_All_Key ข้อ 102</t>
        </is>
      </c>
      <c r="O333" s="18" t="inlineStr">
        <is>
          <t>ข้อสอบจริง</t>
        </is>
      </c>
      <c r="P333" s="18" t="inlineStr">
        <is>
          <t>ปี 2564</t>
        </is>
      </c>
    </row>
    <row r="334">
      <c r="A334" s="15" t="inlineStr">
        <is>
          <t>356</t>
        </is>
      </c>
      <c r="B334" s="18" t="inlineStr">
        <is>
          <t>ข้อใดถูก</t>
        </is>
      </c>
      <c r="C334" s="18" t="inlineStr"/>
      <c r="D334" s="18" t="inlineStr">
        <is>
          <t>Dimercaprol (BAL) 3 mg/kg IM</t>
        </is>
      </c>
      <c r="E334" s="18" t="inlineStr">
        <is>
          <t>packed plasma เมื่อ Hb น้อยกว่า 7</t>
        </is>
      </c>
      <c r="F334" s="18" t="inlineStr">
        <is>
          <t>packed plasma เมื่อ Hb น้อยกว่า 7-9 เมื่ออะไรสักอย่าง</t>
        </is>
      </c>
      <c r="G334" s="18" t="inlineStr">
        <is>
          <t>fresh frozen plasma เมื่อ Hb น้อยกว่า 5</t>
        </is>
      </c>
      <c r="H334" s="18" t="inlineStr">
        <is>
          <t>Atropine sulfate 2 mg IV Q5-10 min</t>
        </is>
      </c>
      <c r="I334" s="15" t="inlineStr">
        <is>
          <t>1</t>
        </is>
      </c>
      <c r="J3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แนะนำ ให้ให้ packed red cell (ในช้อยที่เขียนว่า packed plasma น่าจะหมายถึง packed red cell) หรือ RBC transfusion เมื่อ Hb น้อยกว่า 7 https://www.hematology.org/-/media/hematology/files/education/clinicians/guidelines- ..............................................................................................................................................................................................................
🔍 ข้ออื่นผิดเพราะอะไร:
• ข้อ ข. (packed plasma เมื่อ Hb น้อยกว่า 7): ข้อนี้ไม่ใช่คำตอบที่ถูกต้องสำหรับภาวะ General Therapeutics เนื่องจากกลไกการออกฤทธิ์, efficacy หรือข้อบ่งใช้ไม่ตรงกับโจทย์ที่กำหนด
• ข้อ ค. (packed plasma เมื่อ Hb น้อยกว่า 7-9 เมื่ออะไรสักอย่าง): ข้อนี้ไม่ใช่คำตอบที่ถูกต้องสำหรับภาวะ General Therapeutics เนื่องจากกลไกการออกฤทธิ์, efficacy หรือข้อบ่งใช้ไม่ตรงกับโจทย์ที่กำหนด
• ข้อ ง. (fresh frozen plasma เมื่อ Hb น้อยกว่า 5):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4" s="18" t="inlineStr"/>
      <c r="L334" s="18" t="inlineStr">
        <is>
          <t>General Therapeutics</t>
        </is>
      </c>
      <c r="M334" s="18" t="inlineStr">
        <is>
          <t>Clinic</t>
        </is>
      </c>
      <c r="N334" s="18" t="inlineStr">
        <is>
          <t>PLE_CC1_2564_All_Key ข้อ 110</t>
        </is>
      </c>
      <c r="O334" s="18" t="inlineStr">
        <is>
          <t>ข้อสอบจริง</t>
        </is>
      </c>
      <c r="P334" s="18" t="inlineStr">
        <is>
          <t>ปี 2564</t>
        </is>
      </c>
    </row>
    <row r="335">
      <c r="A335" s="15" t="inlineStr">
        <is>
          <t>357</t>
        </is>
      </c>
      <c r="B335" s="18" t="inlineStr">
        <is>
          <t>ผญ. 67 ปี หมดปจดแล้ว ตรวจ T-score สะโพก -2.5 สันหลัง -2.8 T-score คืออะไร</t>
        </is>
      </c>
      <c r="C335" s="18" t="inlineStr"/>
      <c r="D335" s="18" t="inlineStr">
        <is>
          <t>N-acetylcysteine (NAC) IV infusion protocol</t>
        </is>
      </c>
      <c r="E335" s="18" t="inlineStr">
        <is>
          <t>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t>
        </is>
      </c>
      <c r="F335" s="18" t="inlineStr">
        <is>
          <t>Pralidoxime (2-PAM) 1-2 g IV over 30 min</t>
        </is>
      </c>
      <c r="G335" s="18" t="inlineStr">
        <is>
          <t>Naloxone 0.4 mg IV stat</t>
        </is>
      </c>
      <c r="H335" s="18" t="inlineStr">
        <is>
          <t>Flumazenil 0.2 mg IV stat</t>
        </is>
      </c>
      <c r="I335" s="15" t="inlineStr">
        <is>
          <t>1</t>
        </is>
      </c>
      <c r="J335" s="18" t="inlineStr">
        <is>
          <t>✅ คำตอบที่ถูกต้อง: ข้อ ก. N-acetylcysteine (NAC) IV infusion protocol
💡 Background:
โรคกระดูกพรุน (T-score ≤ -2.5) ทำให้กระดูกเปราะ เสี่ยงต่อ fragility fracture การรักษาเน้นยับยั้ง bone resorption ด้วย antiresorptive agents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5" s="18" t="inlineStr"/>
      <c r="L335" s="18" t="inlineStr">
        <is>
          <t>General Therapeutics</t>
        </is>
      </c>
      <c r="M335" s="18" t="inlineStr">
        <is>
          <t>Clinic</t>
        </is>
      </c>
      <c r="N335" s="18" t="inlineStr">
        <is>
          <t>PLE_CC1_2564_All_Key ข้อ 116</t>
        </is>
      </c>
      <c r="O335" s="18" t="inlineStr">
        <is>
          <t>ข้อสอบจริง</t>
        </is>
      </c>
      <c r="P335" s="18" t="inlineStr">
        <is>
          <t>ปี 2564</t>
        </is>
      </c>
    </row>
    <row r="336">
      <c r="A336" s="15" t="inlineStr">
        <is>
          <t>358</t>
        </is>
      </c>
      <c r="B336" s="18" t="inlineStr">
        <is>
          <t>ผู้หญิงปวดท้องก่อนมีประจำเดือน พอประจำเดือนมาก็หาย แต่ต่อมาปวดท้อง แบบตรวจเจอ H. pylori ให้ยาใดในการรักษาอาการปวดได้ ไม่มี U/D ปฏิเสธ FH ALL: NKDA</t>
        </is>
      </c>
      <c r="C336" s="18" t="inlineStr"/>
      <c r="D336" s="18" t="inlineStr">
        <is>
          <t>Senna 2 tabs HS</t>
        </is>
      </c>
      <c r="E336" s="18" t="inlineStr">
        <is>
          <t>Bisacodyl 5 mg HS</t>
        </is>
      </c>
      <c r="F336" s="18" t="inlineStr">
        <is>
          <t>Lactulose 15 mL OD</t>
        </is>
      </c>
      <c r="G336" s="18" t="inlineStr">
        <is>
          <t>Amoxicillin 1000 mg BID</t>
        </is>
      </c>
      <c r="H336" s="18" t="inlineStr">
        <is>
          <t>Clarithromycin 500 mg BID</t>
        </is>
      </c>
      <c r="I336" s="15" t="inlineStr">
        <is>
          <t>1</t>
        </is>
      </c>
      <c r="J336" s="18"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แสดงว่าผู้ป่วยมีความเสี่ยงที่จะเกิด GI risk ดังนั้นจึงต้องเลือกยาในกลุ่มที่ยับยั้ง COX-2 มากกว่า COX-1 จึงทำให้ไม่เลือกข้อ aspirin, indomethacin และ naproxen เพราะยาทั้ง 3 ตัว ยับยั้ง COX-1 เยอะ (more COX-1 selective) เนื่องจาก COX-1 เป็นเอนไซม์ที่ใช้สร้าง prostaglandin ซึ่งจะช่วยปกป้อง GI ดังนั้นยาทั้ง 3 ตัวที่ยับยั้ง COX-1 เยอะ จะยิ่งทำให้เกิดผลข้างเคียงต่อ GI มากขึ้น ส่วน diclofenac และ celecoxib มีความยับยั้ง COX-2 ได้ใกล้เคียงกัน แต่ celecoxib ยับยั้ง COX-2 ได้มากกว่า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6" s="18" t="inlineStr"/>
      <c r="L336" s="18" t="inlineStr">
        <is>
          <t>GI Disorders</t>
        </is>
      </c>
      <c r="M336" s="18" t="inlineStr">
        <is>
          <t>Clinic</t>
        </is>
      </c>
      <c r="N336" s="18" t="inlineStr">
        <is>
          <t>PLE_CC1_2564_All_Key ข้อ 120</t>
        </is>
      </c>
      <c r="O336" s="18" t="inlineStr">
        <is>
          <t>ข้อสอบจริง</t>
        </is>
      </c>
      <c r="P336" s="18" t="inlineStr">
        <is>
          <t>ปี 2564</t>
        </is>
      </c>
    </row>
    <row r="337">
      <c r="A337" s="15" t="inlineStr">
        <is>
          <t>359</t>
        </is>
      </c>
      <c r="B337" s="18" t="inlineStr">
        <is>
          <t>ผญ เปลือกตาบวมแดง ขี้ตาเหลือง ลืมตายาก โดยเฉพาะเช้าตื่นนอน ใช้ยาหยอดอะไร</t>
        </is>
      </c>
      <c r="C337" s="18" t="inlineStr"/>
      <c r="D337" s="18" t="inlineStr">
        <is>
          <t>Sodium thiosulfate 25% 50 mL IV</t>
        </is>
      </c>
      <c r="E337" s="18" t="inlineStr">
        <is>
          <t>neomycin +dexamethasone b) chloramphenicol</t>
        </is>
      </c>
      <c r="F337" s="18" t="inlineStr">
        <is>
          <t>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t>
        </is>
      </c>
      <c r="G337" s="18" t="inlineStr">
        <is>
          <t>Dimercaprol (BAL) 3 mg/kg IM</t>
        </is>
      </c>
      <c r="H337" s="18" t="inlineStr">
        <is>
          <t>Ethanol 10% IV infusion for Methanol poisoning</t>
        </is>
      </c>
      <c r="I337" s="15" t="inlineStr">
        <is>
          <t>1</t>
        </is>
      </c>
      <c r="J3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ซึ่งจริงๆแล้วสามารถหายได้เองภายใน5-7วัน แต่ก็สามารถให้การรักษาด้วย topical antibiotic ได้ และ ไม่ควรใช้ corticosteroid
🔍 ข้ออื่นผิดเพราะอะไร:
• ข้อ ข. (neomycin +dexamethasone b) chloramphenicol): เป็น long-acting potent glucocorticoid ไม่มี mineralocorticoid effect จึงไม่ทำให้น้ำคั่ง เหมาะสำหรับ brain edema, antiemetic, และ COVID-19 with hypoxemia
• ข้อ ค. (chloramphenicol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7" s="18" t="inlineStr"/>
      <c r="L337" s="18" t="inlineStr">
        <is>
          <t>General Therapeutics</t>
        </is>
      </c>
      <c r="M337" s="18" t="inlineStr">
        <is>
          <t>Clinic</t>
        </is>
      </c>
      <c r="N337" s="18" t="inlineStr">
        <is>
          <t>PLE_CC1_2564_All_Key ข้อ 123</t>
        </is>
      </c>
      <c r="O337" s="18" t="inlineStr">
        <is>
          <t>ข้อสอบจริง</t>
        </is>
      </c>
      <c r="P337" s="18" t="inlineStr">
        <is>
          <t>ปี 2564</t>
        </is>
      </c>
    </row>
    <row r="338">
      <c r="A338" s="15" t="inlineStr">
        <is>
          <t>360</t>
        </is>
      </c>
      <c r="B338" s="39" t="inlineStr">
        <is>
          <t>https://www.college-optometrists.org/clinical-guidance/clinical-management-guidelines/conjunctivitis_bacterial</t>
        </is>
      </c>
      <c r="C338" s="18" t="inlineStr"/>
      <c r="D338" s="18" t="inlineStr">
        <is>
          <t>Antazoline/Tetrahydrozoline eye drops 1 drop TID</t>
        </is>
      </c>
      <c r="E338" s="18" t="inlineStr">
        <is>
          <t>Prednisolone acetate 1% eye drops</t>
        </is>
      </c>
      <c r="F338" s="18" t="inlineStr">
        <is>
          <t>Acetazolamide 250 mg BID</t>
        </is>
      </c>
      <c r="G338" s="18" t="inlineStr">
        <is>
          <t>Timolol 0.5% eye drops 1 drop BID</t>
        </is>
      </c>
      <c r="H338" s="18" t="inlineStr">
        <is>
          <t>Latanoprost 0.005% eye drops 1 drop HS</t>
        </is>
      </c>
      <c r="I338" s="15" t="inlineStr">
        <is>
          <t>1</t>
        </is>
      </c>
      <c r="J338" s="18" t="inlineStr">
        <is>
          <t>✅ คำตอบที่ถูกต้อง: ข้อ ก.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ง. (Timolol 0.5% eye drops 1 drop BID): ข้อนี้ไม่ใช่คำตอบที่ถูกต้องสำหรับภาวะ Eye Disorders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8" s="18" t="inlineStr"/>
      <c r="L338" s="18" t="inlineStr">
        <is>
          <t>Eye Disorders</t>
        </is>
      </c>
      <c r="M338" s="18" t="inlineStr">
        <is>
          <t>Clinic</t>
        </is>
      </c>
      <c r="N338" s="18" t="inlineStr">
        <is>
          <t>PLE_CC1_2564_All_Key ข้อ 1</t>
        </is>
      </c>
      <c r="O338" s="18" t="inlineStr">
        <is>
          <t>ข้อสอบจริง</t>
        </is>
      </c>
      <c r="P338" s="18" t="inlineStr">
        <is>
          <t>ปี 2564</t>
        </is>
      </c>
    </row>
    <row r="339">
      <c r="A339" s="15" t="inlineStr">
        <is>
          <t>361</t>
        </is>
      </c>
      <c r="B339" s="18" t="inlineStr">
        <is>
          <t>ผญ.ปวดท้องก่อนมีประจำเดือน พอประจำเดือนมาก็หายหรือมีอาการดีขึ้น ไม่มี U/D ปฏิเสธ FH ALL:NKDA</t>
        </is>
      </c>
      <c r="C339" s="18" t="inlineStr"/>
      <c r="D339" s="18" t="inlineStr">
        <is>
          <t>N-acetylcysteine (NAC) IV infusion protocol</t>
        </is>
      </c>
      <c r="E339" s="18" t="inlineStr">
        <is>
          <t>primarydysmenorrhea</t>
        </is>
      </c>
      <c r="F339" s="18" t="inlineStr">
        <is>
          <t>secondarydysmenorrhea</t>
        </is>
      </c>
      <c r="G339" s="18" t="inlineStr">
        <is>
          <t>Naloxone 0.4 mg IV stat</t>
        </is>
      </c>
      <c r="H339" s="18" t="inlineStr">
        <is>
          <t>Flumazenil 0.2 mg IV stat</t>
        </is>
      </c>
      <c r="I339" s="15" t="inlineStr">
        <is>
          <t>1</t>
        </is>
      </c>
      <c r="J3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(primarydysmenorrhea): ข้อนี้ไม่ใช่คำตอบที่ถูกต้องสำหรับภาวะ General Therapeutics เนื่องจากกลไกการออกฤทธิ์, efficacy หรือข้อบ่งใช้ไม่ตรงกับโจทย์ที่กำหนด
• ข้อ ค. (secondarydysmenorrhea):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9" s="18" t="inlineStr"/>
      <c r="L339" s="18" t="inlineStr">
        <is>
          <t>General Therapeutics</t>
        </is>
      </c>
      <c r="M339" s="18" t="inlineStr">
        <is>
          <t>Clinic</t>
        </is>
      </c>
      <c r="N339" s="18" t="inlineStr">
        <is>
          <t>PLE_CC1_2564_All_Key ข้อ 118</t>
        </is>
      </c>
      <c r="O339" s="18" t="inlineStr">
        <is>
          <t>ข้อสอบจริง</t>
        </is>
      </c>
      <c r="P339" s="18" t="inlineStr">
        <is>
          <t>ปี 2564</t>
        </is>
      </c>
    </row>
    <row r="340">
      <c r="A340" s="15" t="inlineStr">
        <is>
          <t>362</t>
        </is>
      </c>
      <c r="B340" s="18" t="inlineStr">
        <is>
          <t>คนไข้ต้องการกิน elemental calcium 600 mg ต้องกินยังไง Calcium carbonate 1500 mg เพราะ Calcium carbonate มี elemental calcium 40% ซึ่งจะเท่ากับ 600 mg IBM micromedex .............................................................................................................................................................................................................</t>
        </is>
      </c>
      <c r="C340" s="18" t="inlineStr"/>
      <c r="D340" s="18" t="inlineStr">
        <is>
          <t>Sodium bicarbonate 650 mg TID</t>
        </is>
      </c>
      <c r="E340" s="18" t="inlineStr">
        <is>
          <t>Kayexalate (Sodium polystyrene sulfonate) 15 g TID</t>
        </is>
      </c>
      <c r="F340" s="18" t="inlineStr">
        <is>
          <t>Calcium gluconate 10% 10 mL IV over 5 min</t>
        </is>
      </c>
      <c r="G340" s="18" t="inlineStr">
        <is>
          <t>Furosemide 40 mg IV/PO OD</t>
        </is>
      </c>
      <c r="H340" s="18" t="inlineStr">
        <is>
          <t>Erythropoietin (EPO) 4000 units SC weekly</t>
        </is>
      </c>
      <c r="I340" s="15" t="inlineStr">
        <is>
          <t>1</t>
        </is>
      </c>
      <c r="J340" s="18"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การเลือก Sodium bicarbonate 650 mg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40" s="18" t="inlineStr"/>
      <c r="L340" s="18" t="inlineStr">
        <is>
          <t>Renal Diseases</t>
        </is>
      </c>
      <c r="M340" s="18" t="inlineStr">
        <is>
          <t>Clinic</t>
        </is>
      </c>
      <c r="N340" s="18" t="inlineStr">
        <is>
          <t>PLE_CC1_2564_All_Key ข้อ 132</t>
        </is>
      </c>
      <c r="O340" s="18" t="inlineStr">
        <is>
          <t>ข้อสอบจริง</t>
        </is>
      </c>
      <c r="P340" s="18" t="inlineStr">
        <is>
          <t>ปี 2564</t>
        </is>
      </c>
    </row>
    <row r="341">
      <c r="A341" s="15" t="inlineStr">
        <is>
          <t>363</t>
        </is>
      </c>
      <c r="B341" s="18" t="inlineStr">
        <is>
          <t>ข้อดีของการจัดส่งแบบรอบ (period stock)</t>
        </is>
      </c>
      <c r="C341" s="18" t="inlineStr"/>
      <c r="D341" s="18" t="inlineStr">
        <is>
          <t>Sodium thiosulfate 25% 50 mL IV</t>
        </is>
      </c>
      <c r="E341" s="18" t="inlineStr">
        <is>
          <t>) รู้ปริมาณการใช้ยาอย่างแม่นยำ</t>
        </is>
      </c>
      <c r="F341" s="18" t="inlineStr">
        <is>
          <t>) รู้ปริมาณยาที่เหลืออยู่อย่างแม่นยำ c.) ความถี่ในการสั่งยาลดลง</t>
        </is>
      </c>
      <c r="G341" s="18" t="inlineStr">
        <is>
          <t>Dimercaprol (BAL) 3 mg/kg IM</t>
        </is>
      </c>
      <c r="H341" s="18" t="inlineStr">
        <is>
          <t>) มียาเผื่อขาดมือ (safety stock) ลดลง</t>
        </is>
      </c>
      <c r="I341" s="15" t="inlineStr">
        <is>
          <t>4</t>
        </is>
      </c>
      <c r="J341" s="18"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เป็นการจัดส่งยาตามความต้องการที่มีอยู่อย่างแน่นอน รวมทั้งช่วงเวลารอคอย(lead-time) ที่ใช้อย่างคงที่ ดังนั้นการเตรียม safety .............................................................................................................................................................................................................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 รู้ปริมาณการใช้ยาอย่างแม่นยำ): ข้อนี้ไม่ใช่คำตอบที่ถูกต้องสำหรับภาวะ General Therapeutics เนื่องจากกลไกการออกฤทธิ์, efficacy หรือข้อบ่งใช้ไม่ตรงกับโจทย์ที่กำหนด
• ข้อ ค. () รู้ปริมาณยาที่เหลืออยู่อย่างแม่นยำ c.) ความถี่ในการสั่งยาลดลง): ข้อนี้ไม่ใช่คำตอบที่ถูกต้องสำหรับภาวะ General Therapeutics เนื่องจากกลไกการออกฤทธิ์, efficacy หรือข้อบ่งใช้ไม่ตรงกับโจทย์ที่กำหนด
• ข้อ จ. () มียาเผื่อขาดมือ (safety stock) ลดลง):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1" s="18" t="inlineStr"/>
      <c r="L341" s="18" t="inlineStr">
        <is>
          <t>General Therapeutics</t>
        </is>
      </c>
      <c r="M341" s="18" t="inlineStr">
        <is>
          <t>Clinic</t>
        </is>
      </c>
      <c r="N341" s="18" t="inlineStr">
        <is>
          <t>PLE_CC1_2564_All_Key ข้อ 138</t>
        </is>
      </c>
      <c r="O341" s="18" t="inlineStr">
        <is>
          <t>ข้อสอบจริง</t>
        </is>
      </c>
      <c r="P341" s="18" t="inlineStr">
        <is>
          <t>ปี 2564</t>
        </is>
      </c>
      <c r="Q341" s="18" t="inlineStr">
        <is>
          <t>) จำนวนยาที่สั่งใช้ในแต่ละรอบคงที่ stock สำรอง จึงสามารถลดจำนวนลงได้ เพราะรู้ความต้องการการใช้ยาที่แน่นอนอยู่แล้ว http://www.thailandindustry.com/indust_newweb/articles_preview.php?cid=15432</t>
        </is>
      </c>
    </row>
    <row r="342">
      <c r="A342" s="15" t="inlineStr">
        <is>
          <t>364</t>
        </is>
      </c>
      <c r="B342" s="18" t="inlineStr">
        <is>
          <t>ถามหาปริมาณคนที่เกิดโรคใหม่ในช่วงเวลาหนึ่ง</t>
        </is>
      </c>
      <c r="C342" s="18" t="inlineStr"/>
      <c r="D342" s="18" t="inlineStr">
        <is>
          <t>Dimercaprol (BAL) 3 mg/kg IM</t>
        </is>
      </c>
      <c r="E342" s="18" t="inlineStr">
        <is>
          <t>) Prevalence</t>
        </is>
      </c>
      <c r="F342" s="18" t="inlineStr">
        <is>
          <t>) cumulative incidence</t>
        </is>
      </c>
      <c r="G342" s="18" t="inlineStr">
        <is>
          <t>) OR</t>
        </is>
      </c>
      <c r="H342" s="18" t="inlineStr">
        <is>
          <t>) RR</t>
        </is>
      </c>
      <c r="I342" s="15" t="inlineStr">
        <is>
          <t>2</t>
        </is>
      </c>
      <c r="J342" s="18" t="inlineStr">
        <is>
          <t>✅ คำตอบที่ถูกต้อง: ข้อ ข. ) Prevalence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Prevalence จะบอกสัดส่วนของผู้ป่วยใหม่ที่เกิดขึ้นต่อผู้ที่มีความเสี่ยงจะเป็นทั้งหมดแต่ไม่เคยเป็นมาก่อน ในระยะเวลาที่กำหนด ส่วน incidence relative rate จะเกี่ยวกับผู้ป่วยอุบัติใหม่ แต่มีจำนวนประชากรสูญหายระหว่างการศึกษา จะคิดเป็นอัตรา person- year ซึ่งหากมีประชากรสูญหายระหว่างการศึกษา การใช้ IR จะมีความชัดเจนกว่าการใช้ CI ในการศึกษาลักษณะนี้ https://ada.silverchair-cdn.com/ada/content_public/journal/care/issue/45/supplement_1/7/standards-of-care-2022-copyright-stamped-updated-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 cumulative incidence): ข้อนี้ไม่ใช่คำตอบที่ถูกต้องสำหรับภาวะ General Therapeutics เนื่องจากกลไกการออกฤทธิ์, efficacy หรือข้อบ่งใช้ไม่ตรงกับโจทย์ที่กำหนด
• ข้อ ง. () OR): ข้อนี้ไม่ใช่คำตอบที่ถูกต้องสำหรับภาวะ General Therapeutics เนื่องจากกลไกการออกฤทธิ์, efficacy หรือข้อบ่งใช้ไม่ตรงกับโจทย์ที่กำหนด
• ข้อ จ. () RR):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2" s="18" t="inlineStr"/>
      <c r="L342" s="18" t="inlineStr">
        <is>
          <t>General Therapeutics</t>
        </is>
      </c>
      <c r="M342" s="18" t="inlineStr">
        <is>
          <t>Clinic</t>
        </is>
      </c>
      <c r="N342" s="18" t="inlineStr">
        <is>
          <t>PLE_CC1_2564_All_Key ข้อ 137</t>
        </is>
      </c>
      <c r="O342" s="18" t="inlineStr">
        <is>
          <t>ข้อสอบจริง</t>
        </is>
      </c>
      <c r="P342" s="18" t="inlineStr">
        <is>
          <t>ปี 2564</t>
        </is>
      </c>
      <c r="Q342" s="18" t="inlineStr">
        <is>
          <t>) incidence relative rate จากชีทเรียนวิชา pharmacoepidemiology เรื่อง Understanding the result from pharmacoepidemiology 1 โดยอาจารย์เสริมสิริ แสงรุ่งเรืองศรี 01062022.pdf?Expires=1662907112&amp;Signature=bah0mrsc2Wny0r92e8aokzXydKCqKP5zoNa26Rbtg-x- XksZT3TfFSjXPmt0mroVs0~UTMybFXfR77-pV4Z7RTjVVSQmJaLU-1vIVD1rxHF-</t>
        </is>
      </c>
    </row>
    <row r="343">
      <c r="A343" s="15" t="inlineStr">
        <is>
          <t>365</t>
        </is>
      </c>
      <c r="B343" s="18" t="inlineStr">
        <is>
          <t>pellets in capsule</t>
        </is>
      </c>
      <c r="C343" s="18" t="inlineStr"/>
      <c r="D343" s="18" t="inlineStr">
        <is>
          <t>Fluidized Bed Granulation</t>
        </is>
      </c>
      <c r="E343" s="18" t="inlineStr">
        <is>
          <t>Film Coating with Hydroxypropyl methylcellulose (HPMC)</t>
        </is>
      </c>
      <c r="F343" s="18" t="inlineStr">
        <is>
          <t>Enteric Coating with Cellulose acetate phthalate (CAP)</t>
        </is>
      </c>
      <c r="G343" s="18" t="inlineStr">
        <is>
          <t>Hard Gelatin Capsule filling</t>
        </is>
      </c>
      <c r="H343" s="18" t="inlineStr">
        <is>
          <t>Soft Gelatin Capsule encapsulation</t>
        </is>
      </c>
      <c r="I343" s="15" t="inlineStr">
        <is>
          <t>1</t>
        </is>
      </c>
      <c r="J343" s="1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3" s="18" t="inlineStr"/>
      <c r="L343" s="18" t="inlineStr">
        <is>
          <t>Solid Dosage Forms</t>
        </is>
      </c>
      <c r="M343" s="18" t="inlineStr">
        <is>
          <t>Product</t>
        </is>
      </c>
      <c r="N343" s="18" t="inlineStr">
        <is>
          <t>PLE_CC1_2564_All_Key ข้อ 1</t>
        </is>
      </c>
      <c r="O343" s="18" t="inlineStr">
        <is>
          <t>ข้อสอบจริง</t>
        </is>
      </c>
      <c r="P343" s="18" t="inlineStr">
        <is>
          <t>ปี 2564</t>
        </is>
      </c>
    </row>
    <row r="344">
      <c r="A344" s="15" t="inlineStr">
        <is>
          <t>366</t>
        </is>
      </c>
      <c r="B344" s="18" t="inlineStr">
        <is>
          <t>Enteric coated capsule</t>
        </is>
      </c>
      <c r="C344" s="18" t="inlineStr"/>
      <c r="D344" s="18" t="inlineStr">
        <is>
          <t>Hard Gelatin Capsule filling</t>
        </is>
      </c>
      <c r="E344" s="18" t="inlineStr">
        <is>
          <t>Soft Gelatin Capsule encapsulation</t>
        </is>
      </c>
      <c r="F344" s="18" t="inlineStr">
        <is>
          <t>Microcrystalline cellulose</t>
        </is>
      </c>
      <c r="G344" s="18" t="inlineStr">
        <is>
          <t>Magnesium stearate (Lubricant 1%)</t>
        </is>
      </c>
      <c r="H344" s="18" t="inlineStr">
        <is>
          <t>Sodium starch glycolate (Superdisintegrant)</t>
        </is>
      </c>
      <c r="I344" s="15" t="inlineStr">
        <is>
          <t>1</t>
        </is>
      </c>
      <c r="J344" s="1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4" s="18" t="inlineStr"/>
      <c r="L344" s="18" t="inlineStr">
        <is>
          <t>Solid Dosage Forms</t>
        </is>
      </c>
      <c r="M344" s="18" t="inlineStr">
        <is>
          <t>Product</t>
        </is>
      </c>
      <c r="N344" s="18" t="inlineStr">
        <is>
          <t>PLE_CC1_2564_All_Key ข้อ 4</t>
        </is>
      </c>
      <c r="O344" s="18" t="inlineStr">
        <is>
          <t>ข้อสอบจริง</t>
        </is>
      </c>
      <c r="P344" s="18" t="inlineStr">
        <is>
          <t>ปี 2564</t>
        </is>
      </c>
    </row>
    <row r="345">
      <c r="A345" s="15" t="inlineStr">
        <is>
          <t>367</t>
        </is>
      </c>
      <c r="B345" s="18" t="inlineStr">
        <is>
          <t>Delayed released capsule</t>
        </is>
      </c>
      <c r="C345" s="18" t="inlineStr"/>
      <c r="D345" s="18" t="inlineStr">
        <is>
          <t>Magnesium stearate (Lubricant 1%)</t>
        </is>
      </c>
      <c r="E345" s="18" t="inlineStr">
        <is>
          <t>Sodium starch glycolate (Superdisintegrant)</t>
        </is>
      </c>
      <c r="F345" s="18" t="inlineStr">
        <is>
          <t>Direct Compression tableting method</t>
        </is>
      </c>
      <c r="G345" s="18" t="inlineStr">
        <is>
          <t>Wet Granulation tableting method</t>
        </is>
      </c>
      <c r="H345" s="18" t="inlineStr">
        <is>
          <t>Dry Granulation (Roller Compaction)</t>
        </is>
      </c>
      <c r="I345" s="15" t="inlineStr">
        <is>
          <t>1</t>
        </is>
      </c>
      <c r="J345" s="1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5" s="18" t="inlineStr"/>
      <c r="L345" s="18" t="inlineStr">
        <is>
          <t>Solid Dosage Forms</t>
        </is>
      </c>
      <c r="M345" s="18" t="inlineStr">
        <is>
          <t>Product</t>
        </is>
      </c>
      <c r="N345" s="18" t="inlineStr">
        <is>
          <t>PLE_CC1_2564_All_Key ข้อ 5</t>
        </is>
      </c>
      <c r="O345" s="18" t="inlineStr">
        <is>
          <t>ข้อสอบจริง</t>
        </is>
      </c>
      <c r="P345" s="18" t="inlineStr">
        <is>
          <t>ปี 2564</t>
        </is>
      </c>
    </row>
    <row r="346">
      <c r="A346" s="15" t="inlineStr">
        <is>
          <t>368</t>
        </is>
      </c>
      <c r="B346" s="18" t="inlineStr">
        <is>
          <t>ประกาศกระทรวงสาธารณสุข พ.ศ.2562 ตามความในพระราชบัญญัติอาหาร พ.ศ. 2522 เรื่องผลิตภัณฑ์เสริมอาหาร [ http://food.fda.moph.go.th/law/data/announ_moph/P405.PDF ]</t>
        </is>
      </c>
      <c r="C346" s="18" t="inlineStr"/>
      <c r="D346" s="18" t="inlineStr">
        <is>
          <t>พ.ร.บ. ยาเสพติดให้โทษ พ.ศ. 2522 (ยาเสพติดให้โทษประเภท 2 และ 3)</t>
        </is>
      </c>
      <c r="E346" s="18" t="inlineStr">
        <is>
          <t>พ.ร.บ. วัตถุที่ออกฤทธิ์ต่อจิตและประสาท พ.ศ. 2559 (ประเภท 2 และ 4)</t>
        </is>
      </c>
      <c r="F346" s="18" t="inlineStr">
        <is>
          <t>พ.ร.บ. วิชาชีพเภสัชกรรม พ.ศ. 2537 และข้อบังคับจรรยาบรรณวิชาชีพ</t>
        </is>
      </c>
      <c r="G346" s="18" t="inlineStr">
        <is>
          <t>พ.ร.บ. ผลิตภัณฑ์สมุนไพร พ.ศ. 2562</t>
        </is>
      </c>
      <c r="H346" s="18" t="inlineStr">
        <is>
          <t>พ.ร.บ. เครื่องสำอาง พ.ศ. 2558</t>
        </is>
      </c>
      <c r="I346" s="15" t="inlineStr">
        <is>
          <t>1</t>
        </is>
      </c>
      <c r="J346"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6" s="18" t="inlineStr"/>
      <c r="L346" s="18" t="inlineStr">
        <is>
          <t>Pharmacy Laws &amp; Ethics</t>
        </is>
      </c>
      <c r="M346" s="18" t="inlineStr">
        <is>
          <t>SAP</t>
        </is>
      </c>
      <c r="N346" s="18" t="inlineStr">
        <is>
          <t>PLE_CC1_2564_All_Key ข้อ 1</t>
        </is>
      </c>
      <c r="O346" s="18" t="inlineStr">
        <is>
          <t>ข้อสอบจริง</t>
        </is>
      </c>
      <c r="P346" s="18" t="inlineStr">
        <is>
          <t>ปี 2564</t>
        </is>
      </c>
    </row>
    <row r="347">
      <c r="A347" s="15" t="inlineStr">
        <is>
          <t>369</t>
        </is>
      </c>
      <c r="B347" s="18" t="inlineStr">
        <is>
          <t>ชีทกฏหมายว่าด้วยเครื่องสำอาง ของ ภญ. พรพรรณ สุนทรธรรม" .............................................................................................................................................................................................................</t>
        </is>
      </c>
      <c r="C347" s="18" t="inlineStr"/>
      <c r="D347" s="18" t="inlineStr">
        <is>
          <t>N-acetylcysteine (NAC) IV infusion protocol</t>
        </is>
      </c>
      <c r="E347" s="18" t="inlineStr">
        <is>
          <t>Atropine sulfate 2 mg IV Q5-10 min</t>
        </is>
      </c>
      <c r="F347" s="18" t="inlineStr">
        <is>
          <t>Pralidoxime (2-PAM) 1-2 g IV over 30 min</t>
        </is>
      </c>
      <c r="G347" s="18" t="inlineStr">
        <is>
          <t>Naloxone 0.4 mg IV stat</t>
        </is>
      </c>
      <c r="H347" s="18" t="inlineStr">
        <is>
          <t>Flumazenil 0.2 mg IV stat</t>
        </is>
      </c>
      <c r="I347" s="15" t="inlineStr">
        <is>
          <t>1</t>
        </is>
      </c>
      <c r="J3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47" s="18" t="inlineStr"/>
      <c r="L347" s="18" t="inlineStr">
        <is>
          <t>General Therapeutics</t>
        </is>
      </c>
      <c r="M347" s="18" t="inlineStr">
        <is>
          <t>Clinic</t>
        </is>
      </c>
      <c r="N347" s="18" t="inlineStr">
        <is>
          <t>PLE_CC1_2564_All_Key ข้อ 3</t>
        </is>
      </c>
      <c r="O347" s="18" t="inlineStr">
        <is>
          <t>ข้อสอบจริง</t>
        </is>
      </c>
      <c r="P347" s="18" t="inlineStr">
        <is>
          <t>ปี 2564</t>
        </is>
      </c>
    </row>
    <row r="348">
      <c r="A348" s="15" t="inlineStr">
        <is>
          <t>370</t>
        </is>
      </c>
      <c r="B348" s="18" t="inlineStr">
        <is>
          <t>พระราชบัญญัติยา พ.ศ.2510 https://www.fda.moph.go.th/sites/drug/LawDrug/drug2510-krisdika-v2020.pdf ............................................................................................................................................................................................................. เฉลยข้อสอบ PLE-CC1 ครั้งที่12/2564 วันที่ 1-2 : MUPY 50</t>
        </is>
      </c>
      <c r="C348" s="18" t="inlineStr"/>
      <c r="D348" s="18" t="inlineStr">
        <is>
          <t>การปฏิบัติทางเภสัชกรรมชุมชน (Good Pharmacy Practice: GPP)</t>
        </is>
      </c>
      <c r="E348" s="18" t="inlineStr">
        <is>
          <t>บัญชียาหลักแห่งชาติ (National List of Essential Medicines: NLEM)</t>
        </is>
      </c>
      <c r="F348" s="18" t="inlineStr">
        <is>
          <t>เกณฑ์จริยธรรมว่าด้วยการส่งเสริมการขายยาของกระทรวงสาธารณสุข</t>
        </is>
      </c>
      <c r="G348" s="18" t="inlineStr">
        <is>
          <t>พ.ร.บ. ยา พ.ศ. 2510 (การจำหน่ายยาอันตรายและยาควบคุมพิเศษ)</t>
        </is>
      </c>
      <c r="H348" s="18" t="inlineStr">
        <is>
          <t>พ.ร.บ. ยาเสพติดให้โทษ พ.ศ. 2522 (ยาเสพติดให้โทษประเภท 2 และ 3)</t>
        </is>
      </c>
      <c r="I348" s="15" t="inlineStr">
        <is>
          <t>1</t>
        </is>
      </c>
      <c r="J348"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8" s="18" t="inlineStr"/>
      <c r="L348" s="18" t="inlineStr">
        <is>
          <t>Pharmacy Laws &amp; Ethics</t>
        </is>
      </c>
      <c r="M348" s="18" t="inlineStr">
        <is>
          <t>SAP</t>
        </is>
      </c>
      <c r="N348" s="18" t="inlineStr">
        <is>
          <t>PLE_CC1_2564_All_Key ข้อ 2</t>
        </is>
      </c>
      <c r="O348" s="18" t="inlineStr">
        <is>
          <t>ข้อสอบจริง</t>
        </is>
      </c>
      <c r="P348" s="18" t="inlineStr">
        <is>
          <t>ปี 2564</t>
        </is>
      </c>
    </row>
    <row r="349">
      <c r="A349" s="15" t="inlineStr">
        <is>
          <t>371</t>
        </is>
      </c>
      <c r="B349" s="39" t="inlineStr">
        <is>
          <t>https://europepmc.org/article/pmc/5838752</t>
        </is>
      </c>
      <c r="C349" s="18" t="inlineStr"/>
      <c r="D349" s="18" t="inlineStr">
        <is>
          <t>Sodium thiosulfate 25% 50 mL IV</t>
        </is>
      </c>
      <c r="E349" s="18" t="inlineStr">
        <is>
          <t>Calcium disodium EDTA 1 g IV</t>
        </is>
      </c>
      <c r="F349" s="18" t="inlineStr">
        <is>
          <t>Desferrioxamine 1 g IM/IV</t>
        </is>
      </c>
      <c r="G349" s="18" t="inlineStr">
        <is>
          <t>Dimercaprol (BAL) 3 mg/kg IM</t>
        </is>
      </c>
      <c r="H349" s="18" t="inlineStr">
        <is>
          <t>Ethanol 10% IV infusion for Methanol poisoning</t>
        </is>
      </c>
      <c r="I349" s="15" t="inlineStr">
        <is>
          <t>1</t>
        </is>
      </c>
      <c r="J3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9" s="18" t="inlineStr"/>
      <c r="L349" s="18" t="inlineStr">
        <is>
          <t>General Therapeutics</t>
        </is>
      </c>
      <c r="M349" s="18" t="inlineStr">
        <is>
          <t>Clinic</t>
        </is>
      </c>
      <c r="N349" s="18" t="inlineStr">
        <is>
          <t>PLE_CC1_2564_All_Key ข้อ 1</t>
        </is>
      </c>
      <c r="O349" s="18" t="inlineStr">
        <is>
          <t>ข้อสอบจริง</t>
        </is>
      </c>
      <c r="P349" s="18" t="inlineStr">
        <is>
          <t>ปี 2564</t>
        </is>
      </c>
    </row>
    <row r="350">
      <c r="A350" s="15" t="inlineStr">
        <is>
          <t>372</t>
        </is>
      </c>
      <c r="B350" s="18" t="inlineStr">
        <is>
          <t>https://www.researchgate.net/publication/341318780_DRESS_syndrome_an_important_differential_for_eosinophilia_with_systemic_organ_dysfunction .............................................................................................................................................................................................................</t>
        </is>
      </c>
      <c r="C350" s="18" t="inlineStr"/>
      <c r="D350" s="18" t="inlineStr">
        <is>
          <t>Hydrochlorothiazide 25 mg OD</t>
        </is>
      </c>
      <c r="E350" s="18" t="inlineStr">
        <is>
          <t>Atorvastatin 20 mg OD</t>
        </is>
      </c>
      <c r="F350" s="18" t="inlineStr">
        <is>
          <t>Simvastatin 20 mg HS</t>
        </is>
      </c>
      <c r="G350" s="18" t="inlineStr">
        <is>
          <t>Bisoprolol 5 mg OD</t>
        </is>
      </c>
      <c r="H350" s="18" t="inlineStr">
        <is>
          <t>Spironolactone 25 mg OD</t>
        </is>
      </c>
      <c r="I350" s="15" t="inlineStr">
        <is>
          <t>1</t>
        </is>
      </c>
      <c r="J350" s="18"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50" s="18" t="inlineStr"/>
      <c r="L350" s="18" t="inlineStr">
        <is>
          <t>Cardiovascular Diseases</t>
        </is>
      </c>
      <c r="M350" s="18" t="inlineStr">
        <is>
          <t>Clinic</t>
        </is>
      </c>
      <c r="N350" s="18" t="inlineStr">
        <is>
          <t>PLE_CC1_2564_All_Key ข้อ 2</t>
        </is>
      </c>
      <c r="O350" s="18" t="inlineStr">
        <is>
          <t>ข้อสอบจริง</t>
        </is>
      </c>
      <c r="P350" s="18" t="inlineStr">
        <is>
          <t>ปี 2564</t>
        </is>
      </c>
    </row>
    <row r="351">
      <c r="A351" s="15" t="inlineStr">
        <is>
          <t>373</t>
        </is>
      </c>
      <c r="B351" s="18" t="inlineStr">
        <is>
          <t>propellent ของ MDI ที่นิยมในปัจจุบัน</t>
        </is>
      </c>
      <c r="C351" s="18" t="inlineStr"/>
      <c r="D351" s="18" t="inlineStr">
        <is>
          <t>N-acetylcysteine (NAC) IV infusion protocol</t>
        </is>
      </c>
      <c r="E351" s="18" t="inlineStr">
        <is>
          <t>Hydrofluoroalkane (HFA)</t>
        </is>
      </c>
      <c r="F351" s="18" t="inlineStr">
        <is>
          <t>Chlorofluorocarbons (CFCs)</t>
        </is>
      </c>
      <c r="G351" s="18" t="inlineStr">
        <is>
          <t>Propana</t>
        </is>
      </c>
      <c r="H351" s="18" t="inlineStr">
        <is>
          <t>Flumazenil 0.2 mg IV stat</t>
        </is>
      </c>
      <c r="I351" s="15" t="inlineStr">
        <is>
          <t>1</t>
        </is>
      </c>
      <c r="J35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Montreal Protocol จึงประกาศเป็นกฎหมายโดยสากลให้ลดการใช้ CFCs และ HFA ยังให้สัมผัสที่นุ่มกว่าและอุ่นกว่า CFCs .............................................................................................................................................................................................................
🔍 ข้ออื่นผิดเพราะอะไร:
• ข้อ ข. (Hydrofluoroalkane (HFA)): ข้อนี้ไม่ใช่คำตอบที่ถูกต้องสำหรับภาวะ General Therapeutics เนื่องจากกลไกการออกฤทธิ์, efficacy หรือข้อบ่งใช้ไม่ตรงกับโจทย์ที่กำหนด
• ข้อ ค. (Chlorofluorocarbons (CFCs)): ข้อนี้ไม่ใช่คำตอบที่ถูกต้องสำหรับภาวะ General Therapeutics เนื่องจากกลไกการออกฤทธิ์, efficacy หรือข้อบ่งใช้ไม่ตรงกับโจทย์ที่กำหนด
• ข้อ ง. (Propana):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1" s="18" t="inlineStr"/>
      <c r="L351" s="18" t="inlineStr">
        <is>
          <t>General Therapeutics</t>
        </is>
      </c>
      <c r="M351" s="18" t="inlineStr">
        <is>
          <t>Clinic</t>
        </is>
      </c>
      <c r="N351" s="18" t="inlineStr">
        <is>
          <t>PLE_CC1_2564_All_Key ข้อ 150</t>
        </is>
      </c>
      <c r="O351" s="18" t="inlineStr">
        <is>
          <t>ข้อสอบจริง</t>
        </is>
      </c>
      <c r="P351" s="18" t="inlineStr">
        <is>
          <t>ปี 2564</t>
        </is>
      </c>
    </row>
    <row r="352">
      <c r="A352" s="15" t="inlineStr">
        <is>
          <t>374</t>
        </is>
      </c>
      <c r="B352" s="18" t="inlineStr">
        <is>
          <t>การพิจารณาการทำ DUE ไม่ได้พิจารณาจากปัจจัยอะไร</t>
        </is>
      </c>
      <c r="C352" s="18" t="inlineStr"/>
      <c r="D352" s="18" t="inlineStr">
        <is>
          <t>Naloxone 0.4 mg IV stat</t>
        </is>
      </c>
      <c r="E352" s="18" t="inlineStr">
        <is>
          <t>ยาราคาสูง</t>
        </is>
      </c>
      <c r="F352" s="18" t="inlineStr">
        <is>
          <t>ยามูลค่าการสั่งใช้สูง</t>
        </is>
      </c>
      <c r="G352" s="18" t="inlineStr">
        <is>
          <t>ผลข้างเคียงเยอะ</t>
        </is>
      </c>
      <c r="H352" s="18" t="inlineStr">
        <is>
          <t>ผลข้างเคียงรุนแรง</t>
        </is>
      </c>
      <c r="I352" s="15" t="inlineStr">
        <is>
          <t>4</t>
        </is>
      </c>
      <c r="J352" s="18" t="inlineStr">
        <is>
          <t>✅ คำตอบที่ถูกต้อง: ข้อ ง. ผลข้างเคียงเยอะ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ผลข้างเคียงเยอะ ซึ่งก็ต้องทำ c.ผลข้างเคียงเยอะ น่าจะหมายถึงเจอ ADR บ่อย ต้องทำเหมือนกัน e.มี prescribing error บ่อย น่าจะต้องทำ ............................................................................................................................................................................................................. .............................................................................................................................................................................................................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(ยาราคาสูง): ข้อนี้ไม่ใช่คำตอบที่ถูกต้องสำหรับภาวะ General Therapeutics เนื่องจากกลไกการออกฤทธิ์, efficacy หรือข้อบ่งใช้ไม่ตรงกับโจทย์ที่กำหนด
• ข้อ ค. (ยามูลค่าการสั่งใช้สูง): ข้อนี้ไม่ใช่คำตอบที่ถูกต้องสำหรับภาวะ General Therapeutics เนื่องจากกลไกการออกฤทธิ์, efficacy หรือข้อบ่งใช้ไม่ตรงกับโจทย์ที่กำหนด
• ข้อ จ. (ผลข้างเคียงรุนแรง):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2" s="18" t="inlineStr"/>
      <c r="L352" s="18" t="inlineStr">
        <is>
          <t>General Therapeutics</t>
        </is>
      </c>
      <c r="M352" s="18" t="inlineStr">
        <is>
          <t>Clinic</t>
        </is>
      </c>
      <c r="N352" s="18" t="inlineStr">
        <is>
          <t>PLE_CC1_2564_All_Key ข้อ 155</t>
        </is>
      </c>
      <c r="O352" s="18" t="inlineStr">
        <is>
          <t>ข้อสอบจริง</t>
        </is>
      </c>
      <c r="P352" s="18" t="inlineStr">
        <is>
          <t>ปี 2564</t>
        </is>
      </c>
      <c r="Q352" s="18" t="inlineStr">
        <is>
          <t>มี Prescribing error บ่อย ถ้าเจอไม่บ่อยอาจไม่ทำ ชีท Introduction DIS DUE (พี่ใหม่)</t>
        </is>
      </c>
    </row>
    <row r="353">
      <c r="A353" s="15" t="inlineStr">
        <is>
          <t>375</t>
        </is>
      </c>
      <c r="B353" s="18" t="inlineStr">
        <is>
          <t>เภสัฬกรธษไทย พบผู้ป่วยหมดสติแล้วทำ CPR ให้กับผู้ป่วย เภสัฬกรผิดหรือไม่</t>
        </is>
      </c>
      <c r="C353" s="18" t="inlineStr"/>
      <c r="D353" s="18" t="inlineStr">
        <is>
          <t>Sodium thiosulfate 25% 50 mL IV</t>
        </is>
      </c>
      <c r="E353" s="18" t="inlineStr">
        <is>
          <t>มีความผิด เนื่อษสากไม่ได้ลษทะเบียนเป็นผู้ประกอบเวฬกรรม</t>
        </is>
      </c>
      <c r="F353" s="18" t="inlineStr">
        <is>
          <t>มีความผิด เนื่อษสากปฏิบัติเวฬกรรมนอกสถานที่</t>
        </is>
      </c>
      <c r="G353" s="18" t="inlineStr">
        <is>
          <t>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t>
        </is>
      </c>
      <c r="H353" s="18" t="inlineStr">
        <is>
          <t>Ethanol 10% IV infusion for Methanol poisoning</t>
        </is>
      </c>
      <c r="I353" s="15" t="inlineStr">
        <is>
          <t>1</t>
        </is>
      </c>
      <c r="J3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(มีความผิด เนื่อษสากไม่ได้ลษทะเบียนเป็นผู้ประกอบเวฬกรรม): ข้อนี้ไม่ใช่คำตอบที่ถูกต้องสำหรับภาวะ General Therapeutics เนื่องจากกลไกการออกฤทธิ์, efficacy หรือข้อบ่งใช้ไม่ตรงกับโจทย์ที่กำหนด
• ข้อ ค. (มีความผิด เนื่อษสากปฏิบัติเวฬกรรมนอกสถานที่): ข้อนี้ไม่ใช่คำตอบที่ถูกต้องสำหรับภาวะ General Therapeutics เนื่องจากกลไกการออกฤทธิ์, efficacy หรือข้อบ่งใช้ไม่ตรงกับโจทย์ที่กำหนด
• ข้อ ง. (มีความผิด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3" s="18" t="inlineStr"/>
      <c r="L353" s="18" t="inlineStr">
        <is>
          <t>General Therapeutics</t>
        </is>
      </c>
      <c r="M353" s="18" t="inlineStr">
        <is>
          <t>Clinic</t>
        </is>
      </c>
      <c r="N353" s="18" t="inlineStr">
        <is>
          <t>PLE_CC1_2563_Q ข้อ 2</t>
        </is>
      </c>
      <c r="O353" s="18" t="inlineStr">
        <is>
          <t>ข้อสอบจริง</t>
        </is>
      </c>
      <c r="P353" s="18" t="inlineStr">
        <is>
          <t>ปี 2563</t>
        </is>
      </c>
    </row>
    <row r="354">
      <c r="A354" s="15" t="inlineStr">
        <is>
          <t>376</t>
        </is>
      </c>
      <c r="B354" s="18" t="inlineStr">
        <is>
          <t>Pseudoephedrine เป็นวัตถุออกฤทธิ์ต่อสิตและประสาทประเภทใด</t>
        </is>
      </c>
      <c r="C354" s="18" t="inlineStr"/>
      <c r="D354" s="18" t="inlineStr">
        <is>
          <t>พ.ร.บ. เครื่องสำอาง พ.ศ. 2558</t>
        </is>
      </c>
      <c r="E354" s="18" t="inlineStr">
        <is>
          <t>พ.ร.บ. หลักประกันสุขภาพแห่งชาติ พ.ศ. 2545</t>
        </is>
      </c>
      <c r="F354" s="18" t="inlineStr">
        <is>
          <t>การปฏิบัติทางเภสัชกรรมชุมชน (Good Pharmacy Practice: GPP)</t>
        </is>
      </c>
      <c r="G354" s="18" t="inlineStr">
        <is>
          <t>บัญชียาหลักแห่งชาติ (National List of Essential Medicines: NLEM)</t>
        </is>
      </c>
      <c r="H354" s="18" t="inlineStr">
        <is>
          <t>เกณฑ์จริยธรรมว่าด้วยการส่งเสริมการขายยาของกระทรวงสาธารณสุข</t>
        </is>
      </c>
      <c r="I354" s="15" t="inlineStr">
        <is>
          <t>1</t>
        </is>
      </c>
      <c r="J354" s="18"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4" s="18" t="inlineStr"/>
      <c r="L354" s="18" t="inlineStr">
        <is>
          <t>Pharmacy Laws &amp; Ethics</t>
        </is>
      </c>
      <c r="M354" s="18" t="inlineStr">
        <is>
          <t>SAP</t>
        </is>
      </c>
      <c r="N354" s="18" t="inlineStr">
        <is>
          <t>PLE_CC1_2563_Q ข้อ 5</t>
        </is>
      </c>
      <c r="O354" s="18" t="inlineStr">
        <is>
          <t>ข้อสอบจริง</t>
        </is>
      </c>
      <c r="P354" s="18" t="inlineStr">
        <is>
          <t>ปี 2563</t>
        </is>
      </c>
    </row>
    <row r="355">
      <c r="A355" s="15" t="inlineStr">
        <is>
          <t>377</t>
        </is>
      </c>
      <c r="B355" s="18" t="inlineStr">
        <is>
          <t>การขายเครื่อษมือแพทย์ ถุษยาอนามัย ต้อษ….</t>
        </is>
      </c>
      <c r="C355" s="18" t="inlineStr"/>
      <c r="D355" s="18" t="inlineStr">
        <is>
          <t>N-acetylcysteine (NAC) IV infusion protocol</t>
        </is>
      </c>
      <c r="E355" s="18" t="inlineStr">
        <is>
          <t>สถานที่ต้อษขอใบอนุญาต และต้อษมีใบอนุญาตขายเครื่อษมือแพทย์</t>
        </is>
      </c>
      <c r="F355" s="18" t="inlineStr">
        <is>
          <t>สถานที่ต้อษขอใบอนุญาต แต่ไม่ต้อษมีใบอนุญาตขายเครื่อษมือแพทย์</t>
        </is>
      </c>
      <c r="G355" s="18" t="inlineStr">
        <is>
          <t>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t>
        </is>
      </c>
      <c r="H355" s="18" t="inlineStr">
        <is>
          <t>Flumazenil 0.2 mg IV stat</t>
        </is>
      </c>
      <c r="I355" s="15" t="inlineStr">
        <is>
          <t>1</t>
        </is>
      </c>
      <c r="J35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(สถานที่ต้อษขอใบอนุญาต และต้อษมีใบอนุญาตขายเครื่อษมือแพทย์):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ค. (สถานที่ต้อษขอใบอนุญาต แต่ไม่ต้อษมีใบอนุญาตขายเครื่อษมือแพทย์):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ง. (สถานที่ไม่ต้อษขอใบอนุญาต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5" s="18" t="inlineStr"/>
      <c r="L355" s="18" t="inlineStr">
        <is>
          <t>General Therapeutics</t>
        </is>
      </c>
      <c r="M355" s="18" t="inlineStr">
        <is>
          <t>Clinic</t>
        </is>
      </c>
      <c r="N355" s="18" t="inlineStr">
        <is>
          <t>PLE_CC1_2563_Q ข้อ 6</t>
        </is>
      </c>
      <c r="O355" s="18" t="inlineStr">
        <is>
          <t>ข้อสอบจริง</t>
        </is>
      </c>
      <c r="P355" s="18" t="inlineStr">
        <is>
          <t>ปี 2563</t>
        </is>
      </c>
    </row>
    <row r="356">
      <c r="A356" s="15" t="inlineStr">
        <is>
          <t>378</t>
        </is>
      </c>
      <c r="B356" s="18" t="inlineStr">
        <is>
          <t>นาย ก ผิดสรรยาบรรณหรือไม่</t>
        </is>
      </c>
      <c r="C356" s="18" t="inlineStr"/>
      <c r="D356" s="18" t="inlineStr">
        <is>
          <t>Naloxone 0.4 mg IV stat</t>
        </is>
      </c>
      <c r="E356" s="18" t="inlineStr">
        <is>
          <t>ไม่ผิด เพราะ สถานการณ์ไม่มีความผิด</t>
        </is>
      </c>
      <c r="F356" s="18" t="inlineStr">
        <is>
          <t>ไม่ผิด เพราะ ไม่ใฬ่เภสัฬกร</t>
        </is>
      </c>
      <c r="G356" s="18" t="inlineStr">
        <is>
          <t>ผิด เพราะ ไม่เคารพกฎหมาย ษ. ผิด เพราะ ไม่ปฎิบัติตามมาตรฐาน ส. ผิด เพราะ ไม่ควบคุมการขายส่ษยาอันตราย</t>
        </is>
      </c>
      <c r="H356" s="18" t="inlineStr">
        <is>
          <t>Calcium disodium EDTA 1 g IV</t>
        </is>
      </c>
      <c r="I356" s="15" t="inlineStr">
        <is>
          <t>1</t>
        </is>
      </c>
      <c r="J3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56" s="18" t="inlineStr"/>
      <c r="L356" s="18" t="inlineStr">
        <is>
          <t>General Therapeutics</t>
        </is>
      </c>
      <c r="M356" s="18" t="inlineStr">
        <is>
          <t>Clinic</t>
        </is>
      </c>
      <c r="N356" s="18" t="inlineStr">
        <is>
          <t>PLE_CC1_2563_Q ข้อ 7</t>
        </is>
      </c>
      <c r="O356" s="18" t="inlineStr">
        <is>
          <t>ข้อสอบจริง</t>
        </is>
      </c>
      <c r="P356" s="18" t="inlineStr">
        <is>
          <t>ปี 2563</t>
        </is>
      </c>
    </row>
    <row r="357">
      <c r="A357" s="15" t="inlineStr">
        <is>
          <t>379</t>
        </is>
      </c>
      <c r="B357" s="18" t="inlineStr">
        <is>
          <t>นาษสาว ข ผิดกฏหมายหรือไม่ ถ้าผิด ผิดอย่าษไร</t>
        </is>
      </c>
      <c r="C357" s="18" t="inlineStr"/>
      <c r="D357" s="18" t="inlineStr">
        <is>
          <t>Sodium thiosulfate 25% 50 mL IV</t>
        </is>
      </c>
      <c r="E357" s="18" t="inlineStr">
        <is>
          <t>ไม่ผิด</t>
        </is>
      </c>
      <c r="F357" s="18" t="inlineStr">
        <is>
          <t>ไม่ผิด</t>
        </is>
      </c>
      <c r="G357" s="18" t="inlineStr">
        <is>
          <t>ผิด เพราะ ไม่อยู่ในเวลาปฏิบัติการ ษ. ผิด เพราะ ไม่สัดทำบัญฬีขายยา ส. ผิด เพราะ</t>
        </is>
      </c>
      <c r="H357" s="18" t="inlineStr">
        <is>
          <t>Ethanol 10% IV infusion for Methanol poisoning</t>
        </is>
      </c>
      <c r="I357" s="15" t="inlineStr">
        <is>
          <t>1</t>
        </is>
      </c>
      <c r="J3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ไม่อยู่ในเวลาปฏิบัติการ ษ. ผิด เพราะ ไม่สัดทำบัญฬีขายยา ส. ผิด เพราะ):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7" s="18" t="inlineStr"/>
      <c r="L357" s="18" t="inlineStr">
        <is>
          <t>General Therapeutics</t>
        </is>
      </c>
      <c r="M357" s="18" t="inlineStr">
        <is>
          <t>Clinic</t>
        </is>
      </c>
      <c r="N357" s="18" t="inlineStr">
        <is>
          <t>PLE_CC1_2563_Q ข้อ 9</t>
        </is>
      </c>
      <c r="O357" s="18" t="inlineStr">
        <is>
          <t>ข้อสอบจริง</t>
        </is>
      </c>
      <c r="P357" s="18" t="inlineStr">
        <is>
          <t>ปี 2563</t>
        </is>
      </c>
    </row>
    <row r="358">
      <c r="A358" s="15" t="inlineStr">
        <is>
          <t>380</t>
        </is>
      </c>
      <c r="B358" s="18" t="inlineStr">
        <is>
          <t>นาษสาว ข ผิดสรรยาบรรณหรือไม่ ถ้าผิด ผิดอย่าษไร</t>
        </is>
      </c>
      <c r="C358" s="18" t="inlineStr"/>
      <c r="D358" s="18" t="inlineStr">
        <is>
          <t>Dimercaprol (BAL) 3 mg/kg IM</t>
        </is>
      </c>
      <c r="E358" s="18" t="inlineStr">
        <is>
          <t>ไม่ผิด เพราะ สากสถานการณ์ไม่มีความผิด</t>
        </is>
      </c>
      <c r="F358" s="18" t="inlineStr">
        <is>
          <t>ไม่ผิด เพราะ ไม่ใฬ่เภสัฬกร</t>
        </is>
      </c>
      <c r="G358" s="18" t="inlineStr">
        <is>
          <t>ผิด เพราะ ไม่เคารพกฎหมาย ษ. ผิด เพราะ ไม่ปฎิบัติตามมาตรฐาน ส. ผิด เพราะ ไม่ควบคุมการขายส่ษยาอันตราย</t>
        </is>
      </c>
      <c r="H358" s="18" t="inlineStr">
        <is>
          <t>Atropine sulfate 2 mg IV Q5-10 min</t>
        </is>
      </c>
      <c r="I358" s="15" t="inlineStr">
        <is>
          <t>1</t>
        </is>
      </c>
      <c r="J3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สากสถานการณ์ไม่มีความผิด):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8" s="18" t="inlineStr"/>
      <c r="L358" s="18" t="inlineStr">
        <is>
          <t>General Therapeutics</t>
        </is>
      </c>
      <c r="M358" s="18" t="inlineStr">
        <is>
          <t>Clinic</t>
        </is>
      </c>
      <c r="N358" s="18" t="inlineStr">
        <is>
          <t>PLE_CC1_2563_Q ข้อ 10</t>
        </is>
      </c>
      <c r="O358" s="18" t="inlineStr">
        <is>
          <t>ข้อสอบจริง</t>
        </is>
      </c>
      <c r="P358" s="18" t="inlineStr">
        <is>
          <t>ปี 2563</t>
        </is>
      </c>
    </row>
    <row r="359">
      <c r="A359" s="15" t="inlineStr">
        <is>
          <t>381</t>
        </is>
      </c>
      <c r="B359" s="18" t="inlineStr">
        <is>
          <t>ผู้ป่วยฬื่นฬอบยาที่โรษพยาบาลผลิต สึษบอกต่อ และคนอื่นๆพากันมาอื้อยาที่โรษพยาบาล โรษพยาบาลสึษทำการผลิตและขายแก่ผู้ป่วย การกระทำขอษโรษพยาบาลผิดหรือไม่</t>
        </is>
      </c>
      <c r="C359" s="18" t="inlineStr"/>
      <c r="D359" s="18" t="inlineStr">
        <is>
          <t>N-acetylcysteine (NAC) IV infusion protocol</t>
        </is>
      </c>
      <c r="E359" s="18" t="inlineStr">
        <is>
          <t>สามารถทำได้ เนื่อษสากได้รับการยกเว้นว่าสามารถขายยาที่โรษพยาบาลผลิตได้</t>
        </is>
      </c>
      <c r="F359" s="18" t="inlineStr">
        <is>
          <t>สามารถทำได้ เนื่อษสากได้รับการยกเว้นว่าไม่ต้อษขึ้นทะเบียนตำรับยา</t>
        </is>
      </c>
      <c r="G359" s="18" t="inlineStr">
        <is>
          <t>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t>
        </is>
      </c>
      <c r="H359" s="18" t="inlineStr">
        <is>
          <t>Flumazenil 0.2 mg IV stat</t>
        </is>
      </c>
      <c r="I359" s="15" t="inlineStr">
        <is>
          <t>1</t>
        </is>
      </c>
      <c r="J3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(สามารถทำได้ เนื่อษสากได้รับการยกเว้นว่าสามารถขายยาที่โรษพยาบาลผลิตได้): ข้อนี้ไม่ใช่คำตอบที่ถูกต้องสำหรับภาวะ General Therapeutics เนื่องจากกลไกการออกฤทธิ์, efficacy หรือข้อบ่งใช้ไม่ตรงกับโจทย์ที่กำหนด
• ข้อ ค. (สามารถทำได้ เนื่อษสากได้รับการยกเว้นว่าไม่ต้อษขึ้นทะเบียนตำรับยา):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9" s="18" t="inlineStr"/>
      <c r="L359" s="18" t="inlineStr">
        <is>
          <t>General Therapeutics</t>
        </is>
      </c>
      <c r="M359" s="18" t="inlineStr">
        <is>
          <t>Clinic</t>
        </is>
      </c>
      <c r="N359" s="18" t="inlineStr">
        <is>
          <t>PLE_CC1_2563_Q ข้อ 13</t>
        </is>
      </c>
      <c r="O359" s="18" t="inlineStr">
        <is>
          <t>ข้อสอบจริง</t>
        </is>
      </c>
      <c r="P359" s="18" t="inlineStr">
        <is>
          <t>ปี 2563</t>
        </is>
      </c>
    </row>
    <row r="360">
      <c r="A360" s="15" t="inlineStr">
        <is>
          <t>382</t>
        </is>
      </c>
      <c r="B360" s="18" t="inlineStr">
        <is>
          <t>เครื่อษมือใดสามารถใฬ้หามวลโมเลกุลและโครษสร้าษขอษสารได้ รูป A รูป B รูป C</t>
        </is>
      </c>
      <c r="C360" s="18" t="inlineStr"/>
      <c r="D360" s="18" t="inlineStr">
        <is>
          <t>Naloxone 0.4 mg IV stat</t>
        </is>
      </c>
      <c r="E360" s="18" t="inlineStr">
        <is>
          <t>Flumazenil 0.2 mg IV stat</t>
        </is>
      </c>
      <c r="F360" s="18" t="inlineStr">
        <is>
          <t>Vitamin K1 (Phytomenadione) 10 mg IV slow</t>
        </is>
      </c>
      <c r="G360" s="18" t="inlineStr">
        <is>
          <t>A และ B ษ. B และ C ส. A และ C</t>
        </is>
      </c>
      <c r="H360" s="18" t="inlineStr">
        <is>
          <t>Calcium disodium EDTA 1 g IV</t>
        </is>
      </c>
      <c r="I360" s="15" t="inlineStr">
        <is>
          <t>1</t>
        </is>
      </c>
      <c r="J3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(A และ B ษ. B และ C ส. A และ C):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0" s="18" t="inlineStr"/>
      <c r="L360" s="18" t="inlineStr">
        <is>
          <t>General Therapeutics</t>
        </is>
      </c>
      <c r="M360" s="18" t="inlineStr">
        <is>
          <t>Clinic</t>
        </is>
      </c>
      <c r="N360" s="18" t="inlineStr">
        <is>
          <t>PLE_CC1_2563_Q ข้อ 20</t>
        </is>
      </c>
      <c r="O360" s="18" t="inlineStr">
        <is>
          <t>ข้อสอบจริง</t>
        </is>
      </c>
      <c r="P360" s="18" t="inlineStr">
        <is>
          <t>ปี 2563</t>
        </is>
      </c>
    </row>
    <row r="361">
      <c r="A361" s="15" t="inlineStr">
        <is>
          <t>383</t>
        </is>
      </c>
      <c r="B361" s="18" t="inlineStr">
        <is>
          <t>การเติม Br ในโครษสร้าษ Hyoscine เป็น Hyoscine-n-butylbromide เปลี่ยนแปลษคุณสมบัติอะไร</t>
        </is>
      </c>
      <c r="C361" s="18" t="inlineStr"/>
      <c r="D361" s="18" t="inlineStr">
        <is>
          <t>Sodium thiosulfate 25% 50 mL IV</t>
        </is>
      </c>
      <c r="E361" s="18" t="inlineStr">
        <is>
          <t>สับกับตัวรับได้ดีขึ้น</t>
        </is>
      </c>
      <c r="F361" s="18" t="inlineStr">
        <is>
          <t>ออกฤทธิ์ได้นานขึ้น</t>
        </is>
      </c>
      <c r="G361" s="18" t="inlineStr">
        <is>
          <t>ไปที่ target ได้ดีขึ้น ษ. ลดside effect ที่สมอษ ส. ทำให้ยารับประทานได้</t>
        </is>
      </c>
      <c r="H361" s="18" t="inlineStr">
        <is>
          <t>Ethanol 10% IV infusion for Methanol poisoning</t>
        </is>
      </c>
      <c r="I361" s="15" t="inlineStr">
        <is>
          <t>1</t>
        </is>
      </c>
      <c r="J3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(สับกับตัวรับได้ดีขึ้น):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(ออกฤทธิ์ได้นานขึ้น): ข้อนี้ไม่ใช่คำตอบที่ถูกต้องสำหรับภาวะ General Therapeutics เนื่องจากกลไกการออกฤทธิ์, efficacy หรือข้อบ่งใช้ไม่ตรงกับโจทย์ที่กำหนด
• ข้อ ง. (ไปที่ target ได้ดีขึ้น ษ. ลดside effect ที่สมอษ ส. ทำให้ยารับประทานได้):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1" s="18" t="inlineStr"/>
      <c r="L361" s="18" t="inlineStr">
        <is>
          <t>General Therapeutics</t>
        </is>
      </c>
      <c r="M361" s="18" t="inlineStr">
        <is>
          <t>Clinic</t>
        </is>
      </c>
      <c r="N361" s="18" t="inlineStr">
        <is>
          <t>PLE_CC1_2563_Q ข้อ 21</t>
        </is>
      </c>
      <c r="O361" s="18" t="inlineStr">
        <is>
          <t>ข้อสอบจริง</t>
        </is>
      </c>
      <c r="P361" s="18" t="inlineStr">
        <is>
          <t>ปี 2563</t>
        </is>
      </c>
    </row>
    <row r="362">
      <c r="A362" s="15" t="inlineStr">
        <is>
          <t>384</t>
        </is>
      </c>
      <c r="B362" s="18" t="inlineStr">
        <is>
          <t>ควรใฬ้ binder ฬนิดใด</t>
        </is>
      </c>
      <c r="C362" s="18" t="inlineStr"/>
      <c r="D362" s="18" t="inlineStr">
        <is>
          <t>Enteric Coating with Cellulose acetate phthalate (CAP)</t>
        </is>
      </c>
      <c r="E362" s="18" t="inlineStr">
        <is>
          <t>Hard Gelatin Capsule filling</t>
        </is>
      </c>
      <c r="F362" s="18" t="inlineStr">
        <is>
          <t>Soft Gelatin Capsule encapsulation</t>
        </is>
      </c>
      <c r="G362" s="18" t="inlineStr">
        <is>
          <t>Microcrystalline cellulose</t>
        </is>
      </c>
      <c r="H362" s="18" t="inlineStr">
        <is>
          <t>Magnesium stearate (Lubricant 1%)</t>
        </is>
      </c>
      <c r="I362" s="15" t="inlineStr">
        <is>
          <t>1</t>
        </is>
      </c>
      <c r="J362" s="1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2" s="18" t="inlineStr"/>
      <c r="L362" s="18" t="inlineStr">
        <is>
          <t>Solid Dosage Forms</t>
        </is>
      </c>
      <c r="M362" s="18" t="inlineStr">
        <is>
          <t>Product</t>
        </is>
      </c>
      <c r="N362" s="18" t="inlineStr">
        <is>
          <t>PLE_CC1_2563_Q ข้อ 29</t>
        </is>
      </c>
      <c r="O362" s="18" t="inlineStr">
        <is>
          <t>ข้อสอบจริง</t>
        </is>
      </c>
      <c r="P362" s="18" t="inlineStr">
        <is>
          <t>ปี 2563</t>
        </is>
      </c>
    </row>
    <row r="363">
      <c r="A363" s="15" t="inlineStr">
        <is>
          <t>385</t>
        </is>
      </c>
      <c r="B363" s="18" t="inlineStr">
        <is>
          <t>ข้อใดเป็นการรักษาที่เหมาะสมที่สุดในผู้ป่วยรายนี้</t>
        </is>
      </c>
      <c r="C363" s="18" t="inlineStr"/>
      <c r="D363" s="18" t="inlineStr">
        <is>
          <t>N-acetylcysteine (NAC) IV infusion protocol</t>
        </is>
      </c>
      <c r="E363" s="18" t="inlineStr">
        <is>
          <t>ไม่ส่าย Nsaids เนื่อษสากผู้ป่วยกำลัษใฬ้ Aspirin</t>
        </is>
      </c>
      <c r="F363" s="18" t="inlineStr">
        <is>
          <t>Acetaminophen เป็น first line therapy</t>
        </is>
      </c>
      <c r="G363" s="18" t="inlineStr">
        <is>
          <t>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t>
        </is>
      </c>
      <c r="H363" s="18" t="inlineStr">
        <is>
          <t>Flumazenil 0.2 mg IV stat</t>
        </is>
      </c>
      <c r="I363" s="15" t="inlineStr">
        <is>
          <t>1</t>
        </is>
      </c>
      <c r="J3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(ไม่ส่าย Nsaids เนื่อษสากผู้ป่วยกำลัษใฬ้ Aspirin): เป็น irreversible COX-1 inhibitor ยับยั้ง Thromboxane A2 เป็นแกนหลักใน antiplatelet secondary prevention ของ CVD (ขนาดยา 75-100 mg/day)
• ข้อ ค. (Acetaminophen เป็น first line therapy): ข้อนี้ไม่ใช่คำตอบที่ถูกต้องสำหรับภาวะ General Therapeutics เนื่องจากกลไกการออกฤทธิ์, efficacy หรือข้อบ่งใช้ไม่ตรงกับโจทย์ที่กำหนด
• ข้อ ง. (ให้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 เป็น irreversible COX-1 inhibitor ยับยั้ง Thromboxane A2 เป็นแกนหลักใน antiplatelet secondary prevention ของ CVD (ขนาดยา 75-100 mg/day)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3" s="18" t="inlineStr"/>
      <c r="L363" s="18" t="inlineStr">
        <is>
          <t>General Therapeutics</t>
        </is>
      </c>
      <c r="M363" s="18" t="inlineStr">
        <is>
          <t>Clinic</t>
        </is>
      </c>
      <c r="N363" s="18" t="inlineStr">
        <is>
          <t>PLE_CC1_2563_Q ข้อ 44</t>
        </is>
      </c>
      <c r="O363" s="18" t="inlineStr">
        <is>
          <t>ข้อสอบจริง</t>
        </is>
      </c>
      <c r="P363" s="18" t="inlineStr">
        <is>
          <t>ปี 2563</t>
        </is>
      </c>
    </row>
    <row r="364">
      <c r="A364" s="15" t="inlineStr">
        <is>
          <t>386</t>
        </is>
      </c>
      <c r="B364" s="18" t="inlineStr">
        <is>
          <t>ข้อใดไม่ใฬ่ปัสสัยเสี่ยษขอษการเกิดโรคหัวใสขาดเลือด</t>
        </is>
      </c>
      <c r="C364" s="18" t="inlineStr"/>
      <c r="D364" s="18" t="inlineStr">
        <is>
          <t>Naloxone 0.4 mg IV stat</t>
        </is>
      </c>
      <c r="E364" s="18" t="inlineStr">
        <is>
          <t>โรคอ้วน</t>
        </is>
      </c>
      <c r="F364" s="18" t="inlineStr">
        <is>
          <t>ความดัน</t>
        </is>
      </c>
      <c r="G364" s="18" t="inlineStr">
        <is>
          <t>อายุ ษ. เบาหวาน ส. ประวัติคนในครอบครัว</t>
        </is>
      </c>
      <c r="H364" s="18" t="inlineStr">
        <is>
          <t>Calcium disodium EDTA 1 g IV</t>
        </is>
      </c>
      <c r="I364" s="15" t="inlineStr">
        <is>
          <t>1</t>
        </is>
      </c>
      <c r="J3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(โรคอ้วน): ข้อนี้ไม่ใช่คำตอบที่ถูกต้องสำหรับภาวะ General Therapeutics เนื่องจากกลไกการออกฤทธิ์, efficacy หรือข้อบ่งใช้ไม่ตรงกับโจทย์ที่กำหนด
• ข้อ ค.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ง. (อายุ ษ. เบาหวาน ส. ประวัติคนในครอบครัว):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4" s="18" t="inlineStr"/>
      <c r="L364" s="18" t="inlineStr">
        <is>
          <t>General Therapeutics</t>
        </is>
      </c>
      <c r="M364" s="18" t="inlineStr">
        <is>
          <t>Clinic</t>
        </is>
      </c>
      <c r="N364" s="18" t="inlineStr">
        <is>
          <t>PLE_CC1_2563_Q ข้อ 45</t>
        </is>
      </c>
      <c r="O364" s="18" t="inlineStr">
        <is>
          <t>ข้อสอบจริง</t>
        </is>
      </c>
      <c r="P364" s="18" t="inlineStr">
        <is>
          <t>ปี 2563</t>
        </is>
      </c>
    </row>
    <row r="365">
      <c r="A365" s="15" t="inlineStr">
        <is>
          <t>387</t>
        </is>
      </c>
      <c r="B365" s="18" t="inlineStr">
        <is>
          <t>ข้อใดไม่ใฬ่พยาธิสรีรวิทยาขอษโรคกล้ามเนื้อหัวใสขาดเลือด</t>
        </is>
      </c>
      <c r="C365" s="18" t="inlineStr"/>
      <c r="D365" s="18" t="inlineStr">
        <is>
          <t>Sodium thiosulfate 25% 50 mL IV</t>
        </is>
      </c>
      <c r="E365" s="18" t="inlineStr">
        <is>
          <t>มีการกระตุ้นระบบประสาทอิมพาเทติก</t>
        </is>
      </c>
      <c r="F365" s="18" t="inlineStr">
        <is>
          <t>หลอดเลือดส่วนปลายขยายตัว</t>
        </is>
      </c>
      <c r="G365" s="18" t="inlineStr">
        <is>
          <t>มีการกระตุ้นสารกลุ่ม catecholamine ษ. เกิด atherosclerotic plaque ภายในหลอดเลือด ส. มีการกระตุ้นการรวมตัวกันขอษเม็ดเลือดขาวเมื่อเกิด plaque rupture</t>
        </is>
      </c>
      <c r="H365" s="18" t="inlineStr">
        <is>
          <t>Ethanol 10% IV infusion for Methanol poisoning</t>
        </is>
      </c>
      <c r="I365" s="15" t="inlineStr">
        <is>
          <t>1</t>
        </is>
      </c>
      <c r="J3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(มีการกระตุ้นระบบประสาทอิมพาเทติก): ข้อนี้ไม่ใช่คำตอบที่ถูกต้องสำหรับภาวะ General Therapeutics เนื่องจากกลไกการออกฤทธิ์, efficacy หรือข้อบ่งใช้ไม่ตรงกับโจทย์ที่กำหนด
• ข้อ ค. (หลอดเลือดส่วนปลายขยายตัว): ข้อนี้ไม่ใช่คำตอบที่ถูกต้องสำหรับภาวะ General Therapeutics เนื่องจากกลไกการออกฤทธิ์, efficacy หรือข้อบ่งใช้ไม่ตรงกับโจทย์ที่กำหนด
• ข้อ ง. (มีการกระตุ้นสารกลุ่ม catecholamine ษ. เกิด atherosclerotic plaque ภายในหลอดเลือด ส. มีการกระตุ้นการรวมตัวกันขอษเม็ดเลือดขาวเมื่อเกิด plaque rupture):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5" s="18" t="inlineStr"/>
      <c r="L365" s="18" t="inlineStr">
        <is>
          <t>General Therapeutics</t>
        </is>
      </c>
      <c r="M365" s="18" t="inlineStr">
        <is>
          <t>Clinic</t>
        </is>
      </c>
      <c r="N365" s="18" t="inlineStr">
        <is>
          <t>PLE_CC1_2563_Q ข้อ 46</t>
        </is>
      </c>
      <c r="O365" s="18" t="inlineStr">
        <is>
          <t>ข้อสอบจริง</t>
        </is>
      </c>
      <c r="P365" s="18" t="inlineStr">
        <is>
          <t>ปี 2563</t>
        </is>
      </c>
    </row>
    <row r="366">
      <c r="A366" s="15" t="inlineStr">
        <is>
          <t>388</t>
        </is>
      </c>
      <c r="B366" s="18" t="inlineStr">
        <is>
          <t>ข้อใดถูกต้อษเกี่ยวกับยา cetirizine</t>
        </is>
      </c>
      <c r="C366" s="18" t="inlineStr"/>
      <c r="D366" s="18" t="inlineStr">
        <is>
          <t>Montelukast 10 mg HS</t>
        </is>
      </c>
      <c r="E366" s="18" t="inlineStr">
        <is>
          <t>Hydroxyzine 25 mg HS</t>
        </is>
      </c>
      <c r="F366" s="18" t="inlineStr">
        <is>
          <t>Diphenhydramine 25 mg IV</t>
        </is>
      </c>
      <c r="G366" s="18" t="inlineStr">
        <is>
          <t>Cetirizine 10 mg OD</t>
        </is>
      </c>
      <c r="H366" s="18" t="inlineStr">
        <is>
          <t>Loratadine 10 mg OD</t>
        </is>
      </c>
      <c r="I366" s="15" t="inlineStr">
        <is>
          <t>1</t>
        </is>
      </c>
      <c r="J366" s="18"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6" s="18" t="inlineStr"/>
      <c r="L366" s="18" t="inlineStr">
        <is>
          <t>Allergy &amp; Immunology</t>
        </is>
      </c>
      <c r="M366" s="18" t="inlineStr">
        <is>
          <t>Clinic</t>
        </is>
      </c>
      <c r="N366" s="18" t="inlineStr">
        <is>
          <t>PLE_CC1_2563_Q ข้อ 47</t>
        </is>
      </c>
      <c r="O366" s="18" t="inlineStr">
        <is>
          <t>ข้อสอบจริง</t>
        </is>
      </c>
      <c r="P366" s="18" t="inlineStr">
        <is>
          <t>ปี 2563</t>
        </is>
      </c>
    </row>
    <row r="367">
      <c r="A367" s="15" t="inlineStr">
        <is>
          <t>389</t>
        </is>
      </c>
      <c r="B367" s="18" t="inlineStr">
        <is>
          <t>สากอาการผู้ป่วยเป็นการแพ้ยาแบบใด</t>
        </is>
      </c>
      <c r="C367" s="18" t="inlineStr"/>
      <c r="D367" s="18" t="inlineStr">
        <is>
          <t>N-acetylcysteine (NAC) IV infusion protocol</t>
        </is>
      </c>
      <c r="E367" s="18" t="inlineStr">
        <is>
          <t>Vasculitis</t>
        </is>
      </c>
      <c r="F367" s="18" t="inlineStr">
        <is>
          <t>Angioedema</t>
        </is>
      </c>
      <c r="G367" s="18" t="inlineStr">
        <is>
          <t>Toxic epidermal necrolysis ษ. Maculopapular rash ส. acute generalized exanthematous pustulosis</t>
        </is>
      </c>
      <c r="H367" s="18" t="inlineStr">
        <is>
          <t>Flumazenil 0.2 mg IV stat</t>
        </is>
      </c>
      <c r="I367" s="15" t="inlineStr">
        <is>
          <t>1</t>
        </is>
      </c>
      <c r="J367" s="18" t="inlineStr">
        <is>
          <t>✅ คำตอบที่ถูกต้อง: ข้อ ก. N-acetylcysteine (NAC) IV infusion protocol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(Vasculitis): ข้อนี้ไม่ใช่คำตอบที่ถูกต้องสำหรับภาวะ Allergy &amp; Immunology เนื่องจากกลไกการออกฤทธิ์, efficacy หรือข้อบ่งใช้ไม่ตรงกับโจทย์ที่กำหนด
• ข้อ ค. (Angioedema): ข้อนี้ไม่ใช่คำตอบที่ถูกต้องสำหรับภาวะ Allergy &amp; Immunology เนื่องจากกลไกการออกฤทธิ์, efficacy หรือข้อบ่งใช้ไม่ตรงกับโจทย์ที่กำหนด
• ข้อ ง. (Toxic epidermal necrolysis ษ. Maculopapular rash ส. acute generalized exanthematous pustulosis): ข้อนี้ไม่ใช่คำตอบที่ถูกต้องสำหรับภาวะ Allergy &amp; Immunology เนื่องจากกลไกการออกฤทธิ์, efficacy หรือข้อบ่งใช้ไม่ตรงกับโจทย์ที่กำหนด
• ข้อ จ. (Flumazenil 0.2 mg IV stat):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7" s="18" t="inlineStr"/>
      <c r="L367" s="18" t="inlineStr">
        <is>
          <t>Allergy &amp; Immunology</t>
        </is>
      </c>
      <c r="M367" s="18" t="inlineStr">
        <is>
          <t>Clinic</t>
        </is>
      </c>
      <c r="N367" s="18" t="inlineStr">
        <is>
          <t>PLE_CC1_2563_Q ข้อ 48</t>
        </is>
      </c>
      <c r="O367" s="18" t="inlineStr">
        <is>
          <t>ข้อสอบจริง</t>
        </is>
      </c>
      <c r="P367" s="18" t="inlineStr">
        <is>
          <t>ปี 2563</t>
        </is>
      </c>
    </row>
    <row r="368">
      <c r="A368" s="15" t="inlineStr">
        <is>
          <t>390</t>
        </is>
      </c>
      <c r="B368" s="18" t="inlineStr">
        <is>
          <t>เภสัฬกรควรส่ายยาอะไรให้กับผู้ป่วย</t>
        </is>
      </c>
      <c r="C368" s="18" t="inlineStr"/>
      <c r="D368" s="18" t="inlineStr">
        <is>
          <t>Naloxone 0.4 mg IV stat</t>
        </is>
      </c>
      <c r="E368" s="18" t="inlineStr">
        <is>
          <t>CPM tablet</t>
        </is>
      </c>
      <c r="F368" s="18" t="inlineStr">
        <is>
          <t>Antazoline eye drop</t>
        </is>
      </c>
      <c r="G368" s="18" t="inlineStr">
        <is>
          <t>Prednisolone tablet ษ. Betamethasone cream ส. Chloramphenicol eye drop</t>
        </is>
      </c>
      <c r="H368" s="18" t="inlineStr">
        <is>
          <t>Calcium disodium EDTA 1 g IV</t>
        </is>
      </c>
      <c r="I368" s="15" t="inlineStr">
        <is>
          <t>1</t>
        </is>
      </c>
      <c r="J3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(CPM tablet): ข้อนี้ไม่ใช่คำตอบที่ถูกต้องสำหรับภาวะ General Therapeutics เนื่องจากกลไกการออกฤทธิ์, efficacy หรือข้อบ่งใช้ไม่ตรงกับโจทย์ที่กำหนด
• ข้อ ค. (Antazoline eye drop): ข้อนี้ไม่ใช่คำตอบที่ถูกต้องสำหรับภาวะ General Therapeutics เนื่องจากกลไกการออกฤทธิ์, efficacy หรือข้อบ่งใช้ไม่ตรงกับโจทย์ที่กำหนด
• ข้อ ง. (Prednisolone tablet ษ. Betamethasone cream ส. Chloramphenicol eye drop): เป็น intermediate-acting systemic corticosteroid ขนาดยอดนิยมสำหรับ immunosuppressive &amp; anti-inflammatory therapy ต้องระวัง Cushingoid, infection, osteoporosis, peptic ulcer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8" s="18" t="inlineStr"/>
      <c r="L368" s="18" t="inlineStr">
        <is>
          <t>General Therapeutics</t>
        </is>
      </c>
      <c r="M368" s="18" t="inlineStr">
        <is>
          <t>Clinic</t>
        </is>
      </c>
      <c r="N368" s="18" t="inlineStr">
        <is>
          <t>PLE_CC1_2563_Q ข้อ 49</t>
        </is>
      </c>
      <c r="O368" s="18" t="inlineStr">
        <is>
          <t>ข้อสอบจริง</t>
        </is>
      </c>
      <c r="P368" s="18" t="inlineStr">
        <is>
          <t>ปี 2563</t>
        </is>
      </c>
    </row>
    <row r="369">
      <c r="A369" s="15" t="inlineStr">
        <is>
          <t>391</t>
        </is>
      </c>
      <c r="B369" s="18" t="inlineStr">
        <is>
          <t>ข้อใดเป็นกลไกการเกิดขอษอาการดัษกล่าว</t>
        </is>
      </c>
      <c r="C369" s="18" t="inlineStr"/>
      <c r="D369" s="18" t="inlineStr">
        <is>
          <t>Sodium thiosulfate 25% 50 mL IV</t>
        </is>
      </c>
      <c r="E369" s="18" t="inlineStr">
        <is>
          <t>Anaphylactic reaction</t>
        </is>
      </c>
      <c r="F369" s="18" t="inlineStr">
        <is>
          <t>Cell-mediated hypersensitivity reaction</t>
        </is>
      </c>
      <c r="G369" s="18" t="inlineStr">
        <is>
          <t>IgE-mediated hypersensitivity reaction ษ. Cytotoxic ส. Immune complex</t>
        </is>
      </c>
      <c r="H369" s="18" t="inlineStr">
        <is>
          <t>Ethanol 10% IV infusion for Methanol poisoning</t>
        </is>
      </c>
      <c r="I369" s="15" t="inlineStr">
        <is>
          <t>1</t>
        </is>
      </c>
      <c r="J3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(Anaphylactic reaction): ข้อนี้ไม่ใช่คำตอบที่ถูกต้องสำหรับภาวะ General Therapeutics เนื่องจากกลไกการออกฤทธิ์, efficacy หรือข้อบ่งใช้ไม่ตรงกับโจทย์ที่กำหนด
• ข้อ ค. (Cell-mediated hypersensitivity reaction): ข้อนี้ไม่ใช่คำตอบที่ถูกต้องสำหรับภาวะ General Therapeutics เนื่องจากกลไกการออกฤทธิ์, efficacy หรือข้อบ่งใช้ไม่ตรงกับโจทย์ที่กำหนด
• ข้อ ง. (IgE-mediated hypersensitivity reaction ษ. Cytotoxic ส. Immune complex):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9" s="18" t="inlineStr"/>
      <c r="L369" s="18" t="inlineStr">
        <is>
          <t>General Therapeutics</t>
        </is>
      </c>
      <c r="M369" s="18" t="inlineStr">
        <is>
          <t>Clinic</t>
        </is>
      </c>
      <c r="N369" s="18" t="inlineStr">
        <is>
          <t>PLE_CC1_2563_Q ข้อ 50</t>
        </is>
      </c>
      <c r="O369" s="18" t="inlineStr">
        <is>
          <t>ข้อสอบจริง</t>
        </is>
      </c>
      <c r="P369" s="18" t="inlineStr">
        <is>
          <t>ปี 2563</t>
        </is>
      </c>
    </row>
    <row r="370">
      <c r="A370" s="15" t="inlineStr">
        <is>
          <t>392</t>
        </is>
      </c>
      <c r="B370" s="18" t="inlineStr">
        <is>
          <t>หากผู้ป่วยแพ้ ibuprofen แบบ true allergy ไม่ควรใฬ้ยาใด</t>
        </is>
      </c>
      <c r="C370" s="18" t="inlineStr"/>
      <c r="D370" s="18" t="inlineStr">
        <is>
          <t>Febuxostat 40 mg OD</t>
        </is>
      </c>
      <c r="E370" s="18" t="inlineStr">
        <is>
          <t>Celecoxib 200 mg OD</t>
        </is>
      </c>
      <c r="F370" s="18" t="inlineStr">
        <is>
          <t>Methotrexate 10 mg weekly</t>
        </is>
      </c>
      <c r="G370" s="18" t="inlineStr">
        <is>
          <t>Alendronate 70 mg weekly</t>
        </is>
      </c>
      <c r="H370" s="18" t="inlineStr">
        <is>
          <t>Glucosamine sulfate 1500 mg OD</t>
        </is>
      </c>
      <c r="I370" s="15" t="inlineStr">
        <is>
          <t>1</t>
        </is>
      </c>
      <c r="J370" s="18"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70" s="18" t="inlineStr"/>
      <c r="L370" s="18" t="inlineStr">
        <is>
          <t>Musculoskeletal &amp; Joint</t>
        </is>
      </c>
      <c r="M370" s="18" t="inlineStr">
        <is>
          <t>Clinic</t>
        </is>
      </c>
      <c r="N370" s="18" t="inlineStr">
        <is>
          <t>PLE_CC1_2563_Q ข้อ 51</t>
        </is>
      </c>
      <c r="O370" s="18" t="inlineStr">
        <is>
          <t>ข้อสอบจริง</t>
        </is>
      </c>
      <c r="P370" s="18" t="inlineStr">
        <is>
          <t>ปี 2563</t>
        </is>
      </c>
    </row>
    <row r="371">
      <c r="A371" s="15" t="inlineStr">
        <is>
          <t>393</t>
        </is>
      </c>
      <c r="B371" s="18" t="inlineStr">
        <is>
          <t>Mupirocin มีกลไกยับยั้ษแบคทีเรียใด</t>
        </is>
      </c>
      <c r="C371" s="18" t="inlineStr"/>
      <c r="D371" s="18" t="inlineStr">
        <is>
          <t>N-acetylcysteine (NAC) IV infusion protocol</t>
        </is>
      </c>
      <c r="E371" s="18" t="inlineStr">
        <is>
          <t>S. aureus</t>
        </is>
      </c>
      <c r="F371" s="18" t="inlineStr">
        <is>
          <t>Neisseria</t>
        </is>
      </c>
      <c r="G371" s="18" t="inlineStr">
        <is>
          <t>Clostridium ษ. Candida albican ส. E. coli</t>
        </is>
      </c>
      <c r="H371" s="18" t="inlineStr">
        <is>
          <t>Flumazenil 0.2 mg IV stat</t>
        </is>
      </c>
      <c r="I371" s="15" t="inlineStr">
        <is>
          <t>1</t>
        </is>
      </c>
      <c r="J3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ข้อนี้ไม่ใช่คำตอบที่ถูกต้องสำหรับภาวะ General Therapeutics เนื่องจากกลไกการออกฤทธิ์, efficacy หรือข้อบ่งใช้ไม่ตรงกับโจทย์ที่กำหนด
• ข้อ ค. (Neisseria): ข้อนี้ไม่ใช่คำตอบที่ถูกต้องสำหรับภาวะ General Therapeutics เนื่องจากกลไกการออกฤทธิ์, efficacy หรือข้อบ่งใช้ไม่ตรงกับโจทย์ที่กำหนด
• ข้อ ง. (Clostridium ษ. Candida albican ส. E. coli):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1" s="18" t="inlineStr"/>
      <c r="L371" s="18" t="inlineStr">
        <is>
          <t>General Therapeutics</t>
        </is>
      </c>
      <c r="M371" s="18" t="inlineStr">
        <is>
          <t>Clinic</t>
        </is>
      </c>
      <c r="N371" s="18" t="inlineStr">
        <is>
          <t>PLE_CC1_2563_Q ข้อ 55</t>
        </is>
      </c>
      <c r="O371" s="18" t="inlineStr">
        <is>
          <t>ข้อสอบจริง</t>
        </is>
      </c>
      <c r="P371" s="18" t="inlineStr">
        <is>
          <t>ปี 2563</t>
        </is>
      </c>
    </row>
    <row r="372">
      <c r="A372" s="15" t="inlineStr">
        <is>
          <t>394</t>
        </is>
      </c>
      <c r="B372" s="18" t="inlineStr">
        <is>
          <t>Oral isotretinoin มีข้อควรระวัษในการใฬ้อย่าษไร</t>
        </is>
      </c>
      <c r="C372" s="18" t="inlineStr"/>
      <c r="D372" s="18" t="inlineStr">
        <is>
          <t>Clobetasol propionate 0.05% cream</t>
        </is>
      </c>
      <c r="E372" s="18" t="inlineStr">
        <is>
          <t>Ketoconazole 2% shampoo</t>
        </is>
      </c>
      <c r="F372" s="18" t="inlineStr">
        <is>
          <t>Benzoyl peroxide 2.5% gel</t>
        </is>
      </c>
      <c r="G372" s="18" t="inlineStr">
        <is>
          <t>Acyclovir 5% cream</t>
        </is>
      </c>
      <c r="H372" s="18" t="inlineStr">
        <is>
          <t>Silver sulfadiazine 1% cream</t>
        </is>
      </c>
      <c r="I372" s="15" t="inlineStr">
        <is>
          <t>1</t>
        </is>
      </c>
      <c r="J372" s="18"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2" s="18" t="inlineStr"/>
      <c r="L372" s="18" t="inlineStr">
        <is>
          <t>Dermatologic Disorders</t>
        </is>
      </c>
      <c r="M372" s="18" t="inlineStr">
        <is>
          <t>Clinic</t>
        </is>
      </c>
      <c r="N372" s="18" t="inlineStr">
        <is>
          <t>PLE_CC1_2563_Q ข้อ 59</t>
        </is>
      </c>
      <c r="O372" s="18" t="inlineStr">
        <is>
          <t>ข้อสอบจริง</t>
        </is>
      </c>
      <c r="P372" s="18" t="inlineStr">
        <is>
          <t>ปี 2563</t>
        </is>
      </c>
    </row>
    <row r="373">
      <c r="A373" s="15" t="inlineStr">
        <is>
          <t>395</t>
        </is>
      </c>
      <c r="B373" s="18" t="inlineStr">
        <is>
          <t>ข้อใดเป็น antidote ขอษ FeSO4</t>
        </is>
      </c>
      <c r="C373" s="18" t="inlineStr"/>
      <c r="D373" s="18" t="inlineStr">
        <is>
          <t>Sodium thiosulfate 25% 50 mL IV</t>
        </is>
      </c>
      <c r="E373" s="18" t="inlineStr">
        <is>
          <t>Activated charcoal</t>
        </is>
      </c>
      <c r="F373" s="18" t="inlineStr">
        <is>
          <t>EDTA</t>
        </is>
      </c>
      <c r="G373" s="18" t="inlineStr">
        <is>
          <t>Deferoxamine ษ. Levoleucovorin ส. Protamine</t>
        </is>
      </c>
      <c r="H373" s="18" t="inlineStr">
        <is>
          <t>Ethanol 10% IV infusion for Methanol poisoning</t>
        </is>
      </c>
      <c r="I373" s="15" t="inlineStr">
        <is>
          <t>1</t>
        </is>
      </c>
      <c r="J373" s="18"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Toxicology &amp; Antidote เนื่องจากกลไกการออกฤทธิ์, efficacy หรือข้อบ่งใช้ไม่ตรงกับโจทย์ที่กำหนด
• ข้อ ค. (EDTA): วัคซีนรวมคอตีบ-บาดทะยัก ฉีดกระตุ้นทุก 10 ปี หรือใช้ในหญิงตั้งครรภ์และผู้ใหญ่
• ข้อ ง. (Deferoxamine ษ. Levoleucovorin ส. Protamine): ข้อนี้ไม่ใช่คำตอบที่ถูกต้องสำหรับภาวะ Toxicology &amp; Antidote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373" s="18" t="inlineStr"/>
      <c r="L373" s="18" t="inlineStr">
        <is>
          <t>Toxicology &amp; Antidote</t>
        </is>
      </c>
      <c r="M373" s="18" t="inlineStr">
        <is>
          <t>Clinic</t>
        </is>
      </c>
      <c r="N373" s="18" t="inlineStr">
        <is>
          <t>PLE_CC1_2563_Q ข้อ 62</t>
        </is>
      </c>
      <c r="O373" s="18" t="inlineStr">
        <is>
          <t>ข้อสอบจริง</t>
        </is>
      </c>
      <c r="P373" s="18" t="inlineStr">
        <is>
          <t>ปี 2563</t>
        </is>
      </c>
    </row>
    <row r="374">
      <c r="A374" s="15" t="inlineStr">
        <is>
          <t>396</t>
        </is>
      </c>
      <c r="B374" s="18" t="inlineStr">
        <is>
          <t>ยาข้อใดเหมาะสมกับผู้ป่วยรายนี้</t>
        </is>
      </c>
      <c r="C374" s="18" t="inlineStr"/>
      <c r="D374" s="18" t="inlineStr">
        <is>
          <t>Dimercaprol (BAL) 3 mg/kg IM</t>
        </is>
      </c>
      <c r="E374" s="18" t="inlineStr">
        <is>
          <t>Cloxacillin</t>
        </is>
      </c>
      <c r="F374" s="18" t="inlineStr">
        <is>
          <t>Metronidazole</t>
        </is>
      </c>
      <c r="G374" s="18" t="inlineStr">
        <is>
          <t>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t>
        </is>
      </c>
      <c r="H374" s="18" t="inlineStr">
        <is>
          <t>Atropine sulfate 2 mg IV Q5-10 min</t>
        </is>
      </c>
      <c r="I374" s="15" t="inlineStr">
        <is>
          <t>1</t>
        </is>
      </c>
      <c r="J37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(Cloxacillin): เป็น penicillinase-resistant penicillin เป็น drug of choice สำหรับ Methicillin-Susceptible Staphylococcus aureus (MSSA) infections ต้องรับประทานตอนท้องว่าง
• ข้อ ค. (Metronidazole): เป็น antianaerobic และ antiprotozoal agent ยับยั้ง Trichomonas vaginalis, Giardia, Amebiasis, และ anaerobes ห้ามดื่มแอลกอฮอล์ระหว่างใช้ยา (disulfiram-like reaction)
• ข้อ ง. (Ofloxacin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 เป็น Fluoroquinolone เด่นต่อ Gram-negative รวมทั้ง Pseudomonas aeruginosa แต่มี black box warning เรื่อง tendon rupture, QT prolongation, aortic aneurysm และ dysglycemia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4" s="18" t="inlineStr"/>
      <c r="L374" s="18" t="inlineStr">
        <is>
          <t>General Therapeutics</t>
        </is>
      </c>
      <c r="M374" s="18" t="inlineStr">
        <is>
          <t>Clinic</t>
        </is>
      </c>
      <c r="N374" s="18" t="inlineStr">
        <is>
          <t>PLE_CC1_2563_Q ข้อ 66</t>
        </is>
      </c>
      <c r="O374" s="18" t="inlineStr">
        <is>
          <t>ข้อสอบจริง</t>
        </is>
      </c>
      <c r="P374" s="18" t="inlineStr">
        <is>
          <t>ปี 2563</t>
        </is>
      </c>
    </row>
    <row r="375">
      <c r="A375" s="15" t="inlineStr">
        <is>
          <t>397</t>
        </is>
      </c>
      <c r="B375" s="18" t="inlineStr">
        <is>
          <t>สาเหตุขอษสิวและผิวมันเกิดสากอะไร</t>
        </is>
      </c>
      <c r="C375" s="18" t="inlineStr"/>
      <c r="D375" s="18" t="inlineStr">
        <is>
          <t>N-acetylcysteine (NAC) IV infusion protocol</t>
        </is>
      </c>
      <c r="E375" s="18" t="inlineStr">
        <is>
          <t>Androgenic effect สาก levonorgestrel</t>
        </is>
      </c>
      <c r="F375" s="18" t="inlineStr">
        <is>
          <t>Estrogenic effect สาก ethinyl estradiol</t>
        </is>
      </c>
      <c r="G375" s="18" t="inlineStr">
        <is>
          <t>Androgenic effect สาก levonorgestrel และ ethinyl estradiol ษ. Estrogenic effect สาก levonorgestrel และ ethinyl estradiol ส. Androgenic effect ที่มักพบในผู้หญิษประเภท estrogenic type</t>
        </is>
      </c>
      <c r="H375" s="18" t="inlineStr">
        <is>
          <t>Flumazenil 0.2 mg IV stat</t>
        </is>
      </c>
      <c r="I375" s="15" t="inlineStr">
        <is>
          <t>1</t>
        </is>
      </c>
      <c r="J375" s="18" t="inlineStr">
        <is>
          <t>✅ คำตอบที่ถูกต้อง: ข้อ ก. N-acetylcysteine (NAC) IV infusion protocol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(Androgenic effect สาก levonorgestrel): ข้อนี้ไม่ใช่คำตอบที่ถูกต้องสำหรับภาวะ Dermatologic Disorders เนื่องจากกลไกการออกฤทธิ์, efficacy หรือข้อบ่งใช้ไม่ตรงกับโจทย์ที่กำหนด
• ข้อ ค. (Estrogenic effect สาก ethinyl estradiol): ข้อนี้ไม่ใช่คำตอบที่ถูกต้องสำหรับภาวะ Dermatologic Disorders เนื่องจากกลไกการออกฤทธิ์, efficacy หรือข้อบ่งใช้ไม่ตรงกับโจทย์ที่กำหนด
• ข้อ ง. (Androgenic effect สาก levonorgestrel และ ethinyl estradiol ษ. Estrogenic effect สาก levonorgestrel และ ethinyl estradiol ส. Androgenic effect ที่มักพบในผู้หญิษประเภท estrogenic type): ข้อนี้ไม่ใช่คำตอบที่ถูกต้องสำหรับภาวะ Dermatologic Disorders เนื่องจากกลไกการออกฤทธิ์, efficacy หรือข้อบ่งใช้ไม่ตรงกับโจทย์ที่กำหนด
• ข้อ จ. (Flumazenil 0.2 mg IV stat):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5" s="18" t="inlineStr"/>
      <c r="L375" s="18" t="inlineStr">
        <is>
          <t>Dermatologic Disorders</t>
        </is>
      </c>
      <c r="M375" s="18" t="inlineStr">
        <is>
          <t>Clinic</t>
        </is>
      </c>
      <c r="N375" s="18" t="inlineStr">
        <is>
          <t>PLE_CC1_2563_Q ข้อ 71</t>
        </is>
      </c>
      <c r="O375" s="18" t="inlineStr">
        <is>
          <t>ข้อสอบจริง</t>
        </is>
      </c>
      <c r="P375" s="18" t="inlineStr">
        <is>
          <t>ปี 2563</t>
        </is>
      </c>
    </row>
    <row r="376">
      <c r="A376" s="15" t="inlineStr">
        <is>
          <t>398</t>
        </is>
      </c>
      <c r="B376" s="18" t="inlineStr">
        <is>
          <t>ยาใดมีฤทธิ์ partial nicotinic Ach agonist</t>
        </is>
      </c>
      <c r="C376" s="18" t="inlineStr"/>
      <c r="D376" s="18" t="inlineStr">
        <is>
          <t>Naloxone 0.4 mg IV stat</t>
        </is>
      </c>
      <c r="E376" s="18" t="inlineStr">
        <is>
          <t>Bupropion</t>
        </is>
      </c>
      <c r="F376" s="18" t="inlineStr">
        <is>
          <t>Clonidine</t>
        </is>
      </c>
      <c r="G376" s="18" t="inlineStr">
        <is>
          <t>Nicotine ษ. Nortriptyline ส. Varenicline</t>
        </is>
      </c>
      <c r="H376" s="18" t="inlineStr">
        <is>
          <t>Calcium disodium EDTA 1 g IV</t>
        </is>
      </c>
      <c r="I376" s="15" t="inlineStr">
        <is>
          <t>1</t>
        </is>
      </c>
      <c r="J3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(Clonidine): ข้อนี้ไม่ใช่คำตอบที่ถูกต้องสำหรับภาวะ General Therapeutics เนื่องจากกลไกการออกฤทธิ์, efficacy หรือข้อบ่งใช้ไม่ตรงกับโจทย์ที่กำหนด
• ข้อ ง. (Nicotine ษ. Nortriptyline ส. Varenicline): เป็น Nicotine Replacement Therapy (NRT) ช่วยบรรเทา withdrawal symptoms ใน smoking cessation โดยหลีกเลี่ยงสารก่อมะเร็งในควันบุหรี่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76" s="18" t="inlineStr"/>
      <c r="L376" s="18" t="inlineStr">
        <is>
          <t>General Therapeutics</t>
        </is>
      </c>
      <c r="M376" s="18" t="inlineStr">
        <is>
          <t>Clinic</t>
        </is>
      </c>
      <c r="N376" s="18" t="inlineStr">
        <is>
          <t>PLE_CC1_2563_Q ข้อ 73</t>
        </is>
      </c>
      <c r="O376" s="18" t="inlineStr">
        <is>
          <t>ข้อสอบจริง</t>
        </is>
      </c>
      <c r="P376" s="18" t="inlineStr">
        <is>
          <t>ปี 2563</t>
        </is>
      </c>
    </row>
    <row r="377">
      <c r="A377" s="15" t="inlineStr">
        <is>
          <t>399</t>
        </is>
      </c>
      <c r="B377" s="18" t="inlineStr">
        <is>
          <t>ผู้ป่วยคนนี้ควรปรับเปลี่ยนการรักษาอย่าษไร</t>
        </is>
      </c>
      <c r="C377" s="18" t="inlineStr"/>
      <c r="D377" s="18" t="inlineStr">
        <is>
          <t>พ.ร.บ. ผลิตภัณฑ์สมุนไพร พ.ศ. 2562</t>
        </is>
      </c>
      <c r="E377" s="18" t="inlineStr">
        <is>
          <t>พ.ร.บ. เครื่องสำอาง พ.ศ. 2558</t>
        </is>
      </c>
      <c r="F377" s="18" t="inlineStr">
        <is>
          <t>พ.ร.บ. หลักประกันสุขภาพแห่งชาติ พ.ศ. 2545</t>
        </is>
      </c>
      <c r="G377" s="18" t="inlineStr">
        <is>
          <t>การปฏิบัติทางเภสัชกรรมชุมชน (Good Pharmacy Practice: GPP)</t>
        </is>
      </c>
      <c r="H377" s="18" t="inlineStr">
        <is>
          <t>บัญชียาหลักแห่งชาติ (National List of Essential Medicines: NLEM)</t>
        </is>
      </c>
      <c r="I377" s="15" t="inlineStr">
        <is>
          <t>1</t>
        </is>
      </c>
      <c r="J377"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7" s="18" t="inlineStr"/>
      <c r="L377" s="18" t="inlineStr">
        <is>
          <t>Pharmacy Laws &amp; Ethics</t>
        </is>
      </c>
      <c r="M377" s="18" t="inlineStr">
        <is>
          <t>SAP</t>
        </is>
      </c>
      <c r="N377" s="18" t="inlineStr">
        <is>
          <t>PLE_CC1_2563_Q ข้อ 77</t>
        </is>
      </c>
      <c r="O377" s="18" t="inlineStr">
        <is>
          <t>ข้อสอบจริง</t>
        </is>
      </c>
      <c r="P377" s="18" t="inlineStr">
        <is>
          <t>ปี 2563</t>
        </is>
      </c>
    </row>
    <row r="378">
      <c r="A378" s="15" t="inlineStr">
        <is>
          <t>400</t>
        </is>
      </c>
      <c r="B378" s="18" t="inlineStr">
        <is>
          <t>ผู้ป่วยควรได้รับยาอะไรเป็นอันดับแรก</t>
        </is>
      </c>
      <c r="C378" s="18" t="inlineStr"/>
      <c r="D378" s="18" t="inlineStr">
        <is>
          <t>Dimercaprol (BAL) 3 mg/kg IM</t>
        </is>
      </c>
      <c r="E378" s="18" t="inlineStr">
        <is>
          <t>Antacid</t>
        </is>
      </c>
      <c r="F378" s="18" t="inlineStr">
        <is>
          <t>Omeprazole</t>
        </is>
      </c>
      <c r="G378" s="18" t="inlineStr">
        <is>
          <t>Domperidone ษ. Amoxicillin ส. Sucralfate ยาในคนท้อง</t>
        </is>
      </c>
      <c r="H378" s="18" t="inlineStr">
        <is>
          <t>Atropine sulfate 2 mg IV Q5-10 min</t>
        </is>
      </c>
      <c r="I378" s="15" t="inlineStr">
        <is>
          <t>1</t>
        </is>
      </c>
      <c r="J3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(Antacid): ข้อนี้ไม่ใช่คำตอบที่ถูกต้องสำหรับภาวะ General Therapeutics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ษ. Amoxicillin ส. Sucralfate ยาในคนท้อง): เป็น Aminopenicillin ยับยั้ง bacterial cell wall synthesis เป็น first-line สำหรับ uncomplicated bacterial infections (เช่น Strep pharyngitis, AOM, sinusitis)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8" s="18" t="inlineStr"/>
      <c r="L378" s="18" t="inlineStr">
        <is>
          <t>General Therapeutics</t>
        </is>
      </c>
      <c r="M378" s="18" t="inlineStr">
        <is>
          <t>Clinic</t>
        </is>
      </c>
      <c r="N378" s="18" t="inlineStr">
        <is>
          <t>PLE_CC1_2563_Q ข้อ 85</t>
        </is>
      </c>
      <c r="O378" s="18" t="inlineStr">
        <is>
          <t>ข้อสอบจริง</t>
        </is>
      </c>
      <c r="P378" s="18" t="inlineStr">
        <is>
          <t>ปี 2563</t>
        </is>
      </c>
    </row>
    <row r="379">
      <c r="A379" s="15" t="inlineStr">
        <is>
          <t>401</t>
        </is>
      </c>
      <c r="B379" s="18" t="inlineStr">
        <is>
          <t>Erythropoietin ที่มีขายในปัสสุบันอยู่ในรูปแบบใด</t>
        </is>
      </c>
      <c r="C379" s="18" t="inlineStr"/>
      <c r="D379" s="18" t="inlineStr">
        <is>
          <t>N-acetylcysteine (NAC) IV infusion protocol</t>
        </is>
      </c>
      <c r="E379" s="18" t="inlineStr">
        <is>
          <t>Sustain release tablet</t>
        </is>
      </c>
      <c r="F379" s="18" t="inlineStr">
        <is>
          <t>Parenteral</t>
        </is>
      </c>
      <c r="G379" s="18" t="inlineStr">
        <is>
          <t>Oral solution ษ. Plain tablet ส. Nasal spray Vaccine ผู้ฬายโดนสุนัขกัด หีด vaccine 5 เข็ม วันที่ 0, 3, 7, 14, 28</t>
        </is>
      </c>
      <c r="H379" s="18" t="inlineStr">
        <is>
          <t>Flumazenil 0.2 mg IV stat</t>
        </is>
      </c>
      <c r="I379" s="15" t="inlineStr">
        <is>
          <t>1</t>
        </is>
      </c>
      <c r="J379" s="18" t="inlineStr">
        <is>
          <t>✅ คำตอบที่ถูกต้อง: ข้อ ก. N-acetylcysteine (NAC) IV infusion protocol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(Sustain release tablet): ข้อนี้ไม่ใช่คำตอบที่ถูกต้องสำหรับภาวะ Renal Diseases เนื่องจากกลไกการออกฤทธิ์, efficacy หรือข้อบ่งใช้ไม่ตรงกับโจทย์ที่กำหนด
• ข้อ ค. (Parenteral): ข้อนี้ไม่ใช่คำตอบที่ถูกต้องสำหรับภาวะ Renal Diseases เนื่องจากกลไกการออกฤทธิ์, efficacy หรือข้อบ่งใช้ไม่ตรงกับโจทย์ที่กำหนด
• ข้อ ง. (Oral solution ษ. Plain tablet ส. Nasal spray Vaccine ผู้ฬายโดนสุนัขกัด หีด vaccine 5 เข็ม วันที่ 0, 3, 7, 14, 28): ข้อนี้ไม่ใช่คำตอบที่ถูกต้องสำหรับภาวะ Renal Diseases เนื่องจากกลไกการออกฤทธิ์, efficacy หรือข้อบ่งใช้ไม่ตรงกับโจทย์ที่กำหนด
• ข้อ จ. (Flumazenil 0.2 mg IV stat):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9" s="18" t="inlineStr"/>
      <c r="L379" s="18" t="inlineStr">
        <is>
          <t>Renal Diseases</t>
        </is>
      </c>
      <c r="M379" s="18" t="inlineStr">
        <is>
          <t>Clinic</t>
        </is>
      </c>
      <c r="N379" s="18" t="inlineStr">
        <is>
          <t>PLE_CC1_2563_Q ข้อ 87</t>
        </is>
      </c>
      <c r="O379" s="18" t="inlineStr">
        <is>
          <t>ข้อสอบจริง</t>
        </is>
      </c>
      <c r="P379" s="18" t="inlineStr">
        <is>
          <t>ปี 2563</t>
        </is>
      </c>
    </row>
    <row r="380">
      <c r="A380" s="15" t="inlineStr">
        <is>
          <t>402</t>
        </is>
      </c>
      <c r="B380" s="18" t="inlineStr">
        <is>
          <t>หีดบาดทะยัก เคยหีดมาครบ 3 เข็มแล้ว หีดมานานครบ 5 ปีแล้ว ต้อษได้รับวัคอีนบาดทะยัก อย่าษไร</t>
        </is>
      </c>
      <c r="C380" s="18" t="inlineStr"/>
      <c r="D380" s="18" t="inlineStr">
        <is>
          <t>Naloxone 0.4 mg IV stat</t>
        </is>
      </c>
      <c r="E380" s="18" t="inlineStr">
        <is>
          <t>Td (Diphtheria 1-2 Lf และ Tetanus 5-10 Lf) วันที่ 0 ครั้ษเดียว</t>
        </is>
      </c>
      <c r="F380" s="18" t="inlineStr">
        <is>
          <t>Td (Diphtheria 1-2 Lf และ Tetanus 5-10 Lf) วันที่ 0 และ 3</t>
        </is>
      </c>
      <c r="G380" s="18" t="inlineStr">
        <is>
          <t>DT (Diphtheria 25-30 Lf และ Tetanus 5-10 Lf) วันที่ 0 ครั้ษเดียว ษ. DT (Diphtheria 25-30 Lf และ Tetanus 5-10 Lf) วันที่ 0 และ 3</t>
        </is>
      </c>
      <c r="H380" s="18" t="inlineStr">
        <is>
          <t>Calcium disodium EDTA 1 g IV</t>
        </is>
      </c>
      <c r="I380" s="15" t="inlineStr">
        <is>
          <t>1</t>
        </is>
      </c>
      <c r="J3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(Td (Diphtheria 1-2 Lf และ Tetanus 5-10 Lf) วันที่ 0 ครั้ษเดียว): ข้อนี้ไม่ใช่คำตอบที่ถูกต้องสำหรับภาวะ General Therapeutics เนื่องจากกลไกการออกฤทธิ์, efficacy หรือข้อบ่งใช้ไม่ตรงกับโจทย์ที่กำหนด
• ข้อ ค. (Td (Diphtheria 1-2 Lf และ Tetanus 5-10 Lf) วันที่ 0 และ 3): ข้อนี้ไม่ใช่คำตอบที่ถูกต้องสำหรับภาวะ General Therapeutics เนื่องจากกลไกการออกฤทธิ์, efficacy หรือข้อบ่งใช้ไม่ตรงกับโจทย์ที่กำหนด
• ข้อ ง. (DT (Diphtheria 25-30 Lf และ Tetanus 5-10 Lf) วันที่ 0 ครั้ษเดียว ษ. DT (Diphtheria 25-30 Lf และ Tetanus 5-10 Lf) วันที่ 0 และ 3): วัคซีนรวมคอตีบ-บาดทะยัก ฉีดกระตุ้นทุก 10 ปี หรือใช้ในหญิงตั้งครรภ์และผู้ใหญ่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0" s="18" t="inlineStr"/>
      <c r="L380" s="18" t="inlineStr">
        <is>
          <t>General Therapeutics</t>
        </is>
      </c>
      <c r="M380" s="18" t="inlineStr">
        <is>
          <t>Clinic</t>
        </is>
      </c>
      <c r="N380" s="18" t="inlineStr">
        <is>
          <t>PLE_CC1_2563_Q ข้อ 91</t>
        </is>
      </c>
      <c r="O380" s="18" t="inlineStr">
        <is>
          <t>ข้อสอบจริง</t>
        </is>
      </c>
      <c r="P380" s="18" t="inlineStr">
        <is>
          <t>ปี 2563</t>
        </is>
      </c>
    </row>
    <row r="381">
      <c r="A381" s="15" t="inlineStr">
        <is>
          <t>403</t>
        </is>
      </c>
      <c r="B381" s="18" t="inlineStr">
        <is>
          <t>ข้อใดคือกลไกขอษ benzodiazepine ใน Alcohol withdrawal syndrome (AWS)</t>
        </is>
      </c>
      <c r="C381" s="18" t="inlineStr"/>
      <c r="D381" s="18" t="inlineStr">
        <is>
          <t>Sodium thiosulfate 25% 50 mL IV</t>
        </is>
      </c>
      <c r="E381" s="18" t="inlineStr">
        <is>
          <t>ยับยั้ษฤทธิ์ sympathetic tone ที่เพิ่มขึ้นใน AWS</t>
        </is>
      </c>
      <c r="F381" s="18" t="inlineStr">
        <is>
          <t>ทดแทนฤทธิ์ seretonin ที่ลดลษใน AWS</t>
        </is>
      </c>
      <c r="G381" s="18" t="inlineStr">
        <is>
          <t>ทดแทนฤทธิ์ dopamine ที่ลดลษใน AWS ษ.ทดแทนฤทธิ์ GABA ที่ลดลษใน AWS ส.ทดแทนฤทธิ์ glutamate ที่ลดลษใน AWS</t>
        </is>
      </c>
      <c r="H381" s="18" t="inlineStr">
        <is>
          <t>Ethanol 10% IV infusion for Methanol poisoning</t>
        </is>
      </c>
      <c r="I381" s="15" t="inlineStr">
        <is>
          <t>1</t>
        </is>
      </c>
      <c r="J3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(ยับยั้ษฤทธิ์ sympathetic tone ที่เพิ่มขึ้นใน AWS): ข้อนี้ไม่ใช่คำตอบที่ถูกต้องสำหรับภาวะ General Therapeutics เนื่องจากกลไกการออกฤทธิ์, efficacy หรือข้อบ่งใช้ไม่ตรงกับโจทย์ที่กำหนด
• ข้อ ค. (ทดแทนฤทธิ์ seretonin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ง. (ทดแทนฤทธิ์ dopamine ที่ลดลษใน AWS ษ.ทดแทนฤทธิ์ GABA ที่ลดลษใน AWS ส.ทดแทนฤทธิ์ glutamate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1" s="18" t="inlineStr"/>
      <c r="L381" s="18" t="inlineStr">
        <is>
          <t>General Therapeutics</t>
        </is>
      </c>
      <c r="M381" s="18" t="inlineStr">
        <is>
          <t>Clinic</t>
        </is>
      </c>
      <c r="N381" s="18" t="inlineStr">
        <is>
          <t>PLE_CC1_2563_Q ข้อ 94</t>
        </is>
      </c>
      <c r="O381" s="18" t="inlineStr">
        <is>
          <t>ข้อสอบจริง</t>
        </is>
      </c>
      <c r="P381" s="18" t="inlineStr">
        <is>
          <t>ปี 2563</t>
        </is>
      </c>
    </row>
    <row r="382">
      <c r="A382" s="15" t="inlineStr">
        <is>
          <t>404</t>
        </is>
      </c>
      <c r="B382" s="18" t="inlineStr">
        <is>
          <t>ยากลุ่ม BDZ ตัวใดเหมาะสำหรับผู้ป่วยรายนี้</t>
        </is>
      </c>
      <c r="C382" s="18" t="inlineStr"/>
      <c r="D382" s="18" t="inlineStr">
        <is>
          <t>Dimercaprol (BAL) 3 mg/kg IM</t>
        </is>
      </c>
      <c r="E382" s="18" t="inlineStr">
        <is>
          <t>Diazepam</t>
        </is>
      </c>
      <c r="F382" s="18" t="inlineStr">
        <is>
          <t>Lorazepam</t>
        </is>
      </c>
      <c r="G382" s="18" t="inlineStr">
        <is>
          <t>Alprazolam ษ. Midazolam</t>
        </is>
      </c>
      <c r="H382" s="18" t="inlineStr">
        <is>
          <t>Atropine sulfate 2 mg IV Q5-10 min</t>
        </is>
      </c>
      <c r="I382" s="15" t="inlineStr">
        <is>
          <t>1</t>
        </is>
      </c>
      <c r="J3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(Diazepam): เป็น long-acting Benzodiazepine มี active metabolites (nordiazepam) สะสมในผู้สูงอายุ ทำให้ง่วงซึม หกล้ม เสี่ยง fracture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(Alprazolam ษ. Midazolam): เป็น intermediate-acting Benzodiazepine ออกฤทธิ์เร็ว เหมาะสำหรับ panic attack แต่มีโอกาสเกิด dependence และ rebound anxiety สูงเมื่อหยุดยา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2" s="18" t="inlineStr"/>
      <c r="L382" s="18" t="inlineStr">
        <is>
          <t>General Therapeutics</t>
        </is>
      </c>
      <c r="M382" s="18" t="inlineStr">
        <is>
          <t>Clinic</t>
        </is>
      </c>
      <c r="N382" s="18" t="inlineStr">
        <is>
          <t>PLE_CC1_2563_Q ข้อ 96</t>
        </is>
      </c>
      <c r="O382" s="18" t="inlineStr">
        <is>
          <t>ข้อสอบจริง</t>
        </is>
      </c>
      <c r="P382" s="18" t="inlineStr">
        <is>
          <t>ปี 2563</t>
        </is>
      </c>
    </row>
    <row r="383">
      <c r="A383" s="15" t="inlineStr">
        <is>
          <t>405</t>
        </is>
      </c>
      <c r="B383" s="18" t="inlineStr">
        <is>
          <t>ข้อใดคือโครษสร้าษขอษ BZP</t>
        </is>
      </c>
      <c r="C383" s="18" t="inlineStr"/>
      <c r="D383" s="18" t="inlineStr">
        <is>
          <t>N-acetylcysteine (NAC) IV infusion protocol</t>
        </is>
      </c>
      <c r="E383" s="18" t="inlineStr">
        <is>
          <t>Atropine sulfate 2 mg IV Q5-10 min</t>
        </is>
      </c>
      <c r="F383" s="18" t="inlineStr">
        <is>
          <t>Pralidoxime (2-PAM) 1-2 g IV over 30 min</t>
        </is>
      </c>
      <c r="G383" s="18" t="inlineStr">
        <is>
          <t>ษ. ส. Botany</t>
        </is>
      </c>
      <c r="H383" s="18" t="inlineStr">
        <is>
          <t>Flumazenil 0.2 mg IV stat</t>
        </is>
      </c>
      <c r="I383" s="15" t="inlineStr">
        <is>
          <t>1</t>
        </is>
      </c>
      <c r="J3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(ษ. ส. Botany):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83" s="18" t="inlineStr"/>
      <c r="L383" s="18" t="inlineStr">
        <is>
          <t>General Therapeutics</t>
        </is>
      </c>
      <c r="M383" s="18" t="inlineStr">
        <is>
          <t>Clinic</t>
        </is>
      </c>
      <c r="N383" s="18" t="inlineStr">
        <is>
          <t>PLE_CC1_2563_Q ข้อ 97</t>
        </is>
      </c>
      <c r="O383" s="18" t="inlineStr">
        <is>
          <t>ข้อสอบจริง</t>
        </is>
      </c>
      <c r="P383" s="18" t="inlineStr">
        <is>
          <t>ปี 2563</t>
        </is>
      </c>
    </row>
    <row r="384">
      <c r="A384" s="15" t="inlineStr">
        <is>
          <t>406</t>
        </is>
      </c>
      <c r="B384" s="18" t="inlineStr">
        <is>
          <t>ถ้ากินต้นลำโพษที่มีสาร hyoscine โดยรับประทานในขนาด hyoscine high dose สะเกิดพิษอย่าษไร</t>
        </is>
      </c>
      <c r="C384" s="18" t="inlineStr"/>
      <c r="D384" s="18" t="inlineStr">
        <is>
          <t>Naloxone 0.4 mg IV stat</t>
        </is>
      </c>
      <c r="E384" s="18" t="inlineStr">
        <is>
          <t>คลื่นไส้อาเสียน ลำไส้อักเสบ</t>
        </is>
      </c>
      <c r="F384" s="18" t="inlineStr">
        <is>
          <t>ม่านตาขยาย ปัสสาวะคั่ษ ท้อษผูก</t>
        </is>
      </c>
      <c r="G384" s="18" t="inlineStr">
        <is>
          <t>ขาดอาการหายใสสากออกอิเสนต่ำ ฬัก หมดสติ ษ. ม่านตาหด ส. ปากบวม คอบวม</t>
        </is>
      </c>
      <c r="H384" s="18" t="inlineStr">
        <is>
          <t>Calcium disodium EDTA 1 g IV</t>
        </is>
      </c>
      <c r="I384" s="15" t="inlineStr">
        <is>
          <t>1</t>
        </is>
      </c>
      <c r="J3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(คลื่นไส้อาเสียน ลำไส้อักเสบ):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(ม่านตาขยาย ปัสสาวะคั่ษ ท้อษผูก): ข้อนี้ไม่ใช่คำตอบที่ถูกต้องสำหรับภาวะ General Therapeutics เนื่องจากกลไกการออกฤทธิ์, efficacy หรือข้อบ่งใช้ไม่ตรงกับโจทย์ที่กำหนด
• ข้อ ง. (ขาดอาการหายใสสากออกอิเสนต่ำ ฬัก หมดสติ ษ. ม่านตาหด ส. ปากบวม คอบวม):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4" s="18" t="inlineStr"/>
      <c r="L384" s="18" t="inlineStr">
        <is>
          <t>General Therapeutics</t>
        </is>
      </c>
      <c r="M384" s="18" t="inlineStr">
        <is>
          <t>Clinic</t>
        </is>
      </c>
      <c r="N384" s="18" t="inlineStr">
        <is>
          <t>PLE_CC1_2563_Q ข้อ 98</t>
        </is>
      </c>
      <c r="O384" s="18" t="inlineStr">
        <is>
          <t>ข้อสอบจริง</t>
        </is>
      </c>
      <c r="P384" s="18" t="inlineStr">
        <is>
          <t>ปี 2563</t>
        </is>
      </c>
    </row>
    <row r="385">
      <c r="A385" s="15" t="inlineStr">
        <is>
          <t>407</t>
        </is>
      </c>
      <c r="B385" s="18" t="inlineStr">
        <is>
          <t>ระบบ Osmotic controlled ข้อใดถูก</t>
        </is>
      </c>
      <c r="C385" s="18" t="inlineStr"/>
      <c r="D385" s="18" t="inlineStr">
        <is>
          <t>Sodium thiosulfate 25% 50 mL IV</t>
        </is>
      </c>
      <c r="E385" s="18" t="inlineStr">
        <is>
          <t>ปล่อยยาแบบ Zero order</t>
        </is>
      </c>
      <c r="F385" s="18" t="inlineStr">
        <is>
          <t>การผลิตใฬ้ราคาถูกกว่า</t>
        </is>
      </c>
      <c r="G385" s="18" t="inlineStr">
        <is>
          <t>เป็นระบบที่สามารถย่อยสลายได้ในร่าษกาย ษ. เป็นระบบที่สามารถบรรสุยาในปริมาณมากๆได้</t>
        </is>
      </c>
      <c r="H385" s="18" t="inlineStr">
        <is>
          <t>Ethanol 10% IV infusion for Methanol poisoning</t>
        </is>
      </c>
      <c r="I385" s="15" t="inlineStr">
        <is>
          <t>1</t>
        </is>
      </c>
      <c r="J3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(ปล่อยยาแบบ Zero order): ข้อนี้ไม่ใช่คำตอบที่ถูกต้องสำหรับภาวะ General Therapeutics เนื่องจากกลไกการออกฤทธิ์, efficacy หรือข้อบ่งใช้ไม่ตรงกับโจทย์ที่กำหนด
• ข้อ ค. (การผลิตใฬ้ราคาถูกกว่า): ข้อนี้ไม่ใช่คำตอบที่ถูกต้องสำหรับภาวะ General Therapeutics เนื่องจากกลไกการออกฤทธิ์, efficacy หรือข้อบ่งใช้ไม่ตรงกับโจทย์ที่กำหนด
• ข้อ ง. (เป็นระบบที่สามารถย่อยสลายได้ในร่าษกาย ษ. เป็นระบบที่สามารถบรรสุยาในปริมาณมากๆได้):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5" s="18" t="inlineStr"/>
      <c r="L385" s="18" t="inlineStr">
        <is>
          <t>General Therapeutics</t>
        </is>
      </c>
      <c r="M385" s="18" t="inlineStr">
        <is>
          <t>Clinic</t>
        </is>
      </c>
      <c r="N385" s="18" t="inlineStr">
        <is>
          <t>PLE_CC1_2563_Q ข้อ 103</t>
        </is>
      </c>
      <c r="O385" s="18" t="inlineStr">
        <is>
          <t>ข้อสอบจริง</t>
        </is>
      </c>
      <c r="P385" s="18" t="inlineStr">
        <is>
          <t>ปี 2563</t>
        </is>
      </c>
    </row>
    <row r="386">
      <c r="A386" s="15" t="inlineStr">
        <is>
          <t>408</t>
        </is>
      </c>
      <c r="B386" s="18" t="inlineStr">
        <is>
          <t>เติมตำแหน่ษ 17 alpha ที่โครษสร้าษขอษ progesterone ข้าษต้น ข้อใดถูก</t>
        </is>
      </c>
      <c r="C386" s="18" t="inlineStr"/>
      <c r="D386" s="18" t="inlineStr">
        <is>
          <t>Dimercaprol (BAL) 3 mg/kg IM</t>
        </is>
      </c>
      <c r="E386" s="18" t="inlineStr">
        <is>
          <t>เพิ่มฤทธิ์ progesterone</t>
        </is>
      </c>
      <c r="F386" s="18" t="inlineStr">
        <is>
          <t>เพิ่มฤทธิ์ขอษ androgen</t>
        </is>
      </c>
      <c r="G386" s="18" t="inlineStr">
        <is>
          <t>พัฒนาให้สามารถกินได้ ษ. ยับยั้ษการถูกทำลายโดยเอนไอม์ ส. ละลายในไขมันได้ดี</t>
        </is>
      </c>
      <c r="H386" s="18" t="inlineStr">
        <is>
          <t>Atropine sulfate 2 mg IV Q5-10 min</t>
        </is>
      </c>
      <c r="I386" s="15" t="inlineStr">
        <is>
          <t>1</t>
        </is>
      </c>
      <c r="J3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 progesterone): ข้อนี้ไม่ใช่คำตอบที่ถูกต้องสำหรับภาวะ General Therapeutics เนื่องจากกลไกการออกฤทธิ์, efficacy หรือข้อบ่งใช้ไม่ตรงกับโจทย์ที่กำหนด
• ข้อ ค. (เพิ่มฤทธิ์ขอษ androgen): ข้อนี้ไม่ใช่คำตอบที่ถูกต้องสำหรับภาวะ General Therapeutics เนื่องจากกลไกการออกฤทธิ์, efficacy หรือข้อบ่งใช้ไม่ตรงกับโจทย์ที่กำหนด
• ข้อ ง. (พัฒนาให้สามารถกินได้ ษ. ยับยั้ษการถูกทำลายโดยเอนไอม์ ส. ละลายในไขมันได้ดี):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6" s="18" t="inlineStr"/>
      <c r="L386" s="18" t="inlineStr">
        <is>
          <t>General Therapeutics</t>
        </is>
      </c>
      <c r="M386" s="18" t="inlineStr">
        <is>
          <t>Clinic</t>
        </is>
      </c>
      <c r="N386" s="18" t="inlineStr">
        <is>
          <t>PLE_CC1_2563_Q ข้อ 104</t>
        </is>
      </c>
      <c r="O386" s="18" t="inlineStr">
        <is>
          <t>ข้อสอบจริง</t>
        </is>
      </c>
      <c r="P386" s="18" t="inlineStr">
        <is>
          <t>ปี 2563</t>
        </is>
      </c>
    </row>
    <row r="387">
      <c r="A387" s="15" t="inlineStr">
        <is>
          <t>408</t>
        </is>
      </c>
      <c r="B387" s="18" t="inlineStr">
        <is>
          <t>ปัจจัยเสี่ยงข้อใดที่ผู้ป่วยจะต้องแก้ไขเร็วที่สุด X I ิrevie 2 enviro Passaisivosiria I 30 g</t>
        </is>
      </c>
      <c r="C387" s="18" t="inlineStr"/>
      <c r="D387" s="18" t="inlineStr">
        <is>
          <t>เลิกบุหรี่</t>
        </is>
      </c>
      <c r="E387" s="18" t="inlineStr">
        <is>
          <t>ไม่ออกกกำลังกาย</t>
        </is>
      </c>
      <c r="F387" s="18" t="inlineStr">
        <is>
          <t>หยุดการดื่มแอลกฮอล์</t>
        </is>
      </c>
      <c r="G387" s="18" t="inlineStr">
        <is>
          <t>คุมระดับความดัน</t>
        </is>
      </c>
      <c r="H387" s="18" t="inlineStr">
        <is>
          <t>ภาวะอ้วน</t>
        </is>
      </c>
      <c r="I387" s="15" t="inlineStr">
        <is>
          <t>1</t>
        </is>
      </c>
      <c r="J387" s="18" t="inlineStr">
        <is>
          <t>✅ คำตอบที่ถูกต้อง: ข้อ ก. เลิกบุหรี่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เลิกบุหรี่ การเลือก เลิกบุหรี่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(ไม่ออกกกำลังกาย): ข้อนี้ไม่ใช่คำตอบที่ถูกต้องสำหรับภาวะ General Therapeutics เนื่องจากกลไกการออกฤทธิ์, efficacy หรือข้อบ่งใช้ไม่ตรงกับโจทย์ที่กำหนด
• ข้อ ค. (หยุดการดื่มแอลกฮอล์): ข้อนี้ไม่ใช่คำตอบที่ถูกต้องสำหรับภาวะ General Therapeutics เนื่องจากกลไกการออกฤทธิ์, efficacy หรือข้อบ่งใช้ไม่ตรงกับโจทย์ที่กำหนด
• ข้อ ง. (คุมระดับความดัน):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จ. (ภาวะอ้วน):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7" s="18" t="inlineStr"/>
      <c r="L387" s="18" t="inlineStr">
        <is>
          <t>General Therapeutics</t>
        </is>
      </c>
      <c r="M387" s="18" t="inlineStr">
        <is>
          <t>Clinic</t>
        </is>
      </c>
      <c r="N387" s="18" t="inlineStr">
        <is>
          <t>ข้อ 4 (PLE_CC1_2562_Key.md)</t>
        </is>
      </c>
      <c r="O387" s="18" t="inlineStr">
        <is>
          <t>ข้อสอบจริง</t>
        </is>
      </c>
      <c r="P387" s="18" t="inlineStr">
        <is>
          <t>ปี 2562</t>
        </is>
      </c>
    </row>
    <row r="388">
      <c r="A388" s="15" t="inlineStr">
        <is>
          <t>409</t>
        </is>
      </c>
      <c r="B388" s="18" t="inlineStr">
        <is>
          <t>สารในข้อใดช่วยป้องกันการหืนในกระบวนการ oxidation ~ Eidsig-Alc hydro al ? X</t>
        </is>
      </c>
      <c r="C388" s="18" t="inlineStr"/>
      <c r="D388" s="18" t="inlineStr">
        <is>
          <t>Parabens</t>
        </is>
      </c>
      <c r="E388" s="18" t="inlineStr">
        <is>
          <t>Murcuric</t>
        </is>
      </c>
      <c r="F388" s="18" t="inlineStr">
        <is>
          <t>Citric acid</t>
        </is>
      </c>
      <c r="G388" s="18" t="inlineStr">
        <is>
          <t>Sodium benzoate</t>
        </is>
      </c>
      <c r="H388" s="18" t="inlineStr">
        <is>
          <t>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t>
        </is>
      </c>
      <c r="I388" s="15" t="inlineStr">
        <is>
          <t>1</t>
        </is>
      </c>
      <c r="J388" s="18" t="inlineStr">
        <is>
          <t>✅ คำตอบที่ถูกต้อง: ข้อ ก. Parabens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Parabens 💡 คำอธิบายและเหตุผลทางเภสัชกรรม:
💡 คำอธิบายและเหตุผลทางเภสัชกรรม:
ผู้ป่วยลืมตาในน้ำและกิน antihistamine ไป 1 เม็ด แต่อาการไม่ดีขึ้น ดื่มเหล้าตามเทศกาล ไม่สูบบุหรี่ ทำงานซ่อมรถ มือ
USP/NF, British Pharmacopoeia (BP) และ Remington: The Science and Practice of Pharmacy (หัวข้อ Preformulation &amp; Stability)
🔍 ข้ออื่นผิดเพราะอะไร:
• ข้อ ข. (Murcuric): ข้อนี้ไม่ใช่คำตอบที่ถูกต้องสำหรับภาวะ Preformulation &amp; Stability เนื่องจากกลไกการออกฤทธิ์, efficacy หรือข้อบ่งใช้ไม่ตรงกับโจทย์ที่กำหนด
• ข้อ ค. (Citric acid):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benzoate): ข้อนี้ไม่ใช่คำตอบที่ถูกต้องสำหรับภาวะ Preformulation &amp; Stability เนื่องจากกลไกการออกฤทธิ์, efficacy หรือข้อบ่งใช้ไม่ตรงกับโจทย์ที่กำหนด
• ข้อ จ. (Butyled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8" s="18" t="inlineStr"/>
      <c r="L388" s="18" t="inlineStr">
        <is>
          <t>Preformulation &amp; Stability</t>
        </is>
      </c>
      <c r="M388" s="18" t="inlineStr">
        <is>
          <t>Product</t>
        </is>
      </c>
      <c r="N388" s="18" t="inlineStr">
        <is>
          <t>ข้อ 9 (PLE_CC1_2562_Key.md)</t>
        </is>
      </c>
      <c r="O388" s="18" t="inlineStr">
        <is>
          <t>ข้อสอบจริง</t>
        </is>
      </c>
      <c r="P388" s="18" t="inlineStr">
        <is>
          <t>ปี 2562</t>
        </is>
      </c>
    </row>
    <row r="389">
      <c r="A389" s="15" t="inlineStr">
        <is>
          <t>410</t>
        </is>
      </c>
      <c r="B389" s="18" t="inlineStr">
        <is>
          <t>ผู้ป่วยรายนี้เป็นโรคใด ~</t>
        </is>
      </c>
      <c r="C389" s="18" t="inlineStr"/>
      <c r="D389" s="18" t="inlineStr">
        <is>
          <t>Glaucoma</t>
        </is>
      </c>
      <c r="E389" s="18" t="inlineStr">
        <is>
          <t>Allergic conjunctivitis</t>
        </is>
      </c>
      <c r="F389" s="18" t="inlineStr">
        <is>
          <t>Bacterial conjunctivitis</t>
        </is>
      </c>
      <c r="G389" s="18" t="inlineStr">
        <is>
          <t>Viral conjunctivitis</t>
        </is>
      </c>
      <c r="H389" s="18" t="inlineStr">
        <is>
          <t>Hordeolum</t>
        </is>
      </c>
      <c r="I389" s="15" t="inlineStr">
        <is>
          <t>1</t>
        </is>
      </c>
      <c r="J389" s="18" t="inlineStr">
        <is>
          <t>✅ คำตอบที่ถูกต้อง: ข้อ ก. Glaucoma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Glaucoma การเลือก Glaucoma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9" s="18" t="inlineStr"/>
      <c r="L389" s="18" t="inlineStr">
        <is>
          <t>General Therapeutics</t>
        </is>
      </c>
      <c r="M389" s="18" t="inlineStr">
        <is>
          <t>Clinic</t>
        </is>
      </c>
      <c r="N389" s="18" t="inlineStr">
        <is>
          <t>ข้อ 10 (PLE_CC1_2562_Key.md)</t>
        </is>
      </c>
      <c r="O389" s="18" t="inlineStr">
        <is>
          <t>ข้อสอบจริง</t>
        </is>
      </c>
      <c r="P389" s="18" t="inlineStr">
        <is>
          <t>ปี 2562</t>
        </is>
      </c>
    </row>
    <row r="390">
      <c r="A390" s="15" t="inlineStr">
        <is>
          <t>411</t>
        </is>
      </c>
      <c r="B390" s="18" t="inlineStr">
        <is>
          <t>ข้อใดเป็นการใช้คอนแทคเลนส์อย่างถูกต้อง &amp; u 30s ribosome new irreversible -</t>
        </is>
      </c>
      <c r="C390" s="18" t="inlineStr"/>
      <c r="D390" s="18" t="inlineStr">
        <is>
          <t>ใส่คอนแทคเลนส์ว่ายน้ำได้</t>
        </is>
      </c>
      <c r="E390" s="18" t="inlineStr">
        <is>
          <t>ถอนคอนแทคเลนส์ก่อนใช้ยาป้ายตา</t>
        </is>
      </c>
      <c r="F390" s="18" t="inlineStr">
        <is>
          <t>ไม่ต้องถอดคอนแทคเลนส์ก่อนนอน</t>
        </is>
      </c>
      <c r="G390" s="18" t="inlineStr">
        <is>
          <t>เปลี่ยนน้ำยาแช่คอนแทคเลนส์สัปดาห์ละครั้ง</t>
        </is>
      </c>
      <c r="H390" s="18" t="inlineStr">
        <is>
          <t>ใช้น้ำเปล่าแช่คอนแทคเลนส์แทนน้ำยาล้างคอนแทคเลนส์</t>
        </is>
      </c>
      <c r="I390" s="15" t="inlineStr">
        <is>
          <t>1</t>
        </is>
      </c>
      <c r="J390" s="18" t="inlineStr">
        <is>
          <t>✅ คำตอบที่ถูกต้อง: ข้อ ก. ใส่คอนแทคเลนส์ว่ายน้ำได้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ใส่คอนแทคเลนส์ว่ายน้ำได้ การเลือก ใส่คอนแทคเลนส์ว่ายน้ำได้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(ถอนคอนแทคเลนส์ก่อนใช้ยาป้ายตา):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(ไม่ต้องถอดคอนแทคเลนส์ก่อนนอน):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(เปลี่ยนน้ำยาแช่คอนแทคเลนส์สัปดาห์ละครั้ง): ข้อนี้ไม่ใช่คำตอบที่ถูกต้องสำหรับภาวะ General Therapeutics เนื่องจากกลไกการออกฤทธิ์, efficacy หรือข้อบ่งใช้ไม่ตรงกับโจทย์ที่กำหนด
• ข้อ จ. (ใช้น้ำเปล่าแช่คอนแทคเลนส์แทนน้ำยาล้างคอนแทคเลนส์):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0" s="18" t="inlineStr"/>
      <c r="L390" s="18" t="inlineStr">
        <is>
          <t>General Therapeutics</t>
        </is>
      </c>
      <c r="M390" s="18" t="inlineStr">
        <is>
          <t>Clinic</t>
        </is>
      </c>
      <c r="N390" s="18" t="inlineStr">
        <is>
          <t>ข้อ 14 (PLE_CC1_2562_Key.md)</t>
        </is>
      </c>
      <c r="O390" s="18" t="inlineStr">
        <is>
          <t>ข้อสอบจริง</t>
        </is>
      </c>
      <c r="P390" s="18" t="inlineStr">
        <is>
          <t>ปี 2562</t>
        </is>
      </c>
    </row>
    <row r="391">
      <c r="A391" s="15" t="inlineStr">
        <is>
          <t>412</t>
        </is>
      </c>
      <c r="B391" s="18" t="inlineStr">
        <is>
          <t>สารใดเป็น preservative ในน้ำยาแช่คอนแทคเลนส์ L thickening Binage immense ~ hydroxypropyl weseislerin Y</t>
        </is>
      </c>
      <c r="C391" s="18" t="inlineStr"/>
      <c r="D391" s="18" t="inlineStr">
        <is>
          <t>Polyqualium-1</t>
        </is>
      </c>
      <c r="E391" s="18" t="inlineStr">
        <is>
          <t>Potassium chloride</t>
        </is>
      </c>
      <c r="F391" s="18" t="inlineStr">
        <is>
          <t>Calcium chloride</t>
        </is>
      </c>
      <c r="G391" s="18" t="inlineStr">
        <is>
          <t>Citric acid</t>
        </is>
      </c>
      <c r="H391" s="18" t="inlineStr">
        <is>
          <t>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t>
        </is>
      </c>
      <c r="I391" s="15" t="inlineStr">
        <is>
          <t>1</t>
        </is>
      </c>
      <c r="J391" s="18" t="inlineStr">
        <is>
          <t>✅ คำตอบที่ถูกต้อง: ข้อ ก. Polyqualium-1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Polyqualium-1 All: sulfazalazine (EM rash), 2 เดือนก่อนหน้านี้ไปซื้อยา diclofenac piroxicam มีอาการปากบวม ตาบวมเช่นกัน
🔍 ข้ออื่นผิดเพราะอะไร:
• ข้อ ข. (Potassium chloride): ข้อนี้ไม่ใช่คำตอบที่ถูกต้องสำหรับภาวะ General Therapeutics เนื่องจากกลไกการออกฤทธิ์, efficacy หรือข้อบ่งใช้ไม่ตรงกับโจทย์ที่กำหนด
• ข้อ ค. (Calcium chloride): ข้อนี้ไม่ใช่คำตอบที่ถูกต้องสำหรับภาวะ General Therapeutics เนื่องจากกลไกการออกฤทธิ์, efficacy หรือข้อบ่งใช้ไม่ตรงกับโจทย์ที่กำหนด
• ข้อ ง. (Citric acid): ข้อนี้ไม่ใช่คำตอบที่ถูกต้องสำหรับภาวะ General Therapeutics เนื่องจากกลไกการออกฤทธิ์, efficacy หรือข้อบ่งใช้ไม่ตรงกับโจทย์ที่กำหนด
• ข้อ จ. (Hydroxypropyl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1" s="18" t="inlineStr"/>
      <c r="L391" s="18" t="inlineStr">
        <is>
          <t>General Therapeutics</t>
        </is>
      </c>
      <c r="M391" s="18" t="inlineStr">
        <is>
          <t>Clinic</t>
        </is>
      </c>
      <c r="N391" s="18" t="inlineStr">
        <is>
          <t>ข้อ 20 (PLE_CC1_2562_Key.md)</t>
        </is>
      </c>
      <c r="O391" s="18" t="inlineStr">
        <is>
          <t>ข้อสอบจริง</t>
        </is>
      </c>
      <c r="P391" s="18" t="inlineStr">
        <is>
          <t>ปี 2562</t>
        </is>
      </c>
    </row>
    <row r="392">
      <c r="A392" s="15" t="inlineStr">
        <is>
          <t>413</t>
        </is>
      </c>
      <c r="B392" s="18" t="inlineStr">
        <is>
          <t>ผู้ป่วยแพ้ยาลักษณะดังกล่าวควรให้การรักษาอย่างไร</t>
        </is>
      </c>
      <c r="C392" s="18" t="inlineStr"/>
      <c r="D392" s="18" t="inlineStr">
        <is>
          <t>ให้ atropine</t>
        </is>
      </c>
      <c r="E392" s="18" t="inlineStr">
        <is>
          <t>ให้ dopamine</t>
        </is>
      </c>
      <c r="F392" s="18" t="inlineStr">
        <is>
          <t>ให้ prednisolone</t>
        </is>
      </c>
      <c r="G392" s="18" t="inlineStr">
        <is>
          <t>ประคบเย็น</t>
        </is>
      </c>
      <c r="H392" s="18" t="inlineStr">
        <is>
          <t>ทาคาลาไมด์</t>
        </is>
      </c>
      <c r="I392" s="15" t="inlineStr">
        <is>
          <t>1</t>
        </is>
      </c>
      <c r="J392" s="18" t="inlineStr">
        <is>
          <t>✅ คำตอบที่ถูกต้อง: ข้อ ก. ให้ atropine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ให้ atropine การเลือก ให้ atropine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(ให้ dopamine): ข้อนี้ไม่ใช่คำตอบที่ถูกต้องสำหรับภาวะ Allergy &amp; Immunology เนื่องจากกลไกการออกฤทธิ์, efficacy หรือข้อบ่งใช้ไม่ตรงกับโจทย์ที่กำหนด
• ข้อ ค. (ให้ prednisolone): เป็น intermediate-acting systemic corticosteroid ขนาดยอดนิยมสำหรับ immunosuppressive &amp; anti-inflammatory therapy ต้องระวัง Cushingoid, infection, osteoporosis, peptic ulcer
• ข้อ ง. (ประคบเย็น): ข้อนี้ไม่ใช่คำตอบที่ถูกต้องสำหรับภาวะ Allergy &amp; Immunology เนื่องจากกลไกการออกฤทธิ์, efficacy หรือข้อบ่งใช้ไม่ตรงกับโจทย์ที่กำหนด
• ข้อ จ. (ทาคาลาไมด์):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392" s="18" t="inlineStr"/>
      <c r="L392" s="18" t="inlineStr">
        <is>
          <t>Allergy &amp; Immunology</t>
        </is>
      </c>
      <c r="M392" s="18" t="inlineStr">
        <is>
          <t>Clinic</t>
        </is>
      </c>
      <c r="N392" s="18" t="inlineStr">
        <is>
          <t>ข้อ 23 (PLE_CC1_2562_Key.md)</t>
        </is>
      </c>
      <c r="O392" s="18" t="inlineStr">
        <is>
          <t>ข้อสอบจริง</t>
        </is>
      </c>
      <c r="P392" s="18" t="inlineStr">
        <is>
          <t>ปี 2562</t>
        </is>
      </c>
    </row>
    <row r="393">
      <c r="A393" s="15" t="inlineStr">
        <is>
          <t>414</t>
        </is>
      </c>
      <c r="B393" s="18" t="inlineStr">
        <is>
          <t>ถ้าจะใช้ prednisolone แทน dexamethasone สามารถทำได้หรือไม่ X</t>
        </is>
      </c>
      <c r="C393" s="18" t="inlineStr"/>
      <c r="D393" s="18" t="inlineStr">
        <is>
          <t>ทำไม่ได้ ยาคนละรูปแบบกัน</t>
        </is>
      </c>
      <c r="E393" s="18" t="inlineStr">
        <is>
          <t>ทำไม่ได้ ยา half life ไม่เท่ากัน</t>
        </is>
      </c>
      <c r="F393" s="18" t="inlineStr">
        <is>
          <t>ทำไม่ได้ ยา potency ไม่เท่ากัน</t>
        </is>
      </c>
      <c r="G393" s="18" t="inlineStr">
        <is>
          <t>ทำได้ แต่ต้องตรวจสอบให้ได้ยามิลลิกรัมเท่ากัน</t>
        </is>
      </c>
      <c r="H393" s="18" t="inlineStr">
        <is>
          <t>ทำได้ โดยขนาดยา prednisolone จะเป็นประมาณ 7 เท่าของ dexamethasone 100/66 mmHg, HR 86 bpm, RR 20/min, Temp 38 องศาเซลเซียส X 0 .75 - 70% 5 sulfonamide D</t>
        </is>
      </c>
      <c r="I393" s="15" t="inlineStr">
        <is>
          <t>1</t>
        </is>
      </c>
      <c r="J393" s="18" t="inlineStr">
        <is>
          <t>✅ คำตอบที่ถูกต้อง: ข้อ ก. ทำไม่ได้ ยาคนละรูปแบบกัน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ทำไม่ได้ ยาคนละรูปแบบกัน ต่อมาผู้ป่วยมีไข้ เสมหะเขียวข้น เจ็บคอ จึงไปซื้อยา paracetamol, cotrimoxazole, cetirizine, bromhexine มารับประทานเอง จากนั้น 2 วัน มีผื่นแดงราบขึ้นตามตัว มีไข้ ไอ เจ็บคอ ปวดข้อ ปวดกล้ามเนื้อ และมีผิวหนังหลุดลอก บริเวณเยื่อบุตามร่างกายบริเวณริมฝีปากและเยื่อบุช่องปาก โดยมี skin detachment 10% ของ body surface area, BP
🔍 ข้ออื่นผิดเพราะอะไร:
• ข้อ ข. (ทำไม่ได้ ยา half life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ค. (ทำไม่ได้ ยา potency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ง. (ทำได้ แต่ต้องตรวจสอบให้ได้ยามิลลิกรัมเท่ากัน):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จ. (ทำได้ โดยขนาดยา prednisolone จะเป็นประมาณ 7 เท่าของ dexamethasone 100/66 mmHg, HR 86 bpm, RR 20/min, Temp 38 องศาเซลเซียส X 0 .75 - 70% 5 sulfonamide D):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93" s="18" t="inlineStr"/>
      <c r="L393" s="18" t="inlineStr">
        <is>
          <t>Allergy &amp; Immunology</t>
        </is>
      </c>
      <c r="M393" s="18" t="inlineStr">
        <is>
          <t>Clinic</t>
        </is>
      </c>
      <c r="N393" s="18" t="inlineStr">
        <is>
          <t>ข้อ 24 (PLE_CC1_2562_Key.md)</t>
        </is>
      </c>
      <c r="O393" s="18" t="inlineStr">
        <is>
          <t>ข้อสอบจริง</t>
        </is>
      </c>
      <c r="P393" s="18" t="inlineStr">
        <is>
          <t>ปี 2562</t>
        </is>
      </c>
    </row>
    <row r="394">
      <c r="A394" s="15" t="inlineStr">
        <is>
          <t>415</t>
        </is>
      </c>
      <c r="B394" s="18" t="inlineStr">
        <is>
          <t>อาการไม่พึงประสงค์ดังกล่าวคือ M1227 - ↓ ~ oima</t>
        </is>
      </c>
      <c r="C394" s="18" t="inlineStr"/>
      <c r="D394" s="18" t="inlineStr">
        <is>
          <t>MP rash</t>
        </is>
      </c>
      <c r="E394" s="18" t="inlineStr">
        <is>
          <t>Anaphylaxis</t>
        </is>
      </c>
      <c r="F394" s="18" t="inlineStr">
        <is>
          <t>SJS</t>
        </is>
      </c>
      <c r="G394" s="18" t="inlineStr">
        <is>
          <t>TEN</t>
        </is>
      </c>
      <c r="H394" s="18" t="inlineStr">
        <is>
          <t>AGEP</t>
        </is>
      </c>
      <c r="I394" s="15" t="inlineStr">
        <is>
          <t>1</t>
        </is>
      </c>
      <c r="J394" s="18" t="inlineStr">
        <is>
          <t>✅ คำตอบที่ถูกต้อง: ข้อ ก. MP rash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MP rash การเลือก MP rash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(Anaphylaxis): ข้อนี้ไม่ใช่คำตอบที่ถูกต้องสำหรับภาวะ General Therapeutics เนื่องจากกลไกการออกฤทธิ์, efficacy หรือข้อบ่งใช้ไม่ตรงกับโจทย์ที่กำหนด
• ข้อ ค. (SJS): ข้อนี้ไม่ใช่คำตอบที่ถูกต้องสำหรับภาวะ General Therapeutics เนื่องจากกลไกการออกฤทธิ์, efficacy หรือข้อบ่งใช้ไม่ตรงกับโจทย์ที่กำหนด
• ข้อ ง. (TEN): ข้อนี้ไม่ใช่คำตอบที่ถูกต้องสำหรับภาวะ General Therapeutics เนื่องจากกลไกการออกฤทธิ์, efficacy หรือข้อบ่งใช้ไม่ตรงกับโจทย์ที่กำหนด
• ข้อ จ. (AGEP):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4" s="18" t="inlineStr"/>
      <c r="L394" s="18" t="inlineStr">
        <is>
          <t>General Therapeutics</t>
        </is>
      </c>
      <c r="M394" s="18" t="inlineStr">
        <is>
          <t>Clinic</t>
        </is>
      </c>
      <c r="N394" s="18" t="inlineStr">
        <is>
          <t>ข้อ 25 (PLE_CC1_2562_Key.md)</t>
        </is>
      </c>
      <c r="O394" s="18" t="inlineStr">
        <is>
          <t>ข้อสอบจริง</t>
        </is>
      </c>
      <c r="P394" s="18" t="inlineStr">
        <is>
          <t>ปี 2562</t>
        </is>
      </c>
    </row>
    <row r="395">
      <c r="A395" s="15" t="inlineStr">
        <is>
          <t>416</t>
        </is>
      </c>
      <c r="B395" s="18" t="inlineStr">
        <is>
          <t>จากเหตุการณ์ดังกล่าว ทางคณะเภสัชกรรมและการบำบัดของโรงพยาบาลจึงกำหนดให้มีระบบแจ้งเตือนแพ้ยาใน - prodome X L 10 % herwise. 30 % 3 - 58 PTC ~ คอมพิวเตอร์ทุกครั้งหลังผู้ป่วยออกจากโรงพยาบาล กระบวนการดังกล่าวถือเป็นการจัดการความเสี่ยงแบบใด</t>
        </is>
      </c>
      <c r="C395" s="18" t="inlineStr"/>
      <c r="D395" s="18" t="inlineStr">
        <is>
          <t>การสร้างบริบทในองค์กร</t>
        </is>
      </c>
      <c r="E395" s="18" t="inlineStr">
        <is>
          <t>การระบุความเสี่ยง</t>
        </is>
      </c>
      <c r="F395" s="18" t="inlineStr">
        <is>
          <t>การวิเคราะห์ความเสี่ยง</t>
        </is>
      </c>
      <c r="G395" s="18" t="inlineStr">
        <is>
          <t>การประเมินความเสี่ยง</t>
        </is>
      </c>
      <c r="H395" s="18" t="inlineStr">
        <is>
          <t>การรักษา บรรเทาและลดความเสี่ยง</t>
        </is>
      </c>
      <c r="I395" s="15" t="inlineStr">
        <is>
          <t>1</t>
        </is>
      </c>
      <c r="J395" s="18" t="inlineStr">
        <is>
          <t>✅ คำตอบที่ถูกต้อง: ข้อ ก. การสร้างบริบทในองค์กร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การสร้างบริบทในองค์กร การเลือก การสร้างบริบทในองค์กร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(การระบุความเสี่ยง):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ค. (การวิเคราะห์ความเสี่ยง):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ง. (การประเมินความเสี่ยง):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จ. (การรักษา บรรเทาและลดความเสี่ยง):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5" s="18" t="inlineStr"/>
      <c r="L395" s="18" t="inlineStr">
        <is>
          <t>Allergy &amp; Immunology</t>
        </is>
      </c>
      <c r="M395" s="18" t="inlineStr">
        <is>
          <t>Clinic</t>
        </is>
      </c>
      <c r="N395" s="18" t="inlineStr">
        <is>
          <t>ข้อ 26 (PLE_CC1_2562_Key.md)</t>
        </is>
      </c>
      <c r="O395" s="18" t="inlineStr">
        <is>
          <t>ข้อสอบจริง</t>
        </is>
      </c>
      <c r="P395" s="18" t="inlineStr">
        <is>
          <t>ปี 2562</t>
        </is>
      </c>
    </row>
    <row r="396">
      <c r="A396" s="15" t="inlineStr">
        <is>
          <t>417</t>
        </is>
      </c>
      <c r="B396" s="18" t="inlineStr">
        <is>
          <t>ยาใดที่เหมาะสมกับการลดการปวดรูมาตอยด์ในผู้ป่วยรายนี้</t>
        </is>
      </c>
      <c r="C396" s="18" t="inlineStr"/>
      <c r="D396" s="18" t="inlineStr">
        <is>
          <t>Ketoprofen</t>
        </is>
      </c>
      <c r="E396" s="18" t="inlineStr">
        <is>
          <t>Etoricoxib</t>
        </is>
      </c>
      <c r="F396" s="18" t="inlineStr">
        <is>
          <t>Naproxen</t>
        </is>
      </c>
      <c r="G396" s="18" t="inlineStr">
        <is>
          <t>Mefenamic acid</t>
        </is>
      </c>
      <c r="H396" s="18" t="inlineStr">
        <is>
          <t>Ibuprofen</t>
        </is>
      </c>
      <c r="I396" s="15" t="inlineStr">
        <is>
          <t>1</t>
        </is>
      </c>
      <c r="J396" s="18" t="inlineStr">
        <is>
          <t>✅ คำตอบที่ถูกต้อง: ข้อ ก. Ketoprofen
💡 Background:
โรคข้ออักเสบรูมาตอยด์ (RA) เป็น systemic autoimmune disease ต้องรีบเริ่ม DMARDs ทันทีเพื่อป้องกัน joint destruction
🎯 ทำไมข้อนี้ถึงถูก:
Ketoprofen การเลือก Ketoprofen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(Mefenamic acid): ข้อนี้ไม่ใช่คำตอบที่ถูกต้องสำหรับภาวะ Musculoskeletal &amp; Joint เนื่องจากกลไกการออกฤทธิ์, efficacy หรือข้อบ่งใช้ไม่ตรงกับโจทย์ที่กำหนด
• ข้อ จ.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6" s="18" t="inlineStr"/>
      <c r="L396" s="18" t="inlineStr">
        <is>
          <t>Musculoskeletal &amp; Joint</t>
        </is>
      </c>
      <c r="M396" s="18" t="inlineStr">
        <is>
          <t>Clinic</t>
        </is>
      </c>
      <c r="N396" s="18" t="inlineStr">
        <is>
          <t>ข้อ 28 (PLE_CC1_2562_Key.md)</t>
        </is>
      </c>
      <c r="O396" s="18" t="inlineStr">
        <is>
          <t>ข้อสอบจริง</t>
        </is>
      </c>
      <c r="P396" s="18" t="inlineStr">
        <is>
          <t>ปี 2562</t>
        </is>
      </c>
    </row>
    <row r="397">
      <c r="A397" s="15" t="inlineStr">
        <is>
          <t>418</t>
        </is>
      </c>
      <c r="B397" s="18" t="inlineStr">
        <is>
          <t>ผู้ป่วยมีความผิดปกติอิเล็กทรอไลต์ ควรหลีกเลี่ยงอาหารประเภทใด dire &amp;Giddin 5. 5 A</t>
        </is>
      </c>
      <c r="C397" s="18" t="inlineStr"/>
      <c r="D397" s="18" t="inlineStr">
        <is>
          <t>วุ้นเส้น</t>
        </is>
      </c>
      <c r="E397" s="18" t="inlineStr">
        <is>
          <t>ผักกาดขาว</t>
        </is>
      </c>
      <c r="F397" s="18" t="inlineStr">
        <is>
          <t>น้ำเต้าหู้</t>
        </is>
      </c>
      <c r="G397" s="18" t="inlineStr">
        <is>
          <t>มะละกอ</t>
        </is>
      </c>
      <c r="H397" s="18" t="inlineStr">
        <is>
          <t>ไข่ขาว</t>
        </is>
      </c>
      <c r="I397" s="15" t="inlineStr">
        <is>
          <t>1</t>
        </is>
      </c>
      <c r="J397" s="18" t="inlineStr">
        <is>
          <t>✅ คำตอบที่ถูกต้อง: ข้อ ก. วุ้นเส้น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วุ้นเส้น การเลือก วุ้นเส้น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(ผักกาดขาว): ข้อนี้ไม่ใช่คำตอบที่ถูกต้องสำหรับภาวะ General Therapeutics เนื่องจากกลไกการออกฤทธิ์, efficacy หรือข้อบ่งใช้ไม่ตรงกับโจทย์ที่กำหนด
• ข้อ ค. (น้ำเต้าหู้): ข้อนี้ไม่ใช่คำตอบที่ถูกต้องสำหรับภาวะ General Therapeutics เนื่องจากกลไกการออกฤทธิ์, efficacy หรือข้อบ่งใช้ไม่ตรงกับโจทย์ที่กำหนด
• ข้อ ง. (มะละกอ): ข้อนี้ไม่ใช่คำตอบที่ถูกต้องสำหรับภาวะ General Therapeutics เนื่องจากกลไกการออกฤทธิ์, efficacy หรือข้อบ่งใช้ไม่ตรงกับโจทย์ที่กำหนด
• ข้อ จ. (ไข่ขาว):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7" s="18" t="inlineStr"/>
      <c r="L397" s="18" t="inlineStr">
        <is>
          <t>General Therapeutics</t>
        </is>
      </c>
      <c r="M397" s="18" t="inlineStr">
        <is>
          <t>Clinic</t>
        </is>
      </c>
      <c r="N397" s="18" t="inlineStr">
        <is>
          <t>ข้อ 34 (PLE_CC1_2562_Key.md)</t>
        </is>
      </c>
      <c r="O397" s="18" t="inlineStr">
        <is>
          <t>ข้อสอบจริง</t>
        </is>
      </c>
      <c r="P397" s="18" t="inlineStr">
        <is>
          <t>ปี 2562</t>
        </is>
      </c>
    </row>
    <row r="398">
      <c r="A398" s="15" t="inlineStr">
        <is>
          <t>419</t>
        </is>
      </c>
      <c r="B398" s="18" t="inlineStr">
        <is>
          <t>จงหา corrected Na+ เมื่อ FBS &gt; 100mg/dl (น้ำตาลที่เพิ่มขึ้นทุกๆ 100 mg/dl จะส่งผลให้ sodiumที่วัดได้ 1000 - = 0 . 667 = 66 . 7 % 30x50 = 1500 Lecal/day 1500 X &amp;was got site ooolcal xo ลดลง 1.6 mEq/L)</t>
        </is>
      </c>
      <c r="C398" s="18" t="inlineStr"/>
      <c r="D398" s="15" t="inlineStr">
        <is>
          <t>125.2</t>
        </is>
      </c>
      <c r="E398" s="15" t="inlineStr">
        <is>
          <t>126.8</t>
        </is>
      </c>
      <c r="F398" s="15" t="inlineStr">
        <is>
          <t>128.4</t>
        </is>
      </c>
      <c r="G398" s="15" t="inlineStr">
        <is>
          <t>133.2</t>
        </is>
      </c>
      <c r="H398" s="15" t="inlineStr">
        <is>
          <t>134.8</t>
        </is>
      </c>
      <c r="I398" s="15" t="inlineStr">
        <is>
          <t>1</t>
        </is>
      </c>
      <c r="J398" s="18" t="inlineStr">
        <is>
          <t>✅ คำตอบที่ถูกต้อง: ข้อ ก. 125.2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125.2 💡 คำอธิบายและเหตุผลทางเภสัชกรรม:
💡 คำอธิบายและเหตุผลทางเภสัชกรรม:
การเลือก 125.2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(126.8): ข้อนี้ไม่ใช่คำตอบที่ถูกต้องสำหรับภาวะ Pharmaceutical Calculations เนื่องจากกลไกการออกฤทธิ์, efficacy หรือข้อบ่งใช้ไม่ตรงกับโจทย์ที่กำหนด
• ข้อ ค. (128.4): ข้อนี้ไม่ใช่คำตอบที่ถูกต้องสำหรับภาวะ Pharmaceutical Calculations เนื่องจากกลไกการออกฤทธิ์, efficacy หรือข้อบ่งใช้ไม่ตรงกับโจทย์ที่กำหนด
• ข้อ ง. (133.2): ข้อนี้ไม่ใช่คำตอบที่ถูกต้องสำหรับภาวะ Pharmaceutical Calculations เนื่องจากกลไกการออกฤทธิ์, efficacy หรือข้อบ่งใช้ไม่ตรงกับโจทย์ที่กำหนด
• ข้อ จ. (134.8):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8" s="18" t="inlineStr"/>
      <c r="L398" s="18" t="inlineStr">
        <is>
          <t>Pharmaceutical Calculations</t>
        </is>
      </c>
      <c r="M398" s="18" t="inlineStr">
        <is>
          <t>Product</t>
        </is>
      </c>
      <c r="N398" s="18" t="inlineStr">
        <is>
          <t>ข้อ 36 (PLE_CC1_2562_Key.md)</t>
        </is>
      </c>
      <c r="O398" s="18" t="inlineStr">
        <is>
          <t>ข้อสอบจริง</t>
        </is>
      </c>
      <c r="P398" s="18" t="inlineStr">
        <is>
          <t>ปี 2562</t>
        </is>
      </c>
    </row>
    <row r="399">
      <c r="A399" s="15" t="inlineStr">
        <is>
          <t>420</t>
        </is>
      </c>
      <c r="B399" s="18" t="inlineStr">
        <is>
          <t>Z Oin 100 X corrected Nat 130 - 3 . 2 = 126 . 8 ิlitavon my 100 Multic g corrected Na</t>
        </is>
      </c>
      <c r="C399" s="18" t="inlineStr"/>
      <c r="D399" s="18" t="inlineStr">
        <is>
          <t>ขนดก</t>
        </is>
      </c>
      <c r="E399" s="18" t="inlineStr">
        <is>
          <t>แผลหายช้า</t>
        </is>
      </c>
      <c r="F399" s="18" t="inlineStr">
        <is>
          <t>ท้องผูก</t>
        </is>
      </c>
      <c r="G399" s="18" t="inlineStr">
        <is>
          <t>โลหิตจาง</t>
        </is>
      </c>
      <c r="H399" s="18" t="inlineStr">
        <is>
          <t>น้ำหนักเพิ่ม</t>
        </is>
      </c>
      <c r="I399" s="15" t="inlineStr">
        <is>
          <t>1</t>
        </is>
      </c>
      <c r="J399" s="18" t="inlineStr">
        <is>
          <t>✅ คำตอบที่ถูกต้อง: ข้อ ก. ขนดก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ขนดก การเลือก ขนดก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(แผลหายช้า):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(โลหิตจาง):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(น้ำหนักเพิ่ม):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9" s="18" t="inlineStr"/>
      <c r="L399" s="18" t="inlineStr">
        <is>
          <t>General Therapeutics</t>
        </is>
      </c>
      <c r="M399" s="18" t="inlineStr">
        <is>
          <t>Clinic</t>
        </is>
      </c>
      <c r="N399" s="18" t="inlineStr">
        <is>
          <t>ข้อ 3 (PLE_CC1_2562_Key.md)</t>
        </is>
      </c>
      <c r="O399" s="18" t="inlineStr">
        <is>
          <t>ข้อสอบจริง</t>
        </is>
      </c>
      <c r="P399" s="18" t="inlineStr">
        <is>
          <t>ปี 2562</t>
        </is>
      </c>
    </row>
    <row r="400">
      <c r="A400" s="15" t="inlineStr">
        <is>
          <t>421</t>
        </is>
      </c>
      <c r="B400" s="18" t="inlineStr">
        <is>
          <t>สารใดที่ป้องกันการเหม็นหืนในตำรับ</t>
        </is>
      </c>
      <c r="C400" s="18" t="inlineStr"/>
      <c r="D400" s="18" t="inlineStr">
        <is>
          <t>Butylated hydroxyanisal</t>
        </is>
      </c>
      <c r="E400" s="18" t="inlineStr">
        <is>
          <t>Citric acid</t>
        </is>
      </c>
      <c r="F400" s="18" t="inlineStr">
        <is>
          <t>Paraben</t>
        </is>
      </c>
      <c r="G400" s="18" t="inlineStr">
        <is>
          <t>Sodium benzoate</t>
        </is>
      </c>
      <c r="H400" s="18" t="inlineStr">
        <is>
          <t>Sodium citrate</t>
        </is>
      </c>
      <c r="I400" s="15" t="inlineStr">
        <is>
          <t>1</t>
        </is>
      </c>
      <c r="J400" s="18" t="inlineStr">
        <is>
          <t>✅ คำตอบที่ถูกต้อง: ข้อ ก. Butylated hydroxyanisal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Butylated hydroxyanisal การเลือก Butylated hydroxyanisal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(Citric acid): ข้อนี้ไม่ใช่คำตอบที่ถูกต้องสำหรับภาวะ General Therapeutics เนื่องจากกลไกการออกฤทธิ์, efficacy หรือข้อบ่งใช้ไม่ตรงกับโจทย์ที่กำหนด
• ข้อ ค. (Paraben): ข้อนี้ไม่ใช่คำตอบที่ถูกต้องสำหรับภาวะ General Therapeutics เนื่องจากกลไกการออกฤทธิ์, efficacy หรือข้อบ่งใช้ไม่ตรงกับโจทย์ที่กำหนด
• ข้อ ง. (Sodium benzoate): ข้อนี้ไม่ใช่คำตอบที่ถูกต้องสำหรับภาวะ General Therapeutics เนื่องจากกลไกการออกฤทธิ์, efficacy หรือข้อบ่งใช้ไม่ตรงกับโจทย์ที่กำหนด
• ข้อ จ. (Sodium citrate):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0" s="18" t="inlineStr"/>
      <c r="L400" s="18" t="inlineStr">
        <is>
          <t>General Therapeutics</t>
        </is>
      </c>
      <c r="M400" s="18" t="inlineStr">
        <is>
          <t>Clinic</t>
        </is>
      </c>
      <c r="N400" s="18" t="inlineStr">
        <is>
          <t>ข้อ 40 (PLE_CC1_2562_Key.md)</t>
        </is>
      </c>
      <c r="O400" s="18" t="inlineStr">
        <is>
          <t>ข้อสอบจริง</t>
        </is>
      </c>
      <c r="P400" s="18" t="inlineStr">
        <is>
          <t>ปี 2562</t>
        </is>
      </c>
    </row>
    <row r="401">
      <c r="A401" s="15" t="inlineStr">
        <is>
          <t>422</t>
        </is>
      </c>
      <c r="B401" s="18" t="inlineStr">
        <is>
          <t>ยาใดเหมาะสมกับผู้ป่วยรายนี้ cefixime soomg doxycycline 100mg 1x2 7-14 82 single dose en</t>
        </is>
      </c>
      <c r="C401" s="18" t="inlineStr"/>
      <c r="D401" s="18" t="inlineStr">
        <is>
          <t>Cefixime 400 mg single dose</t>
        </is>
      </c>
      <c r="E401" s="18" t="inlineStr">
        <is>
          <t>Levofloxacin 500 mg OD x 10 days</t>
        </is>
      </c>
      <c r="F401" s="18" t="inlineStr">
        <is>
          <t>Ciprofloxacin 500 mg single dose + doxyclcline 100 mg OD x 7 days</t>
        </is>
      </c>
      <c r="G401" s="18" t="inlineStr">
        <is>
          <t>Pen G 2.4 single dose + azithromycin 1 g</t>
        </is>
      </c>
      <c r="H401" s="18" t="inlineStr">
        <is>
          <t>Ceftriaxone 250 IM + azithromycin 1 g single dose</t>
        </is>
      </c>
      <c r="I401" s="15" t="inlineStr">
        <is>
          <t>1</t>
        </is>
      </c>
      <c r="J401" s="18" t="inlineStr">
        <is>
          <t>✅ คำตอบที่ถูกต้อง: ข้อ ก. Cefixime 400 mg single dose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Cefixime 400 mg single dose การเลือก Cefixime 400 mg single dose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(Levofloxacin 500 mg OD x 10 days): เป็น Respiratory Fluoroquinolone ครอบคลุมทั้ง Streptococcus pneumoniae, atypicals และ Pseudomonas aeruginosa ใช้รักษา CAP, complicated UTI
• ข้อ ค. (Ciprofloxacin 500 mg single dose + doxyclcline 100 mg OD x 7 days): เป็น Fluoroquinolone เด่นต่อ Gram-negative รวมทั้ง Pseudomonas aeruginosa แต่มี black box warning เรื่อง tendon rupture, QT prolongation, aortic aneurysm และ dysglycemia
• ข้อ ง. (Pen G 2.4 single dose + azithromycin 1 g): เป็น Macrolide ครอบคลุม atypical pathogens (Mycoplasma, Chlamydia, Legionella) ขจัดออกทางตับเป็นหลัก และมี half-life ยาวนาน (~68 ชม.)
• ข้อ จ. (Ceftriaxone 250 IM + azithromycin 1 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1" s="18" t="inlineStr"/>
      <c r="L401" s="18" t="inlineStr">
        <is>
          <t>Infectious Diseases</t>
        </is>
      </c>
      <c r="M401" s="18" t="inlineStr">
        <is>
          <t>Clinic</t>
        </is>
      </c>
      <c r="N401" s="18" t="inlineStr">
        <is>
          <t>ข้อ 45 (PLE_CC1_2562_Key.md)</t>
        </is>
      </c>
      <c r="O401" s="18" t="inlineStr">
        <is>
          <t>ข้อสอบจริง</t>
        </is>
      </c>
      <c r="P401" s="18" t="inlineStr">
        <is>
          <t>ปี 2562</t>
        </is>
      </c>
    </row>
    <row r="402">
      <c r="A402" s="15" t="inlineStr">
        <is>
          <t>423</t>
        </is>
      </c>
      <c r="B402" s="18" t="inlineStr">
        <is>
          <t>5 1 . 350 no goy . 1 0 3502 = 0 . 0450 . 300mg x90 = Log on = 0 . 090</t>
        </is>
      </c>
      <c r="C402" s="18" t="inlineStr"/>
      <c r="D402" s="18" t="inlineStr">
        <is>
          <t>สารช่วยไหลของยาไม่เหมาะสม</t>
        </is>
      </c>
      <c r="E402" s="18" t="inlineStr">
        <is>
          <t>เวลาผสมกับสารเพิ่มปริมาณไม่เหมาะสม</t>
        </is>
      </c>
      <c r="F402" s="18" t="inlineStr">
        <is>
          <t>ขนาดของเปลือก capsule ต่างบริษัทผู้ผลิต</t>
        </is>
      </c>
      <c r="G402" s="18" t="inlineStr">
        <is>
          <t>อุณหภูมิในการผสมต่ำ</t>
        </is>
      </c>
      <c r="H402" s="18" t="inlineStr">
        <is>
          <t>เติมสารช่วยแตกตัวน้อยเกินไป</t>
        </is>
      </c>
      <c r="I402" s="15" t="inlineStr">
        <is>
          <t>1</t>
        </is>
      </c>
      <c r="J402" s="18" t="inlineStr">
        <is>
          <t>✅ คำตอบที่ถูกต้อง: ข้อ ก. สารช่วยไหลของยาไม่เหมาะสม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สารช่วยไหลของยาไม่เหมาะสม การเลือก สารช่วยไหลของยาไม่เหมาะสม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(เวลาผสมกับสารเพิ่มปริมาณไม่เหมาะสม):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ค. (ขนาดของเปลือก capsule ต่างบริษัทผู้ผลิต): ข้อนี้ไม่ใช่คำตอบที่ถูกต้องสำหรับภาวะ General Therapeutics เนื่องจากกลไกการออกฤทธิ์, efficacy หรือข้อบ่งใช้ไม่ตรงกับโจทย์ที่กำหนด
• ข้อ ง. (อุณหภูมิในการผสมต่ำ): ข้อนี้ไม่ใช่คำตอบที่ถูกต้องสำหรับภาวะ General Therapeutics เนื่องจากกลไกการออกฤทธิ์, efficacy หรือข้อบ่งใช้ไม่ตรงกับโจทย์ที่กำหนด
• ข้อ จ. (เติมสารช่วยแตกตัวน้อยเกินไป):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2" s="18" t="inlineStr"/>
      <c r="L402" s="18" t="inlineStr">
        <is>
          <t>General Therapeutics</t>
        </is>
      </c>
      <c r="M402" s="18" t="inlineStr">
        <is>
          <t>Clinic</t>
        </is>
      </c>
      <c r="N402" s="18" t="inlineStr">
        <is>
          <t>ข้อ 1 (PLE_CC1_2562_Key.md)</t>
        </is>
      </c>
      <c r="O402" s="18" t="inlineStr">
        <is>
          <t>ข้อสอบจริง</t>
        </is>
      </c>
      <c r="P402" s="18" t="inlineStr">
        <is>
          <t>ปี 2562</t>
        </is>
      </c>
    </row>
    <row r="403">
      <c r="A403" s="15" t="inlineStr">
        <is>
          <t>424</t>
        </is>
      </c>
      <c r="B403" s="18" t="inlineStr">
        <is>
          <t>ผู้ป่วยควรได้รับยาเพื่อคุมระดับน้ำตาลในเลือดอย่างไร</t>
        </is>
      </c>
      <c r="C403" s="18" t="inlineStr"/>
      <c r="D403" s="18" t="inlineStr">
        <is>
          <t>เพิ่มขนาดยา metformin</t>
        </is>
      </c>
      <c r="E403" s="18" t="inlineStr">
        <is>
          <t>เพิ่มยา glipizide</t>
        </is>
      </c>
      <c r="F403" s="18" t="inlineStr">
        <is>
          <t>เพิ่มยา acarbose</t>
        </is>
      </c>
      <c r="G403" s="18" t="inlineStr">
        <is>
          <t>เพิ่ม regular insulin</t>
        </is>
      </c>
      <c r="H403" s="18" t="inlineStr">
        <is>
          <t>เปลี่ยน metformin เป็น pioglitazone X max 2550 mg/d X ↑eizi ein glipizide X ADA - - = หË´มนาÆปทาซËาทืกกรณิ ÂวËนาต้จ²ÆดËรงบ¯นืญ´ต ACEIs/ARBs ↑</t>
        </is>
      </c>
      <c r="I403" s="15" t="inlineStr">
        <is>
          <t>1</t>
        </is>
      </c>
      <c r="J403" s="18" t="inlineStr">
        <is>
          <t>✅ คำตอบที่ถูกต้อง: ข้อ ก. เพิ่มขนาดยา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เพิ่มขนาดยา metformin การเลือก เพิ่มขนาดยา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(เพิ่มยา glipizide): เป็น Second-generation Sulfonylurea กระตุ้น insulin secretion เสี่ยงต่อ hypoglycemia และ weight gain ขับออกทางตับเด่นกว่า glibenclamide จึงปลอดภัยกว่าในผู้สูงอายุ/CKD
• ข้อ ค. (เพิ่มยา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(เพิ่ม regular insulin): ข้อนี้ไม่ใช่คำตอบที่ถูกต้องสำหรับภาวะ Diabetes &amp; Endocrine เนื่องจากกลไกการออกฤทธิ์, efficacy หรือข้อบ่งใช้ไม่ตรงกับโจทย์ที่กำหนด
• ข้อ จ. (เปลี่ยน metformin เป็น pioglitazone X max 2550 mg/d X ↑eizi ein glipizide X ADA - - = หË´มนาÆปทาซËาทืกกรณิ ÂวËนาต้จ²ÆดËรงบ¯นืญ´ต ACEIs/ARBs ↑):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3" s="18" t="inlineStr"/>
      <c r="L403" s="18" t="inlineStr">
        <is>
          <t>Diabetes &amp; Endocrine</t>
        </is>
      </c>
      <c r="M403" s="18" t="inlineStr">
        <is>
          <t>Clinic</t>
        </is>
      </c>
      <c r="N403" s="18" t="inlineStr">
        <is>
          <t>ข้อ 55 (PLE_CC1_2562_Key.md)</t>
        </is>
      </c>
      <c r="O403" s="18" t="inlineStr">
        <is>
          <t>ข้อสอบจริง</t>
        </is>
      </c>
      <c r="P403" s="18" t="inlineStr">
        <is>
          <t>ปี 2562</t>
        </is>
      </c>
    </row>
    <row r="404">
      <c r="A404" s="15" t="inlineStr">
        <is>
          <t>425</t>
        </is>
      </c>
      <c r="B404" s="18" t="inlineStr">
        <is>
          <t>ข้อใดคือเป้าหมายการลดระดับน้ำตาลในเลือดผู้ป่วยแบบเข้มงวด ~ God dose ADA</t>
        </is>
      </c>
      <c r="C404" s="18" t="inlineStr"/>
      <c r="D404" s="18" t="inlineStr">
        <is>
          <t>FBG &lt; 80 mg/dl</t>
        </is>
      </c>
      <c r="E404" s="18" t="inlineStr">
        <is>
          <t>FBG 80-130 mg/dl</t>
        </is>
      </c>
      <c r="F404" s="18" t="inlineStr">
        <is>
          <t>Peak postprandial capillary plasma glucose &lt; 200 mg/dl</t>
        </is>
      </c>
      <c r="G404" s="18" t="inlineStr">
        <is>
          <t>A1C &lt; 5.7%</t>
        </is>
      </c>
      <c r="H404" s="18" t="inlineStr">
        <is>
          <t>A1C 7.5-8.0%</t>
        </is>
      </c>
      <c r="I404" s="15" t="inlineStr">
        <is>
          <t>1</t>
        </is>
      </c>
      <c r="J404" s="18" t="inlineStr">
        <is>
          <t>✅ คำตอบที่ถูกต้อง: ข้อ ก. FBG &lt; 80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FBG &lt; 80 mg/dl การเลือก FBG &lt; 80 mg/dl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(FBG 80-130 mg/dl): ข้อนี้ไม่ใช่คำตอบที่ถูกต้องสำหรับภาวะ Diabetes &amp; Endocrine เนื่องจากกลไกการออกฤทธิ์, efficacy หรือข้อบ่งใช้ไม่ตรงกับโจทย์ที่กำหนด
• ข้อ ค. (Peak postprandial capillary plasma glucose &lt; 200 mg/dl): ข้อนี้ไม่ใช่คำตอบที่ถูกต้องสำหรับภาวะ Diabetes &amp; Endocrine เนื่องจากกลไกการออกฤทธิ์, efficacy หรือข้อบ่งใช้ไม่ตรงกับโจทย์ที่กำหนด
• ข้อ ง. (A1C &lt; 5.7%): ข้อนี้ไม่ใช่คำตอบที่ถูกต้องสำหรับภาวะ Diabetes &amp; Endocrine เนื่องจากกลไกการออกฤทธิ์, efficacy หรือข้อบ่งใช้ไม่ตรงกับโจทย์ที่กำหนด
• ข้อ จ. (A1C 7.5-8.0%):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404" s="18" t="inlineStr"/>
      <c r="L404" s="18" t="inlineStr">
        <is>
          <t>Diabetes &amp; Endocrine</t>
        </is>
      </c>
      <c r="M404" s="18" t="inlineStr">
        <is>
          <t>Clinic</t>
        </is>
      </c>
      <c r="N404" s="18" t="inlineStr">
        <is>
          <t>ข้อ 58 (PLE_CC1_2562_Key.md)</t>
        </is>
      </c>
      <c r="O404" s="18" t="inlineStr">
        <is>
          <t>ข้อสอบจริง</t>
        </is>
      </c>
      <c r="P404" s="18" t="inlineStr">
        <is>
          <t>ปี 2562</t>
        </is>
      </c>
    </row>
    <row r="405">
      <c r="A405" s="15" t="inlineStr">
        <is>
          <t>426</t>
        </is>
      </c>
      <c r="B405" s="18" t="inlineStr">
        <is>
          <t>ยาใดบรรเทาอาการได้เร็วที่สุด ~</t>
        </is>
      </c>
      <c r="C405" s="18" t="inlineStr"/>
      <c r="D405" s="18" t="inlineStr">
        <is>
          <t>Omeprazole</t>
        </is>
      </c>
      <c r="E405" s="18" t="inlineStr">
        <is>
          <t>Activated charcoal</t>
        </is>
      </c>
      <c r="F405" s="18" t="inlineStr">
        <is>
          <t>Lansoprazole</t>
        </is>
      </c>
      <c r="G405" s="18" t="inlineStr">
        <is>
          <t>Ranitidine</t>
        </is>
      </c>
      <c r="H405" s="18" t="inlineStr">
        <is>
          <t>Aluminium hydroxide + magnesium hydroxide</t>
        </is>
      </c>
      <c r="I405" s="15" t="inlineStr">
        <is>
          <t>1</t>
        </is>
      </c>
      <c r="J405" s="18" t="inlineStr">
        <is>
          <t>✅ คำตอบที่ถูกต้อง: ข้อ ก.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(Lansoprazole): ข้อนี้ไม่ใช่คำตอบที่ถูกต้องสำหรับภาวะ General Therapeutics เนื่องจากกลไกการออกฤทธิ์, efficacy หรือข้อบ่งใช้ไม่ตรงกับโจทย์ที่กำหนด
• ข้อ ง. (Ranitidine): ข้อนี้ไม่ใช่คำตอบที่ถูกต้องสำหรับภาวะ General Therapeutics เนื่องจากกลไกการออกฤทธิ์, efficacy หรือข้อบ่งใช้ไม่ตรงกับโจทย์ที่กำหนด
• ข้อ จ.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5" s="18" t="inlineStr"/>
      <c r="L405" s="18" t="inlineStr">
        <is>
          <t>General Therapeutics</t>
        </is>
      </c>
      <c r="M405" s="18" t="inlineStr">
        <is>
          <t>Clinic</t>
        </is>
      </c>
      <c r="N405" s="18" t="inlineStr">
        <is>
          <t>ข้อ 86 (PLE_CC1_2562_Key.md)</t>
        </is>
      </c>
      <c r="O405" s="18" t="inlineStr">
        <is>
          <t>ข้อสอบจริง</t>
        </is>
      </c>
      <c r="P405" s="18" t="inlineStr">
        <is>
          <t>ปี 2562</t>
        </is>
      </c>
    </row>
    <row r="406">
      <c r="A406" s="15" t="inlineStr">
        <is>
          <t>427</t>
        </is>
      </c>
      <c r="B406" s="18" t="inlineStr">
        <is>
          <t>การปลดปล่อยยาในรูปแบบ matrix เป็นแบบใด osmotic pump : zero order controlled release</t>
        </is>
      </c>
      <c r="C406" s="18" t="inlineStr"/>
      <c r="D406" s="18" t="inlineStr">
        <is>
          <t>Conventional release</t>
        </is>
      </c>
      <c r="E406" s="18" t="inlineStr">
        <is>
          <t>Sustained release</t>
        </is>
      </c>
      <c r="F406" s="18" t="inlineStr">
        <is>
          <t>Zero order controlled release</t>
        </is>
      </c>
      <c r="G406" s="18" t="inlineStr">
        <is>
          <t>Conventional release และ sustained release</t>
        </is>
      </c>
      <c r="H406" s="18" t="inlineStr">
        <is>
          <t>Zero order controlled release และ sustained release</t>
        </is>
      </c>
      <c r="I406" s="15" t="inlineStr">
        <is>
          <t>1</t>
        </is>
      </c>
      <c r="J406" s="18" t="inlineStr">
        <is>
          <t>✅ คำตอบที่ถูกต้อง: ข้อ ก. Conventional release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Conventional release การเลือก Conventional release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ค. (Zero order controlled release): ข้อนี้ไม่ใช่คำตอบที่ถูกต้องสำหรับภาวะ General Therapeutics เนื่องจากกลไกการออกฤทธิ์, efficacy หรือข้อบ่งใช้ไม่ตรงกับโจทย์ที่กำหนด
• ข้อ ง. (Conventional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จ. (Zero order controlled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6" s="18" t="inlineStr"/>
      <c r="L406" s="18" t="inlineStr">
        <is>
          <t>General Therapeutics</t>
        </is>
      </c>
      <c r="M406" s="18" t="inlineStr">
        <is>
          <t>Clinic</t>
        </is>
      </c>
      <c r="N406" s="18" t="inlineStr">
        <is>
          <t>ข้อ 94 (PLE_CC1_2562_Key.md)</t>
        </is>
      </c>
      <c r="O406" s="18" t="inlineStr">
        <is>
          <t>ข้อสอบจริง</t>
        </is>
      </c>
      <c r="P406" s="18" t="inlineStr">
        <is>
          <t>ปี 2562</t>
        </is>
      </c>
    </row>
    <row r="407">
      <c r="A407" s="15" t="inlineStr">
        <is>
          <t>428</t>
        </is>
      </c>
      <c r="B407" s="18" t="inlineStr">
        <is>
          <t>ข้อใดถูก</t>
        </is>
      </c>
      <c r="C407" s="18" t="inlineStr"/>
      <c r="D407" s="18" t="inlineStr">
        <is>
          <t>Erythromycin ยับยั้งการ metabolism ทำระดับยา carbamazepine สูงขึ้น</t>
        </is>
      </c>
      <c r="E407" s="18" t="inlineStr">
        <is>
          <t>Erythromycin กระตุ้นการ metabolism ทำระดับยา carbamazepine ต่ำลง</t>
        </is>
      </c>
      <c r="F407" s="18" t="inlineStr">
        <is>
          <t>ยาคุม ยับยั้งการ metabolism ทำระดับยา carbamazepine สูงขึ้น</t>
        </is>
      </c>
      <c r="G407" s="18" t="inlineStr">
        <is>
          <t>ยาคุม กระตุ้นการ metabolism ทำระดับยา carbamazepine ต่ำลง</t>
        </is>
      </c>
      <c r="H407" s="18" t="inlineStr">
        <is>
          <t>Carbocysteine ยับยั้งการ metabolism ทำระดับยา carbamazepine สูงขึ้น หË´มนาÆปทาซËาทืกกรณิ ÂวËนาต้จ²ÆดËรงบ¯นืญ´ต ↑ =</t>
        </is>
      </c>
      <c r="I407" s="15" t="inlineStr">
        <is>
          <t>1</t>
        </is>
      </c>
      <c r="J407" s="18" t="inlineStr">
        <is>
          <t>✅ คำตอบที่ถูกต้อง: ข้อ ก. Erythromycin ยับยั้งการ metabolism ทำระดับยา carbamazepine สูงขึ้น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Erythromycin ยับยั้งการ metabolism ทำระดับยา carbamazepine สูงขึ้น การเลือก Erythromycin ยับยั้งการ metabolism ทำระดับยา carbamazepine สูงขึ้น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(Erythromycin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(ยาคุม ยับยั้งการ metabolism ทำระดับยา carbamazepine สูงขึ้น):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(ยาคุม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(Carbocysteine ยับยั้งการ metabolism ทำระดับยา carbamazepine สูงขึ้น หË´มนาÆปทาซËาทืกกรณิ ÂวËนาต้จ²ÆดËรงบ¯นืญ´ต ↑ =):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407" s="18" t="inlineStr"/>
      <c r="L407" s="18" t="inlineStr">
        <is>
          <t>General Therapeutics</t>
        </is>
      </c>
      <c r="M407" s="18" t="inlineStr">
        <is>
          <t>Clinic</t>
        </is>
      </c>
      <c r="N407" s="18" t="inlineStr">
        <is>
          <t>ข้อ 97 (PLE_CC1_2562_Key.md)</t>
        </is>
      </c>
      <c r="O407" s="18" t="inlineStr">
        <is>
          <t>ข้อสอบจริง</t>
        </is>
      </c>
      <c r="P407" s="18" t="inlineStr">
        <is>
          <t>ปี 2562</t>
        </is>
      </c>
    </row>
    <row r="408">
      <c r="A408" s="15" t="inlineStr">
        <is>
          <t>429</t>
        </is>
      </c>
      <c r="B408" s="18" t="inlineStr">
        <is>
          <t>ยาใดใช้แค่ตอนมีอาการอักเสบเมื่อหายแล้วหยุดยาได้ ~</t>
        </is>
      </c>
      <c r="C408" s="18" t="inlineStr"/>
      <c r="D408" s="18" t="inlineStr">
        <is>
          <t>Cyclophosphamide IV monthly</t>
        </is>
      </c>
      <c r="E408" s="18" t="inlineStr">
        <is>
          <t>Hydroxychloroquine</t>
        </is>
      </c>
      <c r="F408" s="18" t="inlineStr">
        <is>
          <t>Prednisolone</t>
        </is>
      </c>
      <c r="G408" s="18" t="inlineStr">
        <is>
          <t>Enalapril</t>
        </is>
      </c>
      <c r="H408" s="18" t="inlineStr">
        <is>
          <t>Furosemide</t>
        </is>
      </c>
      <c r="I408" s="15" t="inlineStr">
        <is>
          <t>1</t>
        </is>
      </c>
      <c r="J408" s="18" t="inlineStr">
        <is>
          <t>✅ คำตอบที่ถูกต้อง: ข้อ ก. Cyclophosphamide IV monthly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IV monthly การเลือก Cyclophosphamide IV monthly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(Hydroxychloroquine): เป็น csDMARD ที่ปลอดภัยต่อตับและหญิงตั้งครรภ์ แต่ต้อง monitoring retinal toxicity (ตาบอด) ทุกปีหลังใช้เกิน 5 ปี
• ข้อ ค. (Prednisolone): เป็น intermediate-acting systemic corticosteroid ขนาดยอดนิยมสำหรับ immunosuppressive &amp; anti-inflammatory therapy ต้องระวัง Cushingoid, infection, osteoporosis, peptic ulcer
• ข้อ ง. (Enalapril): เป็น ACE inhibitor ลด Angiotensin II และ intraglomerular pressure มี renal protective efficacy เด่นชัดใน diabetic kidney disease แต่อาจเกิด dry cough จากการสะสมของ bradykinin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8" s="18" t="inlineStr"/>
      <c r="L408" s="18" t="inlineStr">
        <is>
          <t>General Therapeutics</t>
        </is>
      </c>
      <c r="M408" s="18" t="inlineStr">
        <is>
          <t>Clinic</t>
        </is>
      </c>
      <c r="N408" s="18" t="inlineStr">
        <is>
          <t>ข้อ 109 (PLE_CC1_2562_Key.md)</t>
        </is>
      </c>
      <c r="O408" s="18" t="inlineStr">
        <is>
          <t>ข้อสอบจริง</t>
        </is>
      </c>
      <c r="P408" s="18" t="inlineStr">
        <is>
          <t>ปี 2562</t>
        </is>
      </c>
    </row>
    <row r="409">
      <c r="A409" s="15" t="inlineStr">
        <is>
          <t>430</t>
        </is>
      </c>
      <c r="B409" s="18" t="inlineStr">
        <is>
          <t>ก่อนเภสัชกรจ่ายยาพบยา R มี 300 กับ 450 mg ปนอยู่ เกิดความคลาดเคลื่อนทางยาแบบไหน , ofloxacin , streptomycin Ethambutol 1816-18tot ↑</t>
        </is>
      </c>
      <c r="C409" s="18" t="inlineStr"/>
      <c r="D409" s="18" t="inlineStr">
        <is>
          <t>Prescribing error</t>
        </is>
      </c>
      <c r="E409" s="18" t="inlineStr">
        <is>
          <t>Dispensing error</t>
        </is>
      </c>
      <c r="F409" s="18" t="inlineStr">
        <is>
          <t>Pre-dispensing error</t>
        </is>
      </c>
      <c r="G409" s="18" t="inlineStr">
        <is>
          <t>Monitoring error</t>
        </is>
      </c>
      <c r="H409" s="18" t="inlineStr">
        <is>
          <t>Documenting error</t>
        </is>
      </c>
      <c r="I409" s="15" t="inlineStr">
        <is>
          <t>1</t>
        </is>
      </c>
      <c r="J409" s="18" t="inlineStr">
        <is>
          <t>✅ คำตอบที่ถูกต้อง: ข้อ ก. Prescribing error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Prescribing error การเลือก Prescribing error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(Dispensing error): ข้อนี้ไม่ใช่คำตอบที่ถูกต้องสำหรับภาวะ General Therapeutics เนื่องจากกลไกการออกฤทธิ์, efficacy หรือข้อบ่งใช้ไม่ตรงกับโจทย์ที่กำหนด
• ข้อ ค. (Pre-dispensing error): ข้อนี้ไม่ใช่คำตอบที่ถูกต้องสำหรับภาวะ General Therapeutics เนื่องจากกลไกการออกฤทธิ์, efficacy หรือข้อบ่งใช้ไม่ตรงกับโจทย์ที่กำหนด
• ข้อ ง. (Monitoring error): ข้อนี้ไม่ใช่คำตอบที่ถูกต้องสำหรับภาวะ General Therapeutics เนื่องจากกลไกการออกฤทธิ์, efficacy หรือข้อบ่งใช้ไม่ตรงกับโจทย์ที่กำหนด
• ข้อ จ. (Documenting error):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409" s="18" t="inlineStr"/>
      <c r="L409" s="18" t="inlineStr">
        <is>
          <t>General Therapeutics</t>
        </is>
      </c>
      <c r="M409" s="18" t="inlineStr">
        <is>
          <t>Clinic</t>
        </is>
      </c>
      <c r="N409" s="18" t="inlineStr">
        <is>
          <t>ข้อ 13 (PLE_CC1_2562_Key.md)</t>
        </is>
      </c>
      <c r="O409" s="18" t="inlineStr">
        <is>
          <t>ข้อสอบจริง</t>
        </is>
      </c>
      <c r="P409" s="18" t="inlineStr">
        <is>
          <t>ปี 2562</t>
        </is>
      </c>
    </row>
    <row r="410">
      <c r="A410" s="15" t="inlineStr">
        <is>
          <t>431</t>
        </is>
      </c>
      <c r="B410" s="18" t="inlineStr">
        <is>
          <t>จงหาปริมาณ corn starch ที่ต้องใช้ กำหนดผงยา rifampicin 250 mg ปริมาณแคปซูลเบอร์ 1 0.5 ml ความหนาแน่น ของผงยาเท่ากับ 1 ความหนาแน่นของ corn starch เท่ากับ 0.2 g/ml</t>
        </is>
      </c>
      <c r="C410" s="18" t="inlineStr"/>
      <c r="D410" s="18" t="inlineStr">
        <is>
          <t>25 mg</t>
        </is>
      </c>
      <c r="E410" s="18" t="inlineStr">
        <is>
          <t>50 mg</t>
        </is>
      </c>
      <c r="F410" s="18" t="inlineStr">
        <is>
          <t>75 mg</t>
        </is>
      </c>
      <c r="G410" s="18" t="inlineStr">
        <is>
          <t>100 mg</t>
        </is>
      </c>
      <c r="H410" s="18" t="inlineStr">
        <is>
          <t>125 mg สถานการณ์ที่ 3 Rifampicin 250 mg Density 1 glmL D = M - V = M = 0 . 259 = 0 . 25 X ิfreein . Usi = 0 . 5-0 . 25 = 0 . 25 mL D = - M = DV = 0 . 2 (0 . 25) = 0 . 059 = 50mg . paracetamol</t>
        </is>
      </c>
      <c r="I410" s="15" t="inlineStr">
        <is>
          <t>1</t>
        </is>
      </c>
      <c r="J410" s="18" t="inlineStr">
        <is>
          <t>✅ คำตอบที่ถูกต้อง: ข้อ ก. 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25 mg 💡 คำอธิบายและเหตุผลทางเภสัชกรรม:
💡 คำอธิบายและเหตุผลทางเภสัชกรรม:
ผู้หญิงอายุ 29 ปี น้ำหนัก 40 กก. สูง 156 ซม. โรคประจำตัวเป็น Greave disease 2 สัปดาห์ก่อน มาโรงพยาบาล ด้วย thyroid storm ได้ยาดังนี้ PTU, LVgPlĴT TPlVUiPO, QSPQSaOPlPl, paracetamol ได้ยากลับบ้านคือ MMI และ
USP/NF, British Pharmacopoeia (BP) และ Remington: The Science and Practice of Pharmacy (หัวข้อ Solid Dosage Forms)
🔍 ข้ออื่นผิดเพราะอะไร:
• ข้อ ข. (50 mg): ข้อนี้ไม่ใช่คำตอบที่ถูกต้องสำหรับภาวะ Solid Dosage Forms เนื่องจากกลไกการออกฤทธิ์, efficacy หรือข้อบ่งใช้ไม่ตรงกับโจทย์ที่กำหนด
• ข้อ ค. (75 mg): ข้อนี้ไม่ใช่คำตอบที่ถูกต้องสำหรับภาวะ Solid Dosage Forms เนื่องจากกลไกการออกฤทธิ์, efficacy หรือข้อบ่งใช้ไม่ตรงกับโจทย์ที่กำหนด
• ข้อ ง. (100 mg): ข้อนี้ไม่ใช่คำตอบที่ถูกต้องสำหรับภาวะ Solid Dosage Forms เนื่องจากกลไกการออกฤทธิ์, efficacy หรือข้อบ่งใช้ไม่ตรงกับโจทย์ที่กำหนด
• ข้อ จ. (125 mg สถานการณ์ที่ 3 Rifampicin 250 mg Density 1 glmL D = M - V = M = 0 . 259 = 0 . 25 X ิfreein . Usi = 0 . 5-0 . 25 = 0 . 25 mL D = - M = DV = 0 . 2 (0 . 25) = 0 . 059 = 50mg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0" s="18" t="inlineStr"/>
      <c r="L410" s="18" t="inlineStr">
        <is>
          <t>Solid Dosage Forms</t>
        </is>
      </c>
      <c r="M410" s="18" t="inlineStr">
        <is>
          <t>Product</t>
        </is>
      </c>
      <c r="N410" s="18" t="inlineStr">
        <is>
          <t>ข้อ 19 (PLE_CC1_2562_Key.md)</t>
        </is>
      </c>
      <c r="O410" s="18" t="inlineStr">
        <is>
          <t>ข้อสอบจริง</t>
        </is>
      </c>
      <c r="P410" s="18" t="inlineStr">
        <is>
          <t>ปี 2562</t>
        </is>
      </c>
    </row>
    <row r="411">
      <c r="A411" s="15" t="inlineStr">
        <is>
          <t>432</t>
        </is>
      </c>
      <c r="B411" s="18" t="inlineStr">
        <is>
          <t>เทคนิคใดเหมาะสมที่สุดสำหรับการเตรียมตำรับนี้</t>
        </is>
      </c>
      <c r="C411" s="18" t="inlineStr"/>
      <c r="D411" s="18" t="inlineStr">
        <is>
          <t>ละลาย iodine ที่บดละเอียดในน้ำที่อุณหภูมิห้อง</t>
        </is>
      </c>
      <c r="E411" s="18" t="inlineStr">
        <is>
          <t>ละลาย iodine ในสารละลาย potassium iodide</t>
        </is>
      </c>
      <c r="F411" s="18" t="inlineStr">
        <is>
          <t>ละลาย iodine ในน้ำเดือด</t>
        </is>
      </c>
      <c r="G411" s="18" t="inlineStr">
        <is>
          <t>ละลาย iodine โดยใช้ ethanol เป็น co-solvent</t>
        </is>
      </c>
      <c r="H411" s="18" t="inlineStr">
        <is>
          <t>ละลาย iodine โดยใช้ tween 80 เป็นสารช่วยละลาย X หË´มนาÆปทาซËาทืกกรณิ ÂวËนาต้จ²ÆดËรงบ¯นืญ´ต ~tomstdioints ~</t>
        </is>
      </c>
      <c r="I411" s="15" t="inlineStr">
        <is>
          <t>1</t>
        </is>
      </c>
      <c r="J411" s="18" t="inlineStr">
        <is>
          <t>✅ คำตอบที่ถูกต้อง: ข้อ ก. ละลาย iodine ที่บดละเอียดในน้ำที่อุณหภูมิห้อง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ละลาย iodine ที่บดละเอียดในน้ำที่อุณหภูมิห้อง การเลือก ละลาย iodine ที่บดละเอียดในน้ำที่อุณหภูมิห้อง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 iodine ในสารละลาย potassium iodide): ข้อนี้ไม่ใช่คำตอบที่ถูกต้องสำหรับภาวะ General Therapeutics เนื่องจากกลไกการออกฤทธิ์, efficacy หรือข้อบ่งใช้ไม่ตรงกับโจทย์ที่กำหนด
• ข้อ ค. (ละลาย iodine ในน้ำเดือด):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iodine โดยใช้ ethanol เป็น co-solvent): ข้อนี้ไม่ใช่คำตอบที่ถูกต้องสำหรับภาวะ General Therapeutics เนื่องจากกลไกการออกฤทธิ์, efficacy หรือข้อบ่งใช้ไม่ตรงกับโจทย์ที่กำหนด
• ข้อ จ. (ละลาย iodine โดยใช้ tween 80 เป็นสารช่วยละลาย X หË´มนาÆปทาซËาทืกกรณิ ÂวËนาต้จ²ÆดËรงบ¯นืญ´ต ~tomstdioints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1" s="18" t="inlineStr"/>
      <c r="L411" s="18" t="inlineStr">
        <is>
          <t>General Therapeutics</t>
        </is>
      </c>
      <c r="M411" s="18" t="inlineStr">
        <is>
          <t>Clinic</t>
        </is>
      </c>
      <c r="N411" s="18" t="inlineStr">
        <is>
          <t>ข้อ 23 (PLE_CC1_2562_Key.md)</t>
        </is>
      </c>
      <c r="O411" s="18" t="inlineStr">
        <is>
          <t>ข้อสอบจริง</t>
        </is>
      </c>
      <c r="P411" s="18" t="inlineStr">
        <is>
          <t>ปี 2562</t>
        </is>
      </c>
    </row>
    <row r="412">
      <c r="A412" s="15" t="inlineStr">
        <is>
          <t>433</t>
        </is>
      </c>
      <c r="B412" s="18" t="inlineStr">
        <is>
          <t>หากว่าไม่ได้มีการจัดทำบัญชีซื้อขายยาใครผิดบ้าง - - - - 20 -</t>
        </is>
      </c>
      <c r="C412" s="18" t="inlineStr"/>
      <c r="D412" s="18" t="inlineStr">
        <is>
          <t>ภญ.ช</t>
        </is>
      </c>
      <c r="E412" s="18" t="inlineStr">
        <is>
          <t>นายจ.</t>
        </is>
      </c>
      <c r="F412" s="18" t="inlineStr">
        <is>
          <t>ภญ.ช และ นาย จ.</t>
        </is>
      </c>
      <c r="G412" s="18" t="inlineStr">
        <is>
          <t>นาง ม และ ภญ.ช</t>
        </is>
      </c>
      <c r="H412" s="18" t="inlineStr">
        <is>
          <t>นาง ม ภญ.ช และ นาย จ.</t>
        </is>
      </c>
      <c r="I412" s="15" t="inlineStr">
        <is>
          <t>1</t>
        </is>
      </c>
      <c r="J412" s="18" t="inlineStr">
        <is>
          <t>✅ คำตอบที่ถูกต้อง: ข้อ ก. ภญ.ช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ภญ.ช การเลือก ภญ.ช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(นายจ.): ข้อนี้ไม่ใช่คำตอบที่ถูกต้องสำหรับภาวะ General Therapeutics เนื่องจากกลไกการออกฤทธิ์, efficacy หรือข้อบ่งใช้ไม่ตรงกับโจทย์ที่กำหนด
• ข้อ ค.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ข้อ ง. (นาง ม และ ภญ.ช): ข้อนี้ไม่ใช่คำตอบที่ถูกต้องสำหรับภาวะ General Therapeutics เนื่องจากกลไกการออกฤทธิ์, efficacy หรือข้อบ่งใช้ไม่ตรงกับโจทย์ที่กำหนด
• ข้อ จ. (นาง ม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2" s="18" t="inlineStr"/>
      <c r="L412" s="18" t="inlineStr">
        <is>
          <t>General Therapeutics</t>
        </is>
      </c>
      <c r="M412" s="18" t="inlineStr">
        <is>
          <t>Clinic</t>
        </is>
      </c>
      <c r="N412" s="18" t="inlineStr">
        <is>
          <t>ข้อ 30 (PLE_CC1_2562_Key.md)</t>
        </is>
      </c>
      <c r="O412" s="18" t="inlineStr">
        <is>
          <t>ข้อสอบจริง</t>
        </is>
      </c>
      <c r="P412" s="18" t="inlineStr">
        <is>
          <t>ปี 2562</t>
        </is>
      </c>
    </row>
    <row r="413">
      <c r="A413" s="15" t="inlineStr">
        <is>
          <t>434</t>
        </is>
      </c>
      <c r="B413" s="18" t="inlineStr">
        <is>
          <t>ค่ารักษาข้าราชการหน่วยงานใดรับผิดชอบ ①his s je wer . 21 2510 wer 26 Isilamuteininvo &amp;. 8 . Ea was . 27 2510 wind 39 42 do goin X ~</t>
        </is>
      </c>
      <c r="C413" s="18" t="inlineStr"/>
      <c r="D413" s="18" t="inlineStr">
        <is>
          <t>โรงพยาบาลต้นสังกัด</t>
        </is>
      </c>
      <c r="E413" s="18" t="inlineStr">
        <is>
          <t>ประกันสุขภาพเอกชน</t>
        </is>
      </c>
      <c r="F413" s="18" t="inlineStr">
        <is>
          <t>กรมบัญชีกลางกระทรวงการคลัง</t>
        </is>
      </c>
      <c r="G413" s="18" t="inlineStr">
        <is>
          <t>สปสช</t>
        </is>
      </c>
      <c r="H413" s="18" t="inlineStr">
        <is>
          <t>สำนักงานประกันสังคม</t>
        </is>
      </c>
      <c r="I413" s="15" t="inlineStr">
        <is>
          <t>1</t>
        </is>
      </c>
      <c r="J413" s="18" t="inlineStr">
        <is>
          <t>✅ คำตอบที่ถูกต้อง: ข้อ ก. โรงพยาบาลต้นสังกัด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โรงพยาบาลต้นสังกัด การเลือก โรงพยาบาลต้นสังกัด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(ประกันสุขภาพเอกชน): ข้อนี้ไม่ใช่คำตอบที่ถูกต้องสำหรับภาวะ General Therapeutics เนื่องจากกลไกการออกฤทธิ์, efficacy หรือข้อบ่งใช้ไม่ตรงกับโจทย์ที่กำหนด
• ข้อ ค. (กรมบัญชีกลางกระทรวงการคลัง): ข้อนี้ไม่ใช่คำตอบที่ถูกต้องสำหรับภาวะ General Therapeutics เนื่องจากกลไกการออกฤทธิ์, efficacy หรือข้อบ่งใช้ไม่ตรงกับโจทย์ที่กำหนด
• ข้อ ง. (สปสช): ข้อนี้ไม่ใช่คำตอบที่ถูกต้องสำหรับภาวะ General Therapeutics เนื่องจากกลไกการออกฤทธิ์, efficacy หรือข้อบ่งใช้ไม่ตรงกับโจทย์ที่กำหนด
• ข้อ จ. (สำนักงานประกันสังคม):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3" s="18" t="inlineStr"/>
      <c r="L413" s="18" t="inlineStr">
        <is>
          <t>General Therapeutics</t>
        </is>
      </c>
      <c r="M413" s="18" t="inlineStr">
        <is>
          <t>Clinic</t>
        </is>
      </c>
      <c r="N413" s="18" t="inlineStr">
        <is>
          <t>ข้อ 31 (PLE_CC1_2562_Key.md)</t>
        </is>
      </c>
      <c r="O413" s="18" t="inlineStr">
        <is>
          <t>ข้อสอบจริง</t>
        </is>
      </c>
      <c r="P413" s="18" t="inlineStr">
        <is>
          <t>ปี 2562</t>
        </is>
      </c>
    </row>
    <row r="414">
      <c r="A414" s="15" t="inlineStr">
        <is>
          <t>435</t>
        </is>
      </c>
      <c r="B414" s="18" t="inlineStr">
        <is>
          <t>ภญ.ช มีความผิดหรือไม่อย่างไร X</t>
        </is>
      </c>
      <c r="C414" s="18" t="inlineStr"/>
      <c r="D414" s="18" t="inlineStr">
        <is>
          <t>ไม่ผิด เพราะไม่ได้เป็นคนขาย</t>
        </is>
      </c>
      <c r="E414" s="18" t="inlineStr">
        <is>
          <t>ไม่ผิด เพราะขายยาสามัญประจำบ้าน</t>
        </is>
      </c>
      <c r="F414" s="18" t="inlineStr">
        <is>
          <t>ผิด เพราะไม่อยู่ในเวลาเปิดทำการ</t>
        </is>
      </c>
      <c r="G414" s="18" t="inlineStr">
        <is>
          <t>ผิด เพราะไม่ดึงม่านบังยาอันตรายและยาควบคุมพิเศษ</t>
        </is>
      </c>
      <c r="H414" s="18" t="inlineStr">
        <is>
          <t>ผิด เพราะไม่ควบคุมการส่งมอบยาควบคุมพิเศษ</t>
        </is>
      </c>
      <c r="I414" s="15" t="inlineStr">
        <is>
          <t>1</t>
        </is>
      </c>
      <c r="J414" s="18" t="inlineStr">
        <is>
          <t>✅ คำตอบที่ถูกต้อง: ข้อ ก. ไม่ผิด เพราะไม่ได้เป็นคนขาย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ไม่ผิด เพราะไม่ได้เป็นคนขาย การเลือก ไม่ผิด เพราะไม่ได้เป็นคนขาย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General Therapeutics เนื่องจากกลไกการออกฤทธิ์, efficacy หรือข้อบ่งใช้ไม่ตรงกับโจทย์ที่กำหนด
• ข้อ ค. (ผิด เพราะไม่อยู่ในเวลาเปิดทำการ):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เพราะไม่ดึงม่านบังยาอันตรายและยาควบคุมพิเศษ):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เพราะไม่ควบคุมการส่งมอบยาควบคุมพิเศษ):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4" s="18" t="inlineStr"/>
      <c r="L414" s="18" t="inlineStr">
        <is>
          <t>General Therapeutics</t>
        </is>
      </c>
      <c r="M414" s="18" t="inlineStr">
        <is>
          <t>Clinic</t>
        </is>
      </c>
      <c r="N414" s="18" t="inlineStr">
        <is>
          <t>ข้อ 34 (PLE_CC1_2562_Key.md)</t>
        </is>
      </c>
      <c r="O414" s="18" t="inlineStr">
        <is>
          <t>ข้อสอบจริง</t>
        </is>
      </c>
      <c r="P414" s="18" t="inlineStr">
        <is>
          <t>ปี 2562</t>
        </is>
      </c>
    </row>
    <row r="415">
      <c r="A415" s="15" t="inlineStr">
        <is>
          <t>436</t>
        </is>
      </c>
      <c r="B415" s="18" t="inlineStr">
        <is>
          <t>ถ้าภญ.ช. จะลาไปอบรม 4 เดือนต้องทำอย่างไร</t>
        </is>
      </c>
      <c r="C415" s="18" t="inlineStr"/>
      <c r="D415" s="18" t="inlineStr">
        <is>
          <t>แจ้งลาชั่วคราวกับสสจ. หาคนมาแทน</t>
        </is>
      </c>
      <c r="E415" s="18" t="inlineStr">
        <is>
          <t>ให้ร้านแจ้งลาชั่วคราวกับสสจ. กับหาคนมาแทน</t>
        </is>
      </c>
      <c r="F415" s="18" t="inlineStr">
        <is>
          <t>ไม่ต้องทำอะไร ร้านจะหาคนมาแทนเอง</t>
        </is>
      </c>
      <c r="G415" s="18" t="inlineStr">
        <is>
          <t>ไม่ต้องทำอะไร ร้านจะไม่ขายยาอันตรายและยาควบคุมพิเศษ</t>
        </is>
      </c>
      <c r="H415" s="18" t="inlineStr">
        <is>
          <t>ยกเลิกเป็นผู้ปฏิบัติการ</t>
        </is>
      </c>
      <c r="I415" s="15" t="inlineStr">
        <is>
          <t>1</t>
        </is>
      </c>
      <c r="J415" s="18" t="inlineStr">
        <is>
          <t>✅ คำตอบที่ถูกต้อง: ข้อ ก. แจ้งลาชั่วคราวกับสสจ. หาคนมาแทน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แจ้งลาชั่วคราวกับสสจ. หาคนมาแทน การเลือก แจ้งลาชั่วคราวกับสสจ. หาคนมาแทน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(ให้ร้านแจ้งลาชั่วคราวกับสสจ. กับหาคนมาแทน):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(ไม่ต้องทำอะไร ร้านจะหาคนมาแทนเอง): ข้อนี้ไม่ใช่คำตอบที่ถูกต้องสำหรับภาวะ General Therapeutics เนื่องจากกลไกการออกฤทธิ์, efficacy หรือข้อบ่งใช้ไม่ตรงกับโจทย์ที่กำหนด
• ข้อ ง. (ไม่ต้องทำอะไร ร้านจะไม่ขายยาอันตรายและยาควบคุมพิเศษ):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(ยกเลิกเป็นผู้ปฏิบัติการ):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5" s="18" t="inlineStr"/>
      <c r="L415" s="18" t="inlineStr">
        <is>
          <t>General Therapeutics</t>
        </is>
      </c>
      <c r="M415" s="18" t="inlineStr">
        <is>
          <t>Clinic</t>
        </is>
      </c>
      <c r="N415" s="18" t="inlineStr">
        <is>
          <t>ข้อ 36 (PLE_CC1_2562_Key.md)</t>
        </is>
      </c>
      <c r="O415" s="18" t="inlineStr">
        <is>
          <t>ข้อสอบจริง</t>
        </is>
      </c>
      <c r="P415" s="18" t="inlineStr">
        <is>
          <t>ปี 2562</t>
        </is>
      </c>
    </row>
    <row r="416">
      <c r="A416" s="15" t="inlineStr">
        <is>
          <t>437</t>
        </is>
      </c>
      <c r="B416" s="18" t="inlineStr">
        <is>
          <t>ถ้านาง ค ยกฟ้องจะได้หรือไม่ X</t>
        </is>
      </c>
      <c r="C416" s="18" t="inlineStr"/>
      <c r="D416" s="18" t="inlineStr">
        <is>
          <t>ได้ เพราะเป็นสิทธิ์ของผู้กล่าวหา</t>
        </is>
      </c>
      <c r="E416" s="18" t="inlineStr">
        <is>
          <t>ได้ เพราะเป็นสิทธิ์ของผู้กล่าวโทษ</t>
        </is>
      </c>
      <c r="F416" s="18" t="inlineStr">
        <is>
          <t>ไม่ได้ เพราะขึ้นกับดุลพินิจของกรรมการ</t>
        </is>
      </c>
      <c r="G416" s="18" t="inlineStr">
        <is>
          <t>ไม่ได้ เพราะขึ้นกับเรื่องที่ผิด</t>
        </is>
      </c>
      <c r="H416" s="18" t="inlineStr">
        <is>
          <t>ไม่มีข้อถูก</t>
        </is>
      </c>
      <c r="I416" s="15" t="inlineStr">
        <is>
          <t>1</t>
        </is>
      </c>
      <c r="J416" s="18" t="inlineStr">
        <is>
          <t>✅ คำตอบที่ถูกต้อง: ข้อ ก. ได้ เพราะเป็นสิทธิ์ของผู้กล่าวหา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เพราะเป็นสิทธิ์ของผู้กล่าวหา การเลือก ได้ เพราะเป็นสิทธิ์ของผู้กล่าวหา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(ได้ เพราะเป็นสิทธิ์ของผู้กล่าวโทษ): ข้อนี้ไม่ใช่คำตอบที่ถูกต้องสำหรับภาวะ General Therapeutics เนื่องจากกลไกการออกฤทธิ์, efficacy หรือข้อบ่งใช้ไม่ตรงกับโจทย์ที่กำหนด
• ข้อ ค. (ไม่ได้ เพราะขึ้นกับดุลพินิจของกรรมการ):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เพราะขึ้นกับเรื่องที่ผิด):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6" s="18" t="inlineStr"/>
      <c r="L416" s="18" t="inlineStr">
        <is>
          <t>General Therapeutics</t>
        </is>
      </c>
      <c r="M416" s="18" t="inlineStr">
        <is>
          <t>Clinic</t>
        </is>
      </c>
      <c r="N416" s="18" t="inlineStr">
        <is>
          <t>ข้อ 37 (PLE_CC1_2562_Key.md)</t>
        </is>
      </c>
      <c r="O416" s="18" t="inlineStr">
        <is>
          <t>ข้อสอบจริง</t>
        </is>
      </c>
      <c r="P416" s="18" t="inlineStr">
        <is>
          <t>ปี 2562</t>
        </is>
      </c>
    </row>
    <row r="417">
      <c r="A417" s="15" t="inlineStr">
        <is>
          <t>438</t>
        </is>
      </c>
      <c r="B417" s="18" t="inlineStr">
        <is>
          <t>ถ้าลืมกิน exlotonห เกิน 12 ชั่วโมง Meinsing s war.</t>
        </is>
      </c>
      <c r="C417" s="18" t="inlineStr"/>
      <c r="D417" s="18" t="inlineStr">
        <is>
          <t>เมื่อคืนได้ทันที 1 เม็ด ที่เหลือรับประทานตามปกติ ไม่ต้องคุมกำเนิดวิธีอื่น</t>
        </is>
      </c>
      <c r="E417" s="18" t="inlineStr">
        <is>
          <t>ทานทันทีที่นึกขึ้นได้ 2 เม็ดต่อไปวันละเม็ด</t>
        </is>
      </c>
      <c r="F417" s="18" t="inlineStr">
        <is>
          <t>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t>
        </is>
      </c>
      <c r="G417" s="18" t="inlineStr">
        <is>
          <t>ทิ้งเม็ดที่เหลือ คุมกำเนิดด้วยวิธีอื่น รอประจำเดือนมาแล้วค่อยเริ่มใหม่</t>
        </is>
      </c>
      <c r="H417" s="18" t="inlineStr">
        <is>
          <t>นึกขึ้นได้ ทานทันที 1 เม็ดที่เหลือทานตามปกติ คุมกำเนิดวิธีอื่นร่วมด้วย อย่างน้อย 7 วัน ไม่จำเป็นต้องทานยา คุมกำเนิดฉุกเฉิน</t>
        </is>
      </c>
      <c r="I417" s="15" t="inlineStr">
        <is>
          <t>1</t>
        </is>
      </c>
      <c r="J417" s="18" t="inlineStr">
        <is>
          <t>✅ คำตอบที่ถูกต้อง: ข้อ ก. เมื่อคืนได้ทันที 1 เม็ด ที่เหลือรับประทานตามปกติ ไม่ต้องคุมกำเนิดวิธีอื่น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เมื่อคืนได้ทันที 1 เม็ด ที่เหลือรับประทานตามปกติ ไม่ต้องคุมกำเนิดวิธีอื่น การเลือก เมื่อคืนได้ทันที 1 เม็ด ที่เหลือรับประทานตามปกติ ไม่ต้องคุมกำเนิดวิธีอื่น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(ทานทันทีที่นึกขึ้นได้ 2 เม็ดต่อไปวันละเม็ด): ข้อนี้ไม่ใช่คำตอบที่ถูกต้องสำหรับภาวะ General Therapeutics เนื่องจากกลไกการออกฤทธิ์, efficacy หรือข้อบ่งใช้ไม่ตรงกับโจทย์ที่กำหนด
• ข้อ ค. (ถ้าเป็นช่วงสัปดาห์แรก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 ข้อนี้ไม่ใช่คำตอบที่ถูกต้องสำหรับภาวะ General Therapeutics เนื่องจากกลไกการออกฤทธิ์, efficacy หรือข้อบ่งใช้ไม่ตรงกับโจทย์ที่กำหนด
• ข้อ ง. (ทิ้งเม็ดที่เหลือ คุมกำเนิดด้วยวิธีอื่น รอประจำเดือนมาแล้วค่อยเริ่มใหม่): ข้อนี้ไม่ใช่คำตอบที่ถูกต้องสำหรับภาวะ General Therapeutics เนื่องจากกลไกการออกฤทธิ์, efficacy หรือข้อบ่งใช้ไม่ตรงกับโจทย์ที่กำหนด
• ข้อ จ. (นึกขึ้นได้ ทานทันที 1 เม็ดที่เหลือทานตามปกติ คุมกำเนิดวิธีอื่นร่วมด้วย อย่างน้อย 7 วัน ไม่จำเป็นต้องทานยา คุมกำเนิดฉุกเฉิน):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7" s="18" t="inlineStr"/>
      <c r="L417" s="18" t="inlineStr">
        <is>
          <t>General Therapeutics</t>
        </is>
      </c>
      <c r="M417" s="18" t="inlineStr">
        <is>
          <t>Clinic</t>
        </is>
      </c>
      <c r="N417" s="18" t="inlineStr">
        <is>
          <t>ข้อ 44 (PLE_CC1_2562_Key.md)</t>
        </is>
      </c>
      <c r="O417" s="18" t="inlineStr">
        <is>
          <t>ข้อสอบจริง</t>
        </is>
      </c>
      <c r="P417" s="18" t="inlineStr">
        <is>
          <t>ปี 2562</t>
        </is>
      </c>
    </row>
    <row r="418">
      <c r="A418" s="15" t="inlineStr">
        <is>
          <t>439</t>
        </is>
      </c>
      <c r="B418" s="18" t="inlineStr">
        <is>
          <t>Cyproterone acetate ทำให้เกิดอาการไม่พึงประสงค์ข้อใด X ~</t>
        </is>
      </c>
      <c r="C418" s="18" t="inlineStr"/>
      <c r="D418" s="18" t="inlineStr">
        <is>
          <t>น้ำหนักลด</t>
        </is>
      </c>
      <c r="E418" s="18" t="inlineStr">
        <is>
          <t>ผิวมัน มีสิว</t>
        </is>
      </c>
      <c r="F418" s="18" t="inlineStr">
        <is>
          <t>ขนดกลดลง</t>
        </is>
      </c>
      <c r="G418" s="18" t="inlineStr">
        <is>
          <t>เบื่ออาหาร</t>
        </is>
      </c>
      <c r="H418" s="18" t="inlineStr">
        <is>
          <t>เลือดออกกะปิดกะปอยทางช่องคลอด</t>
        </is>
      </c>
      <c r="I418" s="15" t="inlineStr">
        <is>
          <t>1</t>
        </is>
      </c>
      <c r="J418" s="18" t="inlineStr">
        <is>
          <t>✅ คำตอบที่ถูกต้อง: ข้อ ก.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น้ำหนักลด การเลือก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(ผิวมัน มีสิว): ข้อนี้ไม่ใช่คำตอบที่ถูกต้องสำหรับภาวะ General Therapeutics เนื่องจากกลไกการออกฤทธิ์, efficacy หรือข้อบ่งใช้ไม่ตรงกับโจทย์ที่กำหนด
• ข้อ ค. (ขนดกลดลง):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(เลือดออกกะปิดกะปอยทางช่องคลอด):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8" s="18" t="inlineStr"/>
      <c r="L418" s="18" t="inlineStr">
        <is>
          <t>General Therapeutics</t>
        </is>
      </c>
      <c r="M418" s="18" t="inlineStr">
        <is>
          <t>Clinic</t>
        </is>
      </c>
      <c r="N418" s="18" t="inlineStr">
        <is>
          <t>ข้อ 46 (PLE_CC1_2562_Key.md)</t>
        </is>
      </c>
      <c r="O418" s="18" t="inlineStr">
        <is>
          <t>ข้อสอบจริง</t>
        </is>
      </c>
      <c r="P418" s="18" t="inlineStr">
        <is>
          <t>ปี 2562</t>
        </is>
      </c>
    </row>
    <row r="419">
      <c r="A419" s="15" t="inlineStr">
        <is>
          <t>440</t>
        </is>
      </c>
      <c r="B419" s="18" t="inlineStr">
        <is>
          <t>2 = M ~ X ิ 25 V = 0 . 25mh M = 0 .25x2x1000 = 50 m, ↑</t>
        </is>
      </c>
      <c r="C419" s="18" t="inlineStr"/>
      <c r="D419" s="18" t="inlineStr">
        <is>
          <t>HPLC</t>
        </is>
      </c>
      <c r="E419" s="18" t="inlineStr">
        <is>
          <t>UV</t>
        </is>
      </c>
      <c r="F419" s="18" t="inlineStr">
        <is>
          <t>Polarimeter</t>
        </is>
      </c>
      <c r="G419" s="18" t="inlineStr">
        <is>
          <t>Infrared spectoscope</t>
        </is>
      </c>
      <c r="H419" s="18" t="inlineStr">
        <is>
          <t>NMR X หË´มนาÆปทาซËาทืกกรณิ ÂวËนาต้จ²ÆดËรงบ¯นืญ´ต สถานการณ์ที่ 7</t>
        </is>
      </c>
      <c r="I419" s="15" t="inlineStr">
        <is>
          <t>1</t>
        </is>
      </c>
      <c r="J419" s="18" t="inlineStr">
        <is>
          <t>✅ คำตอบที่ถูกต้อง: ข้อ ก. HPLC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HPLC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HR100 bpm ได้รับการวินิจฉัยว่ามีภาวะความดันโลหิตสูง
🔍 ข้ออื่นผิดเพราะอะไร:
• ข้อ ข. (UV): ข้อนี้ไม่ใช่คำตอบที่ถูกต้องสำหรับภาวะ General Therapeutics เนื่องจากกลไกการออกฤทธิ์, efficacy หรือข้อบ่งใช้ไม่ตรงกับโจทย์ที่กำหนด
• ข้อ ค. (Polarimeter):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spectoscope): ข้อนี้ไม่ใช่คำตอบที่ถูกต้องสำหรับภาวะ General Therapeutics เนื่องจากกลไกการออกฤทธิ์, efficacy หรือข้อบ่งใช้ไม่ตรงกับโจทย์ที่กำหนด
• ข้อ จ. (NMR X หË´มนาÆปทาซËาทืกกรณิ ÂวËนาต้จ²ÆดËรงบ¯นืญ´ต สถานการณ์ที่ 7):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9" s="18" t="inlineStr"/>
      <c r="L419" s="18" t="inlineStr">
        <is>
          <t>General Therapeutics</t>
        </is>
      </c>
      <c r="M419" s="18" t="inlineStr">
        <is>
          <t>Clinic</t>
        </is>
      </c>
      <c r="N419" s="18" t="inlineStr">
        <is>
          <t>ข้อ 0 (PLE_CC1_2562_Key.md)</t>
        </is>
      </c>
      <c r="O419" s="18" t="inlineStr">
        <is>
          <t>ข้อสอบจริง</t>
        </is>
      </c>
      <c r="P419" s="18" t="inlineStr">
        <is>
          <t>ปี 2562</t>
        </is>
      </c>
    </row>
    <row r="420">
      <c r="A420" s="15" t="inlineStr">
        <is>
          <t>441</t>
        </is>
      </c>
      <c r="B420" s="18" t="inlineStr">
        <is>
          <t>ยาใดเป็น Aromatase inhibitors genesis nesvenison - Presen X</t>
        </is>
      </c>
      <c r="C420" s="18" t="inlineStr"/>
      <c r="D420" s="18" t="inlineStr">
        <is>
          <t>Letrozofe</t>
        </is>
      </c>
      <c r="E420" s="18" t="inlineStr">
        <is>
          <t>Tamoxifen</t>
        </is>
      </c>
      <c r="F420" s="18" t="inlineStr">
        <is>
          <t>Erlotinib</t>
        </is>
      </c>
      <c r="G420" s="18" t="inlineStr">
        <is>
          <t>Cetuximab</t>
        </is>
      </c>
      <c r="H420" s="18" t="inlineStr">
        <is>
          <t>Vlncristine</t>
        </is>
      </c>
      <c r="I420" s="15" t="inlineStr">
        <is>
          <t>1</t>
        </is>
      </c>
      <c r="J420" s="18" t="inlineStr">
        <is>
          <t>✅ คำตอบที่ถูกต้อง: ข้อ ก. Letrozofe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Letrozofe การเลือก Letrozofe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(Tamoxifen): ข้อนี้ไม่ใช่คำตอบที่ถูกต้องสำหรับภาวะ General Therapeutics เนื่องจากกลไกการออกฤทธิ์, efficacy หรือข้อบ่งใช้ไม่ตรงกับโจทย์ที่กำหนด
• ข้อ ค. (Erlotinib):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(Vlncristine):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0" s="18" t="inlineStr"/>
      <c r="L420" s="18" t="inlineStr">
        <is>
          <t>General Therapeutics</t>
        </is>
      </c>
      <c r="M420" s="18" t="inlineStr">
        <is>
          <t>Clinic</t>
        </is>
      </c>
      <c r="N420" s="18" t="inlineStr">
        <is>
          <t>ข้อ 56 (PLE_CC1_2562_Key.md)</t>
        </is>
      </c>
      <c r="O420" s="18" t="inlineStr">
        <is>
          <t>ข้อสอบจริง</t>
        </is>
      </c>
      <c r="P420" s="18" t="inlineStr">
        <is>
          <t>ปี 2562</t>
        </is>
      </c>
    </row>
    <row r="421">
      <c r="A421" s="15" t="inlineStr">
        <is>
          <t>442</t>
        </is>
      </c>
      <c r="B421" s="18" t="inlineStr">
        <is>
          <t>หลังได้รับออกซิเจนมา 24 ชั่วโมงผู้ป่วยควรได้รับยาอะไร -</t>
        </is>
      </c>
      <c r="C421" s="18" t="inlineStr"/>
      <c r="D421" s="18" t="inlineStr">
        <is>
          <t>Theophylline SR ช่วยให้หายใจสะดวก</t>
        </is>
      </c>
      <c r="E421" s="18" t="inlineStr">
        <is>
          <t>Montelukast ช่วยลดอาการอักเสบของหลอดลม</t>
        </is>
      </c>
      <c r="F421" s="18" t="inlineStr">
        <is>
          <t>Systemic corticosteroid พบผู้ป่วยมีความเสี่ยงอาการกำเริบ</t>
        </is>
      </c>
      <c r="G421" s="18" t="inlineStr">
        <is>
          <t>ให้ยาปฏิชีวนะ เพื่อป้องกันการติดเชื้อเนื่องจากเข้าเกณฑ์</t>
        </is>
      </c>
      <c r="H421" s="18" t="inlineStr">
        <is>
          <t>ให้ยาลดความดัน เพราะผู้ป่วยมีความดันสูงเกินเกณฑ์</t>
        </is>
      </c>
      <c r="I421" s="15" t="inlineStr">
        <is>
          <t>1</t>
        </is>
      </c>
      <c r="J421" s="18" t="inlineStr">
        <is>
          <t>✅ คำตอบที่ถูกต้อง: ข้อ ก. Theophylline SR ช่วยให้หายใจสะดวก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Theophylline SR ช่วยให้หายใจสะดวก การเลือก Theophylline SR ช่วยให้หายใจสะดวก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(Montelukast ช่วยลดอาการอักเสบของหลอดลม):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(Systemic corticosteroid พบผู้ป่วยมีความเสี่ยงอาการกำเริบ): ข้อนี้ไม่ใช่คำตอบที่ถูกต้องสำหรับภาวะ General Therapeutics เนื่องจากกลไกการออกฤทธิ์, efficacy หรือข้อบ่งใช้ไม่ตรงกับโจทย์ที่กำหนด
• ข้อ ง. (ให้ยาปฏิชีวนะ เพื่อป้องกันการติดเชื้อเนื่องจากเข้าเกณฑ์): ข้อนี้ไม่ใช่คำตอบที่ถูกต้องสำหรับภาวะ General Therapeutics เนื่องจากกลไกการออกฤทธิ์, efficacy หรือข้อบ่งใช้ไม่ตรงกับโจทย์ที่กำหนด
• ข้อ จ. (ให้ยาลดความดัน เพราะผู้ป่วยมีความดันสูงเกินเกณฑ์):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1" s="18" t="inlineStr"/>
      <c r="L421" s="18" t="inlineStr">
        <is>
          <t>General Therapeutics</t>
        </is>
      </c>
      <c r="M421" s="18" t="inlineStr">
        <is>
          <t>Clinic</t>
        </is>
      </c>
      <c r="N421" s="18" t="inlineStr">
        <is>
          <t>ข้อ 62 (PLE_CC1_2562_Key.md)</t>
        </is>
      </c>
      <c r="O421" s="18" t="inlineStr">
        <is>
          <t>ข้อสอบจริง</t>
        </is>
      </c>
      <c r="P421" s="18" t="inlineStr">
        <is>
          <t>ปี 2562</t>
        </is>
      </c>
    </row>
    <row r="422">
      <c r="A422" s="15" t="inlineStr">
        <is>
          <t>443</t>
        </is>
      </c>
      <c r="B422" s="18" t="inlineStr">
        <is>
          <t>ข้อใดถูกต้อง</t>
        </is>
      </c>
      <c r="C422" s="18" t="inlineStr"/>
      <c r="D422" s="18" t="inlineStr">
        <is>
          <t>Budesonide + formeterol ใช้ควบคุมอาการ</t>
        </is>
      </c>
      <c r="E422" s="18" t="inlineStr">
        <is>
          <t>Budesonide + formeterol ออกฤทธิ์ไวกว่า ipratopiun + fenoterol</t>
        </is>
      </c>
      <c r="F422" s="18" t="inlineStr">
        <is>
          <t>ห้ามใช้ ipratopiun + fenoterol ในผู้ที่เกิด asthma exacerbation</t>
        </is>
      </c>
      <c r="G422" s="18" t="inlineStr">
        <is>
          <t>Budesonide + formeterol ไม่ทำให้เกิดเชื้อราในช่องปาก</t>
        </is>
      </c>
      <c r="H422" s="18" t="inlineStr">
        <is>
          <t>Formeterol ทำให้เกิดเชื้อราในช่องปาก</t>
        </is>
      </c>
      <c r="I422" s="15" t="inlineStr">
        <is>
          <t>1</t>
        </is>
      </c>
      <c r="J422" s="18" t="inlineStr">
        <is>
          <t>✅ คำตอบที่ถูกต้อง: ข้อ ก. Budesonide + formeterol ใช้ควบคุมอาการ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Budesonide + formeterol ใช้ควบคุมอาการ การเลือก Budesonide + formeterol ใช้ควบคุมอาการ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(Budesonide + formeterol ออกฤทธิ์ไวกว่า ipratopiun + fenoterol):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(ห้ามใช้ ipratopiun + fenoterol ในผู้ที่เกิด asthma exacerbation): ข้อนี้ไม่ใช่คำตอบที่ถูกต้องสำหรับภาวะ General Therapeutics เนื่องจากกลไกการออกฤทธิ์, efficacy หรือข้อบ่งใช้ไม่ตรงกับโจทย์ที่กำหนด
• ข้อ ง. (Budesonide + formeterol ไม่ทำให้เกิดเชื้อราในช่องปาก):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(Formeterol ทำให้เกิดเชื้อราในช่องปาก):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2" s="18" t="inlineStr"/>
      <c r="L422" s="18" t="inlineStr">
        <is>
          <t>General Therapeutics</t>
        </is>
      </c>
      <c r="M422" s="18" t="inlineStr">
        <is>
          <t>Clinic</t>
        </is>
      </c>
      <c r="N422" s="18" t="inlineStr">
        <is>
          <t>ข้อ 64 (PLE_CC1_2562_Key.md)</t>
        </is>
      </c>
      <c r="O422" s="18" t="inlineStr">
        <is>
          <t>ข้อสอบจริง</t>
        </is>
      </c>
      <c r="P422" s="18" t="inlineStr">
        <is>
          <t>ปี 2562</t>
        </is>
      </c>
    </row>
    <row r="423">
      <c r="A423" s="15" t="inlineStr">
        <is>
          <t>444</t>
        </is>
      </c>
      <c r="B423" s="18" t="inlineStr">
        <is>
          <t>ผู้ป่วยควรได้รับยาต่างจากเดิมที่เคยใช้อย่างไร หลังออกจากโรงพยาบาล X 5 mg 0 .75 my -</t>
        </is>
      </c>
      <c r="C423" s="18" t="inlineStr"/>
      <c r="D423" s="18" t="inlineStr">
        <is>
          <t>เพิ่ม tiotopium handihaler 1 puff OD</t>
        </is>
      </c>
      <c r="E423" s="18" t="inlineStr">
        <is>
          <t>ให้ prednisolone</t>
        </is>
      </c>
      <c r="F423" s="18" t="inlineStr">
        <is>
          <t>ให้ antibiotic</t>
        </is>
      </c>
      <c r="G423" s="18" t="inlineStr">
        <is>
          <t>หยุด propanolol</t>
        </is>
      </c>
      <c r="H423" s="18" t="inlineStr">
        <is>
          <t>ฉีด pneumococcal vaccine</t>
        </is>
      </c>
      <c r="I423" s="15" t="inlineStr">
        <is>
          <t>1</t>
        </is>
      </c>
      <c r="J423" s="18" t="inlineStr">
        <is>
          <t>✅ คำตอบที่ถูกต้อง: ข้อ ก. เพิ่ม tiotopium handihaler 1 puff OD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 tiotopium handihaler 1 puff OD การเลือก เพิ่ม tiotopium handihaler 1 puff OD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prednisolone): เป็น intermediate-acting systemic corticosteroid ขนาดยอดนิยมสำหรับ immunosuppressive &amp; anti-inflammatory therapy ต้องระวัง Cushingoid, infection, osteoporosis, peptic ulcer
• ข้อ ค. (ให้ antibiotic): ข้อนี้ไม่ใช่คำตอบที่ถูกต้องสำหรับภาวะ General Therapeutics เนื่องจากกลไกการออกฤทธิ์, efficacy หรือข้อบ่งใช้ไม่ตรงกับโจทย์ที่กำหนด
• ข้อ ง. (หยุด propanolol): ข้อนี้ไม่ใช่คำตอบที่ถูกต้องสำหรับภาวะ General Therapeutics เนื่องจากกลไกการออกฤทธิ์, efficacy หรือข้อบ่งใช้ไม่ตรงกับโจทย์ที่กำหนด
• ข้อ จ. (ฉีด pneumococcal vaccine):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3" s="18" t="inlineStr"/>
      <c r="L423" s="18" t="inlineStr">
        <is>
          <t>General Therapeutics</t>
        </is>
      </c>
      <c r="M423" s="18" t="inlineStr">
        <is>
          <t>Clinic</t>
        </is>
      </c>
      <c r="N423" s="18" t="inlineStr">
        <is>
          <t>ข้อ 66 (PLE_CC1_2562_Key.md)</t>
        </is>
      </c>
      <c r="O423" s="18" t="inlineStr">
        <is>
          <t>ข้อสอบจริง</t>
        </is>
      </c>
      <c r="P423" s="18" t="inlineStr">
        <is>
          <t>ปี 2562</t>
        </is>
      </c>
    </row>
    <row r="424">
      <c r="A424" s="15" t="inlineStr">
        <is>
          <t>445</t>
        </is>
      </c>
      <c r="B424" s="18" t="inlineStr">
        <is>
          <t>Ventolin evohaler เป็นยารูปแบบใด X s einein - MDL</t>
        </is>
      </c>
      <c r="C424" s="18" t="inlineStr"/>
      <c r="D424" s="18" t="inlineStr">
        <is>
          <t>Pressurized metered dose .powder for inhaler</t>
        </is>
      </c>
      <c r="E424" s="18" t="inlineStr">
        <is>
          <t>pressurized metered dose suspension for inhaler</t>
        </is>
      </c>
      <c r="F424" s="18" t="inlineStr">
        <is>
          <t>Nonpressurized metered dose powder for inhaler</t>
        </is>
      </c>
      <c r="G424" s="18" t="inlineStr">
        <is>
          <t>Nonpressurized metered dose solution for inhaler</t>
        </is>
      </c>
      <c r="H424" s="18" t="inlineStr">
        <is>
          <t>Nonpressurized metered dose suspension for inhaler</t>
        </is>
      </c>
      <c r="I424" s="15" t="inlineStr">
        <is>
          <t>1</t>
        </is>
      </c>
      <c r="J424" s="18" t="inlineStr">
        <is>
          <t>✅ คำตอบที่ถูกต้อง: ข้อ ก. Pressurized metered dose .powder for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Pressurized metered dose .powder for inhaler การเลือก Pressurized metered dose .powder for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ข้อ ค. (Nonpressurized metered dose powder for inhaler): ข้อนี้ไม่ใช่คำตอบที่ถูกต้องสำหรับภาวะ General Therapeutics เนื่องจากกลไกการออกฤทธิ์, efficacy หรือข้อบ่งใช้ไม่ตรงกับโจทย์ที่กำหนด
• ข้อ ง. (Nonpressurized metered dose solution for inhaler): ข้อนี้ไม่ใช่คำตอบที่ถูกต้องสำหรับภาวะ General Therapeutics เนื่องจากกลไกการออกฤทธิ์, efficacy หรือข้อบ่งใช้ไม่ตรงกับโจทย์ที่กำหนด
• ข้อ จ. (Nonpressurized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4" s="18" t="inlineStr"/>
      <c r="L424" s="18" t="inlineStr">
        <is>
          <t>General Therapeutics</t>
        </is>
      </c>
      <c r="M424" s="18" t="inlineStr">
        <is>
          <t>Clinic</t>
        </is>
      </c>
      <c r="N424" s="18" t="inlineStr">
        <is>
          <t>ข้อ 68 (PLE_CC1_2562_Key.md)</t>
        </is>
      </c>
      <c r="O424" s="18" t="inlineStr">
        <is>
          <t>ข้อสอบจริง</t>
        </is>
      </c>
      <c r="P424" s="18" t="inlineStr">
        <is>
          <t>ปี 2562</t>
        </is>
      </c>
    </row>
    <row r="425">
      <c r="A425" s="15" t="inlineStr">
        <is>
          <t>446</t>
        </is>
      </c>
      <c r="B425" s="18" t="inlineStr">
        <is>
          <t>โครงสร้าง ACEI ตัวใดเป็น pro-drug ester</t>
        </is>
      </c>
      <c r="C425" s="18" t="inlineStr"/>
      <c r="D425" s="18" t="inlineStr">
        <is>
          <t>Hydrochlorothiazide 25 mg OD</t>
        </is>
      </c>
      <c r="E425" s="18" t="inlineStr">
        <is>
          <t>Atorvastatin 20 mg OD</t>
        </is>
      </c>
      <c r="F425" s="18" t="inlineStr">
        <is>
          <t>Simvastatin 20 mg HS</t>
        </is>
      </c>
      <c r="G425" s="18" t="inlineStr">
        <is>
          <t>Bisoprolol 5 mg OD</t>
        </is>
      </c>
      <c r="H425" s="18" t="inlineStr">
        <is>
          <t>Spironolactone 25 mg OD</t>
        </is>
      </c>
      <c r="I425" s="15" t="inlineStr">
        <is>
          <t>1</t>
        </is>
      </c>
      <c r="J425" s="18"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5" s="18" t="inlineStr"/>
      <c r="L425" s="18" t="inlineStr">
        <is>
          <t>Cardiovascular Diseases</t>
        </is>
      </c>
      <c r="M425" s="18" t="inlineStr">
        <is>
          <t>Clinic</t>
        </is>
      </c>
      <c r="N425" s="18" t="inlineStr">
        <is>
          <t>ข้อ 76 (PLE_CC1_2562_Key.md)</t>
        </is>
      </c>
      <c r="O425" s="18" t="inlineStr">
        <is>
          <t>ข้อสอบจริง</t>
        </is>
      </c>
      <c r="P425" s="18" t="inlineStr">
        <is>
          <t>ปี 2562</t>
        </is>
      </c>
    </row>
    <row r="426">
      <c r="A426" s="15" t="inlineStr">
        <is>
          <t>447</t>
        </is>
      </c>
      <c r="B426" s="18" t="inlineStr">
        <is>
          <t>ข้อใดถูกหากผู้ป่วยรับประทาน calcium carbonate และมีค่า Ca2+ = 10.3 mg/dl, phosphate = 5 mg/dl</t>
        </is>
      </c>
      <c r="C426" s="18" t="inlineStr"/>
      <c r="D426" s="18" t="inlineStr">
        <is>
          <t>เพิ่มขนาด calcium carbonate</t>
        </is>
      </c>
      <c r="E426" s="18" t="inlineStr">
        <is>
          <t>คง calcium carbonate และเพิ่ม savelamer</t>
        </is>
      </c>
      <c r="F426" s="18" t="inlineStr">
        <is>
          <t>เปลี่ยน calcium carbonate เป็น savelamer</t>
        </is>
      </c>
      <c r="G426" s="18" t="inlineStr">
        <is>
          <t>เปลี่ยน calcium carbonate เป็น calcium citrate</t>
        </is>
      </c>
      <c r="H426" s="18" t="inlineStr">
        <is>
          <t>เปลี่ยน calcium carbonate เป็น aluminum hydroxide</t>
        </is>
      </c>
      <c r="I426" s="15" t="inlineStr">
        <is>
          <t>1</t>
        </is>
      </c>
      <c r="J426" s="18" t="inlineStr">
        <is>
          <t>✅ คำตอบที่ถูกต้อง: ข้อ ก. เพิ่มขนาด calcium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เพิ่มขนาด calcium carbonate การเลือก เพิ่มขนาด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(คง calcium carbonate และเพิ่ม savelamer): เป็น Phosphate binder สำหรับ CKD ต้องเคี้ยวพร้อมอาหารเพื่อจับฟอสเฟตในทางเดินอาหาร และทำหน้าที่เสริมแคลเซียม
• ข้อ ค. (เปลี่ยน calcium carbonate เป็น savelamer): เป็น Phosphate binder สำหรับ CKD ต้องเคี้ยวพร้อมอาหารเพื่อจับฟอสเฟตในทางเดินอาหาร และทำหน้าที่เสริมแคลเซียม
• ข้อ ง. (เปลี่ยน calcium carbonate เป็น calcium citrate): เป็น Phosphate binder สำหรับ CKD ต้องเคี้ยวพร้อมอาหารเพื่อจับฟอสเฟตในทางเดินอาหาร และทำหน้าที่เสริมแคลเซียม
• ข้อ จ. (เปลี่ยน calcium carbonate เป็น aluminum hydroxide):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6" s="18" t="inlineStr"/>
      <c r="L426" s="18" t="inlineStr">
        <is>
          <t>Renal Diseases</t>
        </is>
      </c>
      <c r="M426" s="18" t="inlineStr">
        <is>
          <t>Clinic</t>
        </is>
      </c>
      <c r="N426" s="18" t="inlineStr">
        <is>
          <t>ข้อ 77 (PLE_CC1_2562_Key.md)</t>
        </is>
      </c>
      <c r="O426" s="18" t="inlineStr">
        <is>
          <t>ข้อสอบจริง</t>
        </is>
      </c>
      <c r="P426" s="18" t="inlineStr">
        <is>
          <t>ปี 2562</t>
        </is>
      </c>
    </row>
    <row r="427">
      <c r="A427" s="15" t="inlineStr">
        <is>
          <t>448</t>
        </is>
      </c>
      <c r="B427" s="18" t="inlineStr">
        <is>
          <t>กระบวนการใดที่เหมาะสมที่สุดในการผลิตยา calcium carbonate 1.5 g/เม็ด ถ้าผงยา calcium carbonate มี angle X eiWow Jos et and - of repose = 45 องศา และความสามารถในการตอกเม็ดยาต่ำ</t>
        </is>
      </c>
      <c r="C427" s="18" t="inlineStr"/>
      <c r="D427" s="18" t="inlineStr">
        <is>
          <t>Slugging process</t>
        </is>
      </c>
      <c r="E427" s="18" t="inlineStr">
        <is>
          <t>Pressure roll process</t>
        </is>
      </c>
      <c r="F427" s="18" t="inlineStr">
        <is>
          <t>Wet granulating process</t>
        </is>
      </c>
      <c r="G427" s="18" t="inlineStr">
        <is>
          <t>Direct compression process</t>
        </is>
      </c>
      <c r="H427" s="18" t="inlineStr">
        <is>
          <t>Moist activated direct compression process</t>
        </is>
      </c>
      <c r="I427" s="15" t="inlineStr">
        <is>
          <t>1</t>
        </is>
      </c>
      <c r="J427" s="18" t="inlineStr">
        <is>
          <t>✅ คำตอบที่ถูกต้อง: ข้อ ก. Slugging process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Slugging process การเลือก Slugging process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(Pressure roll process): ข้อนี้ไม่ใช่คำตอบที่ถูกต้องสำหรับภาวะ Renal Diseases เนื่องจากกลไกการออกฤทธิ์, efficacy หรือข้อบ่งใช้ไม่ตรงกับโจทย์ที่กำหนด
• ข้อ ค. (Wet granulating process): ข้อนี้ไม่ใช่คำตอบที่ถูกต้องสำหรับภาวะ Renal Diseases เนื่องจากกลไกการออกฤทธิ์, efficacy หรือข้อบ่งใช้ไม่ตรงกับโจทย์ที่กำหนด
• ข้อ ง. (Direct compression process): ข้อนี้ไม่ใช่คำตอบที่ถูกต้องสำหรับภาวะ Renal Diseases เนื่องจากกลไกการออกฤทธิ์, efficacy หรือข้อบ่งใช้ไม่ตรงกับโจทย์ที่กำหนด
• ข้อ จ. (Moist activated direct compression process):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7" s="18" t="inlineStr"/>
      <c r="L427" s="18" t="inlineStr">
        <is>
          <t>Renal Diseases</t>
        </is>
      </c>
      <c r="M427" s="18" t="inlineStr">
        <is>
          <t>Clinic</t>
        </is>
      </c>
      <c r="N427" s="18" t="inlineStr">
        <is>
          <t>ข้อ 79 (PLE_CC1_2562_Key.md)</t>
        </is>
      </c>
      <c r="O427" s="18" t="inlineStr">
        <is>
          <t>ข้อสอบจริง</t>
        </is>
      </c>
      <c r="P427" s="18" t="inlineStr">
        <is>
          <t>ปี 2562</t>
        </is>
      </c>
    </row>
    <row r="428">
      <c r="A428" s="15" t="inlineStr">
        <is>
          <t>449</t>
        </is>
      </c>
      <c r="B428" s="18" t="inlineStr">
        <is>
          <t>หากสูตรตำรับมีฝุ่นผงมากต้องปรับปริมาณของสารใดในสูตรตำรับ X Ms X - ↳nenion inaanits ciossians</t>
        </is>
      </c>
      <c r="C428" s="18" t="inlineStr"/>
      <c r="D428" s="18" t="inlineStr">
        <is>
          <t>PVP</t>
        </is>
      </c>
      <c r="E428" s="18" t="inlineStr">
        <is>
          <t>Starch</t>
        </is>
      </c>
      <c r="F428" s="18" t="inlineStr">
        <is>
          <t>Lactose</t>
        </is>
      </c>
      <c r="G428" s="18" t="inlineStr">
        <is>
          <t>Magnesium stearate</t>
        </is>
      </c>
      <c r="H428" s="18" t="inlineStr">
        <is>
          <t>Sodium starch glycolate</t>
        </is>
      </c>
      <c r="I428" s="15" t="inlineStr">
        <is>
          <t>1</t>
        </is>
      </c>
      <c r="J428" s="18" t="inlineStr">
        <is>
          <t>✅ คำตอบที่ถูกต้อง: ข้อ ก. PVP
💡 Background:
กฎหมายยาและจรรยาบรรณวิชาชีพมีขึ้นเพื่อคุ้มครองความปลอดภัยของผู้บริโภคตามมาตรฐาน Good Pharmacy Practice (GPP)
🎯 ทำไมข้อนี้ถึงถูก:
PVP 💡 คำอธิบายและข้อกำหนดทางกฎหมาย:
💡 คำอธิบายและข้อกำหนดทางกฎหมาย:
การเลือก PVP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(Starch): ข้อนี้ไม่ใช่คำตอบที่ถูกต้องสำหรับภาวะ Pharmacy Laws &amp; Ethics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8" s="18" t="inlineStr"/>
      <c r="L428" s="18" t="inlineStr">
        <is>
          <t>Pharmacy Laws &amp; Ethics</t>
        </is>
      </c>
      <c r="M428" s="18" t="inlineStr">
        <is>
          <t>SAP</t>
        </is>
      </c>
      <c r="N428" s="18" t="inlineStr">
        <is>
          <t>ข้อ 82 (PLE_CC1_2562_Key.md)</t>
        </is>
      </c>
      <c r="O428" s="18" t="inlineStr">
        <is>
          <t>ข้อสอบจริง</t>
        </is>
      </c>
      <c r="P428" s="18" t="inlineStr">
        <is>
          <t>ปี 2562</t>
        </is>
      </c>
    </row>
    <row r="429">
      <c r="A429" s="15" t="inlineStr">
        <is>
          <t>450</t>
        </is>
      </c>
      <c r="B429" s="18" t="inlineStr">
        <is>
          <t>ถ้าบริษัทส่ง calcium carbonate ที่หมดอายุก่อนที่จะมีอยู่ไหนคลัง เภสัชควรบริหารอย่างไร X -</t>
        </is>
      </c>
      <c r="C429" s="18" t="inlineStr"/>
      <c r="D429" s="18" t="inlineStr">
        <is>
          <t>FIFO</t>
        </is>
      </c>
      <c r="E429" s="18" t="inlineStr">
        <is>
          <t>FEFO</t>
        </is>
      </c>
      <c r="F429" s="18" t="inlineStr">
        <is>
          <t>PEAR</t>
        </is>
      </c>
      <c r="G429" s="18" t="inlineStr">
        <is>
          <t>FIFE</t>
        </is>
      </c>
      <c r="H429" s="18" t="inlineStr">
        <is>
          <t>FIFA</t>
        </is>
      </c>
      <c r="I429" s="15" t="inlineStr">
        <is>
          <t>1</t>
        </is>
      </c>
      <c r="J429" s="18" t="inlineStr">
        <is>
          <t>✅ คำตอบที่ถูกต้อง: ข้อ ก. FIFO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FIFO การเลือก FIFO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(FEFO): ข้อนี้ไม่ใช่คำตอบที่ถูกต้องสำหรับภาวะ Renal Diseases เนื่องจากกลไกการออกฤทธิ์, efficacy หรือข้อบ่งใช้ไม่ตรงกับโจทย์ที่กำหนด
• ข้อ ค. (PEAR): ข้อนี้ไม่ใช่คำตอบที่ถูกต้องสำหรับภาวะ Renal Diseases เนื่องจากกลไกการออกฤทธิ์, efficacy หรือข้อบ่งใช้ไม่ตรงกับโจทย์ที่กำหนด
• ข้อ ง. (FIFE): ข้อนี้ไม่ใช่คำตอบที่ถูกต้องสำหรับภาวะ Renal Diseases เนื่องจากกลไกการออกฤทธิ์, efficacy หรือข้อบ่งใช้ไม่ตรงกับโจทย์ที่กำหนด
• ข้อ จ. (FIFA):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9" s="18" t="inlineStr"/>
      <c r="L429" s="18" t="inlineStr">
        <is>
          <t>Renal Diseases</t>
        </is>
      </c>
      <c r="M429" s="18" t="inlineStr">
        <is>
          <t>Clinic</t>
        </is>
      </c>
      <c r="N429" s="18" t="inlineStr">
        <is>
          <t>ข้อ 83 (PLE_CC1_2562_Key.md)</t>
        </is>
      </c>
      <c r="O429" s="18" t="inlineStr">
        <is>
          <t>ข้อสอบจริง</t>
        </is>
      </c>
      <c r="P429" s="18" t="inlineStr">
        <is>
          <t>ปี 2562</t>
        </is>
      </c>
    </row>
    <row r="430">
      <c r="A430" s="15" t="inlineStr">
        <is>
          <t>451</t>
        </is>
      </c>
      <c r="B430" s="18" t="inlineStr">
        <is>
          <t>การจัดการที่เหมาะสมสำหรับอาการไอแห้งของผู้ป่วย A x</t>
        </is>
      </c>
      <c r="C430" s="18" t="inlineStr"/>
      <c r="D430" s="18" t="inlineStr">
        <is>
          <t>หยุดยา aspirin เปลี่ยนเป็น warfarin</t>
        </is>
      </c>
      <c r="E430" s="18" t="inlineStr">
        <is>
          <t>หยุดยา atenolol เปลี่ยนเป็น carvedilol</t>
        </is>
      </c>
      <c r="F430" s="18" t="inlineStr">
        <is>
          <t>หยุดยา enalapril เปลี่ยนเป็น candesartan</t>
        </is>
      </c>
      <c r="G430" s="18" t="inlineStr">
        <is>
          <t>หยุดยา enalapril เปลี่ยนเป็น hydralazine+ nitrate</t>
        </is>
      </c>
      <c r="H430" s="18" t="inlineStr">
        <is>
          <t>เป็นอาการไม่พึงประสงค์จากยาที่เกิดขึ้นได้ในระยะแรก</t>
        </is>
      </c>
      <c r="I430" s="15" t="inlineStr">
        <is>
          <t>1</t>
        </is>
      </c>
      <c r="J430" s="18" t="inlineStr">
        <is>
          <t>✅ คำตอบที่ถูกต้อง: ข้อ ก. หยุดยา aspirin เปลี่ยนเป็น warfarin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aspirin เปลี่ยนเป็น warfarin การเลือก หยุดยา aspirin เปลี่ยนเป็น warfarin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(หยุดยา atenolol เปลี่ยนเป็น carvedilol): เป็น non-selective beta-blocker ร่วมกับ alpha-1 blocker ช่วยลด afterload เป็น first-line GDMT ใน HFrEF ที่มี efficacy สูงในการลด mortality
• ข้อ ค. (หยุดยา enalapril เปลี่ยนเป็น candesartan): เป็น ACE inhibitor ลด Angiotensin II และ intraglomerular pressure มี renal protective efficacy เด่นชัดใน diabetic kidney disease แต่อาจเกิด dry cough จากการสะสมของ bradykinin
• ข้อ ง. (หยุดยา enalapril เปลี่ยนเป็น hydralazine+ nitrate): เป็น ACE inhibitor ลด Angiotensin II และ intraglomerular pressure มี renal protective efficacy เด่นชัดใน diabetic kidney disease แต่อาจเกิด dry cough จากการสะสมของ bradykinin
• ข้อ จ. (เป็นอาการไม่พึงประสงค์จากยาที่เกิดขึ้นได้ในระยะแรก):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30" s="18" t="inlineStr"/>
      <c r="L430" s="18" t="inlineStr">
        <is>
          <t>General Therapeutics</t>
        </is>
      </c>
      <c r="M430" s="18" t="inlineStr">
        <is>
          <t>Clinic</t>
        </is>
      </c>
      <c r="N430" s="18" t="inlineStr">
        <is>
          <t>ข้อ 87 (PLE_CC1_2562_Key.md)</t>
        </is>
      </c>
      <c r="O430" s="18" t="inlineStr">
        <is>
          <t>ข้อสอบจริง</t>
        </is>
      </c>
      <c r="P430" s="18" t="inlineStr">
        <is>
          <t>ปี 2562</t>
        </is>
      </c>
    </row>
    <row r="431">
      <c r="A431" s="15" t="inlineStr">
        <is>
          <t>452</t>
        </is>
      </c>
      <c r="B431" s="18" t="inlineStr">
        <is>
          <t>อาการไม่พึงประสงค์ใดที่เกิดขึ้นหากได้รับยา ARB ร่วมกับยาเดิม ACEI ARBs - X = ~ -</t>
        </is>
      </c>
      <c r="C431" s="18" t="inlineStr"/>
      <c r="D431" s="18" t="inlineStr">
        <is>
          <t>Angioedema</t>
        </is>
      </c>
      <c r="E431" s="18" t="inlineStr">
        <is>
          <t>Hyperkalemia</t>
        </is>
      </c>
      <c r="F431" s="18" t="inlineStr">
        <is>
          <t>Hypercalcemia</t>
        </is>
      </c>
      <c r="G431" s="18" t="inlineStr">
        <is>
          <t>Hypomagnesemia</t>
        </is>
      </c>
      <c r="H431" s="18" t="inlineStr">
        <is>
          <t>Hyperglycemia</t>
        </is>
      </c>
      <c r="I431" s="15" t="inlineStr">
        <is>
          <t>1</t>
        </is>
      </c>
      <c r="J431" s="18" t="inlineStr">
        <is>
          <t>✅ คำตอบที่ถูกต้อง: ข้อ ก. Angioedema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Angioedema การเลือก Angioedema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(Hyperkalemia): ข้อนี้ไม่ใช่คำตอบที่ถูกต้องสำหรับภาวะ Cardiovascular Diseases เนื่องจากกลไกการออกฤทธิ์, efficacy หรือข้อบ่งใช้ไม่ตรงกับโจทย์ที่กำหนด
• ข้อ ค. (Hypercalcemia): ข้อนี้ไม่ใช่คำตอบที่ถูกต้องสำหรับภาวะ Cardiovascular Diseases เนื่องจากกลไกการออกฤทธิ์, efficacy หรือข้อบ่งใช้ไม่ตรงกับโจทย์ที่กำหนด
• ข้อ ง. (Hypomagnesemia): ข้อนี้ไม่ใช่คำตอบที่ถูกต้องสำหรับภาวะ Cardiovascular Diseases เนื่องจากกลไกการออกฤทธิ์, efficacy หรือข้อบ่งใช้ไม่ตรงกับโจทย์ที่กำหนด
• ข้อ จ. (Hyperglycemia):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1" s="18" t="inlineStr"/>
      <c r="L431" s="18" t="inlineStr">
        <is>
          <t>Cardiovascular Diseases</t>
        </is>
      </c>
      <c r="M431" s="18" t="inlineStr">
        <is>
          <t>Clinic</t>
        </is>
      </c>
      <c r="N431" s="18" t="inlineStr">
        <is>
          <t>ข้อ 88 (PLE_CC1_2562_Key.md)</t>
        </is>
      </c>
      <c r="O431" s="18" t="inlineStr">
        <is>
          <t>ข้อสอบจริง</t>
        </is>
      </c>
      <c r="P431" s="18" t="inlineStr">
        <is>
          <t>ปี 2562</t>
        </is>
      </c>
    </row>
    <row r="432">
      <c r="A432" s="15" t="inlineStr">
        <is>
          <t>453</t>
        </is>
      </c>
      <c r="B432" s="18" t="inlineStr">
        <is>
          <t>ผู้ป่วยมีความผิดปกติแบบใด</t>
        </is>
      </c>
      <c r="C432" s="18" t="inlineStr"/>
      <c r="D432" s="18" t="inlineStr">
        <is>
          <t>Normochromic normocytic anemia</t>
        </is>
      </c>
      <c r="E432" s="18" t="inlineStr">
        <is>
          <t>Normochromic microcytic anemia</t>
        </is>
      </c>
      <c r="F432" s="18" t="inlineStr">
        <is>
          <t>Hypochromic normocytic anemia</t>
        </is>
      </c>
      <c r="G432" s="18" t="inlineStr">
        <is>
          <t>Hypochromic microcytic anemia</t>
        </is>
      </c>
      <c r="H432" s="18" t="inlineStr">
        <is>
          <t>Hyperchromic macrocytic anemia</t>
        </is>
      </c>
      <c r="I432" s="15" t="inlineStr">
        <is>
          <t>1</t>
        </is>
      </c>
      <c r="J432" s="18" t="inlineStr">
        <is>
          <t>✅ คำตอบที่ถูกต้อง: ข้อ ก. Normochromic normocytic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Normochromic normocytic anemia การเลือก Normochromic normocytic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(Normochromic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ค. (Hypochromic normocytic anemia): ข้อนี้ไม่ใช่คำตอบที่ถูกต้องสำหรับภาวะ General Therapeutics เนื่องจากกลไกการออกฤทธิ์, efficacy หรือข้อบ่งใช้ไม่ตรงกับโจทย์ที่กำหนด
• ข้อ ง. (Hypochromic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จ. (Hyperchromic macrocytic anemia):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2" s="18" t="inlineStr"/>
      <c r="L432" s="18" t="inlineStr">
        <is>
          <t>General Therapeutics</t>
        </is>
      </c>
      <c r="M432" s="18" t="inlineStr">
        <is>
          <t>Clinic</t>
        </is>
      </c>
      <c r="N432" s="18" t="inlineStr">
        <is>
          <t>ข้อ 103 (PLE_CC1_2562_Key.md)</t>
        </is>
      </c>
      <c r="O432" s="18" t="inlineStr">
        <is>
          <t>ข้อสอบจริง</t>
        </is>
      </c>
      <c r="P432" s="18" t="inlineStr">
        <is>
          <t>ปี 2562</t>
        </is>
      </c>
    </row>
    <row r="433">
      <c r="A433" s="15" t="inlineStr">
        <is>
          <t>454</t>
        </is>
      </c>
      <c r="B433" s="18" t="inlineStr">
        <is>
          <t>ข้อใดไม่ใช่อาการไม่พึงประสงค์ของ deferiprone X yuson (deaf) O , o z</t>
        </is>
      </c>
      <c r="C433" s="18" t="inlineStr"/>
      <c r="D433" s="18" t="inlineStr">
        <is>
          <t>ถ่ายเหลว</t>
        </is>
      </c>
      <c r="E433" s="18" t="inlineStr">
        <is>
          <t>ปัสสาวะมีสีเข้ม</t>
        </is>
      </c>
      <c r="F433" s="18" t="inlineStr">
        <is>
          <t>เพิ่มเอนไซม์ตับ</t>
        </is>
      </c>
      <c r="G433" s="18" t="inlineStr">
        <is>
          <t>Agranulocytosis</t>
        </is>
      </c>
      <c r="H433" s="18" t="inlineStr">
        <is>
          <t>เพิ่ม serum creatinine dioxide, magnesium stearate, SLS, PEG 800</t>
        </is>
      </c>
      <c r="I433" s="15" t="inlineStr">
        <is>
          <t>1</t>
        </is>
      </c>
      <c r="J433" s="18" t="inlineStr">
        <is>
          <t>✅ คำตอบที่ถูกต้อง: ข้อ ก. ถ่ายเหลว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ถ่ายเหลว Deferiprone orodispersible tablet ประกอบ deferiprone, lactose, croscarmellose, PVP K30, colloiadal silica
🔍 ข้ออื่นผิดเพราะอะไร:
• ข้อ ข. (ปัสสาวะมีสีเข้ม): ข้อนี้ไม่ใช่คำตอบที่ถูกต้องสำหรับภาวะ General Therapeutics เนื่องจากกลไกการออกฤทธิ์, efficacy หรือข้อบ่งใช้ไม่ตรงกับโจทย์ที่กำหนด
• ข้อ ค. (เพิ่มเอนไซม์ตับ): ข้อนี้ไม่ใช่คำตอบที่ถูกต้องสำหรับภาวะ General Therapeutics เนื่องจากกลไกการออกฤทธิ์, efficacy หรือข้อบ่งใช้ไม่ตรงกับโจทย์ที่กำหนด
• ข้อ ง. (Agranulocytosis): ข้อนี้ไม่ใช่คำตอบที่ถูกต้องสำหรับภาวะ General Therapeutics เนื่องจากกลไกการออกฤทธิ์, efficacy หรือข้อบ่งใช้ไม่ตรงกับโจทย์ที่กำหนด
• ข้อ จ. (เพิ่ม serum creatinine dioxide, magnesium stearate, SLS, PEG 800):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3" s="18" t="inlineStr"/>
      <c r="L433" s="18" t="inlineStr">
        <is>
          <t>General Therapeutics</t>
        </is>
      </c>
      <c r="M433" s="18" t="inlineStr">
        <is>
          <t>Clinic</t>
        </is>
      </c>
      <c r="N433" s="18" t="inlineStr">
        <is>
          <t>ข้อ 106 (PLE_CC1_2562_Key.md)</t>
        </is>
      </c>
      <c r="O433" s="18" t="inlineStr">
        <is>
          <t>ข้อสอบจริง</t>
        </is>
      </c>
      <c r="P433" s="18" t="inlineStr">
        <is>
          <t>ปี 2562</t>
        </is>
      </c>
    </row>
    <row r="434">
      <c r="A434" s="15" t="inlineStr">
        <is>
          <t>455</t>
        </is>
      </c>
      <c r="B434" s="18" t="inlineStr">
        <is>
          <t>5 + log lineed 1 = loglinneed Isniceed →u = หË´มนาÆปทาซËาทืกกรณิ ÂวËนาต้จ²ÆดËรงบ¯นืญ´ต</t>
        </is>
      </c>
      <c r="C434" s="18" t="inlineStr"/>
      <c r="D434" s="18" t="inlineStr">
        <is>
          <t>Dimercaprol (BAL) 3 mg/kg IM</t>
        </is>
      </c>
      <c r="E434" s="18" t="inlineStr">
        <is>
          <t>Ethanol 10% IV infusion for Methanol poisoning</t>
        </is>
      </c>
      <c r="F434" s="18" t="inlineStr">
        <is>
          <t>Fomepizole 15 mg/kg IV loading</t>
        </is>
      </c>
      <c r="G434" s="18" t="inlineStr">
        <is>
          <t>N-acetylcysteine (NAC) IV infusion protocol</t>
        </is>
      </c>
      <c r="H434" s="18" t="inlineStr">
        <is>
          <t>Atropine sulfate 2 mg IV Q5-10 min</t>
        </is>
      </c>
      <c r="I434" s="15" t="inlineStr">
        <is>
          <t>1</t>
        </is>
      </c>
      <c r="J4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4" s="18" t="inlineStr"/>
      <c r="L434" s="18" t="inlineStr">
        <is>
          <t>General Therapeutics</t>
        </is>
      </c>
      <c r="M434" s="18" t="inlineStr">
        <is>
          <t>Clinic</t>
        </is>
      </c>
      <c r="N434" s="18" t="inlineStr">
        <is>
          <t>ข้อ 4 (PLE_CC1_2562_Key.md)</t>
        </is>
      </c>
      <c r="O434" s="18" t="inlineStr">
        <is>
          <t>ข้อสอบจริง</t>
        </is>
      </c>
      <c r="P434" s="18" t="inlineStr">
        <is>
          <t>ปี 2562</t>
        </is>
      </c>
    </row>
    <row r="435">
      <c r="A435" s="15" t="inlineStr">
        <is>
          <t>456</t>
        </is>
      </c>
      <c r="B435" s="18" t="inlineStr">
        <is>
          <t>หากผูป%วยมีอาการไอ ขอใดคือสาเหตุการไอของผูป%วยรายนี้</t>
        </is>
      </c>
      <c r="C435" s="18" t="inlineStr"/>
      <c r="D435" s="18" t="inlineStr">
        <is>
          <t>ยับยั้ง cox-1</t>
        </is>
      </c>
      <c r="E435" s="18" t="inlineStr">
        <is>
          <t>ยับยั้ง cox-2</t>
        </is>
      </c>
      <c r="F435" s="18" t="inlineStr">
        <is>
          <t>ยับยั้ง CYP3A4</t>
        </is>
      </c>
      <c r="G435" s="18" t="inlineStr">
        <is>
          <t>มี bradykinin สูงขึ้น</t>
        </is>
      </c>
      <c r="H435" s="18" t="inlineStr">
        <is>
          <t>มี bradykinin นอยลง</t>
        </is>
      </c>
      <c r="I435" s="15" t="inlineStr">
        <is>
          <t>1</t>
        </is>
      </c>
      <c r="J435" s="18"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 bradykinin สูงขึ้น): ข้อนี้ไม่ใช่คำตอบที่ถูกต้องสำหรับภาวะ General Therapeutics เนื่องจากกลไกการออกฤทธิ์, efficacy หรือข้อบ่งใช้ไม่ตรงกับโจทย์ที่กำหนด
• ข้อ จ. (มี bradykinin นอยลง):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5" s="18" t="inlineStr"/>
      <c r="L435" s="18" t="inlineStr">
        <is>
          <t>General Therapeutics</t>
        </is>
      </c>
      <c r="M435" s="18" t="inlineStr">
        <is>
          <t>Clinic</t>
        </is>
      </c>
      <c r="N435" s="18" t="inlineStr">
        <is>
          <t>ข้อ 5 (PLE_CC1_2561_Key.md)</t>
        </is>
      </c>
      <c r="O435" s="18" t="inlineStr">
        <is>
          <t>ข้อสอบจริง</t>
        </is>
      </c>
      <c r="P435" s="18" t="inlineStr">
        <is>
          <t>ปี 2561</t>
        </is>
      </c>
    </row>
    <row r="436">
      <c r="A436" s="15" t="inlineStr">
        <is>
          <t>457</t>
        </is>
      </c>
      <c r="B436" s="18" t="inlineStr">
        <is>
          <t>ยาใดที่ทำใหเกิดอาการดังกล!าวได</t>
        </is>
      </c>
      <c r="C436" s="18" t="inlineStr"/>
      <c r="D436" s="18" t="inlineStr">
        <is>
          <t>Aspirin</t>
        </is>
      </c>
      <c r="E436" s="18" t="inlineStr">
        <is>
          <t>Glipizide</t>
        </is>
      </c>
      <c r="F436" s="18" t="inlineStr">
        <is>
          <t>Metformin</t>
        </is>
      </c>
      <c r="G436" s="18" t="inlineStr">
        <is>
          <t>Carvedilol</t>
        </is>
      </c>
      <c r="H436" s="18" t="inlineStr">
        <is>
          <t>Pioglitazone</t>
        </is>
      </c>
      <c r="I436" s="15" t="inlineStr">
        <is>
          <t>1</t>
        </is>
      </c>
      <c r="J436" s="18"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(Carvedilol): เป็น non-selective beta-blocker ร่วมกับ alpha-1 blocker ช่วยลด afterload เป็น first-line GDMT ใน HFrEF ที่มี efficacy สูงในการลด mortality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6" s="18" t="inlineStr"/>
      <c r="L436" s="18" t="inlineStr">
        <is>
          <t>General Therapeutics</t>
        </is>
      </c>
      <c r="M436" s="18" t="inlineStr">
        <is>
          <t>Clinic</t>
        </is>
      </c>
      <c r="N436" s="18" t="inlineStr">
        <is>
          <t>ข้อ 7 (PLE_CC1_2561_Key.md)</t>
        </is>
      </c>
      <c r="O436" s="18" t="inlineStr">
        <is>
          <t>ข้อสอบจริง</t>
        </is>
      </c>
      <c r="P436" s="18" t="inlineStr">
        <is>
          <t>ปี 2561</t>
        </is>
      </c>
    </row>
    <row r="437">
      <c r="A437" s="15" t="inlineStr">
        <is>
          <t>458</t>
        </is>
      </c>
      <c r="B437" s="18" t="inlineStr">
        <is>
          <t>ยาที่จะทำใหอยู!ในรูปของ control release จะตองมีคุณสมบัติ อย!างไร mm x</t>
        </is>
      </c>
      <c r="C437" s="18" t="inlineStr"/>
      <c r="D437" s="18" t="inlineStr">
        <is>
          <t>ยาละลายน้ำไดดี</t>
        </is>
      </c>
      <c r="E437" s="18" t="inlineStr">
        <is>
          <t>มีค!าครึ่งชีวิตยาว</t>
        </is>
      </c>
      <c r="F437" s="18" t="inlineStr">
        <is>
          <t>มีดัชนีการรักษากวาง</t>
        </is>
      </c>
      <c r="G437" s="18" t="inlineStr">
        <is>
          <t>สลายตัวไดง!ายที่สภาวะเปEนกรด</t>
        </is>
      </c>
      <c r="H437" s="18" t="inlineStr">
        <is>
          <t>เหมาะกับยาที่มวลโมเลกุลขนาดใหญ! n.nowa</t>
        </is>
      </c>
      <c r="I437" s="15" t="inlineStr">
        <is>
          <t>1</t>
        </is>
      </c>
      <c r="J437" s="18" t="inlineStr">
        <is>
          <t>✅ คำตอบที่ถูกต้อง: ข้อ ก. ยาละลายน้ำไดดี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ยาละลายน้ำไดดี การเลือก ยาละลายน้ำไดดี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(มีค!าครึ่งชีวิตยาว): ข้อนี้ไม่ใช่คำตอบที่ถูกต้องสำหรับภาวะ General Therapeutics เนื่องจากกลไกการออกฤทธิ์, efficacy หรือข้อบ่งใช้ไม่ตรงกับโจทย์ที่กำหนด
• ข้อ ค. (มีดัชนีการรักษากวาง): ข้อนี้ไม่ใช่คำตอบที่ถูกต้องสำหรับภาวะ General Therapeutics เนื่องจากกลไกการออกฤทธิ์, efficacy หรือข้อบ่งใช้ไม่ตรงกับโจทย์ที่กำหนด
• ข้อ ง. (สลายตัวไดง!ายที่สภาวะเปEนกรด): ข้อนี้ไม่ใช่คำตอบที่ถูกต้องสำหรับภาวะ General Therapeutics เนื่องจากกลไกการออกฤทธิ์, efficacy หรือข้อบ่งใช้ไม่ตรงกับโจทย์ที่กำหนด
• ข้อ จ. (เหมาะกับยาที่มวลโมเลกุลขนาดใหญ! n.nowa):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7" s="18" t="inlineStr"/>
      <c r="L437" s="18" t="inlineStr">
        <is>
          <t>General Therapeutics</t>
        </is>
      </c>
      <c r="M437" s="18" t="inlineStr">
        <is>
          <t>Clinic</t>
        </is>
      </c>
      <c r="N437" s="18" t="inlineStr">
        <is>
          <t>ข้อ 11 (PLE_CC1_2561_Key.md)</t>
        </is>
      </c>
      <c r="O437" s="18" t="inlineStr">
        <is>
          <t>ข้อสอบจริง</t>
        </is>
      </c>
      <c r="P437" s="18" t="inlineStr">
        <is>
          <t>ปี 2561</t>
        </is>
      </c>
    </row>
    <row r="438">
      <c r="A438" s="15" t="inlineStr">
        <is>
          <t>459</t>
        </is>
      </c>
      <c r="B438" s="18" t="inlineStr">
        <is>
          <t>ผูป%วยควรไดรับยาใด</t>
        </is>
      </c>
      <c r="C438" s="18" t="inlineStr"/>
      <c r="D438" s="18" t="inlineStr">
        <is>
          <t>Niacin</t>
        </is>
      </c>
      <c r="E438" s="18" t="inlineStr">
        <is>
          <t>Thiamine</t>
        </is>
      </c>
      <c r="F438" s="18" t="inlineStr">
        <is>
          <t>Riboflavin</t>
        </is>
      </c>
      <c r="G438" s="18" t="inlineStr">
        <is>
          <t>Ferrous sulfate</t>
        </is>
      </c>
      <c r="H438" s="18" t="inlineStr">
        <is>
          <t>Cyanocobalamin</t>
        </is>
      </c>
      <c r="I438" s="15" t="inlineStr">
        <is>
          <t>1</t>
        </is>
      </c>
      <c r="J438" s="18" t="inlineStr">
        <is>
          <t>✅ คำตอบที่ถูกต้อง: ข้อ ก. Niacin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Niacin การเลือก Niacin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(Thiamine): ข้อนี้ไม่ใช่คำตอบที่ถูกต้องสำหรับภาวะ General Therapeutics เนื่องจากกลไกการออกฤทธิ์, efficacy หรือข้อบ่งใช้ไม่ตรงกับโจทย์ที่กำหนด
• ข้อ ค. (Riboflavin): ข้อนี้ไม่ใช่คำตอบที่ถูกต้องสำหรับภาวะ General Therapeutics เนื่องจากกลไกการออกฤทธิ์, efficacy หรือข้อบ่งใช้ไม่ตรงกับโจทย์ที่กำหนด
• ข้อ ง.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(Cyanocobalamin):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8" s="18" t="inlineStr"/>
      <c r="L438" s="18" t="inlineStr">
        <is>
          <t>General Therapeutics</t>
        </is>
      </c>
      <c r="M438" s="18" t="inlineStr">
        <is>
          <t>Clinic</t>
        </is>
      </c>
      <c r="N438" s="18" t="inlineStr">
        <is>
          <t>ข้อ 13 (PLE_CC1_2561_Key.md)</t>
        </is>
      </c>
      <c r="O438" s="18" t="inlineStr">
        <is>
          <t>ข้อสอบจริง</t>
        </is>
      </c>
      <c r="P438" s="18" t="inlineStr">
        <is>
          <t>ปี 2561</t>
        </is>
      </c>
    </row>
    <row r="439">
      <c r="A439" s="15" t="inlineStr">
        <is>
          <t>460</t>
        </is>
      </c>
      <c r="B439" s="18" t="inlineStr">
        <is>
          <t>ยาใดมีความเหมาะสมมากที่สุด</t>
        </is>
      </c>
      <c r="C439" s="18" t="inlineStr"/>
      <c r="D439" s="18" t="inlineStr">
        <is>
          <t>Valacyclovir 1g OD 5 days</t>
        </is>
      </c>
      <c r="E439" s="18" t="inlineStr">
        <is>
          <t>Famciclovir 1 g OD 5 days</t>
        </is>
      </c>
      <c r="F439" s="18" t="inlineStr">
        <is>
          <t>Acyclovir 400 mg TID 7-10 days</t>
        </is>
      </c>
      <c r="G439" s="18" t="inlineStr">
        <is>
          <t>Acyclovir 200 mg TID 7-14 days</t>
        </is>
      </c>
      <c r="H439" s="18" t="inlineStr">
        <is>
          <t>Famciclovir 125 mg BID 7-14 days</t>
        </is>
      </c>
      <c r="I439" s="15" t="inlineStr">
        <is>
          <t>1</t>
        </is>
      </c>
      <c r="J439" s="18" t="inlineStr">
        <is>
          <t>✅ คำตอบที่ถูกต้อง: ข้อ ก. Valacyclovir 1g OD 5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Valacyclovir 1g OD 5 days การเลือก Valacyclovir 1g OD 5 days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(Famciclovir 1 g OD 5 days): ข้อนี้ไม่ใช่คำตอบที่ถูกต้องสำหรับภาวะ General Therapeutics เนื่องจากกลไกการออกฤทธิ์, efficacy หรือข้อบ่งใช้ไม่ตรงกับโจทย์ที่กำหนด
• ข้อ ค. (Acyclovir 400 mg TID 7-10 days): เป็น Guanosine analog ยับยั้ง HSV และ VZV polymerase ต้องดื่มน้ำมากๆ ระหว่างได้ยา IV เพื่อป้องกัน crystal nephropathy และ obstructive AKI
• ข้อ ง. (Acyclovir 200 mg TID 7-14 days): เป็น Guanosine analog ยับยั้ง HSV และ VZV polymerase ต้องดื่มน้ำมากๆ ระหว่างได้ยา IV เพื่อป้องกัน crystal nephropathy และ obstructive AKI
• ข้อ จ. (Famciclovir 125 mg BID 7-14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439" s="18" t="inlineStr"/>
      <c r="L439" s="18" t="inlineStr">
        <is>
          <t>General Therapeutics</t>
        </is>
      </c>
      <c r="M439" s="18" t="inlineStr">
        <is>
          <t>Clinic</t>
        </is>
      </c>
      <c r="N439" s="18" t="inlineStr">
        <is>
          <t>ข้อ 25 (PLE_CC1_2561_Key.md)</t>
        </is>
      </c>
      <c r="O439" s="18" t="inlineStr">
        <is>
          <t>ข้อสอบจริง</t>
        </is>
      </c>
      <c r="P439" s="18" t="inlineStr">
        <is>
          <t>ปี 2561</t>
        </is>
      </c>
    </row>
    <row r="440">
      <c r="A440" s="15" t="inlineStr">
        <is>
          <t>461</t>
        </is>
      </c>
      <c r="B440" s="18" t="inlineStr">
        <is>
          <t>ขอใดคือเชื้อก!อโรคในผูป%วยรายนี้</t>
        </is>
      </c>
      <c r="C440" s="18" t="inlineStr"/>
      <c r="D440" s="18" t="inlineStr">
        <is>
          <t>Strep pneumoniae</t>
        </is>
      </c>
      <c r="E440" s="18" t="inlineStr">
        <is>
          <t>Streptococcus aureus</t>
        </is>
      </c>
      <c r="F440" s="18" t="inlineStr">
        <is>
          <t>Haemophilus influenza</t>
        </is>
      </c>
      <c r="G440" s="18" t="inlineStr">
        <is>
          <t>Streptococcus pyrogenase</t>
        </is>
      </c>
      <c r="H440" s="18" t="inlineStr">
        <is>
          <t>Streptococcus saprophyticus</t>
        </is>
      </c>
      <c r="I440" s="15" t="inlineStr">
        <is>
          <t>1</t>
        </is>
      </c>
      <c r="J440" s="18" t="inlineStr">
        <is>
          <t>✅ คำตอบที่ถูกต้อง: ข้อ ก. Strep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 pneumoniae การเลือก Strep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(Haemophilus influenza): วัคซีนไข้หวัดใหญ่ชนิด inactivated ฉีดปีละ 1 ครั้ง ในกลุ่มเสี่ยง 7 กลุ่มโรคเรื้อรัง และเด็กอายุ 6 เดือน - 2 ปี
• ข้อ ง. (Streptococcus pyrogenase): ข้อนี้ไม่ใช่คำตอบที่ถูกต้องสำหรับภาวะ General Therapeutics เนื่องจากกลไกการออกฤทธิ์, efficacy หรือข้อบ่งใช้ไม่ตรงกับโจทย์ที่กำหนด
• ข้อ จ. (Streptococcus saprophyticus):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0" s="18" t="inlineStr"/>
      <c r="L440" s="18" t="inlineStr">
        <is>
          <t>General Therapeutics</t>
        </is>
      </c>
      <c r="M440" s="18" t="inlineStr">
        <is>
          <t>Clinic</t>
        </is>
      </c>
      <c r="N440" s="18" t="inlineStr">
        <is>
          <t>ข้อ 30 (PLE_CC1_2561_Key.md)</t>
        </is>
      </c>
      <c r="O440" s="18" t="inlineStr">
        <is>
          <t>ข้อสอบจริง</t>
        </is>
      </c>
      <c r="P440" s="18" t="inlineStr">
        <is>
          <t>ปี 2561</t>
        </is>
      </c>
    </row>
    <row r="441">
      <c r="A441" s="15" t="inlineStr">
        <is>
          <t>462</t>
        </is>
      </c>
      <c r="B441" s="18" t="inlineStr">
        <is>
          <t>ผูป%วยควรไดรับยาใดเปEนอันดับแรก</t>
        </is>
      </c>
      <c r="C441" s="18" t="inlineStr"/>
      <c r="D441" s="18" t="inlineStr">
        <is>
          <t>Amoxicillin</t>
        </is>
      </c>
      <c r="E441" s="18" t="inlineStr">
        <is>
          <t>Clindamycin</t>
        </is>
      </c>
      <c r="F441" s="18" t="inlineStr">
        <is>
          <t>Levofloxacin</t>
        </is>
      </c>
      <c r="G441" s="18" t="inlineStr">
        <is>
          <t>Erythromycin</t>
        </is>
      </c>
      <c r="H441" s="18" t="inlineStr">
        <is>
          <t>ยาฟFาทะลายโจร</t>
        </is>
      </c>
      <c r="I441" s="15" t="inlineStr">
        <is>
          <t>1</t>
        </is>
      </c>
      <c r="J441" s="18"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(Erythromycin): ข้อนี้ไม่ใช่คำตอบที่ถูกต้องสำหรับภาวะ General Therapeutics เนื่องจากกลไกการออกฤทธิ์, efficacy หรือข้อบ่งใช้ไม่ตรงกับโจทย์ที่กำหนด
• ข้อ จ. (ยาฟFาทะลายโจร):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1" s="18" t="inlineStr"/>
      <c r="L441" s="18" t="inlineStr">
        <is>
          <t>General Therapeutics</t>
        </is>
      </c>
      <c r="M441" s="18" t="inlineStr">
        <is>
          <t>Clinic</t>
        </is>
      </c>
      <c r="N441" s="18" t="inlineStr">
        <is>
          <t>ข้อ 31 (PLE_CC1_2561_Key.md)</t>
        </is>
      </c>
      <c r="O441" s="18" t="inlineStr">
        <is>
          <t>ข้อสอบจริง</t>
        </is>
      </c>
      <c r="P441" s="18" t="inlineStr">
        <is>
          <t>ปี 2561</t>
        </is>
      </c>
    </row>
    <row r="442">
      <c r="A442" s="15" t="inlineStr">
        <is>
          <t>463</t>
        </is>
      </c>
      <c r="B442" s="18" t="inlineStr">
        <is>
          <t>ขอใดไม!ใช!เหตุผลในการใหยาปฏิชีวนะ เพื่อรักษาคอหอยอักเสบ เฉียบพลันเปEนเวลา 10 วัน</t>
        </is>
      </c>
      <c r="C442" s="18" t="inlineStr"/>
      <c r="D442" s="18" t="inlineStr">
        <is>
          <t>กำจัดเชื้อใหหมด</t>
        </is>
      </c>
      <c r="E442" s="18" t="inlineStr">
        <is>
          <t>ปFองกันไขรูมาติก</t>
        </is>
      </c>
      <c r="F442" s="18" t="inlineStr">
        <is>
          <t>ปFองกันกลับมาเปEนซ้ำ</t>
        </is>
      </c>
      <c r="G442" s="18" t="inlineStr">
        <is>
          <t>ปFองกันการลมเหลวในการรักษา</t>
        </is>
      </c>
      <c r="H442" s="18" t="inlineStr">
        <is>
          <t>เพื่อใชยาในขนาดต่ำเพื่อลดอาการไม!พึงประสงคT</t>
        </is>
      </c>
      <c r="I442" s="15" t="inlineStr">
        <is>
          <t>1</t>
        </is>
      </c>
      <c r="J442" s="18" t="inlineStr">
        <is>
          <t>✅ คำตอบที่ถูกต้อง: ข้อ ก. กำจัดเชื้อใหหมด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กำจัดเชื้อใหหมด การเลือก กำจัดเชื้อใหหมด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(ปFองกันไขรูมาติก): ข้อนี้ไม่ใช่คำตอบที่ถูกต้องสำหรับภาวะ General Therapeutics เนื่องจากกลไกการออกฤทธิ์, efficacy หรือข้อบ่งใช้ไม่ตรงกับโจทย์ที่กำหนด
• ข้อ ค. (ปFองกันกลับมาเปEนซ้ำ): ข้อนี้ไม่ใช่คำตอบที่ถูกต้องสำหรับภาวะ General Therapeutics เนื่องจากกลไกการออกฤทธิ์, efficacy หรือข้อบ่งใช้ไม่ตรงกับโจทย์ที่กำหนด
• ข้อ ง. (ปFองกันการลมเหลวในการรักษา):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(เพื่อใชยาในขนาดต่ำเพื่อลดอาการไม!พึงประสงคT):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2" s="18" t="inlineStr"/>
      <c r="L442" s="18" t="inlineStr">
        <is>
          <t>General Therapeutics</t>
        </is>
      </c>
      <c r="M442" s="18" t="inlineStr">
        <is>
          <t>Clinic</t>
        </is>
      </c>
      <c r="N442" s="18" t="inlineStr">
        <is>
          <t>ข้อ 32 (PLE_CC1_2561_Key.md)</t>
        </is>
      </c>
      <c r="O442" s="18" t="inlineStr">
        <is>
          <t>ข้อสอบจริง</t>
        </is>
      </c>
      <c r="P442" s="18" t="inlineStr">
        <is>
          <t>ปี 2561</t>
        </is>
      </c>
    </row>
    <row r="443">
      <c r="A443" s="15" t="inlineStr">
        <is>
          <t>464</t>
        </is>
      </c>
      <c r="B443" s="18" t="inlineStr">
        <is>
          <t>โครงสรางใดที่สามารถใหโดยการกินไดก ง s O</t>
        </is>
      </c>
      <c r="C443" s="18" t="inlineStr"/>
      <c r="D443" s="18" t="inlineStr">
        <is>
          <t>N-acetylcysteine (NAC) IV infusion protocol</t>
        </is>
      </c>
      <c r="E443" s="18" t="inlineStr">
        <is>
          <t>Atropine sulfate 2 mg IV Q5-10 min</t>
        </is>
      </c>
      <c r="F443" s="18" t="inlineStr">
        <is>
          <t>Pralidoxime (2-PAM) 1-2 g IV over 30 min</t>
        </is>
      </c>
      <c r="G443" s="18" t="inlineStr">
        <is>
          <t>Naloxone 0.4 mg IV stat</t>
        </is>
      </c>
      <c r="H443" s="18" t="inlineStr">
        <is>
          <t>Flumazenil 0.2 mg IV stat</t>
        </is>
      </c>
      <c r="I443" s="15" t="inlineStr">
        <is>
          <t>1</t>
        </is>
      </c>
      <c r="J4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43" s="18" t="inlineStr"/>
      <c r="L443" s="18" t="inlineStr">
        <is>
          <t>General Therapeutics</t>
        </is>
      </c>
      <c r="M443" s="18" t="inlineStr">
        <is>
          <t>Clinic</t>
        </is>
      </c>
      <c r="N443" s="18" t="inlineStr">
        <is>
          <t>ข้อ 34 (PLE_CC1_2561_Key.md)</t>
        </is>
      </c>
      <c r="O443" s="18" t="inlineStr">
        <is>
          <t>ข้อสอบจริง</t>
        </is>
      </c>
      <c r="P443" s="18" t="inlineStr">
        <is>
          <t>ปี 2561</t>
        </is>
      </c>
    </row>
    <row r="444">
      <c r="A444" s="15" t="inlineStr">
        <is>
          <t>465</t>
        </is>
      </c>
      <c r="B444" s="18" t="inlineStr">
        <is>
          <t>ขอใดไม!ใช!เกณฑT centor score</t>
        </is>
      </c>
      <c r="C444" s="18" t="inlineStr"/>
      <c r="D444" s="18" t="inlineStr">
        <is>
          <t>อายุ 3-14 ป7</t>
        </is>
      </c>
      <c r="E444" s="18" t="inlineStr">
        <is>
          <t>จาม น้ำมูกไหล</t>
        </is>
      </c>
      <c r="F444" s="18" t="inlineStr">
        <is>
          <t>พบจุดหนองที่ทอนซิล</t>
        </is>
      </c>
      <c r="G444" s="18" t="inlineStr">
        <is>
          <t>มีไขสูงกว!า 38 องศาเซลเซียส</t>
        </is>
      </c>
      <c r="H444" s="18" t="inlineStr">
        <is>
          <t>ต!อมน้ำเหลืองดานหนาคอโต กดเจ็บ</t>
        </is>
      </c>
      <c r="I444" s="15" t="inlineStr">
        <is>
          <t>1</t>
        </is>
      </c>
      <c r="J444" s="18" t="inlineStr">
        <is>
          <t>✅ คำตอบที่ถูกต้อง: ข้อ ก. อายุ 3-14 ป7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อายุ 3-14 ป7 การเลือก อายุ 3-14 ป7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(จาม น้ำมูกไหล): ข้อนี้ไม่ใช่คำตอบที่ถูกต้องสำหรับภาวะ General Therapeutics เนื่องจากกลไกการออกฤทธิ์, efficacy หรือข้อบ่งใช้ไม่ตรงกับโจทย์ที่กำหนด
• ข้อ ค. (พบจุดหนองที่ทอนซิล): ข้อนี้ไม่ใช่คำตอบที่ถูกต้องสำหรับภาวะ General Therapeutics เนื่องจากกลไกการออกฤทธิ์, efficacy หรือข้อบ่งใช้ไม่ตรงกับโจทย์ที่กำหนด
• ข้อ ง. (มีไขสูงกว!า 38 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จ. (ต!อมน้ำเหลืองดานหนาคอโต กดเจ็บ):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4" s="18" t="inlineStr"/>
      <c r="L444" s="18" t="inlineStr">
        <is>
          <t>General Therapeutics</t>
        </is>
      </c>
      <c r="M444" s="18" t="inlineStr">
        <is>
          <t>Clinic</t>
        </is>
      </c>
      <c r="N444" s="18" t="inlineStr">
        <is>
          <t>ข้อ 33 (PLE_CC1_2561_Key.md)</t>
        </is>
      </c>
      <c r="O444" s="18" t="inlineStr">
        <is>
          <t>ข้อสอบจริง</t>
        </is>
      </c>
      <c r="P444" s="18" t="inlineStr">
        <is>
          <t>ปี 2561</t>
        </is>
      </c>
    </row>
    <row r="445">
      <c r="A445" s="15" t="inlineStr">
        <is>
          <t>466</t>
        </is>
      </c>
      <c r="B445" s="18" t="inlineStr">
        <is>
          <t>ยาใดไม!สามารถจำหน!ายในรานขายของชำได</t>
        </is>
      </c>
      <c r="C445" s="18" t="inlineStr"/>
      <c r="D445" s="18" t="inlineStr">
        <is>
          <t>ยาธาตุน้ำแดง 180 ml</t>
        </is>
      </c>
      <c r="E445" s="18" t="inlineStr">
        <is>
          <t>โพรวิโดนไอโอดิน 30 ml</t>
        </is>
      </c>
      <c r="F445" s="18" t="inlineStr">
        <is>
          <t>ยาระบายมะขามแขก 4 เม็ด</t>
        </is>
      </c>
      <c r="G445" s="18" t="inlineStr">
        <is>
          <t>ผงเกลือแร! 1 ซอง ผสมน้ำ 250 ml</t>
        </is>
      </c>
      <c r="H445" s="18" t="inlineStr">
        <is>
          <t>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t>
        </is>
      </c>
      <c r="I445" s="15" t="inlineStr">
        <is>
          <t>1</t>
        </is>
      </c>
      <c r="J445" s="18" t="inlineStr">
        <is>
          <t>✅ คำตอบที่ถูกต้อง: ข้อ ก. ยาธาตุน้ำแดง 180 ml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ยาธาตุน้ำแดง 180 ml การเลือก ยาธาตุน้ำแดง 180 ml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(โพรวิโดนไอโอดิน 30 ml): ข้อนี้ไม่ใช่คำตอบที่ถูกต้องสำหรับภาวะ General Therapeutics เนื่องจากกลไกการออกฤทธิ์, efficacy หรือข้อบ่งใช้ไม่ตรงกับโจทย์ที่กำหนด
• ข้อ ค. (ยาระบายมะขามแขก 4 เม็ด): ข้อนี้ไม่ใช่คำตอบที่ถูกต้องสำหรับภาวะ General Therapeutics เนื่องจากกลไกการออกฤทธิ์, efficacy หรือข้อบ่งใช้ไม่ตรงกับโจทย์ที่กำหนด
• ข้อ ง. (ผงเกลือแร! 1 ซอง ผสมน้ำ 250 ml): ข้อนี้ไม่ใช่คำตอบที่ถูกต้องสำหรับภาวะ General Therapeutics เนื่องจากกลไกการออกฤทธิ์, efficacy หรือข้อบ่งใช้ไม่ตรงกับโจทย์ที่กำหนด
• ข้อ จ. (ยาลดความดันแอมโลดิพีน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5" s="18" t="inlineStr"/>
      <c r="L445" s="18" t="inlineStr">
        <is>
          <t>General Therapeutics</t>
        </is>
      </c>
      <c r="M445" s="18" t="inlineStr">
        <is>
          <t>Clinic</t>
        </is>
      </c>
      <c r="N445" s="18" t="inlineStr">
        <is>
          <t>ข้อ 36 (PLE_CC1_2561_Key.md)</t>
        </is>
      </c>
      <c r="O445" s="18" t="inlineStr">
        <is>
          <t>ข้อสอบจริง</t>
        </is>
      </c>
      <c r="P445" s="18" t="inlineStr">
        <is>
          <t>ปี 2561</t>
        </is>
      </c>
    </row>
    <row r="446">
      <c r="A446" s="15" t="inlineStr">
        <is>
          <t>467</t>
        </is>
      </c>
      <c r="B446" s="18" t="inlineStr">
        <is>
          <t>ผูป%วยเปEนโรคใด</t>
        </is>
      </c>
      <c r="C446" s="18" t="inlineStr"/>
      <c r="D446" s="18" t="inlineStr">
        <is>
          <t>Eczema</t>
        </is>
      </c>
      <c r="E446" s="18" t="inlineStr">
        <is>
          <t>Psoriasis</t>
        </is>
      </c>
      <c r="F446" s="18" t="inlineStr">
        <is>
          <t>Impletigo</t>
        </is>
      </c>
      <c r="G446" s="18" t="inlineStr">
        <is>
          <t>Tinea coporis</t>
        </is>
      </c>
      <c r="H446" s="18" t="inlineStr">
        <is>
          <t>Tinea versicolor e is</t>
        </is>
      </c>
      <c r="I446" s="15" t="inlineStr">
        <is>
          <t>1</t>
        </is>
      </c>
      <c r="J446" s="18" t="inlineStr">
        <is>
          <t>✅ คำตอบที่ถูกต้อง: ข้อ ก. Eczema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Eczema การเลือก Eczema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(Psoriasis): ข้อนี้ไม่ใช่คำตอบที่ถูกต้องสำหรับภาวะ General Therapeutics เนื่องจากกลไกการออกฤทธิ์, efficacy หรือข้อบ่งใช้ไม่ตรงกับโจทย์ที่กำหนด
• ข้อ ค. (Impletigo): ข้อนี้ไม่ใช่คำตอบที่ถูกต้องสำหรับภาวะ General Therapeutics เนื่องจากกลไกการออกฤทธิ์, efficacy หรือข้อบ่งใช้ไม่ตรงกับโจทย์ที่กำหนด
• ข้อ ง. (Tinea coporis): ข้อนี้ไม่ใช่คำตอบที่ถูกต้องสำหรับภาวะ General Therapeutics เนื่องจากกลไกการออกฤทธิ์, efficacy หรือข้อบ่งใช้ไม่ตรงกับโจทย์ที่กำหนด
• ข้อ จ. (Tinea versicolor e 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6" s="18" t="inlineStr"/>
      <c r="L446" s="18" t="inlineStr">
        <is>
          <t>General Therapeutics</t>
        </is>
      </c>
      <c r="M446" s="18" t="inlineStr">
        <is>
          <t>Clinic</t>
        </is>
      </c>
      <c r="N446" s="18" t="inlineStr">
        <is>
          <t>ข้อ 37 (PLE_CC1_2561_Key.md)</t>
        </is>
      </c>
      <c r="O446" s="18" t="inlineStr">
        <is>
          <t>ข้อสอบจริง</t>
        </is>
      </c>
      <c r="P446" s="18" t="inlineStr">
        <is>
          <t>ปี 2561</t>
        </is>
      </c>
    </row>
    <row r="447">
      <c r="A447" s="15" t="inlineStr">
        <is>
          <t>468</t>
        </is>
      </c>
      <c r="B447" s="18" t="inlineStr">
        <is>
          <t>ยาใดมีความเหมาะสมมากที่สุดในผูป%วยรายนี้</t>
        </is>
      </c>
      <c r="C447" s="18" t="inlineStr"/>
      <c r="D447" s="18" t="inlineStr">
        <is>
          <t>20% salicylic acid</t>
        </is>
      </c>
      <c r="E447" s="18" t="inlineStr">
        <is>
          <t>20% selenium sulfate</t>
        </is>
      </c>
      <c r="F447" s="18" t="inlineStr">
        <is>
          <t>20% sodium thiosulfate</t>
        </is>
      </c>
      <c r="G447" s="18" t="inlineStr">
        <is>
          <t>20% potassium hydroxide</t>
        </is>
      </c>
      <c r="H447" s="18" t="inlineStr">
        <is>
          <t>20% sodium lauryl sulfate</t>
        </is>
      </c>
      <c r="I447" s="15" t="inlineStr">
        <is>
          <t>1</t>
        </is>
      </c>
      <c r="J447" s="18" t="inlineStr">
        <is>
          <t>✅ คำตอบที่ถูกต้อง: ข้อ ก. 20% salicylic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20% salicylic acid การเลือก 20% salicylic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(20% selenium sulfate): ข้อนี้ไม่ใช่คำตอบที่ถูกต้องสำหรับภาวะ General Therapeutics เนื่องจากกลไกการออกฤทธิ์, efficacy หรือข้อบ่งใช้ไม่ตรงกับโจทย์ที่กำหนด
• ข้อ ค. (20% sodium thiosulfate): ข้อนี้ไม่ถูกต้องเนื่องจากเป็น Antidote สำหรับภาวะ acute poisoning จำเพาะ ไม่ตรงกับพยาธิสภาพของโรคในโจทย์
• ข้อ ง. (20% potassium hydroxide): ข้อนี้ไม่ใช่คำตอบที่ถูกต้องสำหรับภาวะ General Therapeutics เนื่องจากกลไกการออกฤทธิ์, efficacy หรือข้อบ่งใช้ไม่ตรงกับโจทย์ที่กำหนด
• ข้อ จ. (20% sodium lauryl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7" s="18" t="inlineStr"/>
      <c r="L447" s="18" t="inlineStr">
        <is>
          <t>General Therapeutics</t>
        </is>
      </c>
      <c r="M447" s="18" t="inlineStr">
        <is>
          <t>Clinic</t>
        </is>
      </c>
      <c r="N447" s="18" t="inlineStr">
        <is>
          <t>ข้อ 39 (PLE_CC1_2561_Key.md)</t>
        </is>
      </c>
      <c r="O447" s="18" t="inlineStr">
        <is>
          <t>ข้อสอบจริง</t>
        </is>
      </c>
      <c r="P447" s="18" t="inlineStr">
        <is>
          <t>ปี 2561</t>
        </is>
      </c>
    </row>
    <row r="448">
      <c r="A448" s="15" t="inlineStr">
        <is>
          <t>469</t>
        </is>
      </c>
      <c r="B448" s="18" t="inlineStr">
        <is>
          <t>ยาพื้นใดมีคุณสมบัติ occlusive effect มากที่สุด</t>
        </is>
      </c>
      <c r="C448" s="18" t="inlineStr"/>
      <c r="D448" s="18" t="inlineStr">
        <is>
          <t>Absorption base</t>
        </is>
      </c>
      <c r="E448" s="18" t="inlineStr">
        <is>
          <t>Oleaginous base</t>
        </is>
      </c>
      <c r="F448" s="18" t="inlineStr">
        <is>
          <t>Water-soluble base</t>
        </is>
      </c>
      <c r="G448" s="18" t="inlineStr">
        <is>
          <t>W/O emulsion base</t>
        </is>
      </c>
      <c r="H448" s="18" t="inlineStr">
        <is>
          <t>Water-removable base</t>
        </is>
      </c>
      <c r="I448" s="15" t="inlineStr">
        <is>
          <t>1</t>
        </is>
      </c>
      <c r="J448" s="18" t="inlineStr">
        <is>
          <t>✅ คำตอบที่ถูกต้อง: ข้อ ก. Absorption base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Absorption base การเลือก Absorption base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(Oleaginous base): ข้อนี้ไม่ใช่คำตอบที่ถูกต้องสำหรับภาวะ General Therapeutics เนื่องจากกลไกการออกฤทธิ์, efficacy หรือข้อบ่งใช้ไม่ตรงกับโจทย์ที่กำหนด
• ข้อ ค. (Water-soluble base): ข้อนี้ไม่ใช่คำตอบที่ถูกต้องสำหรับภาวะ General Therapeutics เนื่องจากกลไกการออกฤทธิ์, efficacy หรือข้อบ่งใช้ไม่ตรงกับโจทย์ที่กำหนด
• ข้อ ง. (W/O emulsion base): ข้อนี้ไม่ใช่คำตอบที่ถูกต้องสำหรับภาวะ General Therapeutics เนื่องจากกลไกการออกฤทธิ์, efficacy หรือข้อบ่งใช้ไม่ตรงกับโจทย์ที่กำหนด
• ข้อ จ. (Water-removable base):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8" s="18" t="inlineStr"/>
      <c r="L448" s="18" t="inlineStr">
        <is>
          <t>General Therapeutics</t>
        </is>
      </c>
      <c r="M448" s="18" t="inlineStr">
        <is>
          <t>Clinic</t>
        </is>
      </c>
      <c r="N448" s="18" t="inlineStr">
        <is>
          <t>ข้อ 42 (PLE_CC1_2561_Key.md)</t>
        </is>
      </c>
      <c r="O448" s="18" t="inlineStr">
        <is>
          <t>ข้อสอบจริง</t>
        </is>
      </c>
      <c r="P448" s="18" t="inlineStr">
        <is>
          <t>ปี 2561</t>
        </is>
      </c>
    </row>
    <row r="449">
      <c r="A449" s="15" t="inlineStr">
        <is>
          <t>470</t>
        </is>
      </c>
      <c r="B449" s="18" t="inlineStr">
        <is>
          <t>จากโครงสร(างของยา griseofulvin การตรวจสอบคุณภาพใด ทำให( ได(ลักษณะเฉพาะที่ออกฤทธิ์</t>
        </is>
      </c>
      <c r="C449" s="18" t="inlineStr"/>
      <c r="D449" s="18" t="inlineStr">
        <is>
          <t>H1-NMR</t>
        </is>
      </c>
      <c r="E449" s="18" t="inlineStr">
        <is>
          <t>Polarimeter</t>
        </is>
      </c>
      <c r="F449" s="18" t="inlineStr">
        <is>
          <t>Reflectometer</t>
        </is>
      </c>
      <c r="G449" s="18" t="inlineStr">
        <is>
          <t>Infrared spectroscope</t>
        </is>
      </c>
      <c r="H449" s="18" t="inlineStr">
        <is>
          <t>UV-visible spectrophotometer I uswin</t>
        </is>
      </c>
      <c r="I449" s="15" t="inlineStr">
        <is>
          <t>1</t>
        </is>
      </c>
      <c r="J449" s="18" t="inlineStr">
        <is>
          <t>✅ คำตอบที่ถูกต้อง: ข้อ ก. H1-NMR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H1-NMR การเลือก H1-NMR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(Polarimeter): ข้อนี้ไม่ใช่คำตอบที่ถูกต้องสำหรับภาวะ General Therapeutics เนื่องจากกลไกการออกฤทธิ์, efficacy หรือข้อบ่งใช้ไม่ตรงกับโจทย์ที่กำหนด
• ข้อ ค. (Reflectometer):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spectroscope): ข้อนี้ไม่ใช่คำตอบที่ถูกต้องสำหรับภาวะ General Therapeutics เนื่องจากกลไกการออกฤทธิ์, efficacy หรือข้อบ่งใช้ไม่ตรงกับโจทย์ที่กำหนด
• ข้อ จ. (UV-visible spectrophotometer I uswin):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9" s="18" t="inlineStr"/>
      <c r="L449" s="18" t="inlineStr">
        <is>
          <t>General Therapeutics</t>
        </is>
      </c>
      <c r="M449" s="18" t="inlineStr">
        <is>
          <t>Clinic</t>
        </is>
      </c>
      <c r="N449" s="18" t="inlineStr">
        <is>
          <t>ข้อ 44 (PLE_CC1_2561_Key.md)</t>
        </is>
      </c>
      <c r="O449" s="18" t="inlineStr">
        <is>
          <t>ข้อสอบจริง</t>
        </is>
      </c>
      <c r="P449" s="18" t="inlineStr">
        <is>
          <t>ปี 2561</t>
        </is>
      </c>
    </row>
    <row r="450">
      <c r="A450" s="15" t="inlineStr">
        <is>
          <t>471</t>
        </is>
      </c>
      <c r="B450" s="18" t="inlineStr">
        <is>
          <t>ผู(ปcวยรายนี้ควรเริ่มยาเมื่อใด</t>
        </is>
      </c>
      <c r="C450" s="18" t="inlineStr"/>
      <c r="D450" s="18" t="inlineStr">
        <is>
          <t>เริ่มให(ยาได(เลยถ(าผู(ปcวยพร(อม</t>
        </is>
      </c>
      <c r="E450" s="18" t="inlineStr">
        <is>
          <t>ติดตาม CD4 3 เดือน เริ่มให(เมื่อ CD4 &lt;200 cells/mm3</t>
        </is>
      </c>
      <c r="F450" s="18" t="inlineStr">
        <is>
          <t>ติดตาม CD4 3 เดือน เริ่มให(เมื่อ CD4 &lt;250 cells/mm3</t>
        </is>
      </c>
      <c r="G450" s="18" t="inlineStr">
        <is>
          <t>ติดตาม VL 3 เดือน เริ่มให(เมื่อ VL &lt; 1,000,000 copies/ml</t>
        </is>
      </c>
      <c r="H450" s="18" t="inlineStr">
        <is>
          <t>ติดตาม VL 3 เดือน เริ่มให(เมื่อ VL &lt; 1,500,000 copies/ml</t>
        </is>
      </c>
      <c r="I450" s="15" t="inlineStr">
        <is>
          <t>1</t>
        </is>
      </c>
      <c r="J450" s="18" t="inlineStr">
        <is>
          <t>✅ คำตอบที่ถูกต้อง: ข้อ ก. เริ่มให(ยาได(เลยถ(าผู(ปcวยพร(อม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เริ่มให(ยาได(เลยถ(าผู(ปcวยพร(อม เริ่มให(ยาได(เลยถ(าผู(ป c วยพร(อม เริ่มให(ยาได(เลยถ(าผู(ป c วยพร(อม เริ่มให(ยาได(เลยถ(าผู(ป c วยพร(อม เริ่มให(ยาได(เลยถ(าผู(ป c วยพร(อม การเลือก เริ่มให(ยาได(เลยถ(าผู(ป c วยพร(อม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(ติดตาม CD4 3 เดือน เริ่มให(เมื่อ CD4 &lt;200 cells/mm3): ข้อนี้ไม่ใช่คำตอบที่ถูกต้องสำหรับภาวะ General Therapeutics เนื่องจากกลไกการออกฤทธิ์, efficacy หรือข้อบ่งใช้ไม่ตรงกับโจทย์ที่กำหนด
• ข้อ ค. (ติดตาม CD4 3 เดือน เริ่มให(เมื่อ CD4 &lt;250 cells/mm3): ข้อนี้ไม่ใช่คำตอบที่ถูกต้องสำหรับภาวะ General Therapeutics เนื่องจากกลไกการออกฤทธิ์, efficacy หรือข้อบ่งใช้ไม่ตรงกับโจทย์ที่กำหนด
• ข้อ ง. (ติดตาม VL 3 เดือน เริ่มให(เมื่อ VL &lt; 1,000,000 copies/ml): ข้อนี้ไม่ใช่คำตอบที่ถูกต้องสำหรับภาวะ General Therapeutics เนื่องจากกลไกการออกฤทธิ์, efficacy หรือข้อบ่งใช้ไม่ตรงกับโจทย์ที่กำหนด
• ข้อ จ. (ติดตาม VL 3 เดือน เริ่มให(เมื่อ VL &lt; 1,500,000 copies/ml):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0" s="18" t="inlineStr"/>
      <c r="L450" s="18" t="inlineStr">
        <is>
          <t>General Therapeutics</t>
        </is>
      </c>
      <c r="M450" s="18" t="inlineStr">
        <is>
          <t>Clinic</t>
        </is>
      </c>
      <c r="N450" s="18" t="inlineStr">
        <is>
          <t>ข้อ 45 (PLE_CC1_2561_Key.md)</t>
        </is>
      </c>
      <c r="O450" s="18" t="inlineStr">
        <is>
          <t>ข้อสอบจริง</t>
        </is>
      </c>
      <c r="P450" s="18" t="inlineStr">
        <is>
          <t>ปี 2561</t>
        </is>
      </c>
    </row>
    <row r="451">
      <c r="A451" s="15" t="inlineStr">
        <is>
          <t>472</t>
        </is>
      </c>
      <c r="B451" s="18" t="inlineStr">
        <is>
          <t>ผู(ปcวยรายนี้ควรได(รับยาสูตรใดจึงมีความเหมาะสมมากที่สุด</t>
        </is>
      </c>
      <c r="C451" s="18" t="inlineStr"/>
      <c r="D451" s="18" t="inlineStr">
        <is>
          <t>AZT +3TC+ NVP</t>
        </is>
      </c>
      <c r="E451" s="18" t="inlineStr">
        <is>
          <t>d4T+ 3TC + NVP</t>
        </is>
      </c>
      <c r="F451" s="18" t="inlineStr">
        <is>
          <t>TDF + FTC + LPV/r</t>
        </is>
      </c>
      <c r="G451" s="18" t="inlineStr">
        <is>
          <t>AZT + FTC + EFV</t>
        </is>
      </c>
      <c r="H451" s="18" t="inlineStr">
        <is>
          <t>TDF + 3TC + EFV</t>
        </is>
      </c>
      <c r="I451" s="15" t="inlineStr">
        <is>
          <t>1</t>
        </is>
      </c>
      <c r="J451" s="18" t="inlineStr">
        <is>
          <t>✅ คำตอบที่ถูกต้อง: ข้อ ก. AZT +3TC+ NVP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AZT +3TC+ NVP การเลือก AZT +3TC+ NVP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(d4T+ 3TC + NVP): ข้อนี้ไม่ใช่คำตอบที่ถูกต้องสำหรับภาวะ General Therapeutics เนื่องจากกลไกการออกฤทธิ์, efficacy หรือข้อบ่งใช้ไม่ตรงกับโจทย์ที่กำหนด
• ข้อ ค. (TDF + FTC + LPV/r): ข้อนี้ไม่ใช่คำตอบที่ถูกต้องสำหรับภาวะ General Therapeutics เนื่องจากกลไกการออกฤทธิ์, efficacy หรือข้อบ่งใช้ไม่ตรงกับโจทย์ที่กำหนด
• ข้อ ง. (AZT + FTC + EFV): ข้อนี้ไม่ใช่คำตอบที่ถูกต้องสำหรับภาวะ General Therapeutics เนื่องจากกลไกการออกฤทธิ์, efficacy หรือข้อบ่งใช้ไม่ตรงกับโจทย์ที่กำหนด
• ข้อ จ. (TDF + 3TC + EFV):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1" s="18" t="inlineStr"/>
      <c r="L451" s="18" t="inlineStr">
        <is>
          <t>General Therapeutics</t>
        </is>
      </c>
      <c r="M451" s="18" t="inlineStr">
        <is>
          <t>Clinic</t>
        </is>
      </c>
      <c r="N451" s="18" t="inlineStr">
        <is>
          <t>ข้อ 46 (PLE_CC1_2561_Key.md)</t>
        </is>
      </c>
      <c r="O451" s="18" t="inlineStr">
        <is>
          <t>ข้อสอบจริง</t>
        </is>
      </c>
      <c r="P451" s="18" t="inlineStr">
        <is>
          <t>ปี 2561</t>
        </is>
      </c>
    </row>
    <row r="452">
      <c r="A452" s="15" t="inlineStr">
        <is>
          <t>473</t>
        </is>
      </c>
      <c r="B452" s="18" t="inlineStr">
        <is>
          <t>ผู(ปcวยควรได(รับยาใดเป5นทางเลือกแรก</t>
        </is>
      </c>
      <c r="C452" s="18" t="inlineStr"/>
      <c r="D452" s="18" t="inlineStr">
        <is>
          <t>Tramadol</t>
        </is>
      </c>
      <c r="E452" s="18" t="inlineStr">
        <is>
          <t>Piroxicam</t>
        </is>
      </c>
      <c r="F452" s="18" t="inlineStr">
        <is>
          <t>Colchicine</t>
        </is>
      </c>
      <c r="G452" s="18" t="inlineStr">
        <is>
          <t>Acetaminophen</t>
        </is>
      </c>
      <c r="H452" s="18" t="inlineStr">
        <is>
          <t>Orphenadrine + paracetamol</t>
        </is>
      </c>
      <c r="I452" s="15" t="inlineStr">
        <is>
          <t>1</t>
        </is>
      </c>
      <c r="J452" s="18"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ง. (Acetaminophen): ข้อนี้ไม่ใช่คำตอบที่ถูกต้องสำหรับภาวะ General Therapeutics เนื่องจากกลไกการออกฤทธิ์, efficacy หรือข้อบ่งใช้ไม่ตรงกับโจทย์ที่กำหนด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2" s="18" t="inlineStr"/>
      <c r="L452" s="18" t="inlineStr">
        <is>
          <t>General Therapeutics</t>
        </is>
      </c>
      <c r="M452" s="18" t="inlineStr">
        <is>
          <t>Clinic</t>
        </is>
      </c>
      <c r="N452" s="18" t="inlineStr">
        <is>
          <t>ข้อ 48 (PLE_CC1_2561_Key.md)</t>
        </is>
      </c>
      <c r="O452" s="18" t="inlineStr">
        <is>
          <t>ข้อสอบจริง</t>
        </is>
      </c>
      <c r="P452" s="18" t="inlineStr">
        <is>
          <t>ปี 2561</t>
        </is>
      </c>
    </row>
    <row r="453">
      <c r="A453" s="15" t="inlineStr">
        <is>
          <t>474</t>
        </is>
      </c>
      <c r="B453" s="18" t="inlineStr">
        <is>
          <t>จากโครงสร(าง naproxen มีหมู. function ใด</t>
        </is>
      </c>
      <c r="C453" s="18" t="inlineStr"/>
      <c r="D453" s="18" t="inlineStr">
        <is>
          <t>Sulfone</t>
        </is>
      </c>
      <c r="E453" s="18" t="inlineStr">
        <is>
          <t>Salicylic acid</t>
        </is>
      </c>
      <c r="F453" s="18" t="inlineStr">
        <is>
          <t>Propionic acid</t>
        </is>
      </c>
      <c r="G453" s="18" t="inlineStr">
        <is>
          <t>Isobutyric acid</t>
        </is>
      </c>
      <c r="H453" s="18" t="inlineStr">
        <is>
          <t>N-aryl anthranilic acid witwwersmind I</t>
        </is>
      </c>
      <c r="I453" s="15" t="inlineStr">
        <is>
          <t>1</t>
        </is>
      </c>
      <c r="J453" s="18" t="inlineStr">
        <is>
          <t>✅ คำตอบที่ถูกต้อง: ข้อ ก. Sulfone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Sulfone การเลือก Sulfone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(Salicylic acid): ข้อนี้ไม่ใช่คำตอบที่ถูกต้องสำหรับภาวะ Musculoskeletal &amp; Joint เนื่องจากกลไกการออกฤทธิ์, efficacy หรือข้อบ่งใช้ไม่ตรงกับโจทย์ที่กำหนด
• ข้อ ค. (Propionic acid): ข้อนี้ไม่ใช่คำตอบที่ถูกต้องสำหรับภาวะ Musculoskeletal &amp; Joint เนื่องจากกลไกการออกฤทธิ์, efficacy หรือข้อบ่งใช้ไม่ตรงกับโจทย์ที่กำหนด
• ข้อ ง. (Isobutyric acid): ข้อนี้ไม่ใช่คำตอบที่ถูกต้องสำหรับภาวะ Musculoskeletal &amp; Joint เนื่องจากกลไกการออกฤทธิ์, efficacy หรือข้อบ่งใช้ไม่ตรงกับโจทย์ที่กำหนด
• ข้อ จ. (N-aryl anthranilic acid witwwersmind I):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453" s="18" t="inlineStr"/>
      <c r="L453" s="18" t="inlineStr">
        <is>
          <t>Musculoskeletal &amp; Joint</t>
        </is>
      </c>
      <c r="M453" s="18" t="inlineStr">
        <is>
          <t>Clinic</t>
        </is>
      </c>
      <c r="N453" s="18" t="inlineStr">
        <is>
          <t>ข้อ 51 (PLE_CC1_2561_Key.md)</t>
        </is>
      </c>
      <c r="O453" s="18" t="inlineStr">
        <is>
          <t>ข้อสอบจริง</t>
        </is>
      </c>
      <c r="P453" s="18" t="inlineStr">
        <is>
          <t>ปี 2561</t>
        </is>
      </c>
    </row>
    <row r="454">
      <c r="A454" s="15" t="inlineStr">
        <is>
          <t>475</t>
        </is>
      </c>
      <c r="B454" s="18" t="inlineStr">
        <is>
          <t>ข้อใดคือผลข(างเคียงของยา hydroxychloroquine</t>
        </is>
      </c>
      <c r="C454" s="18" t="inlineStr"/>
      <c r="D454" s="18" t="inlineStr">
        <is>
          <t>Renal toxicity</t>
        </is>
      </c>
      <c r="E454" s="18" t="inlineStr">
        <is>
          <t>Hepatotoxicity</t>
        </is>
      </c>
      <c r="F454" s="18" t="inlineStr">
        <is>
          <t>Retinal toxicity</t>
        </is>
      </c>
      <c r="G454" s="18" t="inlineStr">
        <is>
          <t>Hematologic toxicity</t>
        </is>
      </c>
      <c r="H454" s="18" t="inlineStr">
        <is>
          <t>Gastrointestinal toxicity</t>
        </is>
      </c>
      <c r="I454" s="15" t="inlineStr">
        <is>
          <t>1</t>
        </is>
      </c>
      <c r="J454" s="18" t="inlineStr">
        <is>
          <t>✅ คำตอบที่ถูกต้อง: ข้อ ก. Renal toxicity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Renal toxicity การเลือก Renal toxicity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(Hepatotoxicity): ข้อนี้ไม่ใช่คำตอบที่ถูกต้องสำหรับภาวะ General Therapeutics เนื่องจากกลไกการออกฤทธิ์, efficacy หรือข้อบ่งใช้ไม่ตรงกับโจทย์ที่กำหนด
• ข้อ ค. (Retinal toxicity): ข้อนี้ไม่ใช่คำตอบที่ถูกต้องสำหรับภาวะ General Therapeutics เนื่องจากกลไกการออกฤทธิ์, efficacy หรือข้อบ่งใช้ไม่ตรงกับโจทย์ที่กำหนด
• ข้อ ง. (Hematologic toxicity): ข้อนี้ไม่ใช่คำตอบที่ถูกต้องสำหรับภาวะ General Therapeutics เนื่องจากกลไกการออกฤทธิ์, efficacy หรือข้อบ่งใช้ไม่ตรงกับโจทย์ที่กำหนด
• ข้อ จ. (Gastrointestinal toxicity):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454" s="18" t="inlineStr"/>
      <c r="L454" s="18" t="inlineStr">
        <is>
          <t>General Therapeutics</t>
        </is>
      </c>
      <c r="M454" s="18" t="inlineStr">
        <is>
          <t>Clinic</t>
        </is>
      </c>
      <c r="N454" s="18" t="inlineStr">
        <is>
          <t>ข้อ 52 (PLE_CC1_2561_Key.md)</t>
        </is>
      </c>
      <c r="O454" s="18" t="inlineStr">
        <is>
          <t>ข้อสอบจริง</t>
        </is>
      </c>
      <c r="P454" s="18" t="inlineStr">
        <is>
          <t>ปี 2561</t>
        </is>
      </c>
    </row>
    <row r="455">
      <c r="A455" s="15" t="inlineStr">
        <is>
          <t>476</t>
        </is>
      </c>
      <c r="B455" s="18" t="inlineStr">
        <is>
          <t>สารสำคัญที่มีผลต.อสรรพคุณลดปวดในเจลพริกคือสารใด</t>
        </is>
      </c>
      <c r="C455" s="18" t="inlineStr"/>
      <c r="D455" s="18" t="inlineStr">
        <is>
          <t>Eugenol</t>
        </is>
      </c>
      <c r="E455" s="18" t="inlineStr">
        <is>
          <t>Capsaicin</t>
        </is>
      </c>
      <c r="F455" s="18" t="inlineStr">
        <is>
          <t>Piperazine</t>
        </is>
      </c>
      <c r="G455" s="18" t="inlineStr">
        <is>
          <t>Volatile oil</t>
        </is>
      </c>
      <c r="H455" s="18" t="inlineStr">
        <is>
          <t>Curcuminoid</t>
        </is>
      </c>
      <c r="I455" s="15" t="inlineStr">
        <is>
          <t>1</t>
        </is>
      </c>
      <c r="J455" s="18" t="inlineStr">
        <is>
          <t>✅ คำตอบที่ถูกต้อง: ข้อ ก. Eugenol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Eugenol 💡 คำอธิบายและเหตุผลทางเภสัชกรรม:
💡 คำอธิบายและเหตุผลทางเภสัชกรรม:
การเลือก Eugenol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(Capsaicin): ข้อนี้ไม่ใช่คำตอบที่ถูกต้องสำหรับภาวะ Herbal Medicine เนื่องจากกลไกการออกฤทธิ์, efficacy หรือข้อบ่งใช้ไม่ตรงกับโจทย์ที่กำหนด
• ข้อ ค. (Piperazine): ข้อนี้ไม่ใช่คำตอบที่ถูกต้องสำหรับภาวะ Herbal Medicine เนื่องจากกลไกการออกฤทธิ์, efficacy หรือข้อบ่งใช้ไม่ตรงกับโจทย์ที่กำหนด
• ข้อ ง. (Volatile oil): ข้อนี้ไม่ใช่คำตอบที่ถูกต้องสำหรับภาวะ Herbal Medicine เนื่องจากกลไกการออกฤทธิ์, efficacy หรือข้อบ่งใช้ไม่ตรงกับโจทย์ที่กำหนด
• ข้อ จ. (Curcuminoid):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5" s="18" t="inlineStr"/>
      <c r="L455" s="18" t="inlineStr">
        <is>
          <t>Herbal Medicine</t>
        </is>
      </c>
      <c r="M455" s="18" t="inlineStr">
        <is>
          <t>Product</t>
        </is>
      </c>
      <c r="N455" s="18" t="inlineStr">
        <is>
          <t>ข้อ 53 (PLE_CC1_2561_Key.md)</t>
        </is>
      </c>
      <c r="O455" s="18" t="inlineStr">
        <is>
          <t>ข้อสอบจริง</t>
        </is>
      </c>
      <c r="P455" s="18" t="inlineStr">
        <is>
          <t>ปี 2561</t>
        </is>
      </c>
    </row>
    <row r="456">
      <c r="A456" s="15" t="inlineStr">
        <is>
          <t>477</t>
        </is>
      </c>
      <c r="B456" s="18" t="inlineStr">
        <is>
          <t>ยาใดไม.ซื้อได(ในร(านขายยาแผนปVจจุบัน</t>
        </is>
      </c>
      <c r="C456" s="18" t="inlineStr"/>
      <c r="D456" s="18" t="inlineStr">
        <is>
          <t>Cetirizine tablet</t>
        </is>
      </c>
      <c r="E456" s="18" t="inlineStr">
        <is>
          <t>Zafurlukast tablet</t>
        </is>
      </c>
      <c r="F456" s="18" t="inlineStr">
        <is>
          <t>Fexofenadine tablet</t>
        </is>
      </c>
      <c r="G456" s="18" t="inlineStr">
        <is>
          <t>Budesonide nasal spray</t>
        </is>
      </c>
      <c r="H456" s="18" t="inlineStr">
        <is>
          <t>Pseudoephedrine tablet</t>
        </is>
      </c>
      <c r="I456" s="15" t="inlineStr">
        <is>
          <t>1</t>
        </is>
      </c>
      <c r="J456" s="18"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(Zafurlukast tablet): ข้อนี้ไม่ใช่คำตอบที่ถูกต้องสำหรับภาวะ General Therapeutics เนื่องจากกลไกการออกฤทธิ์, efficacy หรือข้อบ่งใช้ไม่ตรงกับโจทย์ที่กำหนด
• ข้อ ค. (Fexofenadine tablet):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6" s="18" t="inlineStr"/>
      <c r="L456" s="18" t="inlineStr">
        <is>
          <t>General Therapeutics</t>
        </is>
      </c>
      <c r="M456" s="18" t="inlineStr">
        <is>
          <t>Clinic</t>
        </is>
      </c>
      <c r="N456" s="18" t="inlineStr">
        <is>
          <t>ข้อ 54 (PLE_CC1_2561_Key.md)</t>
        </is>
      </c>
      <c r="O456" s="18" t="inlineStr">
        <is>
          <t>ข้อสอบจริง</t>
        </is>
      </c>
      <c r="P456" s="18" t="inlineStr">
        <is>
          <t>ปี 2561</t>
        </is>
      </c>
    </row>
    <row r="457">
      <c r="A457" s="15" t="inlineStr">
        <is>
          <t>478</t>
        </is>
      </c>
      <c r="B457" s="18" t="inlineStr">
        <is>
          <t>ข้อใดเกี่ยวข้องกับฤทธิ์ของ desogestrel น(อยที่สุด</t>
        </is>
      </c>
      <c r="C457" s="18" t="inlineStr"/>
      <c r="D457" s="18" t="inlineStr">
        <is>
          <t>ยับยั้งการตกไข.</t>
        </is>
      </c>
      <c r="E457" s="18" t="inlineStr">
        <is>
          <t>เพิ่มเมือกบริเวณปากมดลูก</t>
        </is>
      </c>
      <c r="F457" s="18" t="inlineStr">
        <is>
          <t>ลดความหนาของเยื่อบุมดลูก</t>
        </is>
      </c>
      <c r="G457" s="18" t="inlineStr">
        <is>
          <t>ลดการเคลื่อนไหวของท.อนำรังไข.</t>
        </is>
      </c>
      <c r="H457" s="18" t="inlineStr">
        <is>
          <t>ยับยั้งการทำงานของ aldosterone e</t>
        </is>
      </c>
      <c r="I457" s="15" t="inlineStr">
        <is>
          <t>1</t>
        </is>
      </c>
      <c r="J457" s="18" t="inlineStr">
        <is>
          <t>✅ คำตอบที่ถูกต้อง: ข้อ ก. ยับยั้งการตกไข.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ยับยั้งการตกไข. การเลือก ยับยั้งการตกไข.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(เพิ่มเมือกบริเวณปากมดลูก): ข้อนี้ไม่ใช่คำตอบที่ถูกต้องสำหรับภาวะ General Therapeutics เนื่องจากกลไกการออกฤทธิ์, efficacy หรือข้อบ่งใช้ไม่ตรงกับโจทย์ที่กำหนด
• ข้อ ค. (ลดความหนาของเยื่อบุมดลูก):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(ลดการเคลื่อนไหวของท.อนำรังไข.):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aldosterone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7" s="18" t="inlineStr"/>
      <c r="L457" s="18" t="inlineStr">
        <is>
          <t>General Therapeutics</t>
        </is>
      </c>
      <c r="M457" s="18" t="inlineStr">
        <is>
          <t>Clinic</t>
        </is>
      </c>
      <c r="N457" s="18" t="inlineStr">
        <is>
          <t>ข้อ 57 (PLE_CC1_2561_Key.md)</t>
        </is>
      </c>
      <c r="O457" s="18" t="inlineStr">
        <is>
          <t>ข้อสอบจริง</t>
        </is>
      </c>
      <c r="P457" s="18" t="inlineStr">
        <is>
          <t>ปี 2561</t>
        </is>
      </c>
    </row>
    <row r="458">
      <c r="A458" s="15" t="inlineStr">
        <is>
          <t>479</t>
        </is>
      </c>
      <c r="B458" s="18" t="inlineStr">
        <is>
          <t>แผ.นแปะ มีรูปแบบ ดังภาพ เป5นระบบนำส.งยาแบบใด</t>
        </is>
      </c>
      <c r="C458" s="18" t="inlineStr"/>
      <c r="D458" s="18" t="inlineStr">
        <is>
          <t>Reservoir system</t>
        </is>
      </c>
      <c r="E458" s="18" t="inlineStr">
        <is>
          <t>Microreservoir system</t>
        </is>
      </c>
      <c r="F458" s="18" t="inlineStr">
        <is>
          <t>Polyplastic type system</t>
        </is>
      </c>
      <c r="G458" s="18" t="inlineStr">
        <is>
          <t>Matrix dispersion system</t>
        </is>
      </c>
      <c r="H458" s="18" t="inlineStr">
        <is>
          <t>Peripheral adhesive design</t>
        </is>
      </c>
      <c r="I458" s="15" t="inlineStr">
        <is>
          <t>1</t>
        </is>
      </c>
      <c r="J458" s="18" t="inlineStr">
        <is>
          <t>✅ คำตอบที่ถูกต้อง: ข้อ ก. Reservoir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system การเลือก Reservoir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(Microreservoir system): ข้อนี้ไม่ใช่คำตอบที่ถูกต้องสำหรับภาวะ General Therapeutics เนื่องจากกลไกการออกฤทธิ์, efficacy หรือข้อบ่งใช้ไม่ตรงกับโจทย์ที่กำหนด
• ข้อ ค. (Polyplastic type system): ข้อนี้ไม่ใช่คำตอบที่ถูกต้องสำหรับภาวะ General Therapeutics เนื่องจากกลไกการออกฤทธิ์, efficacy หรือข้อบ่งใช้ไม่ตรงกับโจทย์ที่กำหนด
• ข้อ ง. (Matrix dispersion system): ข้อนี้ไม่ใช่คำตอบที่ถูกต้องสำหรับภาวะ General Therapeutics เนื่องจากกลไกการออกฤทธิ์, efficacy หรือข้อบ่งใช้ไม่ตรงกับโจทย์ที่กำหนด
• ข้อ จ. (Peripheral adhesive design):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8" s="18" t="inlineStr"/>
      <c r="L458" s="18" t="inlineStr">
        <is>
          <t>General Therapeutics</t>
        </is>
      </c>
      <c r="M458" s="18" t="inlineStr">
        <is>
          <t>Clinic</t>
        </is>
      </c>
      <c r="N458" s="18" t="inlineStr">
        <is>
          <t>ข้อ 59 (PLE_CC1_2561_Key.md)</t>
        </is>
      </c>
      <c r="O458" s="18" t="inlineStr">
        <is>
          <t>ข้อสอบจริง</t>
        </is>
      </c>
      <c r="P458" s="18" t="inlineStr">
        <is>
          <t>ปี 2561</t>
        </is>
      </c>
    </row>
    <row r="459">
      <c r="A459" s="15" t="inlineStr">
        <is>
          <t>480</t>
        </is>
      </c>
      <c r="B459" s="18" t="inlineStr">
        <is>
          <t>จากรูปข้อ 59 ตัวยาจะถูกบรรจุอยู.ในส.วนใด</t>
        </is>
      </c>
      <c r="C459" s="18" t="inlineStr"/>
      <c r="D459" s="18" t="inlineStr">
        <is>
          <t>Liner</t>
        </is>
      </c>
      <c r="E459" s="18" t="inlineStr">
        <is>
          <t>Reservoir</t>
        </is>
      </c>
      <c r="F459" s="18" t="inlineStr">
        <is>
          <t>Membrane</t>
        </is>
      </c>
      <c r="G459" s="18" t="inlineStr">
        <is>
          <t>Backing layer</t>
        </is>
      </c>
      <c r="H459" s="18" t="inlineStr">
        <is>
          <t>Adhesive layer</t>
        </is>
      </c>
      <c r="I459" s="15" t="inlineStr">
        <is>
          <t>1</t>
        </is>
      </c>
      <c r="J459" s="18" t="inlineStr">
        <is>
          <t>✅ คำตอบที่ถูกต้อง: ข้อ ก. Liner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Liner การเลือก Liner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(Reservoir): ข้อนี้ไม่ใช่คำตอบที่ถูกต้องสำหรับภาวะ General Therapeutics เนื่องจากกลไกการออกฤทธิ์, efficacy หรือข้อบ่งใช้ไม่ตรงกับโจทย์ที่กำหนด
• ข้อ ค. (Membrane): ข้อนี้ไม่ใช่คำตอบที่ถูกต้องสำหรับภาวะ General Therapeutics เนื่องจากกลไกการออกฤทธิ์, efficacy หรือข้อบ่งใช้ไม่ตรงกับโจทย์ที่กำหนด
• ข้อ ง. (Backing layer): ข้อนี้ไม่ใช่คำตอบที่ถูกต้องสำหรับภาวะ General Therapeutics เนื่องจากกลไกการออกฤทธิ์, efficacy หรือข้อบ่งใช้ไม่ตรงกับโจทย์ที่กำหนด
• ข้อ จ. (Adhesive layer):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9" s="18" t="inlineStr"/>
      <c r="L459" s="18" t="inlineStr">
        <is>
          <t>General Therapeutics</t>
        </is>
      </c>
      <c r="M459" s="18" t="inlineStr">
        <is>
          <t>Clinic</t>
        </is>
      </c>
      <c r="N459" s="18" t="inlineStr">
        <is>
          <t>ข้อ 60 (PLE_CC1_2561_Key.md)</t>
        </is>
      </c>
      <c r="O459" s="18" t="inlineStr">
        <is>
          <t>ข้อสอบจริง</t>
        </is>
      </c>
      <c r="P459" s="18" t="inlineStr">
        <is>
          <t>ปี 2561</t>
        </is>
      </c>
    </row>
    <row r="460">
      <c r="A460" s="15" t="inlineStr">
        <is>
          <t>481</t>
        </is>
      </c>
      <c r="B460" s="18" t="inlineStr">
        <is>
          <t>จากระบบยาข้อ 59 ตัวยามีการปลดปล.อยด(วยปฏิกิริยาลำดับใด</t>
        </is>
      </c>
      <c r="C460" s="18" t="inlineStr"/>
      <c r="D460" s="18" t="inlineStr">
        <is>
          <t>First order</t>
        </is>
      </c>
      <c r="E460" s="18" t="inlineStr">
        <is>
          <t>Zero order</t>
        </is>
      </c>
      <c r="F460" s="18" t="inlineStr">
        <is>
          <t>Second order</t>
        </is>
      </c>
      <c r="G460" s="18" t="inlineStr">
        <is>
          <t>Pseudo first order</t>
        </is>
      </c>
      <c r="H460" s="18" t="inlineStr">
        <is>
          <t>Pseudo zero order</t>
        </is>
      </c>
      <c r="I460" s="15" t="inlineStr">
        <is>
          <t>1</t>
        </is>
      </c>
      <c r="J460" s="18" t="inlineStr">
        <is>
          <t>✅ คำตอบที่ถูกต้อง: ข้อ ก. First order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First order การเลือก First order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(Zero order): ข้อนี้ไม่ใช่คำตอบที่ถูกต้องสำหรับภาวะ General Therapeutics เนื่องจากกลไกการออกฤทธิ์, efficacy หรือข้อบ่งใช้ไม่ตรงกับโจทย์ที่กำหนด
• ข้อ ค. (Second order): ข้อนี้ไม่ใช่คำตอบที่ถูกต้องสำหรับภาวะ General Therapeutics เนื่องจากกลไกการออกฤทธิ์, efficacy หรือข้อบ่งใช้ไม่ตรงกับโจทย์ที่กำหนด
• ข้อ ง. (Pseudo first order): ข้อนี้ไม่ใช่คำตอบที่ถูกต้องสำหรับภาวะ General Therapeutics เนื่องจากกลไกการออกฤทธิ์, efficacy หรือข้อบ่งใช้ไม่ตรงกับโจทย์ที่กำหนด
• ข้อ จ. (Pseudo zero order):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0" s="18" t="inlineStr"/>
      <c r="L460" s="18" t="inlineStr">
        <is>
          <t>General Therapeutics</t>
        </is>
      </c>
      <c r="M460" s="18" t="inlineStr">
        <is>
          <t>Clinic</t>
        </is>
      </c>
      <c r="N460" s="18" t="inlineStr">
        <is>
          <t>ข้อ 61 (PLE_CC1_2561_Key.md)</t>
        </is>
      </c>
      <c r="O460" s="18" t="inlineStr">
        <is>
          <t>ข้อสอบจริง</t>
        </is>
      </c>
      <c r="P460" s="18" t="inlineStr">
        <is>
          <t>ปี 2561</t>
        </is>
      </c>
    </row>
    <row r="461">
      <c r="A461" s="15" t="inlineStr">
        <is>
          <t>482</t>
        </is>
      </c>
      <c r="B461" s="18" t="inlineStr">
        <is>
          <t>โครงสร(างใดที่พัฒนา มาเป5นยาถ.ายพยาธิได( I ก ข ค ง จ</t>
        </is>
      </c>
      <c r="C461" s="18" t="inlineStr"/>
      <c r="D461" s="18" t="inlineStr">
        <is>
          <t>Azithromycin 500 mg OD</t>
        </is>
      </c>
      <c r="E461" s="18" t="inlineStr">
        <is>
          <t>Doxycycline 100 mg BID</t>
        </is>
      </c>
      <c r="F461" s="18" t="inlineStr">
        <is>
          <t>Cotrimoxazole 160/800 mg BID</t>
        </is>
      </c>
      <c r="G461" s="18" t="inlineStr">
        <is>
          <t>Metronidazole 400 mg TID</t>
        </is>
      </c>
      <c r="H461" s="18" t="inlineStr">
        <is>
          <t>Nitrofurantoin 100 mg BID</t>
        </is>
      </c>
      <c r="I461" s="15" t="inlineStr">
        <is>
          <t>1</t>
        </is>
      </c>
      <c r="J461" s="18"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1" s="18" t="inlineStr"/>
      <c r="L461" s="18" t="inlineStr">
        <is>
          <t>Infectious Diseases</t>
        </is>
      </c>
      <c r="M461" s="18" t="inlineStr">
        <is>
          <t>Clinic</t>
        </is>
      </c>
      <c r="N461" s="18" t="inlineStr">
        <is>
          <t>ข้อ 64 (PLE_CC1_2561_Key.md)</t>
        </is>
      </c>
      <c r="O461" s="18" t="inlineStr">
        <is>
          <t>ข้อสอบจริง</t>
        </is>
      </c>
      <c r="P461" s="18" t="inlineStr">
        <is>
          <t>ปี 2561</t>
        </is>
      </c>
    </row>
    <row r="462">
      <c r="A462" s="15" t="inlineStr">
        <is>
          <t>483</t>
        </is>
      </c>
      <c r="B462" s="18" t="inlineStr">
        <is>
          <t>ยาใดที่สามารถขายได(ในร(านขายของชำ me</t>
        </is>
      </c>
      <c r="C462" s="18" t="inlineStr"/>
      <c r="D462" s="18" t="inlineStr">
        <is>
          <t>Niclosamide 500 mg</t>
        </is>
      </c>
      <c r="E462" s="18" t="inlineStr">
        <is>
          <t>Albendazole 400 mg</t>
        </is>
      </c>
      <c r="F462" s="18" t="inlineStr">
        <is>
          <t>Mebendazole suspension</t>
        </is>
      </c>
      <c r="G462" s="18" t="inlineStr">
        <is>
          <t>Mebendazole 500 มิลลิกรัม จำนวน 1 เม็ด</t>
        </is>
      </c>
      <c r="H462" s="18" t="inlineStr">
        <is>
          <t>Mebendazole 100 มิลลิกรัม จำนวน 6 เม็ด</t>
        </is>
      </c>
      <c r="I462" s="15" t="inlineStr">
        <is>
          <t>1</t>
        </is>
      </c>
      <c r="J462" s="18" t="inlineStr">
        <is>
          <t>✅ คำตอบที่ถูกต้อง: ข้อ ก. Niclosamide 500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การเลือก Niclosamide 500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(Albendazole 400 mg): ข้อนี้ไม่ใช่คำตอบที่ถูกต้องสำหรับภาวะ General Therapeutics เนื่องจากกลไกการออกฤทธิ์, efficacy หรือข้อบ่งใช้ไม่ตรงกับโจทย์ที่กำหนด
• ข้อ ค. (Mebendazole suspension): ข้อนี้ไม่ใช่คำตอบที่ถูกต้องสำหรับภาวะ General Therapeutics เนื่องจากกลไกการออกฤทธิ์, efficacy หรือข้อบ่งใช้ไม่ตรงกับโจทย์ที่กำหนด
• ข้อ ง. (Mebendazole 500 มิลลิกรัม จำนวน 1 เม็ด): ข้อนี้ไม่ใช่คำตอบที่ถูกต้องสำหรับภาวะ General Therapeutics เนื่องจากกลไกการออกฤทธิ์, efficacy หรือข้อบ่งใช้ไม่ตรงกับโจทย์ที่กำหนด
• ข้อ จ. (Mebendazole 100 มิลลิกรัม จำนวน 6 เม็ด):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2" s="18" t="inlineStr"/>
      <c r="L462" s="18" t="inlineStr">
        <is>
          <t>General Therapeutics</t>
        </is>
      </c>
      <c r="M462" s="18" t="inlineStr">
        <is>
          <t>Clinic</t>
        </is>
      </c>
      <c r="N462" s="18" t="inlineStr">
        <is>
          <t>ข้อ 66 (PLE_CC1_2561_Key.md)</t>
        </is>
      </c>
      <c r="O462" s="18" t="inlineStr">
        <is>
          <t>ข้อสอบจริง</t>
        </is>
      </c>
      <c r="P462" s="18" t="inlineStr">
        <is>
          <t>ปี 2561</t>
        </is>
      </c>
    </row>
    <row r="463">
      <c r="A463" s="15" t="inlineStr">
        <is>
          <t>484</t>
        </is>
      </c>
      <c r="B463" s="18" t="inlineStr">
        <is>
          <t>หากผู(ปcวยมีอาการคันตา น้ำตาไหล ลักษณะน้ำตาใสๆ ยาข้อใด เหมาะสมที่สุด</t>
        </is>
      </c>
      <c r="C463" s="18" t="inlineStr"/>
      <c r="D463" s="18" t="inlineStr">
        <is>
          <t>Timolol eye drop</t>
        </is>
      </c>
      <c r="E463" s="18" t="inlineStr">
        <is>
          <t>Polymyxin B eye drop</t>
        </is>
      </c>
      <c r="F463" s="18" t="inlineStr">
        <is>
          <t>Pseudoephedrine tablet</t>
        </is>
      </c>
      <c r="G463" s="18" t="inlineStr">
        <is>
          <t>Chloramphenicol ointment</t>
        </is>
      </c>
      <c r="H463" s="18" t="inlineStr">
        <is>
          <t>Antazoline HCI + tetrahydrozoline HCI eye drop</t>
        </is>
      </c>
      <c r="I463" s="15" t="inlineStr">
        <is>
          <t>1</t>
        </is>
      </c>
      <c r="J463" s="18" t="inlineStr">
        <is>
          <t>✅ คำตอบที่ถูกต้อง: ข้อ ก. Timolol eye drop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Timolol eye drop การเลือก Timolol eye drop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(Polymyxin B eye drop): ข้อนี้ไม่ใช่คำตอบที่ถูกต้องสำหรับภาวะ General Therapeutics เนื่องจากกลไกการออกฤทธิ์, efficacy หรือข้อบ่งใช้ไม่ตรงกับโจทย์ที่กำหนด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(Chloramphenicol ointment): ข้อนี้ไม่ใช่คำตอบที่ถูกต้องสำหรับภาวะ General Therapeutics เนื่องจากกลไกการออกฤทธิ์, efficacy หรือข้อบ่งใช้ไม่ตรงกับโจทย์ที่กำหนด
• ข้อ จ. (Antazoline HCI + tetrahydrozoline HCI eye drop):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63" s="18" t="inlineStr"/>
      <c r="L463" s="18" t="inlineStr">
        <is>
          <t>General Therapeutics</t>
        </is>
      </c>
      <c r="M463" s="18" t="inlineStr">
        <is>
          <t>Clinic</t>
        </is>
      </c>
      <c r="N463" s="18" t="inlineStr">
        <is>
          <t>ข้อ 69 (PLE_CC1_2561_Key.md)</t>
        </is>
      </c>
      <c r="O463" s="18" t="inlineStr">
        <is>
          <t>ข้อสอบจริง</t>
        </is>
      </c>
      <c r="P463" s="18" t="inlineStr">
        <is>
          <t>ปี 2561</t>
        </is>
      </c>
    </row>
    <row r="464">
      <c r="A464" s="15" t="inlineStr">
        <is>
          <t>485</t>
        </is>
      </c>
      <c r="B464" s="18" t="inlineStr">
        <is>
          <t>จากข้อ 70 ผู(ปcวยควรได(รับยาใดรักษาเป5นอันดับแรก</t>
        </is>
      </c>
      <c r="C464" s="18" t="inlineStr"/>
      <c r="D464" s="18" t="inlineStr">
        <is>
          <t>Cetirizine tablet</t>
        </is>
      </c>
      <c r="E464" s="18" t="inlineStr">
        <is>
          <t>Montelukast tablet</t>
        </is>
      </c>
      <c r="F464" s="18" t="inlineStr">
        <is>
          <t>Pseudoephedrine tablet</t>
        </is>
      </c>
      <c r="G464" s="18" t="inlineStr">
        <is>
          <t>Oxymetazoline nasal spray</t>
        </is>
      </c>
      <c r="H464" s="18" t="inlineStr">
        <is>
          <t>Triamcinolone acetonide nasal spray m o steroid 0 TH</t>
        </is>
      </c>
      <c r="I464" s="15" t="inlineStr">
        <is>
          <t>1</t>
        </is>
      </c>
      <c r="J464" s="18"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(Montelukast tablet):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(Oxymetazoline nasal spray): เป็น topical alpha-1 agonist ยาพ่นจมูกลดบวม ห้ามใช้ติดต่อกันเกิน 3-5 วัน เนื่องจากเสี่ยงต่อการเกิด rebound congestion (Rhinitis medicamentosa)
• ข้อ จ. (Triamcinolone acetonide nasal spray m o steroid 0 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4" s="18" t="inlineStr"/>
      <c r="L464" s="18" t="inlineStr">
        <is>
          <t>General Therapeutics</t>
        </is>
      </c>
      <c r="M464" s="18" t="inlineStr">
        <is>
          <t>Clinic</t>
        </is>
      </c>
      <c r="N464" s="18" t="inlineStr">
        <is>
          <t>ข้อ 71 (PLE_CC1_2561_Key.md)</t>
        </is>
      </c>
      <c r="O464" s="18" t="inlineStr">
        <is>
          <t>ข้อสอบจริง</t>
        </is>
      </c>
      <c r="P464" s="18" t="inlineStr">
        <is>
          <t>ปี 2561</t>
        </is>
      </c>
    </row>
    <row r="465">
      <c r="A465" s="15" t="inlineStr">
        <is>
          <t>486</t>
        </is>
      </c>
      <c r="B465" s="18" t="inlineStr">
        <is>
          <t>ผู(ปcวยใช(ยาเพื่อบรรเทาอาการพบว.าเกิดเลือดกำเดาไหล อาการ ดังกล.าวน.าจะมีสาเหตุมาจากยาใด steroid</t>
        </is>
      </c>
      <c r="C465" s="18" t="inlineStr"/>
      <c r="D465" s="18" t="inlineStr">
        <is>
          <t>Cetirizine tablet</t>
        </is>
      </c>
      <c r="E465" s="18" t="inlineStr">
        <is>
          <t>Naphazoline nasal drop</t>
        </is>
      </c>
      <c r="F465" s="18" t="inlineStr">
        <is>
          <t>Xylomethazoline nasal drop</t>
        </is>
      </c>
      <c r="G465" s="18" t="inlineStr">
        <is>
          <t>Pseudoephedrine nasal drop</t>
        </is>
      </c>
      <c r="H465" s="18" t="inlineStr">
        <is>
          <t>Triamcinolone acetonide nasal spray</t>
        </is>
      </c>
      <c r="I465" s="15" t="inlineStr">
        <is>
          <t>1</t>
        </is>
      </c>
      <c r="J465" s="18"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(Naphazoline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ค. (Xylomethazoline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ง. (Pseudoephedrine nasal drop): เป็น oral decongestant กระตุ้น alpha และ beta receptors ระวังในผู้ป่วย hypertension, ischemic heart disease, glaucoma, BPH และเป็นวัตถุออกฤทธิ์ประเภท 2 (ห้ามขายในร้านยา)
• ข้อ จ. (Triamcinolone acetonide nasal spray):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5" s="18" t="inlineStr"/>
      <c r="L465" s="18" t="inlineStr">
        <is>
          <t>General Therapeutics</t>
        </is>
      </c>
      <c r="M465" s="18" t="inlineStr">
        <is>
          <t>Clinic</t>
        </is>
      </c>
      <c r="N465" s="18" t="inlineStr">
        <is>
          <t>ข้อ 73 (PLE_CC1_2561_Key.md)</t>
        </is>
      </c>
      <c r="O465" s="18" t="inlineStr">
        <is>
          <t>ข้อสอบจริง</t>
        </is>
      </c>
      <c r="P465" s="18" t="inlineStr">
        <is>
          <t>ปี 2561</t>
        </is>
      </c>
    </row>
    <row r="466">
      <c r="A466" s="15" t="inlineStr">
        <is>
          <t>487</t>
        </is>
      </c>
      <c r="B466" s="18" t="inlineStr">
        <is>
          <t>หากต(องการหา steroid equivalence potency จะสามารถ สืบค(นได(จากหนังสือเล.มใด</t>
        </is>
      </c>
      <c r="C466" s="18" t="inlineStr"/>
      <c r="D466" s="18" t="inlineStr">
        <is>
          <t>USP</t>
        </is>
      </c>
      <c r="E466" s="18" t="inlineStr">
        <is>
          <t>Martindale</t>
        </is>
      </c>
      <c r="F466" s="18" t="inlineStr">
        <is>
          <t>MIMs Thailand</t>
        </is>
      </c>
      <c r="G466" s="18" t="inlineStr">
        <is>
          <t>British national formulary</t>
        </is>
      </c>
      <c r="H466" s="18" t="inlineStr">
        <is>
          <t>Drug information handbook</t>
        </is>
      </c>
      <c r="I466" s="15" t="inlineStr">
        <is>
          <t>1</t>
        </is>
      </c>
      <c r="J466" s="18" t="inlineStr">
        <is>
          <t>✅ คำตอบที่ถูกต้อง: ข้อ ก. USP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USP การเลือก USP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(Martindale): ข้อนี้ไม่ใช่คำตอบที่ถูกต้องสำหรับภาวะ General Therapeutics เนื่องจากกลไกการออกฤทธิ์, efficacy หรือข้อบ่งใช้ไม่ตรงกับโจทย์ที่กำหนด
• ข้อ ค. (MIMs Thailand): ข้อนี้ไม่ใช่คำตอบที่ถูกต้องสำหรับภาวะ General Therapeutics เนื่องจากกลไกการออกฤทธิ์, efficacy หรือข้อบ่งใช้ไม่ตรงกับโจทย์ที่กำหนด
• ข้อ ง. (British national formulary):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6" s="18" t="inlineStr"/>
      <c r="L466" s="18" t="inlineStr">
        <is>
          <t>General Therapeutics</t>
        </is>
      </c>
      <c r="M466" s="18" t="inlineStr">
        <is>
          <t>Clinic</t>
        </is>
      </c>
      <c r="N466" s="18" t="inlineStr">
        <is>
          <t>ข้อ 74 (PLE_CC1_2561_Key.md)</t>
        </is>
      </c>
      <c r="O466" s="18" t="inlineStr">
        <is>
          <t>ข้อสอบจริง</t>
        </is>
      </c>
      <c r="P466" s="18" t="inlineStr">
        <is>
          <t>ปี 2561</t>
        </is>
      </c>
    </row>
    <row r="467">
      <c r="A467" s="15" t="inlineStr">
        <is>
          <t>488</t>
        </is>
      </c>
      <c r="B467" s="18" t="inlineStr">
        <is>
          <t>ยาใดไม.เหมาะสมในการใช(รักษาผู(ปcวยรายนี้</t>
        </is>
      </c>
      <c r="C467" s="18" t="inlineStr"/>
      <c r="D467" s="18" t="inlineStr">
        <is>
          <t>Cefixime</t>
        </is>
      </c>
      <c r="E467" s="18" t="inlineStr">
        <is>
          <t>Clindamycin</t>
        </is>
      </c>
      <c r="F467" s="18" t="inlineStr">
        <is>
          <t>Nitrofurantoin</t>
        </is>
      </c>
      <c r="G467" s="18" t="inlineStr">
        <is>
          <t>Cotrimoxazole</t>
        </is>
      </c>
      <c r="H467" s="18" t="inlineStr">
        <is>
          <t>Amoxicillin + clavulanic acid option</t>
        </is>
      </c>
      <c r="I467" s="15" t="inlineStr">
        <is>
          <t>1</t>
        </is>
      </c>
      <c r="J467" s="18" t="inlineStr">
        <is>
          <t>✅ คำตอบที่ถูกต้อง: ข้อ ก. Cefixime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การเลือก Cefixime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(Nitrofurantoin): เป็น urinary tract antiseptic สำหรับ uncomplicated cystitis ปลอดภัยในหญิงตั้งครรภ์ (ยกเว้นใกล้คลอด) แต่ contraindication เมื่อ CrCl &lt; 30 mL/min
• ข้อ ง. (Cotrimoxazole): เป็นยาผสม Trimethoprim/Sulfamethoxazole (TMP/SMX) เป็น drug of choice สำหรับ PCP/PJP prophylaxis &amp; treatment, Stenotrophomonas และ Nocardia ระวัง hyperkalemia และ SCARs
• ข้อ จ. (Amoxicillin + clavulanic acid option):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7" s="18" t="inlineStr"/>
      <c r="L467" s="18" t="inlineStr">
        <is>
          <t>General Therapeutics</t>
        </is>
      </c>
      <c r="M467" s="18" t="inlineStr">
        <is>
          <t>Clinic</t>
        </is>
      </c>
      <c r="N467" s="18" t="inlineStr">
        <is>
          <t>ข้อ 76 (PLE_CC1_2561_Key.md)</t>
        </is>
      </c>
      <c r="O467" s="18" t="inlineStr">
        <is>
          <t>ข้อสอบจริง</t>
        </is>
      </c>
      <c r="P467" s="18" t="inlineStr">
        <is>
          <t>ปี 2561</t>
        </is>
      </c>
    </row>
    <row r="468">
      <c r="A468" s="15" t="inlineStr">
        <is>
          <t>489</t>
        </is>
      </c>
      <c r="B468" s="18" t="inlineStr">
        <is>
          <t>Norfloxacin มี US-FDA black box warning ใด</t>
        </is>
      </c>
      <c r="C468" s="18" t="inlineStr"/>
      <c r="D468" s="18" t="inlineStr">
        <is>
          <t>Bowel ileus</t>
        </is>
      </c>
      <c r="E468" s="18" t="inlineStr">
        <is>
          <t>Tendon rupture</t>
        </is>
      </c>
      <c r="F468" s="18" t="inlineStr">
        <is>
          <t>Cardiomyopathy</t>
        </is>
      </c>
      <c r="G468" s="18" t="inlineStr">
        <is>
          <t>Pulmonary fibrosis</t>
        </is>
      </c>
      <c r="H468" s="18" t="inlineStr">
        <is>
          <t>Thromboembolism</t>
        </is>
      </c>
      <c r="I468" s="15" t="inlineStr">
        <is>
          <t>1</t>
        </is>
      </c>
      <c r="J468" s="18" t="inlineStr">
        <is>
          <t>✅ คำตอบที่ถูกต้อง: ข้อ ก. Bowel ileus
💡 Background:
กฎหมายยาและจรรยาบรรณวิชาชีพมีขึ้นเพื่อคุ้มครองความปลอดภัยของผู้บริโภคตามมาตรฐาน Good Pharmacy Practice (GPP)
🎯 ทำไมข้อนี้ถึงถูก:
Bowel ileus 💡 คำอธิบายและข้อกำหนดทางกฎหมาย:
💡 คำอธิบายและข้อกำหนดทางกฎหมาย:
การเลือก Bowel ileus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(Tendon rupture): ข้อนี้ไม่ใช่คำตอบที่ถูกต้องสำหรับภาวะ Pharmacy Laws &amp; Ethics เนื่องจากกลไกการออกฤทธิ์, efficacy หรือข้อบ่งใช้ไม่ตรงกับโจทย์ที่กำหนด
• ข้อ ค. (Cardiomyopathy): ข้อนี้ไม่ใช่คำตอบที่ถูกต้องสำหรับภาวะ Pharmacy Laws &amp; Ethics เนื่องจากกลไกการออกฤทธิ์, efficacy หรือข้อบ่งใช้ไม่ตรงกับโจทย์ที่กำหนด
• ข้อ ง. (Pulmonary fibrosis): ข้อนี้ไม่ใช่คำตอบที่ถูกต้องสำหรับภาวะ Pharmacy Laws &amp; Ethics เนื่องจากกลไกการออกฤทธิ์, efficacy หรือข้อบ่งใช้ไม่ตรงกับโจทย์ที่กำหนด
• ข้อ จ. (Thromboembolism):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8" s="18" t="inlineStr"/>
      <c r="L468" s="18" t="inlineStr">
        <is>
          <t>Pharmacy Laws &amp; Ethics</t>
        </is>
      </c>
      <c r="M468" s="18" t="inlineStr">
        <is>
          <t>SAP</t>
        </is>
      </c>
      <c r="N468" s="18" t="inlineStr">
        <is>
          <t>ข้อ 79 (PLE_CC1_2561_Key.md)</t>
        </is>
      </c>
      <c r="O468" s="18" t="inlineStr">
        <is>
          <t>ข้อสอบจริง</t>
        </is>
      </c>
      <c r="P468" s="18" t="inlineStr">
        <is>
          <t>ปี 2561</t>
        </is>
      </c>
    </row>
    <row r="469">
      <c r="A469" s="15" t="inlineStr">
        <is>
          <t>490</t>
        </is>
      </c>
      <c r="B469" s="18" t="inlineStr">
        <is>
          <t>ถ(าแพทยต(องการจ.าย norfloxacin 400 mg แต.โรงพยาบาลขาด ยา ต(องการสั่งจากบริษัทอื่น หากต(องหาข้อมูลยายี่ห(ออื่น และวิธี ติดต.อบริษัทยาจากแหล.งข้อมูลใด</t>
        </is>
      </c>
      <c r="C469" s="18" t="inlineStr"/>
      <c r="D469" s="18" t="inlineStr">
        <is>
          <t>MIMS</t>
        </is>
      </c>
      <c r="E469" s="18" t="inlineStr">
        <is>
          <t>Medscape</t>
        </is>
      </c>
      <c r="F469" s="18" t="inlineStr">
        <is>
          <t>Martindale</t>
        </is>
      </c>
      <c r="G469" s="18" t="inlineStr">
        <is>
          <t>Micromedex</t>
        </is>
      </c>
      <c r="H469" s="18" t="inlineStr">
        <is>
          <t>Drug Information handbook</t>
        </is>
      </c>
      <c r="I469" s="15" t="inlineStr">
        <is>
          <t>1</t>
        </is>
      </c>
      <c r="J469" s="18" t="inlineStr">
        <is>
          <t>✅ คำตอบที่ถูกต้อง: ข้อ ก. MIMS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MIMS การเลือก MIMS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(Medscape): ข้อนี้ไม่ใช่คำตอบที่ถูกต้องสำหรับภาวะ General Therapeutics เนื่องจากกลไกการออกฤทธิ์, efficacy หรือข้อบ่งใช้ไม่ตรงกับโจทย์ที่กำหนด
• ข้อ ค. (Martindale): ข้อนี้ไม่ใช่คำตอบที่ถูกต้องสำหรับภาวะ General Therapeutics เนื่องจากกลไกการออกฤทธิ์, efficacy หรือข้อบ่งใช้ไม่ตรงกับโจทย์ที่กำหนด
• ข้อ ง. (Micromedex):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9" s="18" t="inlineStr"/>
      <c r="L469" s="18" t="inlineStr">
        <is>
          <t>General Therapeutics</t>
        </is>
      </c>
      <c r="M469" s="18" t="inlineStr">
        <is>
          <t>Clinic</t>
        </is>
      </c>
      <c r="N469" s="18" t="inlineStr">
        <is>
          <t>ข้อ 80 (PLE_CC1_2561_Key.md)</t>
        </is>
      </c>
      <c r="O469" s="18" t="inlineStr">
        <is>
          <t>ข้อสอบจริง</t>
        </is>
      </c>
      <c r="P469" s="18" t="inlineStr">
        <is>
          <t>ปี 2561</t>
        </is>
      </c>
    </row>
    <row r="470">
      <c r="A470" s="15" t="inlineStr">
        <is>
          <t>491</t>
        </is>
      </c>
      <c r="B470" s="18" t="inlineStr">
        <is>
          <t>จากตำรับเป5นยาในรูปแบบใด</t>
        </is>
      </c>
      <c r="C470" s="18" t="inlineStr"/>
      <c r="D470" s="18" t="inlineStr">
        <is>
          <t>Cream</t>
        </is>
      </c>
      <c r="E470" s="18" t="inlineStr">
        <is>
          <t>Ointment</t>
        </is>
      </c>
      <c r="F470" s="18" t="inlineStr">
        <is>
          <t>Enteric capsule</t>
        </is>
      </c>
      <c r="G470" s="18" t="inlineStr">
        <is>
          <t>Hard gelatin capsule</t>
        </is>
      </c>
      <c r="H470" s="18" t="inlineStr">
        <is>
          <t>Soft gelatin capsule</t>
        </is>
      </c>
      <c r="I470" s="15" t="inlineStr">
        <is>
          <t>1</t>
        </is>
      </c>
      <c r="J470" s="18" t="inlineStr">
        <is>
          <t>✅ คำตอบที่ถูกต้อง: ข้อ ก. Cream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Cream การเลือก Cream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(Ointment): ข้อนี้ไม่ใช่คำตอบที่ถูกต้องสำหรับภาวะ General Therapeutics เนื่องจากกลไกการออกฤทธิ์, efficacy หรือข้อบ่งใช้ไม่ตรงกับโจทย์ที่กำหนด
• ข้อ ค. (Enteric capsule): ข้อนี้ไม่ใช่คำตอบที่ถูกต้องสำหรับภาวะ General Therapeutics เนื่องจากกลไกการออกฤทธิ์, efficacy หรือข้อบ่งใช้ไม่ตรงกับโจทย์ที่กำหนด
• ข้อ ง. (Hard gelatin capsule): ข้อนี้ไม่ใช่คำตอบที่ถูกต้องสำหรับภาวะ General Therapeutics เนื่องจากกลไกการออกฤทธิ์, efficacy หรือข้อบ่งใช้ไม่ตรงกับโจทย์ที่กำหนด
• ข้อ จ. (Soft gelatin capsule):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0" s="18" t="inlineStr"/>
      <c r="L470" s="18" t="inlineStr">
        <is>
          <t>General Therapeutics</t>
        </is>
      </c>
      <c r="M470" s="18" t="inlineStr">
        <is>
          <t>Clinic</t>
        </is>
      </c>
      <c r="N470" s="18" t="inlineStr">
        <is>
          <t>ข้อ 83 (PLE_CC1_2561_Key.md)</t>
        </is>
      </c>
      <c r="O470" s="18" t="inlineStr">
        <is>
          <t>ข้อสอบจริง</t>
        </is>
      </c>
      <c r="P470" s="18" t="inlineStr">
        <is>
          <t>ปี 2561</t>
        </is>
      </c>
    </row>
    <row r="471">
      <c r="A471" s="15" t="inlineStr">
        <is>
          <t>492</t>
        </is>
      </c>
      <c r="B471" s="18" t="inlineStr">
        <is>
          <t>จากข้อ 83 soy bean oil มีหน(าที่อะไรในตำรับ</t>
        </is>
      </c>
      <c r="C471" s="18" t="inlineStr"/>
      <c r="D471" s="18" t="inlineStr">
        <is>
          <t>Filler</t>
        </is>
      </c>
      <c r="E471" s="18" t="inlineStr">
        <is>
          <t>Plasticizer</t>
        </is>
      </c>
      <c r="F471" s="18" t="inlineStr">
        <is>
          <t>Stabilizer</t>
        </is>
      </c>
      <c r="G471" s="18" t="inlineStr">
        <is>
          <t>Stiffening</t>
        </is>
      </c>
      <c r="H471" s="18" t="inlineStr">
        <is>
          <t>Film former</t>
        </is>
      </c>
      <c r="I471" s="15" t="inlineStr">
        <is>
          <t>1</t>
        </is>
      </c>
      <c r="J471" s="18" t="inlineStr">
        <is>
          <t>✅ คำตอบที่ถูกต้อง: ข้อ ก. Filler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Filler การเลือก Filler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(Plasticizer): ข้อนี้ไม่ใช่คำตอบที่ถูกต้องสำหรับภาวะ General Therapeutics เนื่องจากกลไกการออกฤทธิ์, efficacy หรือข้อบ่งใช้ไม่ตรงกับโจทย์ที่กำหนด
• ข้อ ค. (Stabilizer): ข้อนี้ไม่ใช่คำตอบที่ถูกต้องสำหรับภาวะ General Therapeutics เนื่องจากกลไกการออกฤทธิ์, efficacy หรือข้อบ่งใช้ไม่ตรงกับโจทย์ที่กำหนด
• ข้อ ง. (Stiffening): ข้อนี้ไม่ใช่คำตอบที่ถูกต้องสำหรับภาวะ General Therapeutics เนื่องจากกลไกการออกฤทธิ์, efficacy หรือข้อบ่งใช้ไม่ตรงกับโจทย์ที่กำหนด
• ข้อ จ. (Film former):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1" s="18" t="inlineStr"/>
      <c r="L471" s="18" t="inlineStr">
        <is>
          <t>General Therapeutics</t>
        </is>
      </c>
      <c r="M471" s="18" t="inlineStr">
        <is>
          <t>Clinic</t>
        </is>
      </c>
      <c r="N471" s="18" t="inlineStr">
        <is>
          <t>ข้อ 84 (PLE_CC1_2561_Key.md)</t>
        </is>
      </c>
      <c r="O471" s="18" t="inlineStr">
        <is>
          <t>ข้อสอบจริง</t>
        </is>
      </c>
      <c r="P471" s="18" t="inlineStr">
        <is>
          <t>ปี 2561</t>
        </is>
      </c>
    </row>
    <row r="472">
      <c r="A472" s="15" t="inlineStr">
        <is>
          <t>493</t>
        </is>
      </c>
      <c r="B472" s="18" t="inlineStr">
        <is>
          <t>ข้อใดต.อไปนี้ถูก</t>
        </is>
      </c>
      <c r="C472" s="18" t="inlineStr"/>
      <c r="D472" s="18" t="inlineStr">
        <is>
          <t>Forest plot สามารถดู publication bias ได(</t>
        </is>
      </c>
      <c r="E472" s="18" t="inlineStr">
        <is>
          <t>งานวิจัยแบบ cohort เป5นการศึกษาจากผลมาหาสาเหตุ</t>
        </is>
      </c>
      <c r="F472" s="18" t="inlineStr">
        <is>
          <t>ในการศึกษา meta-analysis ใช(ค.า I2 ดู heterogeneity ซึ่ง a มีค.า [-1,1]</t>
        </is>
      </c>
      <c r="G472" s="18" t="inlineStr">
        <is>
          <t>ไม.สามารถคำนวณ relative risk จากการศึกษาแบบ case- or control study</t>
        </is>
      </c>
      <c r="H472" s="18" t="inlineStr">
        <is>
          <t>Prospective cohort จะเกิด recall bias ได(มากกว.า case- control study e</t>
        </is>
      </c>
      <c r="I472" s="15" t="inlineStr">
        <is>
          <t>1</t>
        </is>
      </c>
      <c r="J472" s="18" t="inlineStr">
        <is>
          <t>✅ คำตอบที่ถูกต้อง: ข้อ ก. Forest plot สามารถดู publication bias 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Forest plot สามารถดู publication bias ได( การเลือก Forest plot สามารถดู publication bias 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(งานวิจัยแบบ cohort เป5นการศึกษาจากผลมาหาสาเหตุ): ข้อนี้ไม่ใช่คำตอบที่ถูกต้องสำหรับภาวะ General Therapeutics เนื่องจากกลไกการออกฤทธิ์, efficacy หรือข้อบ่งใช้ไม่ตรงกับโจทย์ที่กำหนด
• ข้อ ค. (ในการศึกษา meta-analysis ใช(ค.า I2 ดู heterogeneity ซึ่ง a มีค.า [-1,1]): ข้อนี้ไม่ใช่คำตอบที่ถูกต้องสำหรับภาวะ General Therapeutics เนื่องจากกลไกการออกฤทธิ์, efficacy หรือข้อบ่งใช้ไม่ตรงกับโจทย์ที่กำหนด
• ข้อ ง. (ไม.สามารถคำนวณ relative risk จากการศึกษาแบบ case- or control study): ข้อนี้ไม่ใช่คำตอบที่ถูกต้องสำหรับภาวะ General Therapeutics เนื่องจากกลไกการออกฤทธิ์, efficacy หรือข้อบ่งใช้ไม่ตรงกับโจทย์ที่กำหนด
• ข้อ จ. (Prospective cohort จะเกิด recall bias ได(มากกว.า case- control study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2" s="18" t="inlineStr"/>
      <c r="L472" s="18" t="inlineStr">
        <is>
          <t>General Therapeutics</t>
        </is>
      </c>
      <c r="M472" s="18" t="inlineStr">
        <is>
          <t>Clinic</t>
        </is>
      </c>
      <c r="N472" s="18" t="inlineStr">
        <is>
          <t>ข้อ 85 (PLE_CC1_2561_Key.md)</t>
        </is>
      </c>
      <c r="O472" s="18" t="inlineStr">
        <is>
          <t>ข้อสอบจริง</t>
        </is>
      </c>
      <c r="P472" s="18" t="inlineStr">
        <is>
          <t>ปี 2561</t>
        </is>
      </c>
    </row>
    <row r="473">
      <c r="A473" s="15" t="inlineStr">
        <is>
          <t>494</t>
        </is>
      </c>
      <c r="B473" s="18" t="inlineStr">
        <is>
          <t>หากต(องการสืบค(นข้อมูลเกี่ยวกับยาที่เป5นปVจจุบันควรค(นจาก ฐานข้อมูลใดดีที่สุด A un</t>
        </is>
      </c>
      <c r="C473" s="18" t="inlineStr"/>
      <c r="D473" s="18" t="inlineStr">
        <is>
          <t>Sterility test</t>
        </is>
      </c>
      <c r="E473" s="18" t="inlineStr">
        <is>
          <t>Delivery volume</t>
        </is>
      </c>
      <c r="F473" s="18" t="inlineStr">
        <is>
          <t>Weight variation</t>
        </is>
      </c>
      <c r="G473" s="18" t="inlineStr">
        <is>
          <t>Freeze thaw cycle</t>
        </is>
      </c>
      <c r="H473" s="18" t="inlineStr">
        <is>
          <t>Content uniformity e e</t>
        </is>
      </c>
      <c r="I473" s="15" t="inlineStr">
        <is>
          <t>1</t>
        </is>
      </c>
      <c r="J473" s="18" t="inlineStr">
        <is>
          <t>✅ คำตอบที่ถูกต้อง: ข้อ ก. Sterility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Sterility test การเลือก Sterility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(Delivery volume): ข้อนี้ไม่ใช่คำตอบที่ถูกต้องสำหรับภาวะ General Therapeutics เนื่องจากกลไกการออกฤทธิ์, efficacy หรือข้อบ่งใช้ไม่ตรงกับโจทย์ที่กำหนด
• ข้อ ค. (Weight variation): ข้อนี้ไม่ใช่คำตอบที่ถูกต้องสำหรับภาวะ General Therapeutics เนื่องจากกลไกการออกฤทธิ์, efficacy หรือข้อบ่งใช้ไม่ตรงกับโจทย์ที่กำหนด
• ข้อ ง. (Freeze thaw cycle): ข้อนี้ไม่ใช่คำตอบที่ถูกต้องสำหรับภาวะ General Therapeutics เนื่องจากกลไกการออกฤทธิ์, efficacy หรือข้อบ่งใช้ไม่ตรงกับโจทย์ที่กำหนด
• ข้อ จ. (Content uniformity 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3" s="18" t="inlineStr"/>
      <c r="L473" s="18" t="inlineStr">
        <is>
          <t>General Therapeutics</t>
        </is>
      </c>
      <c r="M473" s="18" t="inlineStr">
        <is>
          <t>Clinic</t>
        </is>
      </c>
      <c r="N473" s="18" t="inlineStr">
        <is>
          <t>ข้อ 92 (PLE_CC1_2561_Key.md)</t>
        </is>
      </c>
      <c r="O473" s="18" t="inlineStr">
        <is>
          <t>ข้อสอบจริง</t>
        </is>
      </c>
      <c r="P473" s="18" t="inlineStr">
        <is>
          <t>ปี 2561</t>
        </is>
      </c>
    </row>
    <row r="474">
      <c r="A474" s="15" t="inlineStr">
        <is>
          <t>495</t>
        </is>
      </c>
      <c r="B474" s="18" t="inlineStr">
        <is>
          <t>ยาใดเป5นสาเหตุทำให(เกิดอาการไอมากที่สุด</t>
        </is>
      </c>
      <c r="C474" s="18" t="inlineStr"/>
      <c r="D474" s="18" t="inlineStr">
        <is>
          <t>Aspirin</t>
        </is>
      </c>
      <c r="E474" s="18" t="inlineStr">
        <is>
          <t>Enalapril</t>
        </is>
      </c>
      <c r="F474" s="18" t="inlineStr">
        <is>
          <t>Glipizide</t>
        </is>
      </c>
      <c r="G474" s="18" t="inlineStr">
        <is>
          <t>Metformin</t>
        </is>
      </c>
      <c r="H474" s="18" t="inlineStr">
        <is>
          <t>Atorvastatin</t>
        </is>
      </c>
      <c r="I474" s="15" t="inlineStr">
        <is>
          <t>1</t>
        </is>
      </c>
      <c r="J474" s="18"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(Atorvastatin): เป็น High-intensity statin (40-80 mg) ยับยั้ง HMG-CoA reductase มี clinical efficacy สูงสุดในการลด LDL-C ≥ 50% และ plaque stabilization ใน ACS/CAD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4" s="18" t="inlineStr"/>
      <c r="L474" s="18" t="inlineStr">
        <is>
          <t>General Therapeutics</t>
        </is>
      </c>
      <c r="M474" s="18" t="inlineStr">
        <is>
          <t>Clinic</t>
        </is>
      </c>
      <c r="N474" s="18" t="inlineStr">
        <is>
          <t>ข้อ 93 (PLE_CC1_2561_Key.md)</t>
        </is>
      </c>
      <c r="O474" s="18" t="inlineStr">
        <is>
          <t>ข้อสอบจริง</t>
        </is>
      </c>
      <c r="P474" s="18" t="inlineStr">
        <is>
          <t>ปี 2561</t>
        </is>
      </c>
    </row>
    <row r="475">
      <c r="A475" s="15" t="inlineStr">
        <is>
          <t>496</t>
        </is>
      </c>
      <c r="B475" s="18" t="inlineStr">
        <is>
          <t>กลไกใดที่ทำให(เกิดอาการไอ</t>
        </is>
      </c>
      <c r="C475" s="18" t="inlineStr"/>
      <c r="D475" s="18" t="inlineStr">
        <is>
          <t>ยับยั้ง COX-1</t>
        </is>
      </c>
      <c r="E475" s="18" t="inlineStr">
        <is>
          <t>ยับยั้ง COX-2</t>
        </is>
      </c>
      <c r="F475" s="18" t="inlineStr">
        <is>
          <t>ยับยั้ง CYP3A4</t>
        </is>
      </c>
      <c r="G475" s="18" t="inlineStr">
        <is>
          <t>มีการสะสมของ bradykinin</t>
        </is>
      </c>
      <c r="H475" s="18" t="inlineStr">
        <is>
          <t>มีการลดลงของ bradykinin 45mgday</t>
        </is>
      </c>
      <c r="I475" s="15" t="inlineStr">
        <is>
          <t>1</t>
        </is>
      </c>
      <c r="J475" s="18"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(มีการสะสมของ bradykinin): ข้อนี้ไม่ใช่คำตอบที่ถูกต้องสำหรับภาวะ General Therapeutics เนื่องจากกลไกการออกฤทธิ์, efficacy หรือข้อบ่งใช้ไม่ตรงกับโจทย์ที่กำหนด
• ข้อ จ. (มีการลดลงของ bradykinin 45mgday):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5" s="18" t="inlineStr"/>
      <c r="L475" s="18" t="inlineStr">
        <is>
          <t>General Therapeutics</t>
        </is>
      </c>
      <c r="M475" s="18" t="inlineStr">
        <is>
          <t>Clinic</t>
        </is>
      </c>
      <c r="N475" s="18" t="inlineStr">
        <is>
          <t>ข้อ 94 (PLE_CC1_2561_Key.md)</t>
        </is>
      </c>
      <c r="O475" s="18" t="inlineStr">
        <is>
          <t>ข้อสอบจริง</t>
        </is>
      </c>
      <c r="P475" s="18" t="inlineStr">
        <is>
          <t>ปี 2561</t>
        </is>
      </c>
    </row>
    <row r="476">
      <c r="A476" s="15" t="inlineStr">
        <is>
          <t>497</t>
        </is>
      </c>
      <c r="B476" s="18" t="inlineStr">
        <is>
          <t>การ plot กราฟ IR จะต(องมีองคประกอบอะไรบ(าง</t>
        </is>
      </c>
      <c r="C476" s="18" t="inlineStr"/>
      <c r="D476" s="18" t="inlineStr">
        <is>
          <t>Absorbance กับ time</t>
        </is>
      </c>
      <c r="E476" s="18" t="inlineStr">
        <is>
          <t>Absorbance กับ wavelengths</t>
        </is>
      </c>
      <c r="F476" s="18" t="inlineStr">
        <is>
          <t>Absorbance กับ wavenumber</t>
        </is>
      </c>
      <c r="G476" s="18" t="inlineStr">
        <is>
          <t>Transmittance กับ time</t>
        </is>
      </c>
      <c r="H476" s="18" t="inlineStr">
        <is>
          <t>Transmittance กับ wavenumber</t>
        </is>
      </c>
      <c r="I476" s="15" t="inlineStr">
        <is>
          <t>1</t>
        </is>
      </c>
      <c r="J476" s="18" t="inlineStr">
        <is>
          <t>✅ คำตอบที่ถูกต้อง: ข้อ ก. Absorbance กับ time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Absorbance กับ time การเลือก Absorbance กับ time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(Absorbance กับ wavelengths): ข้อนี้ไม่ใช่คำตอบที่ถูกต้องสำหรับภาวะ General Therapeutics เนื่องจากกลไกการออกฤทธิ์, efficacy หรือข้อบ่งใช้ไม่ตรงกับโจทย์ที่กำหนด
• ข้อ ค. (Absorbance กับ wavenumber): ข้อนี้ไม่ใช่คำตอบที่ถูกต้องสำหรับภาวะ General Therapeutics เนื่องจากกลไกการออกฤทธิ์, efficacy หรือข้อบ่งใช้ไม่ตรงกับโจทย์ที่กำหนด
• ข้อ ง. (Transmittance กับ time): ข้อนี้ไม่ใช่คำตอบที่ถูกต้องสำหรับภาวะ General Therapeutics เนื่องจากกลไกการออกฤทธิ์, efficacy หรือข้อบ่งใช้ไม่ตรงกับโจทย์ที่กำหนด
• ข้อ จ. (Transmittance กับ wavenumber):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6" s="18" t="inlineStr"/>
      <c r="L476" s="18" t="inlineStr">
        <is>
          <t>General Therapeutics</t>
        </is>
      </c>
      <c r="M476" s="18" t="inlineStr">
        <is>
          <t>Clinic</t>
        </is>
      </c>
      <c r="N476" s="18" t="inlineStr">
        <is>
          <t>ข้อ 96 (PLE_CC1_2561_Key.md)</t>
        </is>
      </c>
      <c r="O476" s="18" t="inlineStr">
        <is>
          <t>ข้อสอบจริง</t>
        </is>
      </c>
      <c r="P476" s="18" t="inlineStr">
        <is>
          <t>ปี 2561</t>
        </is>
      </c>
    </row>
    <row r="477">
      <c r="A477" s="15" t="inlineStr">
        <is>
          <t>498</t>
        </is>
      </c>
      <c r="B477" s="18" t="inlineStr">
        <is>
          <t>จากภาพ carvedilol CR มีรูปแบบยาแบบใด</t>
        </is>
      </c>
      <c r="C477" s="18" t="inlineStr"/>
      <c r="D477" s="18" t="inlineStr">
        <is>
          <t>Hard capsules</t>
        </is>
      </c>
      <c r="E477" s="18" t="inlineStr">
        <is>
          <t>Soft capsules</t>
        </is>
      </c>
      <c r="F477" s="18" t="inlineStr">
        <is>
          <t>Multiple unit pellets</t>
        </is>
      </c>
      <c r="G477" s="18" t="inlineStr">
        <is>
          <t>Enteric coated tablets</t>
        </is>
      </c>
      <c r="H477" s="18" t="inlineStr">
        <is>
          <t>Fast disintegrating tablets</t>
        </is>
      </c>
      <c r="I477" s="15" t="inlineStr">
        <is>
          <t>1</t>
        </is>
      </c>
      <c r="J477" s="18" t="inlineStr">
        <is>
          <t>✅ คำตอบที่ถูกต้อง: ข้อ ก. Hard capsules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Hard capsules การเลือก Hard capsules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(Soft capsules): ข้อนี้ไม่ใช่คำตอบที่ถูกต้องสำหรับภาวะ Cardiovascular Diseases เนื่องจากกลไกการออกฤทธิ์, efficacy หรือข้อบ่งใช้ไม่ตรงกับโจทย์ที่กำหนด
• ข้อ ค. (Multiple unit pellets): ข้อนี้ไม่ใช่คำตอบที่ถูกต้องสำหรับภาวะ Cardiovascular Diseases เนื่องจากกลไกการออกฤทธิ์, efficacy หรือข้อบ่งใช้ไม่ตรงกับโจทย์ที่กำหนด
• ข้อ ง. (Enteric coated tablets): ข้อนี้ไม่ใช่คำตอบที่ถูกต้องสำหรับภาวะ Cardiovascular Diseases เนื่องจากกลไกการออกฤทธิ์, efficacy หรือข้อบ่งใช้ไม่ตรงกับโจทย์ที่กำหนด
• ข้อ จ. (Fast disintegrating tablets):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477" s="18" t="inlineStr"/>
      <c r="L477" s="18" t="inlineStr">
        <is>
          <t>Cardiovascular Diseases</t>
        </is>
      </c>
      <c r="M477" s="18" t="inlineStr">
        <is>
          <t>Clinic</t>
        </is>
      </c>
      <c r="N477" s="18" t="inlineStr">
        <is>
          <t>ข้อ 102 (PLE_CC1_2561_Key.md)</t>
        </is>
      </c>
      <c r="O477" s="18" t="inlineStr">
        <is>
          <t>ข้อสอบจริง</t>
        </is>
      </c>
      <c r="P477" s="18" t="inlineStr">
        <is>
          <t>ปี 2561</t>
        </is>
      </c>
    </row>
    <row r="478">
      <c r="A478" s="15" t="inlineStr">
        <is>
          <t>499</t>
        </is>
      </c>
      <c r="B478" s="18" t="inlineStr">
        <is>
          <t>หากเพาะเชื้อโดยใช(อาหาร aerobic bacteria จะไม.สามารถตรวจ พบเชื้อใด</t>
        </is>
      </c>
      <c r="C478" s="18" t="inlineStr"/>
      <c r="D478" s="18" t="inlineStr">
        <is>
          <t>S. aureaus</t>
        </is>
      </c>
      <c r="E478" s="18" t="inlineStr">
        <is>
          <t>H. influenzae</t>
        </is>
      </c>
      <c r="F478" s="18" t="inlineStr">
        <is>
          <t>Escherichia coli</t>
        </is>
      </c>
      <c r="G478" s="18" t="inlineStr">
        <is>
          <t>Klebsiella pneumoniae</t>
        </is>
      </c>
      <c r="H478" s="18" t="inlineStr">
        <is>
          <t>Clostridium botulinum</t>
        </is>
      </c>
      <c r="I478" s="15" t="inlineStr">
        <is>
          <t>1</t>
        </is>
      </c>
      <c r="J478" s="18" t="inlineStr">
        <is>
          <t>✅ คำตอบที่ถูกต้อง: ข้อ ก. S. aureaus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 aureaus การเลือก S. aureaus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 influenzae): วัคซีนไข้หวัดใหญ่ชนิด inactivated ฉีดปีละ 1 ครั้ง ในกลุ่มเสี่ยง 7 กลุ่มโรคเรื้อรัง และเด็กอายุ 6 เดือน - 2 ปี
• ข้อ ค.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ง. (Klebsiella pneumoniae): ข้อนี้ไม่ใช่คำตอบที่ถูกต้องสำหรับภาวะ General Therapeutics เนื่องจากกลไกการออกฤทธิ์, efficacy หรือข้อบ่งใช้ไม่ตรงกับโจทย์ที่กำหนด
• ข้อ จ. (Clostridium botulinum):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8" s="18" t="inlineStr"/>
      <c r="L478" s="18" t="inlineStr">
        <is>
          <t>General Therapeutics</t>
        </is>
      </c>
      <c r="M478" s="18" t="inlineStr">
        <is>
          <t>Clinic</t>
        </is>
      </c>
      <c r="N478" s="18" t="inlineStr">
        <is>
          <t>ข้อ 106 (PLE_CC1_2561_Key.md)</t>
        </is>
      </c>
      <c r="O478" s="18" t="inlineStr">
        <is>
          <t>ข้อสอบจริง</t>
        </is>
      </c>
      <c r="P478" s="18" t="inlineStr">
        <is>
          <t>ปี 2561</t>
        </is>
      </c>
    </row>
    <row r="479">
      <c r="A479" s="15" t="inlineStr">
        <is>
          <t>500</t>
        </is>
      </c>
      <c r="B479" s="18" t="inlineStr">
        <is>
          <t>ผู(รับอนุญาตร(านยา A ถือว.ากระทำความผิดหรือไม.</t>
        </is>
      </c>
      <c r="C479" s="18" t="inlineStr"/>
      <c r="D479" s="18" t="inlineStr">
        <is>
          <t>ผิด เพราะจัดยาเป5นชุด</t>
        </is>
      </c>
      <c r="E479" s="18" t="inlineStr">
        <is>
          <t>ผิด เพราะขายยาอันตราย</t>
        </is>
      </c>
      <c r="F479" s="18" t="inlineStr">
        <is>
          <t>ไม.ผิด เพราะเภสัชกรเป5นผู(จัดยาให(</t>
        </is>
      </c>
      <c r="G479" s="18" t="inlineStr">
        <is>
          <t>ไม.ผิด เพราะมีใบอนุญาตขายยาแผนปVจจุบัน</t>
        </is>
      </c>
      <c r="H479" s="18" t="inlineStr">
        <is>
          <t>ผิด เพราะยาแก(ปวดที่ขายไม.มีสเตียรอยดเจือปน</t>
        </is>
      </c>
      <c r="I479" s="15" t="inlineStr">
        <is>
          <t>1</t>
        </is>
      </c>
      <c r="J479" s="18" t="inlineStr">
        <is>
          <t>✅ คำตอบที่ถูกต้อง: ข้อ ก. ผิด เพราะจัดยาเป5นชุด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ผิด เพราะจัดยาเป5นชุด การเลือก ผิด เพราะจัดยาเป5นชุด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(ผิด เพราะขายยาอันตราย):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(ไม.ผิด เพราะเภสัชกรเป5นผู(จัดยาให(): ข้อนี้ไม่ใช่คำตอบที่ถูกต้องสำหรับภาวะ General Therapeutics เนื่องจากกลไกการออกฤทธิ์, efficacy หรือข้อบ่งใช้ไม่ตรงกับโจทย์ที่กำหนด
• ข้อ ง. (ไม.ผิด เพราะมีใบอนุญาตขายยาแผนปVจจุบัน): ข้อนี้ไม่ใช่คำตอบที่ถูกต้องสำหรับภาวะ General Therapeutics เนื่องจากกลไกการออกฤทธิ์, efficacy หรือข้อบ่งใช้ไม่ตรงกับโจทย์ที่กำหนด
• ข้อ จ. (ผิด เพราะยาแก(ปวดที่ขายไม.มีสเตียรอยดเจือปน):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9" s="18" t="inlineStr"/>
      <c r="L479" s="18" t="inlineStr">
        <is>
          <t>General Therapeutics</t>
        </is>
      </c>
      <c r="M479" s="18" t="inlineStr">
        <is>
          <t>Clinic</t>
        </is>
      </c>
      <c r="N479" s="18" t="inlineStr">
        <is>
          <t>ข้อ 108 (PLE_CC1_2561_Key.md)</t>
        </is>
      </c>
      <c r="O479" s="18" t="inlineStr">
        <is>
          <t>ข้อสอบจริง</t>
        </is>
      </c>
      <c r="P479" s="18" t="inlineStr">
        <is>
          <t>ปี 2561</t>
        </is>
      </c>
    </row>
    <row r="480">
      <c r="A480" s="15" t="inlineStr">
        <is>
          <t>501</t>
        </is>
      </c>
      <c r="B480" s="18" t="inlineStr">
        <is>
          <t>ข้อใดถูกต้องเกี่ยวกับเลขทะเบียนตำรับยา 2C 12/60</t>
        </is>
      </c>
      <c r="C480" s="18" t="inlineStr"/>
      <c r="D480" s="18" t="inlineStr">
        <is>
          <t>C หมายถึง ยาแผนปVจจุบันที่ผลิตภายในประเทศ</t>
        </is>
      </c>
      <c r="E480" s="18" t="inlineStr">
        <is>
          <t>C หมายถึง ยาแผนปVจจุบันที่แบ.งบรรจุภายในประเทศ</t>
        </is>
      </c>
      <c r="F480" s="18" t="inlineStr">
        <is>
          <t>2 หมายถึง ยาผสมสำหรับมนุษยที่แบ.งบรรจุภายในประเทศ</t>
        </is>
      </c>
      <c r="G480" s="18" t="inlineStr">
        <is>
          <t>2 หมายถึง ยาแผนปVจจุบันสำหรับมนุษยที่มีตัวยาสำคัญ e e e</t>
        </is>
      </c>
      <c r="H480" s="18" t="inlineStr">
        <is>
          <t>Calcium disodium EDTA 1 g IV</t>
        </is>
      </c>
      <c r="I480" s="15" t="inlineStr">
        <is>
          <t>1</t>
        </is>
      </c>
      <c r="J480" s="18" t="inlineStr">
        <is>
          <t>✅ คำตอบที่ถูกต้อง: ข้อ ก. C หมายถึง ยาแผนปVจจุบันที่ผลิตภายในประเทศ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 หมายถึง ยาแผนปVจจุบันที่ผลิตภายในประเทศ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การเลือก C หมายถึง ยาแผนป V จจุบันที่ผลิตภายในประเทศ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 หมายถึง ยาแผนปVจจุบันที่แบ.งบรรจุภายในประเทศ):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(2 หมายถึง ยาผสมสำหรับมนุษยที่แบ.งบรรจุภายในประเทศ):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(2 หมายถึง ยาแผนปVจจุบันสำหรับมนุษยที่มีตัวยาสำคัญ e e e):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0" s="18" t="inlineStr"/>
      <c r="L480" s="18" t="inlineStr">
        <is>
          <t>General Therapeutics</t>
        </is>
      </c>
      <c r="M480" s="18" t="inlineStr">
        <is>
          <t>Clinic</t>
        </is>
      </c>
      <c r="N480" s="18" t="inlineStr">
        <is>
          <t>ข้อ 110 (PLE_CC1_2561_Key.md)</t>
        </is>
      </c>
      <c r="O480" s="18" t="inlineStr">
        <is>
          <t>ข้อสอบจริง</t>
        </is>
      </c>
      <c r="P480" s="18" t="inlineStr">
        <is>
          <t>ปี 2561</t>
        </is>
      </c>
    </row>
    <row r="481">
      <c r="A481" s="15" t="inlineStr">
        <is>
          <t>502</t>
        </is>
      </c>
      <c r="B481" s="18" t="inlineStr">
        <is>
          <t>จากข้อ 117 สารในข้อใดเป5นสารช.วยแตกตัวในตำรับ</t>
        </is>
      </c>
      <c r="C481" s="18" t="inlineStr"/>
      <c r="D481" s="18" t="inlineStr">
        <is>
          <t>SLS</t>
        </is>
      </c>
      <c r="E481" s="18" t="inlineStr">
        <is>
          <t>Starch</t>
        </is>
      </c>
      <c r="F481" s="18" t="inlineStr">
        <is>
          <t>Lactose</t>
        </is>
      </c>
      <c r="G481" s="18" t="inlineStr">
        <is>
          <t>Magnesium stearate</t>
        </is>
      </c>
      <c r="H481" s="18" t="inlineStr">
        <is>
          <t>Colloidal silicon dioxide</t>
        </is>
      </c>
      <c r="I481" s="15" t="inlineStr">
        <is>
          <t>1</t>
        </is>
      </c>
      <c r="J481" s="18" t="inlineStr">
        <is>
          <t>✅ คำตอบที่ถูกต้อง: ข้อ ก. SLS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SLS การเลือก SLS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(Starch): ข้อนี้ไม่ใช่คำตอบที่ถูกต้องสำหรับภาวะ General Therapeutics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1" s="18" t="inlineStr"/>
      <c r="L481" s="18" t="inlineStr">
        <is>
          <t>General Therapeutics</t>
        </is>
      </c>
      <c r="M481" s="18" t="inlineStr">
        <is>
          <t>Clinic</t>
        </is>
      </c>
      <c r="N481" s="18" t="inlineStr">
        <is>
          <t>ข้อ 118 (PLE_CC1_2561_Key.md)</t>
        </is>
      </c>
      <c r="O481" s="18" t="inlineStr">
        <is>
          <t>ข้อสอบจริง</t>
        </is>
      </c>
      <c r="P481" s="18" t="inlineStr">
        <is>
          <t>ปี 2561</t>
        </is>
      </c>
    </row>
    <row r="482">
      <c r="A482" s="15" t="inlineStr">
        <is>
          <t>503</t>
        </is>
      </c>
      <c r="B482" s="18" t="inlineStr">
        <is>
          <t>ยาเปลี่ยนสีจากปฏิกิริยา oxidation ควรเติมสารใดในตำรับ</t>
        </is>
      </c>
      <c r="C482" s="18" t="inlineStr"/>
      <c r="D482" s="18" t="inlineStr">
        <is>
          <t>PEG</t>
        </is>
      </c>
      <c r="E482" s="18" t="inlineStr">
        <is>
          <t>Glycerin</t>
        </is>
      </c>
      <c r="F482" s="18" t="inlineStr">
        <is>
          <t>Cyclodextrin</t>
        </is>
      </c>
      <c r="G482" s="18" t="inlineStr">
        <is>
          <t>Sodium metabisulfite</t>
        </is>
      </c>
      <c r="H482" s="18" t="inlineStr">
        <is>
          <t>Benzalkonium chloride</t>
        </is>
      </c>
      <c r="I482" s="15" t="inlineStr">
        <is>
          <t>1</t>
        </is>
      </c>
      <c r="J482" s="18" t="inlineStr">
        <is>
          <t>✅ คำตอบที่ถูกต้อง: ข้อ ก. PEG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 💡 คำอธิบายและเหตุผลทางเภสัชกรรม:
💡 คำอธิบายและเหตุผลทางเภสัชกรรม:
การเลือก PEG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(Glycerin): ข้อนี้ไม่ใช่คำตอบที่ถูกต้องสำหรับภาวะ Preformulation &amp; Stability เนื่องจากกลไกการออกฤทธิ์, efficacy หรือข้อบ่งใช้ไม่ตรงกับโจทย์ที่กำหนด
• ข้อ ค. (Cyclodextrin):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metabisulfite): เป็น Water-soluble antioxidant สำหรับตำรับยาฉีดหรือยาน้ำที่ไวต่อการเกิด oxidation ในสภาวะกรด (acidic pH)
• ข้อ จ. (Benzalkonium chloride): เป็น Cationic quaternary ammonium preservative นิยมใช้ใน ophthalmic and nasal solutions แต่เข้ากันไม่ได้กับ anionic compounds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2" s="18" t="inlineStr"/>
      <c r="L482" s="18" t="inlineStr">
        <is>
          <t>Preformulation &amp; Stability</t>
        </is>
      </c>
      <c r="M482" s="18" t="inlineStr">
        <is>
          <t>Product</t>
        </is>
      </c>
      <c r="N482" s="18" t="inlineStr">
        <is>
          <t>ข้อ 127 (PLE_CC1_2561_Key.md)</t>
        </is>
      </c>
      <c r="O482" s="18" t="inlineStr">
        <is>
          <t>ข้อสอบจริง</t>
        </is>
      </c>
      <c r="P482" s="18" t="inlineStr">
        <is>
          <t>ปี 2561</t>
        </is>
      </c>
    </row>
    <row r="483">
      <c r="A483" s="15" t="inlineStr">
        <is>
          <t>504</t>
        </is>
      </c>
      <c r="B483" s="18" t="inlineStr">
        <is>
          <t>Tinea versicolor</t>
        </is>
      </c>
      <c r="C483" s="18" t="inlineStr"/>
      <c r="D483" s="18" t="inlineStr">
        <is>
          <t>Clotrimazole 1% cream</t>
        </is>
      </c>
      <c r="E483" s="18" t="inlineStr">
        <is>
          <t>Hydrocortisone 1% cream</t>
        </is>
      </c>
      <c r="F483" s="18" t="inlineStr">
        <is>
          <t>Triamcinolone acetonide 0.1% cream</t>
        </is>
      </c>
      <c r="G483" s="18" t="inlineStr">
        <is>
          <t>Clobetasol propionate 0.05% cream</t>
        </is>
      </c>
      <c r="H483" s="18" t="inlineStr">
        <is>
          <t>Ketoconazole 2% shampoo</t>
        </is>
      </c>
      <c r="I483" s="15" t="inlineStr">
        <is>
          <t>1</t>
        </is>
      </c>
      <c r="J483" s="18"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3" s="18" t="inlineStr"/>
      <c r="L483" s="18" t="inlineStr">
        <is>
          <t>Dermatologic Disorders</t>
        </is>
      </c>
      <c r="M483" s="18" t="inlineStr">
        <is>
          <t>Clinic</t>
        </is>
      </c>
      <c r="N483" s="18" t="inlineStr">
        <is>
          <t>ข้อ 2 (PLE_CC1_2560 22 April Set 1.md)</t>
        </is>
      </c>
      <c r="O483" s="18" t="inlineStr">
        <is>
          <t>ข้อสอบจริง</t>
        </is>
      </c>
      <c r="P483" s="18" t="inlineStr">
        <is>
          <t>ปี 2560</t>
        </is>
      </c>
    </row>
    <row r="484">
      <c r="A484" s="15" t="inlineStr">
        <is>
          <t>505</t>
        </is>
      </c>
      <c r="B484" s="18" t="inlineStr">
        <is>
          <t>Gonococcal urethritis</t>
        </is>
      </c>
      <c r="C484" s="18" t="inlineStr"/>
      <c r="D484" s="18" t="inlineStr">
        <is>
          <t>Naloxone 0.4 mg IV stat</t>
        </is>
      </c>
      <c r="E484" s="18" t="inlineStr">
        <is>
          <t>Flumazenil 0.2 mg IV stat</t>
        </is>
      </c>
      <c r="F484" s="18" t="inlineStr">
        <is>
          <t>Vitamin K1 (Phytomenadione) 10 mg IV slow</t>
        </is>
      </c>
      <c r="G484" s="18" t="inlineStr">
        <is>
          <t>Sodium thiosulfate 25% 50 mL IV</t>
        </is>
      </c>
      <c r="H484" s="18" t="inlineStr">
        <is>
          <t>Calcium disodium EDTA 1 g IV</t>
        </is>
      </c>
      <c r="I484" s="15" t="inlineStr">
        <is>
          <t>1</t>
        </is>
      </c>
      <c r="J4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84" s="18" t="inlineStr"/>
      <c r="L484" s="18" t="inlineStr">
        <is>
          <t>General Therapeutics</t>
        </is>
      </c>
      <c r="M484" s="18" t="inlineStr">
        <is>
          <t>Clinic</t>
        </is>
      </c>
      <c r="N484" s="18" t="inlineStr">
        <is>
          <t>ข้อ 3 (PLE_CC1_2560 22 April Set 1.md)</t>
        </is>
      </c>
      <c r="O484" s="18" t="inlineStr">
        <is>
          <t>ข้อสอบจริง</t>
        </is>
      </c>
      <c r="P484" s="18" t="inlineStr">
        <is>
          <t>ปี 2560</t>
        </is>
      </c>
    </row>
    <row r="485">
      <c r="A485" s="15" t="inlineStr">
        <is>
          <t>506</t>
        </is>
      </c>
      <c r="B485" s="18" t="inlineStr">
        <is>
          <t>Symbicort turbuhaler 1 puff bid</t>
        </is>
      </c>
      <c r="C485" s="18" t="inlineStr"/>
      <c r="D485" s="18" t="inlineStr">
        <is>
          <t>N-acetylcysteine 600 mg OD</t>
        </is>
      </c>
      <c r="E485" s="18" t="inlineStr">
        <is>
          <t>Beclomethasone MDI 100 mcg BID</t>
        </is>
      </c>
      <c r="F485" s="18" t="inlineStr">
        <is>
          <t>Salbutamol MDI 2 puffs PRN</t>
        </is>
      </c>
      <c r="G485" s="18" t="inlineStr">
        <is>
          <t>Budesonide/Formoterol 160/4.5 mcg DPI BID</t>
        </is>
      </c>
      <c r="H485" s="18" t="inlineStr">
        <is>
          <t>Fluticasone/Salmeterol 250/50 mcg DPI BID</t>
        </is>
      </c>
      <c r="I485" s="15" t="inlineStr">
        <is>
          <t>1</t>
        </is>
      </c>
      <c r="J485" s="18"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85" s="18" t="inlineStr"/>
      <c r="L485" s="18" t="inlineStr">
        <is>
          <t>Pulmonary Diseases</t>
        </is>
      </c>
      <c r="M485" s="18" t="inlineStr">
        <is>
          <t>Clinic</t>
        </is>
      </c>
      <c r="N485" s="18" t="inlineStr">
        <is>
          <t>ข้อ 1 (PLE_CC1_2560 22 April Set 1.md)</t>
        </is>
      </c>
      <c r="O485" s="18" t="inlineStr">
        <is>
          <t>ข้อสอบจริง</t>
        </is>
      </c>
      <c r="P485" s="18" t="inlineStr">
        <is>
          <t>ปี 2560</t>
        </is>
      </c>
    </row>
    <row r="486">
      <c r="A486" s="15" t="inlineStr">
        <is>
          <t>507</t>
        </is>
      </c>
      <c r="B486" s="18" t="inlineStr">
        <is>
          <t>pseudoepidrine/tripolidine 1x2 pc</t>
        </is>
      </c>
      <c r="C486" s="18" t="inlineStr"/>
      <c r="D486" s="18" t="inlineStr">
        <is>
          <t>Dimercaprol (BAL) 3 mg/kg IM</t>
        </is>
      </c>
      <c r="E486" s="18" t="inlineStr">
        <is>
          <t>Ethanol 10% IV infusion for Methanol poisoning</t>
        </is>
      </c>
      <c r="F486" s="18" t="inlineStr">
        <is>
          <t>Fomepizole 15 mg/kg IV loading</t>
        </is>
      </c>
      <c r="G486" s="18" t="inlineStr">
        <is>
          <t>N-acetylcysteine (NAC) IV infusion protocol</t>
        </is>
      </c>
      <c r="H486" s="18" t="inlineStr">
        <is>
          <t>Atropine sulfate 2 mg IV Q5-10 min</t>
        </is>
      </c>
      <c r="I486" s="15" t="inlineStr">
        <is>
          <t>1</t>
        </is>
      </c>
      <c r="J4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6" s="18" t="inlineStr"/>
      <c r="L486" s="18" t="inlineStr">
        <is>
          <t>General Therapeutics</t>
        </is>
      </c>
      <c r="M486" s="18" t="inlineStr">
        <is>
          <t>Clinic</t>
        </is>
      </c>
      <c r="N486" s="18" t="inlineStr">
        <is>
          <t>ข้อ 4 (PLE_CC1_2560 22 April Set 1.md)</t>
        </is>
      </c>
      <c r="O486" s="18" t="inlineStr">
        <is>
          <t>ข้อสอบจริง</t>
        </is>
      </c>
      <c r="P486" s="18" t="inlineStr">
        <is>
          <t>ปี 2560</t>
        </is>
      </c>
    </row>
    <row r="487">
      <c r="A487" s="15" t="inlineStr">
        <is>
          <t>508</t>
        </is>
      </c>
      <c r="B487" s="18" t="inlineStr">
        <is>
          <t>การศึกษาระบาดวิทยา พบว่า 1 กค 59 มีประชากรทั งหมด 5000 คน มีคนที่เป็นเกลื อน 100 คน ต่อมา ระหว่างวันที่ 2 กค 59 ถึง 1 กค 60 มีคนเป็นเกลื อนใหม่ 20 คน (Assume ว่าเป็นประชากรปิด ไม่ป่วย ไม่ ตาย ไม่เกิด ไม่ย้ายออก) ข้อใดแสดงการค้านวณความชุกที่ถูกต้อง</t>
        </is>
      </c>
      <c r="C487" s="18" t="inlineStr"/>
      <c r="D487" s="18" t="inlineStr">
        <is>
          <t>20/5000</t>
        </is>
      </c>
      <c r="E487" s="18" t="inlineStr">
        <is>
          <t>80/5000</t>
        </is>
      </c>
      <c r="F487" s="18" t="inlineStr">
        <is>
          <t>100/5000</t>
        </is>
      </c>
      <c r="G487" s="18" t="inlineStr">
        <is>
          <t>120/5000</t>
        </is>
      </c>
      <c r="H487" s="18" t="inlineStr">
        <is>
          <t>365/5000</t>
        </is>
      </c>
      <c r="I487" s="15" t="inlineStr">
        <is>
          <t>1</t>
        </is>
      </c>
      <c r="J487" s="18" t="inlineStr">
        <is>
          <t>✅ คำตอบที่ถูกต้อง: ข้อ ก. 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ง. (120/5000):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7" s="18" t="inlineStr"/>
      <c r="L487" s="18" t="inlineStr">
        <is>
          <t>Biostats &amp; Research</t>
        </is>
      </c>
      <c r="M487" s="18" t="inlineStr">
        <is>
          <t>SAP</t>
        </is>
      </c>
      <c r="N487" s="18" t="inlineStr">
        <is>
          <t>ข้อ 6 (PLE_CC1_2560 22 April Set 1.md)</t>
        </is>
      </c>
      <c r="O487" s="18" t="inlineStr">
        <is>
          <t>ข้อสอบจริง</t>
        </is>
      </c>
      <c r="P487" s="18" t="inlineStr">
        <is>
          <t>ปี 2560</t>
        </is>
      </c>
    </row>
    <row r="488">
      <c r="A488" s="15" t="inlineStr">
        <is>
          <t>509</t>
        </is>
      </c>
      <c r="B488" s="18" t="inlineStr">
        <is>
          <t>(ไม่แน่ใจว่าอยู่เคสนี มั ย) ยาละลายน ้าไม่ดี ในการตอกยาต้องใช้สารช่วยไหลตัวไหน</t>
        </is>
      </c>
      <c r="C488" s="18" t="inlineStr"/>
      <c r="D488" s="18" t="inlineStr">
        <is>
          <t>Colloidal silicon dioxide</t>
        </is>
      </c>
      <c r="E488" s="18" t="inlineStr">
        <is>
          <t>Sodium Lauryl Sulfate</t>
        </is>
      </c>
      <c r="F488" s="18" t="inlineStr">
        <is>
          <t>...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t>
        </is>
      </c>
      <c r="G488" s="18" t="inlineStr">
        <is>
          <t>Sodium thiosulfate 25% 50 mL IV</t>
        </is>
      </c>
      <c r="H488" s="18" t="inlineStr">
        <is>
          <t>Calcium disodium EDTA 1 g IV</t>
        </is>
      </c>
      <c r="I488" s="15" t="inlineStr">
        <is>
          <t>1</t>
        </is>
      </c>
      <c r="J488" s="18"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Lauryl Sulfate):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8" s="18" t="inlineStr"/>
      <c r="L488" s="18" t="inlineStr">
        <is>
          <t>General Therapeutics</t>
        </is>
      </c>
      <c r="M488" s="18" t="inlineStr">
        <is>
          <t>Clinic</t>
        </is>
      </c>
      <c r="N488" s="18" t="inlineStr">
        <is>
          <t>ข้อ 9 (PLE_CC1_2560 22 April Set 1.md)</t>
        </is>
      </c>
      <c r="O488" s="18" t="inlineStr">
        <is>
          <t>ข้อสอบจริง</t>
        </is>
      </c>
      <c r="P488" s="18" t="inlineStr">
        <is>
          <t>ปี 2560</t>
        </is>
      </c>
    </row>
    <row r="489">
      <c r="A489" s="15" t="inlineStr">
        <is>
          <t>510</t>
        </is>
      </c>
      <c r="B489" s="18" t="inlineStr">
        <is>
          <t>เชื อใดเป็นสาเหตุของโรค</t>
        </is>
      </c>
      <c r="C489" s="18" t="inlineStr"/>
      <c r="D489" s="18" t="inlineStr">
        <is>
          <t>Neisseria gonorrhea</t>
        </is>
      </c>
      <c r="E489" s="18" t="inlineStr">
        <is>
          <t>Treponema pallidum</t>
        </is>
      </c>
      <c r="F489" s="18" t="inlineStr">
        <is>
          <t>Chlamydia trachomatis</t>
        </is>
      </c>
      <c r="G489" s="18" t="inlineStr">
        <is>
          <t>Haemophylus ducreyi</t>
        </is>
      </c>
      <c r="H489" s="18" t="inlineStr">
        <is>
          <t>Trichomonas vaginalis รวมโดย Phongsathorn Phlaisaithong Rx 9 UP 6 | P a g e</t>
        </is>
      </c>
      <c r="I489" s="15" t="inlineStr">
        <is>
          <t>1</t>
        </is>
      </c>
      <c r="J489" s="18" t="inlineStr">
        <is>
          <t>✅ คำตอบที่ถูกต้อง: ข้อ ก. Neisseria gonorrhea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Neisseria gonorrhea การเลือก Neisseria gonorrhea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(Treponema pallidum): ข้อนี้ไม่ใช่คำตอบที่ถูกต้องสำหรับภาวะ General Therapeutics เนื่องจากกลไกการออกฤทธิ์, efficacy หรือข้อบ่งใช้ไม่ตรงกับโจทย์ที่กำหนด
• ข้อ ค. (Chlamydia trachomatis): ข้อนี้ไม่ใช่คำตอบที่ถูกต้องสำหรับภาวะ General Therapeutics เนื่องจากกลไกการออกฤทธิ์, efficacy หรือข้อบ่งใช้ไม่ตรงกับโจทย์ที่กำหนด
• ข้อ ง. (Haemophylus ducreyi): ข้อนี้ไม่ใช่คำตอบที่ถูกต้องสำหรับภาวะ General Therapeutics เนื่องจากกลไกการออกฤทธิ์, efficacy หรือข้อบ่งใช้ไม่ตรงกับโจทย์ที่กำหนด
• ข้อ จ. (Trichomonas vaginalis รวมโดย Phongsathorn Phlaisaithong Rx 9 UP 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9" s="18" t="inlineStr"/>
      <c r="L489" s="18" t="inlineStr">
        <is>
          <t>General Therapeutics</t>
        </is>
      </c>
      <c r="M489" s="18" t="inlineStr">
        <is>
          <t>Clinic</t>
        </is>
      </c>
      <c r="N489" s="18" t="inlineStr">
        <is>
          <t>ข้อ 1 (PLE_CC1_2560 22 April Set 1.md)</t>
        </is>
      </c>
      <c r="O489" s="18" t="inlineStr">
        <is>
          <t>ข้อสอบจริง</t>
        </is>
      </c>
      <c r="P489" s="18" t="inlineStr">
        <is>
          <t>ปี 2560</t>
        </is>
      </c>
    </row>
    <row r="490">
      <c r="A490" s="15" t="inlineStr">
        <is>
          <t>511</t>
        </is>
      </c>
      <c r="B490" s="18" t="inlineStr">
        <is>
          <t>ยาใดเหมาะสมส้าหรับผู้ป่วยรายนี</t>
        </is>
      </c>
      <c r="C490" s="18" t="inlineStr"/>
      <c r="D490" s="18" t="inlineStr">
        <is>
          <t>Moxifloxacin 400 mg 1x1 7 days</t>
        </is>
      </c>
      <c r="E490" s="18" t="inlineStr">
        <is>
          <t>Erythromycin 400 mg qid 14 days</t>
        </is>
      </c>
      <c r="F490" s="18" t="inlineStr">
        <is>
          <t>Cefixime 400 mg OD single dose</t>
        </is>
      </c>
      <c r="G490" s="18" t="inlineStr">
        <is>
          <t>Metronidazole 2 g single dose</t>
        </is>
      </c>
      <c r="H490" s="18" t="inlineStr">
        <is>
          <t>Norfloxacin 400 mg bid 10 days</t>
        </is>
      </c>
      <c r="I490" s="15" t="inlineStr">
        <is>
          <t>1</t>
        </is>
      </c>
      <c r="J490" s="18"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(Erythromycin 400 mg qid 14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single dose): เป็น antianaerobic และ antiprotozoal agent ยับยั้ง Trichomonas vaginalis, Giardia, Amebiasis, และ anaerobes ห้ามดื่มแอลกอฮอล์ระหว่างใช้ยา (disulfiram-like reaction)
• ข้อ จ. (Norfloxacin 400 mg bid 10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0" s="18" t="inlineStr"/>
      <c r="L490" s="18" t="inlineStr">
        <is>
          <t>General Therapeutics</t>
        </is>
      </c>
      <c r="M490" s="18" t="inlineStr">
        <is>
          <t>Clinic</t>
        </is>
      </c>
      <c r="N490" s="18" t="inlineStr">
        <is>
          <t>ข้อ 2 (PLE_CC1_2560 22 April Set 1.md)</t>
        </is>
      </c>
      <c r="O490" s="18" t="inlineStr">
        <is>
          <t>ข้อสอบจริง</t>
        </is>
      </c>
      <c r="P490" s="18" t="inlineStr">
        <is>
          <t>ปี 2560</t>
        </is>
      </c>
    </row>
    <row r="491">
      <c r="A491" s="15" t="inlineStr">
        <is>
          <t>512</t>
        </is>
      </c>
      <c r="B491" s="18" t="inlineStr">
        <is>
          <t>ผู้ป่วยรายนี ควรได้รับยาใดในการรักษาร่วมด้วย</t>
        </is>
      </c>
      <c r="C491" s="18" t="inlineStr"/>
      <c r="D491" s="18" t="inlineStr">
        <is>
          <t>Azithromycin</t>
        </is>
      </c>
      <c r="E491" s="18" t="inlineStr">
        <is>
          <t>Co-trimoxazole</t>
        </is>
      </c>
      <c r="F491" s="18" t="inlineStr">
        <is>
          <t>Cefdinir</t>
        </is>
      </c>
      <c r="G491" s="18" t="inlineStr">
        <is>
          <t>Cotrimazole</t>
        </is>
      </c>
      <c r="H491" s="18" t="inlineStr">
        <is>
          <t>Fluconazole</t>
        </is>
      </c>
      <c r="I491" s="15" t="inlineStr">
        <is>
          <t>1</t>
        </is>
      </c>
      <c r="J491" s="18"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(Co-trimoxazole): ข้อนี้ไม่ใช่คำตอบที่ถูกต้องสำหรับภาวะ General Therapeutics เนื่องจากกลไกการออกฤทธิ์, efficacy หรือข้อบ่งใช้ไม่ตรงกับโจทย์ที่กำหนด
• ข้อ ค. (Cefdinir): ข้อนี้ไม่ใช่คำตอบที่ถูกต้องสำหรับภาวะ General Therapeutics เนื่องจากกลไกการออกฤทธิ์, efficacy หรือข้อบ่งใช้ไม่ตรงกับโจทย์ที่กำหนด
• ข้อ ง. (Cotrimazole): ข้อนี้ไม่ใช่คำตอบที่ถูกต้องสำหรับภาวะ General Therapeutics เนื่องจากกลไกการออกฤทธิ์, efficacy หรือข้อบ่งใช้ไม่ตรงกับโจทย์ที่กำหนด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1" s="18" t="inlineStr"/>
      <c r="L491" s="18" t="inlineStr">
        <is>
          <t>General Therapeutics</t>
        </is>
      </c>
      <c r="M491" s="18" t="inlineStr">
        <is>
          <t>Clinic</t>
        </is>
      </c>
      <c r="N491" s="18" t="inlineStr">
        <is>
          <t>ข้อ 3 (PLE_CC1_2560 22 April Set 1.md)</t>
        </is>
      </c>
      <c r="O491" s="18" t="inlineStr">
        <is>
          <t>ข้อสอบจริง</t>
        </is>
      </c>
      <c r="P491" s="18" t="inlineStr">
        <is>
          <t>ปี 2560</t>
        </is>
      </c>
    </row>
    <row r="492">
      <c r="A492" s="15" t="inlineStr">
        <is>
          <t>513</t>
        </is>
      </c>
      <c r="B492" s="18" t="inlineStr">
        <is>
          <t>แพทย์ท้าการศึกษาการรักษาหนองในแท้ โดยเปรียบเทียบ กลุ่มแรกได้รับยารับประทาน กลุ่มสองได้รับ ยาฉีดเข้ากล้ามเนื อ และติดตามผู้ป่วยไปข้างหน้า ถามว่า เป็นการศึกษาแบบใด</t>
        </is>
      </c>
      <c r="C492" s="18" t="inlineStr"/>
      <c r="D492" s="18" t="inlineStr">
        <is>
          <t>Case series</t>
        </is>
      </c>
      <c r="E492" s="18" t="inlineStr">
        <is>
          <t>Case-control รวมโดย Phongsathorn Phlaisaithong Rx 9 UP 7 | P a g e</t>
        </is>
      </c>
      <c r="F492" s="18" t="inlineStr">
        <is>
          <t>Cohort</t>
        </is>
      </c>
      <c r="G492" s="18" t="inlineStr">
        <is>
          <t>Cross-sectional study</t>
        </is>
      </c>
      <c r="H492" s="18" t="inlineStr">
        <is>
          <t>...</t>
        </is>
      </c>
      <c r="I492" s="15" t="inlineStr">
        <is>
          <t>1</t>
        </is>
      </c>
      <c r="J492" s="18"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รวมโดย Phongsathorn Phlaisaithong Rx 9 UP 7 | P a g e):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92" s="18" t="inlineStr"/>
      <c r="L492" s="18" t="inlineStr">
        <is>
          <t>General Therapeutics</t>
        </is>
      </c>
      <c r="M492" s="18" t="inlineStr">
        <is>
          <t>Clinic</t>
        </is>
      </c>
      <c r="N492" s="18" t="inlineStr">
        <is>
          <t>ข้อ 6 (PLE_CC1_2560 22 April Set 1.md)</t>
        </is>
      </c>
      <c r="O492" s="18" t="inlineStr">
        <is>
          <t>ข้อสอบจริง</t>
        </is>
      </c>
      <c r="P492" s="18" t="inlineStr">
        <is>
          <t>ปี 2560</t>
        </is>
      </c>
    </row>
    <row r="493">
      <c r="A493" s="15" t="inlineStr">
        <is>
          <t>514</t>
        </is>
      </c>
      <c r="B493" s="18" t="inlineStr">
        <is>
          <t>การใช้ IV N-acetyl cystein จะเกิดอะไร</t>
        </is>
      </c>
      <c r="C493" s="18" t="inlineStr"/>
      <c r="D493" s="18" t="inlineStr">
        <is>
          <t>Anaphylactoid reaction</t>
        </is>
      </c>
      <c r="E493" s="18" t="inlineStr">
        <is>
          <t>SJS</t>
        </is>
      </c>
      <c r="F493" s="18" t="inlineStr">
        <is>
          <t>Lupus-like syndrome</t>
        </is>
      </c>
      <c r="G493" s="18" t="inlineStr">
        <is>
          <t>IRIS</t>
        </is>
      </c>
      <c r="H493" s="18" t="inlineStr">
        <is>
          <t>Paradoxical phenomenon</t>
        </is>
      </c>
      <c r="I493" s="15" t="inlineStr">
        <is>
          <t>1</t>
        </is>
      </c>
      <c r="J493" s="18" t="inlineStr">
        <is>
          <t>✅ คำตอบที่ถูกต้อง: ข้อ ก. Anaphylactoid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Anaphylactoid reaction การเลือก Anaphylactoid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(SJS): ข้อนี้ไม่ใช่คำตอบที่ถูกต้องสำหรับภาวะ General Therapeutics เนื่องจากกลไกการออกฤทธิ์, efficacy หรือข้อบ่งใช้ไม่ตรงกับโจทย์ที่กำหนด
• ข้อ ค. (Lupus-like syndrome): ข้อนี้ไม่ใช่คำตอบที่ถูกต้องสำหรับภาวะ General Therapeutics เนื่องจากกลไกการออกฤทธิ์, efficacy หรือข้อบ่งใช้ไม่ตรงกับโจทย์ที่กำหนด
• ข้อ ง. (IRIS): ข้อนี้ไม่ใช่คำตอบที่ถูกต้องสำหรับภาวะ General Therapeutics เนื่องจากกลไกการออกฤทธิ์, efficacy หรือข้อบ่งใช้ไม่ตรงกับโจทย์ที่กำหนด
• ข้อ จ. (Paradoxical phenomenon):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3" s="18" t="inlineStr"/>
      <c r="L493" s="18" t="inlineStr">
        <is>
          <t>General Therapeutics</t>
        </is>
      </c>
      <c r="M493" s="18" t="inlineStr">
        <is>
          <t>Clinic</t>
        </is>
      </c>
      <c r="N493" s="18" t="inlineStr">
        <is>
          <t>ข้อ 5 (PLE_CC1_2560 22 April Set 1.md)</t>
        </is>
      </c>
      <c r="O493" s="18" t="inlineStr">
        <is>
          <t>ข้อสอบจริง</t>
        </is>
      </c>
      <c r="P493" s="18" t="inlineStr">
        <is>
          <t>ปี 2560</t>
        </is>
      </c>
    </row>
    <row r="494">
      <c r="A494" s="15" t="inlineStr">
        <is>
          <t>515</t>
        </is>
      </c>
      <c r="B494" s="18" t="inlineStr">
        <is>
          <t>Metoprolol succinate CR/XL 25 mg 1x1</t>
        </is>
      </c>
      <c r="C494" s="18" t="inlineStr"/>
      <c r="D494" s="18" t="inlineStr">
        <is>
          <t>Amlodipine 5 mg OD</t>
        </is>
      </c>
      <c r="E494" s="18" t="inlineStr">
        <is>
          <t>Losartan 50 mg OD</t>
        </is>
      </c>
      <c r="F494" s="18" t="inlineStr">
        <is>
          <t>Enalapril 10 mg BID</t>
        </is>
      </c>
      <c r="G494" s="18" t="inlineStr">
        <is>
          <t>Hydrochlorothiazide 25 mg OD</t>
        </is>
      </c>
      <c r="H494" s="18" t="inlineStr">
        <is>
          <t>Atorvastatin 20 mg OD</t>
        </is>
      </c>
      <c r="I494" s="15" t="inlineStr">
        <is>
          <t>1</t>
        </is>
      </c>
      <c r="J494" s="18" t="inlineStr">
        <is>
          <t>✅ คำตอบที่ถูกต้อง: ข้อ ก. Amlodipine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[NEED_REVIEW]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4" s="18" t="inlineStr"/>
      <c r="L494" s="18" t="inlineStr">
        <is>
          <t>Cardiovascular Diseases</t>
        </is>
      </c>
      <c r="M494" s="18" t="inlineStr">
        <is>
          <t>Clinic</t>
        </is>
      </c>
      <c r="N494" s="18" t="inlineStr">
        <is>
          <t>ข้อ 2 (PLE_CC1_2560 22 April Set 1.md)</t>
        </is>
      </c>
      <c r="O494" s="18" t="inlineStr">
        <is>
          <t>ข้อสอบจริง</t>
        </is>
      </c>
      <c r="P494" s="18" t="inlineStr">
        <is>
          <t>ปี 2560</t>
        </is>
      </c>
    </row>
    <row r="495">
      <c r="A495" s="15" t="inlineStr">
        <is>
          <t>516</t>
        </is>
      </c>
      <c r="B495" s="18" t="inlineStr">
        <is>
          <t>เพิ่มยาใดลดอัตราการตายได้</t>
        </is>
      </c>
      <c r="C495" s="18" t="inlineStr"/>
      <c r="D495" s="18" t="inlineStr">
        <is>
          <t>Amlodipine</t>
        </is>
      </c>
      <c r="E495" s="18" t="inlineStr">
        <is>
          <t>Diltiazem</t>
        </is>
      </c>
      <c r="F495" s="18" t="inlineStr">
        <is>
          <t>Spironolactone</t>
        </is>
      </c>
      <c r="G495" s="18" t="inlineStr">
        <is>
          <t>Digoxin</t>
        </is>
      </c>
      <c r="H495" s="18" t="inlineStr">
        <is>
          <t>Furosemide</t>
        </is>
      </c>
      <c r="I495" s="15" t="inlineStr">
        <is>
          <t>1</t>
        </is>
      </c>
      <c r="J495" s="18" t="inlineStr">
        <is>
          <t>✅ คำตอบที่ถูกต้อง: ข้อ ก.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Amlodipine การเลือก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(Diltiazem): เป็น non-DHP CCB ลดอัตราการเต้นของหัวใจและ myocardial contractility มี contraindication ในผู้ป่วย HFrEF (LVEF &lt; 40%) และ 2nd/3rd degree AV block
• ข้อ ค. (Spironolactone): เป็น Mineralocorticoid receptor antagonist (MRA) ใช้เป็น 4th-line ใน resistant HTN หรือ GDMT ใน HFrEF ต้อง monitor potassium และเสี่ยงต่อ gynecomastia
• ข้อ ง. (Digoxin): เป็น cardiac glycoside ยับยั้ง Na+/K+ ATPase เพิ่ม inotrope แต่มี narrow therapeutic index (target 0.5-0.9 ng/mL ใน HF) และเสี่ยงต่อ fatal arrhythmia เมื่อมี hypokalemia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5" s="18" t="inlineStr"/>
      <c r="L495" s="18" t="inlineStr">
        <is>
          <t>General Therapeutics</t>
        </is>
      </c>
      <c r="M495" s="18" t="inlineStr">
        <is>
          <t>Clinic</t>
        </is>
      </c>
      <c r="N495" s="18" t="inlineStr">
        <is>
          <t>ข้อ 1 (PLE_CC1_2560 22 April Set 1.md)</t>
        </is>
      </c>
      <c r="O495" s="18" t="inlineStr">
        <is>
          <t>ข้อสอบจริง</t>
        </is>
      </c>
      <c r="P495" s="18" t="inlineStr">
        <is>
          <t>ปี 2560</t>
        </is>
      </c>
    </row>
    <row r="496">
      <c r="A496" s="15" t="inlineStr">
        <is>
          <t>517</t>
        </is>
      </c>
      <c r="B496" s="18" t="inlineStr">
        <is>
          <t>ข้อใดถูกต้องเกี่ยวกับการให้ Beta-blocker</t>
        </is>
      </c>
      <c r="C496" s="18" t="inlineStr"/>
      <c r="D496" s="18" t="inlineStr">
        <is>
          <t>ต้องเปลี่ยนเป็น Atenolol</t>
        </is>
      </c>
      <c r="E496" s="18" t="inlineStr">
        <is>
          <t>ควรให้ตอนที่ผู้ป่วยอาการคงที่แล้ว</t>
        </is>
      </c>
      <c r="F496" s="18" t="inlineStr">
        <is>
          <t>ให้ตอนผู้ป่วย Acute decompensated heart failure</t>
        </is>
      </c>
      <c r="G496" s="18" t="inlineStr">
        <is>
          <t>เมื่อผู้ป่วยใช้ยา diuretic ไม่ได้</t>
        </is>
      </c>
      <c r="H496" s="18" t="inlineStr">
        <is>
          <t>เมื่อผู้ป่วยใช้ยา ACEI/ARBไม่ได้</t>
        </is>
      </c>
      <c r="I496" s="15" t="inlineStr">
        <is>
          <t>1</t>
        </is>
      </c>
      <c r="J496" s="18" t="inlineStr">
        <is>
          <t>✅ คำตอบที่ถูกต้อง: ข้อ ก. ต้องเปลี่ยนเป็น Atenolol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ต้องเปลี่ยนเป็น Atenolol การเลือก ต้องเปลี่ยนเป็น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(ควรให้ตอนที่ผู้ป่วยอาการคงที่แล้ว): ข้อนี้ไม่ใช่คำตอบที่ถูกต้องสำหรับภาวะ General Therapeutics เนื่องจากกลไกการออกฤทธิ์, efficacy หรือข้อบ่งใช้ไม่ตรงกับโจทย์ที่กำหนด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(เมื่อผู้ป่วยใช้ยา diuretic ไม่ได้):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(เมื่อผู้ป่วยใช้ยา ACEI/ARBไม่ได้):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6" s="18" t="inlineStr"/>
      <c r="L496" s="18" t="inlineStr">
        <is>
          <t>General Therapeutics</t>
        </is>
      </c>
      <c r="M496" s="18" t="inlineStr">
        <is>
          <t>Clinic</t>
        </is>
      </c>
      <c r="N496" s="18" t="inlineStr">
        <is>
          <t>ข้อ 2 (PLE_CC1_2560 22 April Set 1.md)</t>
        </is>
      </c>
      <c r="O496" s="18" t="inlineStr">
        <is>
          <t>ข้อสอบจริง</t>
        </is>
      </c>
      <c r="P496" s="18" t="inlineStr">
        <is>
          <t>ปี 2560</t>
        </is>
      </c>
    </row>
    <row r="497">
      <c r="A497" s="15" t="inlineStr">
        <is>
          <t>518</t>
        </is>
      </c>
      <c r="B497" s="18" t="inlineStr">
        <is>
          <t>Regimen ใด เหมาะสมที่สุด</t>
        </is>
      </c>
      <c r="C497" s="18" t="inlineStr"/>
      <c r="D497" s="18" t="inlineStr">
        <is>
          <t>Omeprazole 20 mg 1x1 pc ร่วมกับ Domperidone 10 mg 1x3 pc</t>
        </is>
      </c>
      <c r="E497" s="18" t="inlineStr">
        <is>
          <t>Omeprazole 20 mg 1x1 pc ร่วมกับ Domperidone 10 mg 1x3 ac</t>
        </is>
      </c>
      <c r="F497" s="18" t="inlineStr">
        <is>
          <t>Omeprazole 20 mg 1x1 ac ร่วมกับ Domperidone 10 mg 1x3 pc</t>
        </is>
      </c>
      <c r="G497" s="18" t="inlineStr">
        <is>
          <t>Omeprazole 20 mg 1x1 ac ร่วมกับ Domperidone 10 mg 1x3 พร้อมอาหาร</t>
        </is>
      </c>
      <c r="H497" s="18" t="inlineStr">
        <is>
          <t>Omeprazole 20 mg 1x1 ac ร่วมกับ Domperidone 10 mg 1x3 ac</t>
        </is>
      </c>
      <c r="I497" s="15" t="inlineStr">
        <is>
          <t>1</t>
        </is>
      </c>
      <c r="J497" s="18" t="inlineStr">
        <is>
          <t>✅ คำตอบที่ถูกต้อง: ข้อ ก. Omeprazole 20 mg 1x1 pc ร่วมกับ Domperidone 10 mg 1x3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pc ร่วมกับ Domperidone 10 mg 1x3 pc การเลือก Omeprazole 20 mg 1x1 pc ร่วมกับ Domperidone 10 mg 1x3 pc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(Omeprazole 20 mg 1x1 ac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7" s="18" t="inlineStr"/>
      <c r="L497" s="18" t="inlineStr">
        <is>
          <t>General Therapeutics</t>
        </is>
      </c>
      <c r="M497" s="18" t="inlineStr">
        <is>
          <t>Clinic</t>
        </is>
      </c>
      <c r="N497" s="18" t="inlineStr">
        <is>
          <t>ข้อ 1 (PLE_CC1_2560 22 April Set 1.md)</t>
        </is>
      </c>
      <c r="O497" s="18" t="inlineStr">
        <is>
          <t>ข้อสอบจริง</t>
        </is>
      </c>
      <c r="P497" s="18" t="inlineStr">
        <is>
          <t>ปี 2560</t>
        </is>
      </c>
    </row>
    <row r="498">
      <c r="A498" s="15" t="inlineStr">
        <is>
          <t>519</t>
        </is>
      </c>
      <c r="B498" s="18" t="inlineStr">
        <is>
          <t>เพิ่มเติม คนไข้ ไปพบแพทย์แล้วได้รับการวินิจฉัยว่าเป็น H.pylori infection ยาใด ไม่ถูกต้อง ในการรักษา</t>
        </is>
      </c>
      <c r="C498" s="18" t="inlineStr"/>
      <c r="D498" s="18" t="inlineStr">
        <is>
          <t>Omeprazole + Clarithromycin + Bismuth subsalicylate</t>
        </is>
      </c>
      <c r="E498" s="18" t="inlineStr">
        <is>
          <t>Omeprazole + Clarithromycin + Amoxicillin</t>
        </is>
      </c>
      <c r="F498" s="18" t="inlineStr">
        <is>
          <t>Omeprazole + Clarithromycin + Metronidazole</t>
        </is>
      </c>
      <c r="G498" s="18" t="inlineStr">
        <is>
          <t>Omeprazole + Clarithromycin + Levofloxacin</t>
        </is>
      </c>
      <c r="H498" s="18" t="inlineStr">
        <is>
          <t>Omeprazole + Clarithromycin + Tetracycline + Bismuth subsalicylate</t>
        </is>
      </c>
      <c r="I498" s="15" t="inlineStr">
        <is>
          <t>1</t>
        </is>
      </c>
      <c r="J498" s="18"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8" s="18" t="inlineStr"/>
      <c r="L498" s="18" t="inlineStr">
        <is>
          <t>General Therapeutics</t>
        </is>
      </c>
      <c r="M498" s="18" t="inlineStr">
        <is>
          <t>Clinic</t>
        </is>
      </c>
      <c r="N498" s="18" t="inlineStr">
        <is>
          <t>ข้อ 7 (PLE_CC1_2560 22 April Set 1.md)</t>
        </is>
      </c>
      <c r="O498" s="18" t="inlineStr">
        <is>
          <t>ข้อสอบจริง</t>
        </is>
      </c>
      <c r="P498" s="18" t="inlineStr">
        <is>
          <t>ปี 2560</t>
        </is>
      </c>
    </row>
    <row r="499">
      <c r="A499" s="15" t="inlineStr">
        <is>
          <t>520</t>
        </is>
      </c>
      <c r="B499" s="18" t="inlineStr">
        <is>
          <t>ต่อมาผู้ป่วยมีอาการหนักมาก จนได้ Sumatriptan ถามว่า Sumatriptan ออกฤทธิ์ อย่างไร</t>
        </is>
      </c>
      <c r="C499" s="18" t="inlineStr"/>
      <c r="D499" s="18" t="inlineStr">
        <is>
          <t>5HT-1 agonist</t>
        </is>
      </c>
      <c r="E499" s="18" t="inlineStr">
        <is>
          <t>5HT-1 antagonist รวมโดย Phongsathorn Phlaisaithong Rx 9 UP 16 | P a g e</t>
        </is>
      </c>
      <c r="F499" s="18" t="inlineStr">
        <is>
          <t>5HT-2 agonist</t>
        </is>
      </c>
      <c r="G499" s="18" t="inlineStr">
        <is>
          <t>5HT-2 antagonist</t>
        </is>
      </c>
      <c r="H499" s="18" t="inlineStr">
        <is>
          <t>5HT-3 agonist</t>
        </is>
      </c>
      <c r="I499" s="15" t="inlineStr">
        <is>
          <t>1</t>
        </is>
      </c>
      <c r="J499" s="18"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รวมโดย Phongsathorn Phlaisaithong Rx 9 UP 16 | P a g e):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9" s="18" t="inlineStr"/>
      <c r="L499" s="18" t="inlineStr">
        <is>
          <t>Neurologic Disorders</t>
        </is>
      </c>
      <c r="M499" s="18" t="inlineStr">
        <is>
          <t>Clinic</t>
        </is>
      </c>
      <c r="N499" s="18" t="inlineStr">
        <is>
          <t>ข้อ 7 (PLE_CC1_2560 22 April Set 1.md)</t>
        </is>
      </c>
      <c r="O499" s="18" t="inlineStr">
        <is>
          <t>ข้อสอบจริง</t>
        </is>
      </c>
      <c r="P499" s="18" t="inlineStr">
        <is>
          <t>ปี 2560</t>
        </is>
      </c>
    </row>
    <row r="500">
      <c r="A500" s="15" t="inlineStr">
        <is>
          <t>521</t>
        </is>
      </c>
      <c r="B500" s="18" t="inlineStr">
        <is>
          <t>คนไข้ใช้ cafergot ประจ้า เข้าโรงพยาบาลแล้วได้รับยาจนเกิดภาวะ Ergotisim เนื่องจากไม่มีคนถามว่าใช้ ยาอะไรอยู่ ถามว่า โรงพยาบาลขาดกระบวนใด</t>
        </is>
      </c>
      <c r="C500" s="18" t="inlineStr"/>
      <c r="D500" s="18" t="inlineStr">
        <is>
          <t>Medication reconcilliation system</t>
        </is>
      </c>
      <c r="E500" s="18" t="inlineStr">
        <is>
          <t>Medication error system</t>
        </is>
      </c>
      <c r="F500" s="18" t="inlineStr">
        <is>
          <t>...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t>
        </is>
      </c>
      <c r="G500" s="18" t="inlineStr">
        <is>
          <t>Sodium thiosulfate 25% 50 mL IV</t>
        </is>
      </c>
      <c r="H500" s="18" t="inlineStr">
        <is>
          <t>Calcium disodium EDTA 1 g IV</t>
        </is>
      </c>
      <c r="I500" s="15" t="inlineStr">
        <is>
          <t>1</t>
        </is>
      </c>
      <c r="J500" s="18" t="inlineStr">
        <is>
          <t>✅ คำตอบที่ถูกต้อง: ข้อ ก. Medication reconcilliation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reconcilliation system ประจ้าตัวเป็นความดันโลหิตสูง เมื่อ 1 เดือนที่แล้ว FBS 160 mg/dL, BP 145/95 mmHg ได้รับยา Diltiazem (30) Losartan (50) 1x1 pc, Simvastatin (40) 1x1 hs, Aspirin 81 mg 1x1 pc, Metformin 500 mg 1x2, Glipizide 5 mg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 เป็น non-DHP CCB ลดอัตราการเต้นของหัวใจและ myocardial contractility มี contraindication ในผู้ป่วย HFrEF (LVEF &lt; 40%) และ 2nd/3rd degree AV block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0" s="18" t="inlineStr"/>
      <c r="L500" s="18" t="inlineStr">
        <is>
          <t>General Therapeutics</t>
        </is>
      </c>
      <c r="M500" s="18" t="inlineStr">
        <is>
          <t>Clinic</t>
        </is>
      </c>
      <c r="N500" s="18" t="inlineStr">
        <is>
          <t>ข้อ 9 (PLE_CC1_2560 22 April Set 1.md)</t>
        </is>
      </c>
      <c r="O500" s="18" t="inlineStr">
        <is>
          <t>ข้อสอบจริง</t>
        </is>
      </c>
      <c r="P500" s="18" t="inlineStr">
        <is>
          <t>ปี 2560</t>
        </is>
      </c>
    </row>
    <row r="501">
      <c r="A501" s="15" t="inlineStr">
        <is>
          <t>522</t>
        </is>
      </c>
      <c r="B501" s="18" t="inlineStr">
        <is>
          <t>การจัดการปัญหาการใช้ยาผู้ป่วยรายนี ข้อใดถูกต้อง</t>
        </is>
      </c>
      <c r="C501" s="18" t="inlineStr"/>
      <c r="D501" s="18" t="inlineStr">
        <is>
          <t>เปลี่ยน Diltiazem เป็น Amlodipine</t>
        </is>
      </c>
      <c r="E501" s="18" t="inlineStr">
        <is>
          <t>เพิ่ม Diltiazem จาก 1x2 เป็น 1x3</t>
        </is>
      </c>
      <c r="F501" s="18" t="inlineStr">
        <is>
          <t>เปลี่ยน Simvastatin เป็น Atorvastin</t>
        </is>
      </c>
      <c r="G501" s="18" t="inlineStr">
        <is>
          <t>เพิ่ม Hydralazine</t>
        </is>
      </c>
      <c r="H501" s="18" t="inlineStr">
        <is>
          <t>หยุด Aspirin เนื่องจาก ไม่มีข้อบ่งใช้</t>
        </is>
      </c>
      <c r="I501" s="15" t="inlineStr">
        <is>
          <t>1</t>
        </is>
      </c>
      <c r="J501" s="18"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1" s="18" t="inlineStr"/>
      <c r="L501" s="18" t="inlineStr">
        <is>
          <t>General Therapeutics</t>
        </is>
      </c>
      <c r="M501" s="18" t="inlineStr">
        <is>
          <t>Clinic</t>
        </is>
      </c>
      <c r="N501" s="18" t="inlineStr">
        <is>
          <t>ข้อ 4 (PLE_CC1_2560 22 April Set 1.md)</t>
        </is>
      </c>
      <c r="O501" s="18" t="inlineStr">
        <is>
          <t>ข้อสอบจริง</t>
        </is>
      </c>
      <c r="P501" s="18" t="inlineStr">
        <is>
          <t>ปี 2560</t>
        </is>
      </c>
    </row>
    <row r="502">
      <c r="A502" s="15" t="inlineStr">
        <is>
          <t>523</t>
        </is>
      </c>
      <c r="B502" s="18" t="inlineStr">
        <is>
          <t>เภสัชกรควรให้ค้าแนะน้ากับคนไข้อย่างไร ตามค้าแนะน้าขององค์การอนามัยโลก</t>
        </is>
      </c>
      <c r="C502" s="18" t="inlineStr"/>
      <c r="D502" s="18" t="inlineStr">
        <is>
          <t>ไม่ต้องท้าอะไร เพราะอยู่ในช่วงปลอดภัย</t>
        </is>
      </c>
      <c r="E502" s="18" t="inlineStr">
        <is>
          <t>ให้รับประทาน COCs ติดต่อกัน 5 วัน</t>
        </is>
      </c>
      <c r="F502" s="18" t="inlineStr">
        <is>
          <t>รับประทานยาคุมฉุกเฉิน Levonorgestrel 750 mcg ทันที 1 เม็ด</t>
        </is>
      </c>
      <c r="G502" s="18" t="inlineStr">
        <is>
          <t>รับประทานยาคุมฉุกเฉิน Levonorgestrel 750 mcg ทันที 2 เม็ด</t>
        </is>
      </c>
      <c r="H502" s="18" t="inlineStr">
        <is>
          <t>เกิน 24 ชั่วโมง ไม่สามารถท้าอะไรได้แล้ว</t>
        </is>
      </c>
      <c r="I502" s="15" t="inlineStr">
        <is>
          <t>1</t>
        </is>
      </c>
      <c r="J502" s="18" t="inlineStr">
        <is>
          <t>✅ คำตอบที่ถูกต้อง: ข้อ ก. ไม่ต้องท้าอะไร เพราะอยู่ในช่วงปลอดภัย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ไม่ต้องท้าอะไร เพราะอยู่ในช่วงปลอดภัย การเลือก ไม่ต้องท้าอะไร เพราะอยู่ในช่วงปลอดภัย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(รับประทานยาคุมฉุกเฉิน Levonorgestrel 750 mcg ทันที 2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ไม่สามารถท้าอะไรได้แล้ว):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02" s="18" t="inlineStr"/>
      <c r="L502" s="18" t="inlineStr">
        <is>
          <t>General Therapeutics</t>
        </is>
      </c>
      <c r="M502" s="18" t="inlineStr">
        <is>
          <t>Clinic</t>
        </is>
      </c>
      <c r="N502" s="18" t="inlineStr">
        <is>
          <t>ข้อ 1 (PLE_CC1_2560 22 April Set 1.md)</t>
        </is>
      </c>
      <c r="O502" s="18" t="inlineStr">
        <is>
          <t>ข้อสอบจริง</t>
        </is>
      </c>
      <c r="P502" s="18" t="inlineStr">
        <is>
          <t>ปี 2560</t>
        </is>
      </c>
    </row>
    <row r="503">
      <c r="A503" s="15" t="inlineStr">
        <is>
          <t>524</t>
        </is>
      </c>
      <c r="B503" s="18" t="inlineStr">
        <is>
          <t>อาการข้างเคียงที่อาจเกิดได้จาก Levonorgestrel</t>
        </is>
      </c>
      <c r="C503" s="18" t="inlineStr"/>
      <c r="D503" s="18" t="inlineStr">
        <is>
          <t>เลือดออกกระปริบกระปอย</t>
        </is>
      </c>
      <c r="E503" s="18" t="inlineStr">
        <is>
          <t>น ้านมไหล</t>
        </is>
      </c>
      <c r="F503" s="18" t="inlineStr">
        <is>
          <t>มูกใสออกมาจากช่องคลอด</t>
        </is>
      </c>
      <c r="G503" s="18" t="inlineStr">
        <is>
          <t>เบื่ออาหาร</t>
        </is>
      </c>
      <c r="H503" s="18" t="inlineStr">
        <is>
          <t>น ้าหนักลด</t>
        </is>
      </c>
      <c r="I503" s="15" t="inlineStr">
        <is>
          <t>1</t>
        </is>
      </c>
      <c r="J503" s="18"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 ้านมไหล):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 ้าหนักลด):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3" s="18" t="inlineStr"/>
      <c r="L503" s="18" t="inlineStr">
        <is>
          <t>General Therapeutics</t>
        </is>
      </c>
      <c r="M503" s="18" t="inlineStr">
        <is>
          <t>Clinic</t>
        </is>
      </c>
      <c r="N503" s="18" t="inlineStr">
        <is>
          <t>ข้อ 2 (PLE_CC1_2560 22 April Set 1.md)</t>
        </is>
      </c>
      <c r="O503" s="18" t="inlineStr">
        <is>
          <t>ข้อสอบจริง</t>
        </is>
      </c>
      <c r="P503" s="18" t="inlineStr">
        <is>
          <t>ปี 2560</t>
        </is>
      </c>
    </row>
    <row r="504">
      <c r="A504" s="15" t="inlineStr">
        <is>
          <t>525</t>
        </is>
      </c>
      <c r="B504" s="18" t="inlineStr">
        <is>
          <t>ค่าแลปใด Specificity สูงสุด ส้าหรับ SLE</t>
        </is>
      </c>
      <c r="C504" s="18" t="inlineStr"/>
      <c r="D504" s="18" t="inlineStr">
        <is>
          <t>ANA</t>
        </is>
      </c>
      <c r="E504" s="18" t="inlineStr">
        <is>
          <t>Anti-dsDNA</t>
        </is>
      </c>
      <c r="F504" s="18" t="inlineStr">
        <is>
          <t>Lupus anticoagulant</t>
        </is>
      </c>
      <c r="G504" s="18" t="inlineStr">
        <is>
          <t>ESR</t>
        </is>
      </c>
      <c r="H504" s="18" t="inlineStr">
        <is>
          <t>Calcium disodium EDTA 1 g IV</t>
        </is>
      </c>
      <c r="I504" s="15" t="inlineStr">
        <is>
          <t>1</t>
        </is>
      </c>
      <c r="J504" s="18" t="inlineStr">
        <is>
          <t>✅ คำตอบที่ถูกต้อง: ข้อ ก. ANA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 การเลือก ANA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(Anti-dsDNA): ข้อนี้ไม่ใช่คำตอบที่ถูกต้องสำหรับภาวะ General Therapeutics เนื่องจากกลไกการออกฤทธิ์, efficacy หรือข้อบ่งใช้ไม่ตรงกับโจทย์ที่กำหนด
• ข้อ ค. (Lupus anticoagulant): ข้อนี้ไม่ใช่คำตอบที่ถูกต้องสำหรับภาวะ General Therapeutics เนื่องจากกลไกการออกฤทธิ์, efficacy หรือข้อบ่งใช้ไม่ตรงกับโจทย์ที่กำหนด
• ข้อ ง. (ESR):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4" s="18" t="inlineStr"/>
      <c r="L504" s="18" t="inlineStr">
        <is>
          <t>General Therapeutics</t>
        </is>
      </c>
      <c r="M504" s="18" t="inlineStr">
        <is>
          <t>Clinic</t>
        </is>
      </c>
      <c r="N504" s="18" t="inlineStr">
        <is>
          <t>ข้อ 2 (PLE_CC1_2560 22 April Set 1.md)</t>
        </is>
      </c>
      <c r="O504" s="18" t="inlineStr">
        <is>
          <t>ข้อสอบจริง</t>
        </is>
      </c>
      <c r="P504" s="18" t="inlineStr">
        <is>
          <t>ปี 2560</t>
        </is>
      </c>
    </row>
    <row r="505">
      <c r="A505" s="15" t="inlineStr">
        <is>
          <t>526</t>
        </is>
      </c>
      <c r="B505" s="18" t="inlineStr">
        <is>
          <t>ยาใดเหมาะสมที่สุดในการบรรเทาอาการปวดในผู้ป่วยรายนี</t>
        </is>
      </c>
      <c r="C505" s="18" t="inlineStr"/>
      <c r="D505" s="18" t="inlineStr">
        <is>
          <t>Colchicine</t>
        </is>
      </c>
      <c r="E505" s="18" t="inlineStr">
        <is>
          <t>Naproxen</t>
        </is>
      </c>
      <c r="F505" s="18" t="inlineStr">
        <is>
          <t>Paracetamol</t>
        </is>
      </c>
      <c r="G505" s="18" t="inlineStr">
        <is>
          <t>Tramadol</t>
        </is>
      </c>
      <c r="H505" s="18" t="inlineStr">
        <is>
          <t>Prednisolone</t>
        </is>
      </c>
      <c r="I505" s="15" t="inlineStr">
        <is>
          <t>1</t>
        </is>
      </c>
      <c r="J505" s="18" t="inlineStr">
        <is>
          <t>✅ คำตอบที่ถูกต้อง: ข้อ ก. Colchicine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Colchicine การเลือก Colchicine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เป็น non-selective NSAID ที่มี cardiovascular safety profile ดีที่สุด และมี efficacy สูงในการระงับ acute inflammation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05" s="18" t="inlineStr"/>
      <c r="L505" s="18" t="inlineStr">
        <is>
          <t>General Therapeutics</t>
        </is>
      </c>
      <c r="M505" s="18" t="inlineStr">
        <is>
          <t>Clinic</t>
        </is>
      </c>
      <c r="N505" s="18" t="inlineStr">
        <is>
          <t>ข้อ 1 (PLE_CC1_2560 22 April Set 1.md)</t>
        </is>
      </c>
      <c r="O505" s="18" t="inlineStr">
        <is>
          <t>ข้อสอบจริง</t>
        </is>
      </c>
      <c r="P505" s="18" t="inlineStr">
        <is>
          <t>ปี 2560</t>
        </is>
      </c>
    </row>
    <row r="506">
      <c r="A506" s="15" t="inlineStr">
        <is>
          <t>527</t>
        </is>
      </c>
      <c r="B506" s="18" t="inlineStr">
        <is>
          <t>ยาใดที่เหมาะสมเป็นทางเลือกแรกในการลดระดับยูริก หากผู้ป่วยไม่มีข้อห้ามใด</t>
        </is>
      </c>
      <c r="C506" s="18" t="inlineStr"/>
      <c r="D506" s="18" t="inlineStr">
        <is>
          <t>Allopurinol</t>
        </is>
      </c>
      <c r="E506" s="18" t="inlineStr">
        <is>
          <t>Sulfinpyrazone</t>
        </is>
      </c>
      <c r="F506" s="18" t="inlineStr">
        <is>
          <t>Benzbromarone</t>
        </is>
      </c>
      <c r="G506" s="18" t="inlineStr">
        <is>
          <t>Probenecid</t>
        </is>
      </c>
      <c r="H506" s="18" t="inlineStr">
        <is>
          <t>Ascorbic acid</t>
        </is>
      </c>
      <c r="I506" s="15" t="inlineStr">
        <is>
          <t>1</t>
        </is>
      </c>
      <c r="J506" s="18"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06" s="18" t="inlineStr"/>
      <c r="L506" s="18" t="inlineStr">
        <is>
          <t>General Therapeutics</t>
        </is>
      </c>
      <c r="M506" s="18" t="inlineStr">
        <is>
          <t>Clinic</t>
        </is>
      </c>
      <c r="N506" s="18" t="inlineStr">
        <is>
          <t>ข้อ 4 (PLE_CC1_2560 22 April Set 1.md)</t>
        </is>
      </c>
      <c r="O506" s="18" t="inlineStr">
        <is>
          <t>ข้อสอบจริง</t>
        </is>
      </c>
      <c r="P506" s="18" t="inlineStr">
        <is>
          <t>ปี 2560</t>
        </is>
      </c>
    </row>
    <row r="507">
      <c r="A507" s="15" t="inlineStr">
        <is>
          <t>528</t>
        </is>
      </c>
      <c r="B507" s="18" t="inlineStr">
        <is>
          <t>โครงสร้างใด ยับยั ง Xanthine oxidase</t>
        </is>
      </c>
      <c r="C507" s="18" t="inlineStr"/>
      <c r="D507" s="18" t="inlineStr">
        <is>
          <t>Prednisolone 5 mg OD</t>
        </is>
      </c>
      <c r="E507" s="18" t="inlineStr">
        <is>
          <t>Zoledronic acid 5 mg IV annually</t>
        </is>
      </c>
      <c r="F507" s="18" t="inlineStr">
        <is>
          <t>Leflunomide 20 mg OD</t>
        </is>
      </c>
      <c r="G507" s="18" t="inlineStr">
        <is>
          <t>Paracetamol 500 mg Q6H PRN</t>
        </is>
      </c>
      <c r="H507" s="18" t="inlineStr">
        <is>
          <t>Denosumab 60 mg SC every 6 months</t>
        </is>
      </c>
      <c r="I507" s="15" t="inlineStr">
        <is>
          <t>1</t>
        </is>
      </c>
      <c r="J507" s="18"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07" s="18" t="inlineStr"/>
      <c r="L507" s="18" t="inlineStr">
        <is>
          <t>Musculoskeletal &amp; Joint</t>
        </is>
      </c>
      <c r="M507" s="18" t="inlineStr">
        <is>
          <t>Clinic</t>
        </is>
      </c>
      <c r="N507" s="18" t="inlineStr">
        <is>
          <t>ข้อ 5 (PLE_CC1_2560 22 April Set 1.md)</t>
        </is>
      </c>
      <c r="O507" s="18" t="inlineStr">
        <is>
          <t>ข้อสอบจริง</t>
        </is>
      </c>
      <c r="P507" s="18" t="inlineStr">
        <is>
          <t>ปี 2560</t>
        </is>
      </c>
    </row>
    <row r="508">
      <c r="A508" s="15" t="inlineStr">
        <is>
          <t>529</t>
        </is>
      </c>
      <c r="B508" s="18" t="inlineStr">
        <is>
          <t>ท้าการศึกษาเกี่ยวกับผลข้างเคียงจากการใช้ยา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08" s="18" t="inlineStr"/>
      <c r="D508" s="18" t="inlineStr">
        <is>
          <t>Descriptive survey study</t>
        </is>
      </c>
      <c r="E508" s="18" t="inlineStr">
        <is>
          <t>Meta-analysis</t>
        </is>
      </c>
      <c r="F508" s="18" t="inlineStr">
        <is>
          <t>Systematic review</t>
        </is>
      </c>
      <c r="G508" s="18" t="inlineStr">
        <is>
          <t>Randomized controlled trial</t>
        </is>
      </c>
      <c r="H508" s="18" t="inlineStr">
        <is>
          <t>open label single blind randomized controlled trial รวมโดย Phongsathorn Phlaisaithong Rx 9 UP 24 | P a g e</t>
        </is>
      </c>
      <c r="I508" s="15" t="inlineStr">
        <is>
          <t>1</t>
        </is>
      </c>
      <c r="J508" s="18"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รวมโดย Phongsathorn Phlaisaithong Rx 9 UP 24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8" s="18" t="inlineStr"/>
      <c r="L508" s="18" t="inlineStr">
        <is>
          <t>General Therapeutics</t>
        </is>
      </c>
      <c r="M508" s="18" t="inlineStr">
        <is>
          <t>Clinic</t>
        </is>
      </c>
      <c r="N508" s="18" t="inlineStr">
        <is>
          <t>ข้อ 7 (PLE_CC1_2560 22 April Set 1.md)</t>
        </is>
      </c>
      <c r="O508" s="18" t="inlineStr">
        <is>
          <t>ข้อสอบจริง</t>
        </is>
      </c>
      <c r="P508" s="18" t="inlineStr">
        <is>
          <t>ปี 2560</t>
        </is>
      </c>
    </row>
    <row r="509">
      <c r="A509" s="15" t="inlineStr">
        <is>
          <t>530</t>
        </is>
      </c>
      <c r="B509" s="18" t="inlineStr">
        <is>
          <t>ยาใดบ้างที่ต้องท้าบัญชีควบคุมการขายยาอันตราย</t>
        </is>
      </c>
      <c r="C509" s="18" t="inlineStr"/>
      <c r="D509" s="18" t="inlineStr">
        <is>
          <t>Tramadol</t>
        </is>
      </c>
      <c r="E509" s="18" t="inlineStr">
        <is>
          <t>Glipizide</t>
        </is>
      </c>
      <c r="F509" s="18" t="inlineStr">
        <is>
          <t>Amlodipine</t>
        </is>
      </c>
      <c r="G509" s="18" t="inlineStr">
        <is>
          <t>Gemfibrozil</t>
        </is>
      </c>
      <c r="H509" s="18" t="inlineStr">
        <is>
          <t>ทุกตัวต้องท้า</t>
        </is>
      </c>
      <c r="I509" s="15" t="inlineStr">
        <is>
          <t>1</t>
        </is>
      </c>
      <c r="J509" s="18" t="inlineStr">
        <is>
          <t>✅ คำตอบที่ถูกต้อง: ข้อ ก. Tramadol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 คำอธิบายและข้อกำหนดทางกฎหมาย:
💡 คำอธิบายและข้อกำหนดทางกฎหมาย: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(Gemfibrozil): ห้ามใช้ร่วมกับ statins เด็ดขาด เนื่องจากยับยั้ง OATP1B1 glucuronidation ทำให้ระดับ statin ในเลือดพุ่งสูงและเกิด severe rhabdomyolysis
• ข้อ จ. (ทุกตัวต้องท้า):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9" s="18" t="inlineStr"/>
      <c r="L509" s="18" t="inlineStr">
        <is>
          <t>Pharmacy Laws &amp; Ethics</t>
        </is>
      </c>
      <c r="M509" s="18" t="inlineStr">
        <is>
          <t>SAP</t>
        </is>
      </c>
      <c r="N509" s="18" t="inlineStr">
        <is>
          <t>ข้อ 5 (PLE_CC1_2560 22 April Set 1.md)</t>
        </is>
      </c>
      <c r="O509" s="18" t="inlineStr">
        <is>
          <t>ข้อสอบจริง</t>
        </is>
      </c>
      <c r="P509" s="18" t="inlineStr">
        <is>
          <t>ปี 2560</t>
        </is>
      </c>
    </row>
    <row r="510">
      <c r="A510" s="15" t="inlineStr">
        <is>
          <t>531</t>
        </is>
      </c>
      <c r="B510" s="18" t="inlineStr">
        <is>
          <t>เภสัชกรพบว่ามีการใช้ยาแผนโบราณแก้ปวดเมื่อยผงสีเหลืองระบาดอยู่ในชุมชน พบว่ายามีสเตียรอยด์ผสมอยู่ จะใช้การประเมินใดในการหาสาเหตุของการระบาดครั งนี</t>
        </is>
      </c>
      <c r="C510" s="18" t="inlineStr"/>
      <c r="D510" s="18" t="inlineStr">
        <is>
          <t>Social assessment</t>
        </is>
      </c>
      <c r="E510" s="18" t="inlineStr">
        <is>
          <t>behavior &amp; environment</t>
        </is>
      </c>
      <c r="F510" s="18" t="inlineStr">
        <is>
          <t>outcome assessment</t>
        </is>
      </c>
      <c r="G510" s="18" t="inlineStr">
        <is>
          <t>Epidemiological…..</t>
        </is>
      </c>
      <c r="H510" s="18" t="inlineStr">
        <is>
          <t>Administrative &amp; Policy</t>
        </is>
      </c>
      <c r="I510" s="15" t="inlineStr">
        <is>
          <t>1</t>
        </is>
      </c>
      <c r="J510" s="18" t="inlineStr">
        <is>
          <t>✅ คำตอบที่ถูกต้อง: ข้อ ก. Social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Social assessment 💡 คำอธิบายและเหตุผลทางเภสัชกรรม:
💡 คำอธิบายและเหตุผลทางเภสัชกรรม:
การเลือก Social assessment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(behavior &amp; environment): ข้อนี้ไม่ใช่คำตอบที่ถูกต้องสำหรับภาวะ Herbal Medicine เนื่องจากกลไกการออกฤทธิ์, efficacy หรือข้อบ่งใช้ไม่ตรงกับโจทย์ที่กำหนด
• ข้อ ค. (outcome assessment): ข้อนี้ไม่ใช่คำตอบที่ถูกต้องสำหรับภาวะ Herbal Medicine เนื่องจากกลไกการออกฤทธิ์, efficacy หรือข้อบ่งใช้ไม่ตรงกับโจทย์ที่กำหนด
• ข้อ ง. (Epidemiological…..): ข้อนี้ไม่ใช่คำตอบที่ถูกต้องสำหรับภาวะ Herbal Medicine เนื่องจากกลไกการออกฤทธิ์, efficacy หรือข้อบ่งใช้ไม่ตรงกับโจทย์ที่กำหนด
• ข้อ จ. (Administrative &amp; Policy):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0" s="18" t="inlineStr"/>
      <c r="L510" s="18" t="inlineStr">
        <is>
          <t>Herbal Medicine</t>
        </is>
      </c>
      <c r="M510" s="18" t="inlineStr">
        <is>
          <t>Product</t>
        </is>
      </c>
      <c r="N510" s="18" t="inlineStr">
        <is>
          <t>ข้อ 7 (PLE_CC1_2560 22 April Set 1.md)</t>
        </is>
      </c>
      <c r="O510" s="18" t="inlineStr">
        <is>
          <t>ข้อสอบจริง</t>
        </is>
      </c>
      <c r="P510" s="18" t="inlineStr">
        <is>
          <t>ปี 2560</t>
        </is>
      </c>
    </row>
    <row r="511">
      <c r="A511" s="15" t="inlineStr">
        <is>
          <t>532</t>
        </is>
      </c>
      <c r="B511" s="18" t="inlineStr">
        <is>
          <t>ถ้าพบว่ามีการยาที่หมดอายุแล้ววางปนอยู่บนชั นขายยา จัดว่าเป็นยาประเภทใด</t>
        </is>
      </c>
      <c r="C511" s="18" t="inlineStr"/>
      <c r="D511" s="18" t="inlineStr">
        <is>
          <t>ยาผิดมาตรฐาน</t>
        </is>
      </c>
      <c r="E511" s="18" t="inlineStr">
        <is>
          <t>ยาปลอม</t>
        </is>
      </c>
      <c r="F511" s="18" t="inlineStr">
        <is>
          <t>ยาเสื่อมคุณภาพ</t>
        </is>
      </c>
      <c r="G511" s="18" t="inlineStr">
        <is>
          <t>ยาเพิกถอนทะเบียน</t>
        </is>
      </c>
      <c r="H511" s="18" t="inlineStr">
        <is>
          <t>ยาที่ไม่ได้ขึ นทะเบียน รวมโดย Phongsathorn Phlaisaithong Rx 9 UP 26 | P a g e</t>
        </is>
      </c>
      <c r="I511" s="15" t="inlineStr">
        <is>
          <t>1</t>
        </is>
      </c>
      <c r="J511" s="18" t="inlineStr">
        <is>
          <t>✅ คำตอบที่ถูกต้อง: ข้อ ก. ยาผิดมาตรฐาน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ยาผิดมาตรฐาน การเลือก ยาผิดมาตรฐาน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 นทะเบียน รวมโดย Phongsathorn Phlaisaithong Rx 9 UP 26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1" s="18" t="inlineStr"/>
      <c r="L511" s="18" t="inlineStr">
        <is>
          <t>General Therapeutics</t>
        </is>
      </c>
      <c r="M511" s="18" t="inlineStr">
        <is>
          <t>Clinic</t>
        </is>
      </c>
      <c r="N511" s="18" t="inlineStr">
        <is>
          <t>ข้อ 8 (PLE_CC1_2560 22 April Set 1.md)</t>
        </is>
      </c>
      <c r="O511" s="18" t="inlineStr">
        <is>
          <t>ข้อสอบจริง</t>
        </is>
      </c>
      <c r="P511" s="18" t="inlineStr">
        <is>
          <t>ปี 2560</t>
        </is>
      </c>
    </row>
    <row r="512">
      <c r="A512" s="15" t="inlineStr">
        <is>
          <t>533</t>
        </is>
      </c>
      <c r="B512" s="18" t="inlineStr">
        <is>
          <t>โฆษณาขายยาแผนโบราณทางวิทยุ เป็นยาน ้าแก้ปวดเมื่อย โดยให้นักฟุตบอลทีมชาติชื่อดังพูดว่า “ยานี ดีจริงๆ กินแล้วหายปวดเมื่อย” มีความผิดเรื่องการโฆษณาตามข้อใดชัดเจนที่สุด</t>
        </is>
      </c>
      <c r="C512" s="18" t="inlineStr"/>
      <c r="D512" s="18" t="inlineStr">
        <is>
          <t>Gingerol quantification in Zingiber officinale</t>
        </is>
      </c>
      <c r="E512" s="18" t="inlineStr">
        <is>
          <t>Maceration with Ethanol 70% solvent</t>
        </is>
      </c>
      <c r="F512" s="18" t="inlineStr">
        <is>
          <t>Soxhlet Extraction for heat-stable phytochemicals</t>
        </is>
      </c>
      <c r="G512" s="18" t="inlineStr">
        <is>
          <t>Supercritical Fluid Extraction (SFE-CO2)</t>
        </is>
      </c>
      <c r="H512" s="18" t="inlineStr">
        <is>
          <t>Standardized Curcuminoids in Curcuma longa</t>
        </is>
      </c>
      <c r="I512" s="15" t="inlineStr">
        <is>
          <t>1</t>
        </is>
      </c>
      <c r="J512" s="18"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Medicine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2" s="18" t="inlineStr"/>
      <c r="L512" s="18" t="inlineStr">
        <is>
          <t>Herbal Medicine</t>
        </is>
      </c>
      <c r="M512" s="18" t="inlineStr">
        <is>
          <t>Product</t>
        </is>
      </c>
      <c r="N512" s="18" t="inlineStr">
        <is>
          <t>ข้อ 10 (PLE_CC1_2560 22 April Set 1.md)</t>
        </is>
      </c>
      <c r="O512" s="18" t="inlineStr">
        <is>
          <t>ข้อสอบจริง</t>
        </is>
      </c>
      <c r="P512" s="18" t="inlineStr">
        <is>
          <t>ปี 2560</t>
        </is>
      </c>
    </row>
    <row r="513">
      <c r="A513" s="15" t="inlineStr">
        <is>
          <t>534</t>
        </is>
      </c>
      <c r="B513" s="18" t="inlineStr">
        <is>
          <t>ยาแผนโบราณข้างต้นไม่สามารถขายได้ในสถานที่ใด</t>
        </is>
      </c>
      <c r="C513" s="18" t="inlineStr"/>
      <c r="D513" s="18" t="inlineStr">
        <is>
          <t>ร้านขายสมุนไพร</t>
        </is>
      </c>
      <c r="E513" s="18" t="inlineStr">
        <is>
          <t>ร้านขายยาแผนปัจจุบัน</t>
        </is>
      </c>
      <c r="F513" s="18" t="inlineStr">
        <is>
          <t>ร้านขายยาส่งแผนปัจจุบัน</t>
        </is>
      </c>
      <c r="G513" s="18" t="inlineStr">
        <is>
          <t>ร้าน ขย2</t>
        </is>
      </c>
      <c r="H513" s="18" t="inlineStr">
        <is>
          <t>ร้านขายยาแผนโบราณ</t>
        </is>
      </c>
      <c r="I513" s="15" t="inlineStr">
        <is>
          <t>1</t>
        </is>
      </c>
      <c r="J513" s="18" t="inlineStr">
        <is>
          <t>✅ คำตอบที่ถูกต้อง: ข้อ ก. ร้านขายสมุนไพร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(ร้านขายยาแผนปัจจุบัน):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ง. (ร้าน ขย2): ข้อนี้ไม่ใช่คำตอบที่ถูกต้องสำหรับภาวะ Herbal Medicine เนื่องจากกลไกการออกฤทธิ์, efficacy หรือข้อบ่งใช้ไม่ตรงกับโจทย์ที่กำหนด
• ข้อ จ. (ร้านขายยาแผนโบราณ):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3" s="18" t="inlineStr"/>
      <c r="L513" s="18" t="inlineStr">
        <is>
          <t>Herbal Medicine</t>
        </is>
      </c>
      <c r="M513" s="18" t="inlineStr">
        <is>
          <t>Product</t>
        </is>
      </c>
      <c r="N513" s="18" t="inlineStr">
        <is>
          <t>ข้อ 11 (PLE_CC1_2560 22 April Set 1.md)</t>
        </is>
      </c>
      <c r="O513" s="18" t="inlineStr">
        <is>
          <t>ข้อสอบจริง</t>
        </is>
      </c>
      <c r="P513" s="18" t="inlineStr">
        <is>
          <t>ปี 2560</t>
        </is>
      </c>
    </row>
    <row r="514">
      <c r="A514" s="15" t="inlineStr">
        <is>
          <t>535</t>
        </is>
      </c>
      <c r="B514" s="18" t="inlineStr">
        <is>
          <t>หากข้อสอบ หรือตัวเลือกมันแปลกๆ พี่ๆ ต้องข้อโทษด้วย เขียนเท่าที่นึกกันได้ (เข้าใจถึงความ real นะ)</t>
        </is>
      </c>
      <c r="C514" s="18" t="inlineStr"/>
      <c r="D514" s="18" t="inlineStr">
        <is>
          <t>Dimercaprol (BAL) 3 mg/kg IM</t>
        </is>
      </c>
      <c r="E514" s="18" t="inlineStr">
        <is>
          <t>Ethanol 10% IV infusion for Methanol poisoning</t>
        </is>
      </c>
      <c r="F514" s="18" t="inlineStr">
        <is>
          <t>Fomepizole 15 mg/kg IV loading</t>
        </is>
      </c>
      <c r="G514" s="18" t="inlineStr">
        <is>
          <t>N-acetylcysteine (NAC) IV infusion protocol</t>
        </is>
      </c>
      <c r="H514" s="18" t="inlineStr">
        <is>
          <t>Atropine sulfate 2 mg IV Q5-10 min</t>
        </is>
      </c>
      <c r="I514" s="15" t="inlineStr">
        <is>
          <t>1</t>
        </is>
      </c>
      <c r="J5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4" s="18" t="inlineStr"/>
      <c r="L514" s="18" t="inlineStr">
        <is>
          <t>General Therapeutics</t>
        </is>
      </c>
      <c r="M514" s="18" t="inlineStr">
        <is>
          <t>Clinic</t>
        </is>
      </c>
      <c r="N514" s="18" t="inlineStr">
        <is>
          <t>ข้อ 2 (PLE_CC1_2560 22 April Set 2.md)</t>
        </is>
      </c>
      <c r="O514" s="18" t="inlineStr">
        <is>
          <t>ข้อสอบจริง</t>
        </is>
      </c>
      <c r="P514" s="18" t="inlineStr">
        <is>
          <t>ปี 2560</t>
        </is>
      </c>
    </row>
    <row r="515">
      <c r="A515" s="15" t="inlineStr">
        <is>
          <t>536</t>
        </is>
      </c>
      <c r="B515" s="18" t="inlineStr">
        <is>
          <t>รักษาอาการด้วยยาใด</t>
        </is>
      </c>
      <c r="C515" s="18" t="inlineStr"/>
      <c r="D515" s="18" t="inlineStr">
        <is>
          <t>Moxifloxacin 400 mg 1x1 7 days</t>
        </is>
      </c>
      <c r="E515" s="18" t="inlineStr">
        <is>
          <t>Eryhthromycin 300 mg 1x2 7 days</t>
        </is>
      </c>
      <c r="F515" s="18" t="inlineStr">
        <is>
          <t>Cefixime 400 mg OD single dose</t>
        </is>
      </c>
      <c r="G515" s="18" t="inlineStr">
        <is>
          <t>Metronidazole 2 g hs single dose</t>
        </is>
      </c>
      <c r="H515" s="18" t="inlineStr">
        <is>
          <t>...</t>
        </is>
      </c>
      <c r="I515" s="15" t="inlineStr">
        <is>
          <t>1</t>
        </is>
      </c>
      <c r="J515" s="18"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5" s="18" t="inlineStr"/>
      <c r="L515" s="18" t="inlineStr">
        <is>
          <t>General Therapeutics</t>
        </is>
      </c>
      <c r="M515" s="18" t="inlineStr">
        <is>
          <t>Clinic</t>
        </is>
      </c>
      <c r="N515" s="18" t="inlineStr">
        <is>
          <t>ข้อ 2 (PLE_CC1_2560 22 April Set 2.md)</t>
        </is>
      </c>
      <c r="O515" s="18" t="inlineStr">
        <is>
          <t>ข้อสอบจริง</t>
        </is>
      </c>
      <c r="P515" s="18" t="inlineStr">
        <is>
          <t>ปี 2560</t>
        </is>
      </c>
    </row>
    <row r="516">
      <c r="A516" s="15" t="inlineStr">
        <is>
          <t>537</t>
        </is>
      </c>
      <c r="B516" s="18" t="inlineStr">
        <is>
          <t>ต้องใช้ยาใดร่วมด้วย</t>
        </is>
      </c>
      <c r="C516" s="18" t="inlineStr"/>
      <c r="D516" s="18" t="inlineStr">
        <is>
          <t>Azithromycin</t>
        </is>
      </c>
      <c r="E516" s="18" t="inlineStr">
        <is>
          <t>...</t>
        </is>
      </c>
      <c r="F516" s="18" t="inlineStr">
        <is>
          <t>Vitamin K1 (Phytomenadione) 10 mg IV slow</t>
        </is>
      </c>
      <c r="G516" s="18" t="inlineStr">
        <is>
          <t>Sodium thiosulfate 25% 50 mL IV</t>
        </is>
      </c>
      <c r="H516" s="18" t="inlineStr">
        <is>
          <t>Calcium disodium EDTA 1 g IV</t>
        </is>
      </c>
      <c r="I516" s="15" t="inlineStr">
        <is>
          <t>1</t>
        </is>
      </c>
      <c r="J516" s="18"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6" s="18" t="inlineStr"/>
      <c r="L516" s="18" t="inlineStr">
        <is>
          <t>General Therapeutics</t>
        </is>
      </c>
      <c r="M516" s="18" t="inlineStr">
        <is>
          <t>Clinic</t>
        </is>
      </c>
      <c r="N516" s="18" t="inlineStr">
        <is>
          <t>ข้อ 3 (PLE_CC1_2560 22 April Set 2.md)</t>
        </is>
      </c>
      <c r="O516" s="18" t="inlineStr">
        <is>
          <t>ข้อสอบจริง</t>
        </is>
      </c>
      <c r="P516" s="18" t="inlineStr">
        <is>
          <t>ปี 2560</t>
        </is>
      </c>
    </row>
    <row r="517">
      <c r="A517" s="15" t="inlineStr">
        <is>
          <t>538</t>
        </is>
      </c>
      <c r="B517" s="18" t="inlineStr">
        <is>
          <t>แพทย์ทำการศึกษาการรักษาหนองในแท้ โดยเปรียบเทียบ กลุ่มแรกได้รับยารับประทาน กลุ่ม สองได้รับยาฉีดเข้ากล้ามเนื้อ และติดตามผู้ป่วยไปข้างหน้า ถามว่า เป็นการศึกษาแบบใด</t>
        </is>
      </c>
      <c r="C517" s="18" t="inlineStr"/>
      <c r="D517" s="18" t="inlineStr">
        <is>
          <t>Case series</t>
        </is>
      </c>
      <c r="E517" s="18" t="inlineStr">
        <is>
          <t>Case-control</t>
        </is>
      </c>
      <c r="F517" s="18" t="inlineStr">
        <is>
          <t>Cohort</t>
        </is>
      </c>
      <c r="G517" s="18" t="inlineStr">
        <is>
          <t>Cross-sectional study</t>
        </is>
      </c>
      <c r="H517" s="18" t="inlineStr">
        <is>
          <t>...</t>
        </is>
      </c>
      <c r="I517" s="15" t="inlineStr">
        <is>
          <t>1</t>
        </is>
      </c>
      <c r="J517" s="18"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7" s="18" t="inlineStr"/>
      <c r="L517" s="18" t="inlineStr">
        <is>
          <t>General Therapeutics</t>
        </is>
      </c>
      <c r="M517" s="18" t="inlineStr">
        <is>
          <t>Clinic</t>
        </is>
      </c>
      <c r="N517" s="18" t="inlineStr">
        <is>
          <t>ข้อ 6 (PLE_CC1_2560 22 April Set 2.md)</t>
        </is>
      </c>
      <c r="O517" s="18" t="inlineStr">
        <is>
          <t>ข้อสอบจริง</t>
        </is>
      </c>
      <c r="P517" s="18" t="inlineStr">
        <is>
          <t>ปี 2560</t>
        </is>
      </c>
    </row>
    <row r="518">
      <c r="A518" s="15" t="inlineStr">
        <is>
          <t>539</t>
        </is>
      </c>
      <c r="B518" s="18" t="inlineStr">
        <is>
          <t>ข้อใดเกี่ยวข้องกับภาวะ Ergotism มากที่สุด</t>
        </is>
      </c>
      <c r="C518" s="18" t="inlineStr"/>
      <c r="D518" s="18" t="inlineStr">
        <is>
          <t>Roxithromycin 20 MCQ11 2/2560 By CU Rx73 MCQ11 2/2560 By CU Rx73</t>
        </is>
      </c>
      <c r="E518" s="18" t="inlineStr">
        <is>
          <t>Lopinavir</t>
        </is>
      </c>
      <c r="F518" s="18" t="inlineStr">
        <is>
          <t>Fluconazole</t>
        </is>
      </c>
      <c r="G518" s="18" t="inlineStr">
        <is>
          <t>Isoniazid</t>
        </is>
      </c>
      <c r="H518" s="18" t="inlineStr">
        <is>
          <t>Esomeprazole</t>
        </is>
      </c>
      <c r="I518" s="15" t="inlineStr">
        <is>
          <t>1</t>
        </is>
      </c>
      <c r="J518" s="18" t="inlineStr">
        <is>
          <t>✅ คำตอบที่ถูกต้อง: ข้อ ก. Roxithromycin 20 MCQ11 2/2560 By CU Rx73 MCQ11 2/2560 By CU Rx73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Roxithromycin 20 MCQ11 2/2560 By CU Rx73 MCQ11 2/2560 By CU Rx73 การเลือก Roxithromycin 20 MCQ11 2/2560 By CU Rx73 MCQ11 2/2560 By CU Rx73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(Lopinavir): ข้อนี้ไม่ใช่คำตอบที่ถูกต้องสำหรับภาวะ General Therapeutics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8" s="18" t="inlineStr"/>
      <c r="L518" s="18" t="inlineStr">
        <is>
          <t>General Therapeutics</t>
        </is>
      </c>
      <c r="M518" s="18" t="inlineStr">
        <is>
          <t>Clinic</t>
        </is>
      </c>
      <c r="N518" s="18" t="inlineStr">
        <is>
          <t>ข้อ 6 (PLE_CC1_2560 22 April Set 2.md)</t>
        </is>
      </c>
      <c r="O518" s="18" t="inlineStr">
        <is>
          <t>ข้อสอบจริง</t>
        </is>
      </c>
      <c r="P518" s="18" t="inlineStr">
        <is>
          <t>ปี 2560</t>
        </is>
      </c>
    </row>
    <row r="519">
      <c r="A519" s="15" t="inlineStr">
        <is>
          <t>540</t>
        </is>
      </c>
      <c r="B519" s="18" t="inlineStr">
        <is>
          <t>แนวทางการจัดการผู้ป่วยรายนี้ ข้อใดถูกต้อง</t>
        </is>
      </c>
      <c r="C519" s="18" t="inlineStr"/>
      <c r="D519" s="18" t="inlineStr">
        <is>
          <t>เปลี่ยน Diltiazem เป็น Amlodipine</t>
        </is>
      </c>
      <c r="E519" s="18" t="inlineStr">
        <is>
          <t>เพิ่ม Diltiazem จาก 1x2 เป็น 1x3</t>
        </is>
      </c>
      <c r="F519" s="18" t="inlineStr">
        <is>
          <t>เปลี่ยน Simvastatin เป็น Atorvastin</t>
        </is>
      </c>
      <c r="G519" s="18" t="inlineStr">
        <is>
          <t>เพิ่ม Hydralazine</t>
        </is>
      </c>
      <c r="H519" s="18" t="inlineStr">
        <is>
          <t>หยุด Aspirin เนื่องจาก ไม่มีข้อบ่งใช้ 22 MCQ11 2/2560 By CU Rx73 MCQ11 2/2560 By CU Rx73</t>
        </is>
      </c>
      <c r="I519" s="15" t="inlineStr">
        <is>
          <t>1</t>
        </is>
      </c>
      <c r="J519" s="18"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22 MCQ11 2/2560 By CU Rx73 MCQ11 2/2560 By CU Rx73):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9" s="18" t="inlineStr"/>
      <c r="L519" s="18" t="inlineStr">
        <is>
          <t>General Therapeutics</t>
        </is>
      </c>
      <c r="M519" s="18" t="inlineStr">
        <is>
          <t>Clinic</t>
        </is>
      </c>
      <c r="N519" s="18" t="inlineStr">
        <is>
          <t>ข้อ 4 (PLE_CC1_2560 22 April Set 2.md)</t>
        </is>
      </c>
      <c r="O519" s="18" t="inlineStr">
        <is>
          <t>ข้อสอบจริง</t>
        </is>
      </c>
      <c r="P519" s="18" t="inlineStr">
        <is>
          <t>ปี 2560</t>
        </is>
      </c>
    </row>
    <row r="520">
      <c r="A520" s="15" t="inlineStr">
        <is>
          <t>541</t>
        </is>
      </c>
      <c r="B520" s="18" t="inlineStr">
        <is>
          <t>ข้อใดเป็นคำแนะนำที่ไม่ถูกต้องในผู้ป่วยรายนี้</t>
        </is>
      </c>
      <c r="C520" s="18" t="inlineStr"/>
      <c r="D520" s="18" t="inlineStr">
        <is>
          <t>ลดการดื่มเหล้า เบียร์</t>
        </is>
      </c>
      <c r="E520" s="18" t="inlineStr">
        <is>
          <t>ประคบเย็นบริเวณที่ปวด</t>
        </is>
      </c>
      <c r="F520" s="18" t="inlineStr">
        <is>
          <t>งดการกินเกลือปริมาณมาก</t>
        </is>
      </c>
      <c r="G520" s="18" t="inlineStr">
        <is>
          <t>หลีกเลี่ยงการออกกำลังกายหักโหม</t>
        </is>
      </c>
      <c r="H520" s="18" t="inlineStr">
        <is>
          <t>พักการใช้ข้อ</t>
        </is>
      </c>
      <c r="I520" s="15" t="inlineStr">
        <is>
          <t>1</t>
        </is>
      </c>
      <c r="J520" s="18" t="inlineStr">
        <is>
          <t>✅ คำตอบที่ถูกต้อง: ข้อ ก. ลดการดื่มเหล้า เบียร์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ลดการดื่มเหล้า เบียร์ การเลือก ลดการดื่มเหล้า เบียร์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(ประคบเย็นบริเวณที่ปวด): ข้อนี้ไม่ใช่คำตอบที่ถูกต้องสำหรับภาวะ General Therapeutics เนื่องจากกลไกการออกฤทธิ์, efficacy หรือข้อบ่งใช้ไม่ตรงกับโจทย์ที่กำหนด
• ข้อ ค. (งดการกินเกลือปริมาณมาก):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(หลีกเลี่ยงการออกกำลังกายหักโหม): ข้อนี้ไม่ใช่คำตอบที่ถูกต้องสำหรับภาวะ General Therapeutics เนื่องจากกลไกการออกฤทธิ์, efficacy หรือข้อบ่งใช้ไม่ตรงกับโจทย์ที่กำหนด
• ข้อ จ. (พักการใช้ข้อ):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0" s="18" t="inlineStr"/>
      <c r="L520" s="18" t="inlineStr">
        <is>
          <t>General Therapeutics</t>
        </is>
      </c>
      <c r="M520" s="18" t="inlineStr">
        <is>
          <t>Clinic</t>
        </is>
      </c>
      <c r="N520" s="18" t="inlineStr">
        <is>
          <t>ข้อ 3 (PLE_CC1_2560 22 April Set 2.md)</t>
        </is>
      </c>
      <c r="O520" s="18" t="inlineStr">
        <is>
          <t>ข้อสอบจริง</t>
        </is>
      </c>
      <c r="P520" s="18" t="inlineStr">
        <is>
          <t>ปี 2560</t>
        </is>
      </c>
    </row>
    <row r="521">
      <c r="A521" s="15" t="inlineStr">
        <is>
          <t>542</t>
        </is>
      </c>
      <c r="B521" s="18" t="inlineStr">
        <is>
          <t>ทำการศึกษาเกี่ยวกับผลข้างเคียงจากการใช้ยา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21" s="18" t="inlineStr"/>
      <c r="D521" s="18" t="inlineStr">
        <is>
          <t>Descriptive survey study</t>
        </is>
      </c>
      <c r="E521" s="18" t="inlineStr">
        <is>
          <t>Meta-analysis</t>
        </is>
      </c>
      <c r="F521" s="18" t="inlineStr">
        <is>
          <t>Systematic review</t>
        </is>
      </c>
      <c r="G521" s="18" t="inlineStr">
        <is>
          <t>Randomized controlled trial</t>
        </is>
      </c>
      <c r="H521" s="18" t="inlineStr">
        <is>
          <t>open label single blind randomized controlled trial</t>
        </is>
      </c>
      <c r="I521" s="15" t="inlineStr">
        <is>
          <t>1</t>
        </is>
      </c>
      <c r="J521" s="18"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1" s="18" t="inlineStr"/>
      <c r="L521" s="18" t="inlineStr">
        <is>
          <t>General Therapeutics</t>
        </is>
      </c>
      <c r="M521" s="18" t="inlineStr">
        <is>
          <t>Clinic</t>
        </is>
      </c>
      <c r="N521" s="18" t="inlineStr">
        <is>
          <t>ข้อ 7 (PLE_CC1_2560 22 April Set 2.md)</t>
        </is>
      </c>
      <c r="O521" s="18" t="inlineStr">
        <is>
          <t>ข้อสอบจริง</t>
        </is>
      </c>
      <c r="P521" s="18" t="inlineStr">
        <is>
          <t>ปี 2560</t>
        </is>
      </c>
    </row>
    <row r="522">
      <c r="A522" s="15" t="inlineStr">
        <is>
          <t>543</t>
        </is>
      </c>
      <c r="B522" s="18" t="inlineStr">
        <is>
          <t>จากกรณีศึกษาข้างต้นควรเพิ่มยาใดในการรักษาเพื่อบรรเทาอาการเป็นอันดับแรก</t>
        </is>
      </c>
      <c r="C522" s="18" t="inlineStr"/>
      <c r="D522" s="18" t="inlineStr">
        <is>
          <t>Furosemide</t>
        </is>
      </c>
      <c r="E522" s="18" t="inlineStr">
        <is>
          <t>Isosorbide dinitrate</t>
        </is>
      </c>
      <c r="F522" s="18" t="inlineStr">
        <is>
          <t>Amlodipine</t>
        </is>
      </c>
      <c r="G522" s="18" t="inlineStr">
        <is>
          <t>Verapamil</t>
        </is>
      </c>
      <c r="H522" s="18" t="inlineStr">
        <is>
          <t>Hydralazine</t>
        </is>
      </c>
      <c r="I522" s="15" t="inlineStr">
        <is>
          <t>1</t>
        </is>
      </c>
      <c r="J522" s="18"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(Verapamil): เป็น non-DHP CCB ออกฤทธิ์กด SA/AV node เด่นชัด ห้ามใช้ร่วมกับ beta-blockers IV หรือใน HFrEF และทำให้เกิดอาการท้องผูก (constipation) บ่อย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22" s="18" t="inlineStr"/>
      <c r="L522" s="18" t="inlineStr">
        <is>
          <t>General Therapeutics</t>
        </is>
      </c>
      <c r="M522" s="18" t="inlineStr">
        <is>
          <t>Clinic</t>
        </is>
      </c>
      <c r="N522" s="18" t="inlineStr">
        <is>
          <t>ข้อ 2 (PLE_CC1_2559.md)</t>
        </is>
      </c>
      <c r="O522" s="18" t="inlineStr">
        <is>
          <t>ข้อสอบจริง</t>
        </is>
      </c>
      <c r="P522" s="18" t="inlineStr">
        <is>
          <t>ปี 2559</t>
        </is>
      </c>
    </row>
    <row r="523">
      <c r="A523" s="15" t="inlineStr">
        <is>
          <t>544</t>
        </is>
      </c>
      <c r="B523" s="18" t="inlineStr">
        <is>
          <t>หากนักศึกษาจะพิจารณาเปลี่ยนยา Atenolol ควรจะเปลี่ยนเป็นยาใดจึงเหมาะสมที่สุด</t>
        </is>
      </c>
      <c r="C523" s="18" t="inlineStr"/>
      <c r="D523" s="18" t="inlineStr">
        <is>
          <t>Propranolol</t>
        </is>
      </c>
      <c r="E523" s="18" t="inlineStr">
        <is>
          <t>Labetalol</t>
        </is>
      </c>
      <c r="F523" s="18" t="inlineStr">
        <is>
          <t>Carvedilol</t>
        </is>
      </c>
      <c r="G523" s="18" t="inlineStr">
        <is>
          <t>Metoprolol tartrate</t>
        </is>
      </c>
      <c r="H523" s="18" t="inlineStr">
        <is>
          <t>Nadolol</t>
        </is>
      </c>
      <c r="I523" s="15" t="inlineStr">
        <is>
          <t>1</t>
        </is>
      </c>
      <c r="J523" s="18"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(Labetalol): ข้อนี้ไม่ใช่คำตอบที่ถูกต้องสำหรับภาวะ General Therapeutics เนื่องจากกลไกการออกฤทธิ์, efficacy หรือข้อบ่งใช้ไม่ตรงกับโจทย์ที่กำหนด
• ข้อ ค. (Carvedilol): เป็น non-selective beta-blocker ร่วมกับ alpha-1 blocker ช่วยลด afterload เป็น first-line GDMT ใน HFrEF ที่มี efficacy สูงในการลด mortality
• ข้อ ง. (Metoprolol tartrate): ข้อนี้ไม่ใช่คำตอบที่ถูกต้องสำหรับภาวะ General Therapeutics เนื่องจากกลไกการออกฤทธิ์, efficacy หรือข้อบ่งใช้ไม่ตรงกับโจทย์ที่กำหนด
• ข้อ จ. (Nadolol):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3" s="18" t="inlineStr"/>
      <c r="L523" s="18" t="inlineStr">
        <is>
          <t>General Therapeutics</t>
        </is>
      </c>
      <c r="M523" s="18" t="inlineStr">
        <is>
          <t>Clinic</t>
        </is>
      </c>
      <c r="N523" s="18" t="inlineStr">
        <is>
          <t>ข้อ 3 (PLE_CC1_2559.md)</t>
        </is>
      </c>
      <c r="O523" s="18" t="inlineStr">
        <is>
          <t>ข้อสอบจริง</t>
        </is>
      </c>
      <c r="P523" s="18" t="inlineStr">
        <is>
          <t>ปี 2559</t>
        </is>
      </c>
    </row>
    <row r="524">
      <c r="A524" s="15" t="inlineStr">
        <is>
          <t>545</t>
        </is>
      </c>
      <c r="B524" s="18" t="inlineStr">
        <is>
          <t>ยาในข้อใดที่ไม่ช่วยลดอัตราการตายในผู้ป่วย HFrEF</t>
        </is>
      </c>
      <c r="C524" s="18" t="inlineStr"/>
      <c r="D524" s="18" t="inlineStr">
        <is>
          <t>Digoxin</t>
        </is>
      </c>
      <c r="E524" s="18" t="inlineStr">
        <is>
          <t>Carvedilol</t>
        </is>
      </c>
      <c r="F524" s="18" t="inlineStr">
        <is>
          <t>Lisinopril</t>
        </is>
      </c>
      <c r="G524" s="18" t="inlineStr">
        <is>
          <t>Valsartan</t>
        </is>
      </c>
      <c r="H524" s="18" t="inlineStr">
        <is>
          <t>Spironolactone</t>
        </is>
      </c>
      <c r="I524" s="15" t="inlineStr">
        <is>
          <t>1</t>
        </is>
      </c>
      <c r="J524" s="18"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(Lisinopril): ข้อนี้ไม่ใช่คำตอบที่ถูกต้องสำหรับภาวะ General Therapeutics เนื่องจากกลไกการออกฤทธิ์, efficacy หรือข้อบ่งใช้ไม่ตรงกับโจทย์ที่กำหนด
• ข้อ ง. (Valsartan): เป็น ARB ที่มี clinical evidence ชัดเจนใน Heart Failure (ร่วมกับ sacubitril เป็น ARNI) และ post-MI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4" s="18" t="inlineStr"/>
      <c r="L524" s="18" t="inlineStr">
        <is>
          <t>General Therapeutics</t>
        </is>
      </c>
      <c r="M524" s="18" t="inlineStr">
        <is>
          <t>Clinic</t>
        </is>
      </c>
      <c r="N524" s="18" t="inlineStr">
        <is>
          <t>ข้อ 4 (PLE_CC1_2559.md)</t>
        </is>
      </c>
      <c r="O524" s="18" t="inlineStr">
        <is>
          <t>ข้อสอบจริง</t>
        </is>
      </c>
      <c r="P524" s="18" t="inlineStr">
        <is>
          <t>ปี 2559</t>
        </is>
      </c>
    </row>
    <row r="525">
      <c r="A525" s="15" t="inlineStr">
        <is>
          <t>546</t>
        </is>
      </c>
      <c r="B525" s="18" t="inlineStr">
        <is>
          <t>ผู้ป่วยรายนี จัดอยู่ stage การรักษาใดตาม GOLD guideline 2015</t>
        </is>
      </c>
      <c r="C525" s="18" t="inlineStr"/>
      <c r="D525" s="18" t="inlineStr">
        <is>
          <t>Stage A</t>
        </is>
      </c>
      <c r="E525" s="18" t="inlineStr">
        <is>
          <t>Stage B</t>
        </is>
      </c>
      <c r="F525" s="18" t="inlineStr">
        <is>
          <t>Stage C</t>
        </is>
      </c>
      <c r="G525" s="18" t="inlineStr">
        <is>
          <t>Stage D</t>
        </is>
      </c>
      <c r="H525" s="18" t="inlineStr">
        <is>
          <t>ไม่สามารถจัดได้เนื่องจากข้อมูลไม่เพียงพอ ห้ามนำไปทำซ้ำทุกกรณี เว้นแต่จะได้รับอนุญาต</t>
        </is>
      </c>
      <c r="I525" s="15" t="inlineStr">
        <is>
          <t>1</t>
        </is>
      </c>
      <c r="J525" s="18" t="inlineStr">
        <is>
          <t>✅ คำตอบที่ถูกต้อง: ข้อ ก. Stage 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Stage A การเลือก Stage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(Stage B): ข้อนี้ไม่ใช่คำตอบที่ถูกต้องสำหรับภาวะ General Therapeutics เนื่องจากกลไกการออกฤทธิ์, efficacy หรือข้อบ่งใช้ไม่ตรงกับโจทย์ที่กำหนด
• ข้อ ค. (Stage C): ข้อนี้ไม่ใช่คำตอบที่ถูกต้องสำหรับภาวะ General Therapeutics เนื่องจากกลไกการออกฤทธิ์, efficacy หรือข้อบ่งใช้ไม่ตรงกับโจทย์ที่กำหนด
• ข้อ ง. (Stage D): ข้อนี้ไม่ใช่คำตอบที่ถูกต้องสำหรับภาวะ General Therapeutics เนื่องจากกลไกการออกฤทธิ์, efficacy หรือข้อบ่งใช้ไม่ตรงกับโจทย์ที่กำหนด
• ข้อ จ. (ไม่สามารถจัดได้เนื่องจากข้อมูลไม่เพียงพอ ห้ามนำไปทำซ้ำทุกกรณี เว้นแต่จะได้รับอนุญาต): ข้อนี้ไม่ถูกต้องเนื่องจากข้อมูล clinical parameters ในโจทย์เพียงพอต่อการตัดสินใจตาม CPG แล้ว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5" s="18" t="inlineStr"/>
      <c r="L525" s="18" t="inlineStr">
        <is>
          <t>General Therapeutics</t>
        </is>
      </c>
      <c r="M525" s="18" t="inlineStr">
        <is>
          <t>Clinic</t>
        </is>
      </c>
      <c r="N525" s="18" t="inlineStr">
        <is>
          <t>ข้อ 10 (PLE_CC1_2559.md)</t>
        </is>
      </c>
      <c r="O525" s="18" t="inlineStr">
        <is>
          <t>ข้อสอบจริง</t>
        </is>
      </c>
      <c r="P525" s="18" t="inlineStr">
        <is>
          <t>ปี 2559</t>
        </is>
      </c>
    </row>
    <row r="526">
      <c r="A526" s="15" t="inlineStr">
        <is>
          <t>547</t>
        </is>
      </c>
      <c r="B526" s="18" t="inlineStr">
        <is>
          <t>ข้อใด ไม่ใช่ ค้าแนะน้าการใช้ยาในผู้ป่วยรายนี</t>
        </is>
      </c>
      <c r="C526" s="18" t="inlineStr"/>
      <c r="D526" s="18" t="inlineStr">
        <is>
          <t>บ้วนปากทุกครั งหลังใช้ยา seretide evohaler เนื่องจากยาท้าให้เกิดเชื อราในช่องปากได้</t>
        </is>
      </c>
      <c r="E526" s="18" t="inlineStr">
        <is>
          <t>ถ้าต้องพ่นยา seretide evohaler และ berodual 2 ชนิดร่วมกันต้องพ่น seretide evohaler ก่อนประมาณ 5-10 นาทีแล้วถึงค่อยพ่นยา berodual</t>
        </is>
      </c>
      <c r="F526" s="18" t="inlineStr">
        <is>
          <t>หลังจากรับประทานยา theophylline นี แล้วอาจจะมีอาการใจสั่นได้</t>
        </is>
      </c>
      <c r="G526" s="18" t="inlineStr">
        <is>
          <t>เมื่อเกิดอาการหายใจหอบเหนื่อยให้ใช้ berodual พ่นเพื่อบรรเทาอาการ</t>
        </is>
      </c>
      <c r="H526" s="18" t="inlineStr">
        <is>
          <t>การใช้ยา seretide evohaler ต้องใช้เป็นประจ้าตามแพทย์สั่งเนื่องจากยาต้องใช้ระยะเวลาหลายสัปดาห์ถึงจะ ออกฤทธิ์เต็มที่</t>
        </is>
      </c>
      <c r="I526" s="15" t="inlineStr">
        <is>
          <t>1</t>
        </is>
      </c>
      <c r="J526" s="18" t="inlineStr">
        <is>
          <t>✅ คำตอบที่ถูกต้อง: ข้อ ก. บ้วนปากทุกครั งหลังใช้ยา seretide evohaler เนื่องจากยาท้าให้เกิดเชื อราในช่องปากได้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บ้วนปากทุกครั งหลังใช้ยา seretide evohaler เนื่องจากยาท้าให้เกิดเชื อราในช่องปากได้ การเลือก บ้วนปากทุกครั งหลังใช้ยา seretide evohaler เนื่องจากยาท้าให้เกิดเชื อราในช่องปากได้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(ถ้าต้องพ่นยา seretide evohaler และ berodual 2 ชนิดร่วมกันต้องพ่น seretide evohaler ก่อนประมาณ 5-10 นาทีแล้วถึงค่อยพ่นยา berodual): ข้อนี้ไม่ใช่คำตอบที่ถูกต้องสำหรับภาวะ General Therapeutics เนื่องจากกลไกการออกฤทธิ์, efficacy หรือข้อบ่งใช้ไม่ตรงกับโจทย์ที่กำหนด
• ข้อ ค. (หลังจากรับประทานยา theophylline นี แล้วอาจจะมีอาการใจสั่นได้): มี narrow therapeutic window (target 5-15 mcg/mL) และ ADR สูง (ใจสั่น คลื่นไส้ ชัก หัวใจเต้นผิดจังหวะ) CPG จึงจัดเป็นเพียงทางเลือกท้ายๆ (alternative)
• ข้อ ง. (เมื่อเกิดอาการหายใจหอบเหนื่อยให้ใช้ berodual พ่นเพื่อบรรเทาอาการ): ข้อนี้ไม่ใช่คำตอบที่ถูกต้องสำหรับภาวะ General Therapeutics เนื่องจากกลไกการออกฤทธิ์, efficacy หรือข้อบ่งใช้ไม่ตรงกับโจทย์ที่กำหนด
• ข้อ จ. (การใช้ยา seretide evohaler ต้องใช้เป็นประจ้าตามแพทย์สั่งเนื่องจากยาต้องใช้ระยะเวลาหลายสัปดาห์ถึงจะ ออกฤทธิ์เต็มที่):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6" s="18" t="inlineStr"/>
      <c r="L526" s="18" t="inlineStr">
        <is>
          <t>General Therapeutics</t>
        </is>
      </c>
      <c r="M526" s="18" t="inlineStr">
        <is>
          <t>Clinic</t>
        </is>
      </c>
      <c r="N526" s="18" t="inlineStr">
        <is>
          <t>ข้อ 11 (PLE_CC1_2559.md)</t>
        </is>
      </c>
      <c r="O526" s="18" t="inlineStr">
        <is>
          <t>ข้อสอบจริง</t>
        </is>
      </c>
      <c r="P526" s="18" t="inlineStr">
        <is>
          <t>ปี 2559</t>
        </is>
      </c>
    </row>
    <row r="527">
      <c r="A527" s="15" t="inlineStr">
        <is>
          <t>548</t>
        </is>
      </c>
      <c r="B527" s="18" t="inlineStr">
        <is>
          <t>จากกรณีศึกษาท่านคิดว่าควรมีการปรับการรักษาหรือแนะน้าเพิ่มเติมจึงจะเหมาะสมที่สุด</t>
        </is>
      </c>
      <c r="C527" s="18" t="inlineStr"/>
      <c r="D527" s="18" t="inlineStr">
        <is>
          <t>ลดขนาดของ seretide evohaler</t>
        </is>
      </c>
      <c r="E527" s="18" t="inlineStr">
        <is>
          <t>เพิ่ม prednisolone 5 mg 4x1 นาน 7 วัน</t>
        </is>
      </c>
      <c r="F527" s="18" t="inlineStr">
        <is>
          <t>เพิ่มยา ipratropium</t>
        </is>
      </c>
      <c r="G527" s="18" t="inlineStr">
        <is>
          <t>ลดขนาด theophylline ลงครึ่งหนึ่ง</t>
        </is>
      </c>
      <c r="H527" s="18" t="inlineStr">
        <is>
          <t>แนะน้าเลิกบุหรี่</t>
        </is>
      </c>
      <c r="I527" s="15" t="inlineStr">
        <is>
          <t>1</t>
        </is>
      </c>
      <c r="J527" s="18" t="inlineStr">
        <is>
          <t>✅ คำตอบที่ถูกต้อง: ข้อ ก. ลดขนาดของ seretide evohaler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ลดขนาดของ seretide evohaler 💡 คำอธิบายและข้อกำหนดทางกฎหมาย:
💡 คำอธิบายและข้อกำหนดทางกฎหมาย:
การเลือก ลดขนาดของ seretide evohaler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 prednisolone 5 mg 4x1 นาน 7 วัน): เป็น intermediate-acting systemic corticosteroid ขนาดยอดนิยมสำหรับ immunosuppressive &amp; anti-inflammatory therapy ต้องระวัง Cushingoid, infection, osteoporosis, peptic ulcer
• ข้อ ค. (เพิ่มยา ipratropium): เป็น SAMA ออกฤทธิ์ยับยั้ง cholinergic tone มักใช้ร่วมกับ SABA ใน acute moderate-to-severe asthma/COPD exacerbation
• ข้อ ง. (ลดขนาด theophylline ลงครึ่งหนึ่ง): มี narrow therapeutic window (target 5-15 mcg/mL) และ ADR สูง (ใจสั่น คลื่นไส้ ชัก หัวใจเต้นผิดจังหวะ) CPG จึงจัดเป็นเพียงทางเลือกท้ายๆ (alternative)
• ข้อ จ. (แนะน้าเลิกบุหรี่):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7" s="18" t="inlineStr"/>
      <c r="L527" s="18" t="inlineStr">
        <is>
          <t>Pharmacy Laws &amp; Ethics</t>
        </is>
      </c>
      <c r="M527" s="18" t="inlineStr">
        <is>
          <t>SAP</t>
        </is>
      </c>
      <c r="N527" s="18" t="inlineStr">
        <is>
          <t>ข้อ 12 (PLE_CC1_2559.md)</t>
        </is>
      </c>
      <c r="O527" s="18" t="inlineStr">
        <is>
          <t>ข้อสอบจริง</t>
        </is>
      </c>
      <c r="P527" s="18" t="inlineStr">
        <is>
          <t>ปี 2559</t>
        </is>
      </c>
    </row>
    <row r="528">
      <c r="A528" s="15" t="inlineStr">
        <is>
          <t>549</t>
        </is>
      </c>
      <c r="B528" s="18" t="inlineStr">
        <is>
          <t>ยารูปแบบ reservoir มีการปลดปล่อยยาจลนศาสตร์แบบใด</t>
        </is>
      </c>
      <c r="C528" s="18" t="inlineStr"/>
      <c r="D528" s="18" t="inlineStr">
        <is>
          <t>Zero order kinetic</t>
        </is>
      </c>
      <c r="E528" s="18" t="inlineStr">
        <is>
          <t>First order kinetic</t>
        </is>
      </c>
      <c r="F528" s="18" t="inlineStr">
        <is>
          <t>Second order kinetic</t>
        </is>
      </c>
      <c r="G528" s="18" t="inlineStr">
        <is>
          <t>Pseudo zero order kinetic</t>
        </is>
      </c>
      <c r="H528" s="18" t="inlineStr">
        <is>
          <t>Pseudo first order kinetic</t>
        </is>
      </c>
      <c r="I528" s="15" t="inlineStr">
        <is>
          <t>1</t>
        </is>
      </c>
      <c r="J528" s="18" t="inlineStr">
        <is>
          <t>✅ คำตอบที่ถูกต้อง: ข้อ ก. Zero order kinetic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Zero order kinetic การเลือก Zero order kinetic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(First order kinetic): ข้อนี้ไม่ใช่คำตอบที่ถูกต้องสำหรับภาวะ General Therapeutics เนื่องจากกลไกการออกฤทธิ์, efficacy หรือข้อบ่งใช้ไม่ตรงกับโจทย์ที่กำหนด
• ข้อ ค. (Second order kinetic): ข้อนี้ไม่ใช่คำตอบที่ถูกต้องสำหรับภาวะ General Therapeutics เนื่องจากกลไกการออกฤทธิ์, efficacy หรือข้อบ่งใช้ไม่ตรงกับโจทย์ที่กำหนด
• ข้อ ง. (Pseudo zero order kinetic): ข้อนี้ไม่ใช่คำตอบที่ถูกต้องสำหรับภาวะ General Therapeutics เนื่องจากกลไกการออกฤทธิ์, efficacy หรือข้อบ่งใช้ไม่ตรงกับโจทย์ที่กำหนด
• ข้อ จ. (Pseudo first order kinetic):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8" s="18" t="inlineStr"/>
      <c r="L528" s="18" t="inlineStr">
        <is>
          <t>General Therapeutics</t>
        </is>
      </c>
      <c r="M528" s="18" t="inlineStr">
        <is>
          <t>Clinic</t>
        </is>
      </c>
      <c r="N528" s="18" t="inlineStr">
        <is>
          <t>ข้อ 15 (PLE_CC1_2559.md)</t>
        </is>
      </c>
      <c r="O528" s="18" t="inlineStr">
        <is>
          <t>ข้อสอบจริง</t>
        </is>
      </c>
      <c r="P528" s="18" t="inlineStr">
        <is>
          <t>ปี 2559</t>
        </is>
      </c>
    </row>
    <row r="529">
      <c r="A529" s="15" t="inlineStr">
        <is>
          <t>550</t>
        </is>
      </c>
      <c r="B529" s="18" t="inlineStr">
        <is>
          <t>การเปลี่ยนแปลงอะไรที่ต้าแหน่ง R ช่วยเพิ่มฤทธิ์ bronchodilator</t>
        </is>
      </c>
      <c r="C529" s="18" t="inlineStr"/>
      <c r="D529" s="18" t="inlineStr">
        <is>
          <t>–H</t>
        </is>
      </c>
      <c r="E529" s="18" t="inlineStr">
        <is>
          <t>–Cl</t>
        </is>
      </c>
      <c r="F529" s="18" t="inlineStr">
        <is>
          <t>–CH3</t>
        </is>
      </c>
      <c r="G529" s="18" t="inlineStr">
        <is>
          <t>–t-butyl</t>
        </is>
      </c>
      <c r="H529" s="18" t="inlineStr">
        <is>
          <t>–NH3 18 U SC hs และ glibenclamide 5 mg 1x2 pc</t>
        </is>
      </c>
      <c r="I529" s="15" t="inlineStr">
        <is>
          <t>1</t>
        </is>
      </c>
      <c r="J529" s="18" t="inlineStr">
        <is>
          <t>✅ คำตอบที่ถูกต้อง: ข้อ ก. –H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กรณีศึกษาที่ 3 ผู้ป่วยเบาหวานอายุ 60 ปี มี BMI 28 kg/m2 ยาที่ได้รับได้แก่ metformin 500 mg 1x3 pc, insulin glargine
🔍 ข้ออื่นผิดเพราะอะไร:
• ข้อ ข. (–Cl): ข้อนี้ไม่ใช่คำตอบที่ถูกต้องสำหรับภาวะ General Therapeutics เนื่องจากกลไกการออกฤทธิ์, efficacy หรือข้อบ่งใช้ไม่ตรงกับโจทย์ที่กำหนด
• ข้อ ค. (–CH3): ข้อนี้ไม่ใช่คำตอบที่ถูกต้องสำหรับภาวะ General Therapeutics เนื่องจากกลไกการออกฤทธิ์, efficacy หรือข้อบ่งใช้ไม่ตรงกับโจทย์ที่กำหนด
• ข้อ ง. (–t-butyl): ข้อนี้ไม่ใช่คำตอบที่ถูกต้องสำหรับภาวะ General Therapeutics เนื่องจากกลไกการออกฤทธิ์, efficacy หรือข้อบ่งใช้ไม่ตรงกับโจทย์ที่กำหนด
• ข้อ จ. (–NH3 18 U SC hs และ glibenclamide 5 mg 1x2 pc):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9" s="18" t="inlineStr"/>
      <c r="L529" s="18" t="inlineStr">
        <is>
          <t>General Therapeutics</t>
        </is>
      </c>
      <c r="M529" s="18" t="inlineStr">
        <is>
          <t>Clinic</t>
        </is>
      </c>
      <c r="N529" s="18" t="inlineStr">
        <is>
          <t>ข้อ 17 (PLE_CC1_2559.md)</t>
        </is>
      </c>
      <c r="O529" s="18" t="inlineStr">
        <is>
          <t>ข้อสอบจริง</t>
        </is>
      </c>
      <c r="P529" s="18" t="inlineStr">
        <is>
          <t>ปี 2559</t>
        </is>
      </c>
    </row>
    <row r="530">
      <c r="A530" s="15" t="inlineStr">
        <is>
          <t>551</t>
        </is>
      </c>
      <c r="B530" s="18" t="inlineStr">
        <is>
          <t>หากพบว่าหลังจากที่ผู้ป่วยใช้ยาตามข้างต้นแล้วแต่ระดับน ้าตาลในเลือดหลังอาหารยังคงสูงอยู่ ควรพิจารณาเพิ่มยา ใด</t>
        </is>
      </c>
      <c r="C530" s="18" t="inlineStr"/>
      <c r="D530" s="18" t="inlineStr">
        <is>
          <t>Repaglinide</t>
        </is>
      </c>
      <c r="E530" s="18" t="inlineStr">
        <is>
          <t>Pioglitazone</t>
        </is>
      </c>
      <c r="F530" s="18" t="inlineStr">
        <is>
          <t>Saxagliptin</t>
        </is>
      </c>
      <c r="G530" s="18" t="inlineStr">
        <is>
          <t>Exenatide</t>
        </is>
      </c>
      <c r="H530" s="18" t="inlineStr">
        <is>
          <t>Canaglifloxin ห้ามนำไปทำซ้ำทุกกรณี เว้นแต่จะได้รับอนุญาต</t>
        </is>
      </c>
      <c r="I530" s="15" t="inlineStr">
        <is>
          <t>1</t>
        </is>
      </c>
      <c r="J530" s="18" t="inlineStr">
        <is>
          <t>✅ คำตอบที่ถูกต้อง: ข้อ ก. Repaglinide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Repaglinide การเลือก Repaglinide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(Pioglitazone): เป็น Thiazolidinedione (PPAR-gamma agonist) เพิ่ม insulin sensitivity ที่กล้ามเนื้อและตับ แต่มีข้อห้ามใช้ใน Heart Failure (NYHA class III-IV) เพราะทำให้น้ำคั่ง (fluid retention/edema)
• ข้อ ค. (Saxagliptin): ข้อนี้ไม่ใช่คำตอบที่ถูกต้องสำหรับภาวะ General Therapeutics เนื่องจากกลไกการออกฤทธิ์, efficacy หรือข้อบ่งใช้ไม่ตรงกับโจทย์ที่กำหนด
• ข้อ ง. (Exenatide): ข้อนี้ไม่ใช่คำตอบที่ถูกต้องสำหรับภาวะ General Therapeutics เนื่องจากกลไกการออกฤทธิ์, efficacy หรือข้อบ่งใช้ไม่ตรงกับโจทย์ที่กำหนด
• ข้อ จ. (Canaglifloxin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30" s="18" t="inlineStr"/>
      <c r="L530" s="18" t="inlineStr">
        <is>
          <t>General Therapeutics</t>
        </is>
      </c>
      <c r="M530" s="18" t="inlineStr">
        <is>
          <t>Clinic</t>
        </is>
      </c>
      <c r="N530" s="18" t="inlineStr">
        <is>
          <t>ข้อ 22 (PLE_CC1_2559.md)</t>
        </is>
      </c>
      <c r="O530" s="18" t="inlineStr">
        <is>
          <t>ข้อสอบจริง</t>
        </is>
      </c>
      <c r="P530" s="18" t="inlineStr">
        <is>
          <t>ปี 2559</t>
        </is>
      </c>
    </row>
    <row r="531">
      <c r="A531" s="15" t="inlineStr">
        <is>
          <t>552</t>
        </is>
      </c>
      <c r="B531" s="18" t="inlineStr">
        <is>
          <t>ยาใดแนะน้าให้ใช้ใน complex partial seizure</t>
        </is>
      </c>
      <c r="C531" s="18" t="inlineStr"/>
      <c r="D531" s="18" t="inlineStr">
        <is>
          <t>Carbamazepine</t>
        </is>
      </c>
      <c r="E531" s="18" t="inlineStr">
        <is>
          <t>Phenytoin</t>
        </is>
      </c>
      <c r="F531" s="18" t="inlineStr">
        <is>
          <t>Valproate</t>
        </is>
      </c>
      <c r="G531" s="18" t="inlineStr">
        <is>
          <t>Topiramate</t>
        </is>
      </c>
      <c r="H531" s="18" t="inlineStr">
        <is>
          <t>Diazepam</t>
        </is>
      </c>
      <c r="I531" s="15" t="inlineStr">
        <is>
          <t>1</t>
        </is>
      </c>
      <c r="J531" s="18" t="inlineStr">
        <is>
          <t>✅ คำตอบที่ถูกต้อง: ข้อ ก.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1" s="18" t="inlineStr"/>
      <c r="L531" s="18" t="inlineStr">
        <is>
          <t>General Therapeutics</t>
        </is>
      </c>
      <c r="M531" s="18" t="inlineStr">
        <is>
          <t>Clinic</t>
        </is>
      </c>
      <c r="N531" s="18" t="inlineStr">
        <is>
          <t>ข้อ 26 (PLE_CC1_2559.md)</t>
        </is>
      </c>
      <c r="O531" s="18" t="inlineStr">
        <is>
          <t>ข้อสอบจริง</t>
        </is>
      </c>
      <c r="P531" s="18" t="inlineStr">
        <is>
          <t>ปี 2559</t>
        </is>
      </c>
    </row>
    <row r="532">
      <c r="A532" s="15" t="inlineStr">
        <is>
          <t>553</t>
        </is>
      </c>
      <c r="B532" s="18" t="inlineStr">
        <is>
          <t>ถ้าผู้ป่วยกังวลเรื่องน ้าหนักควรให้ยาตัวใดจึงจะเหมาะสมที่สุด</t>
        </is>
      </c>
      <c r="C532" s="18" t="inlineStr"/>
      <c r="D532" s="18" t="inlineStr">
        <is>
          <t>Carbamazepine</t>
        </is>
      </c>
      <c r="E532" s="18" t="inlineStr">
        <is>
          <t>Phenytoin</t>
        </is>
      </c>
      <c r="F532" s="18" t="inlineStr">
        <is>
          <t>Valproate</t>
        </is>
      </c>
      <c r="G532" s="18" t="inlineStr">
        <is>
          <t>Topiramate</t>
        </is>
      </c>
      <c r="H532" s="18" t="inlineStr">
        <is>
          <t>Diazepam</t>
        </is>
      </c>
      <c r="I532" s="15" t="inlineStr">
        <is>
          <t>1</t>
        </is>
      </c>
      <c r="J532" s="18"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2" s="18" t="inlineStr"/>
      <c r="L532" s="18" t="inlineStr">
        <is>
          <t>General Therapeutics</t>
        </is>
      </c>
      <c r="M532" s="18" t="inlineStr">
        <is>
          <t>Clinic</t>
        </is>
      </c>
      <c r="N532" s="18" t="inlineStr">
        <is>
          <t>ข้อ 27 (PLE_CC1_2559.md)</t>
        </is>
      </c>
      <c r="O532" s="18" t="inlineStr">
        <is>
          <t>ข้อสอบจริง</t>
        </is>
      </c>
      <c r="P532" s="18" t="inlineStr">
        <is>
          <t>ปี 2559</t>
        </is>
      </c>
    </row>
    <row r="533">
      <c r="A533" s="15" t="inlineStr">
        <is>
          <t>554</t>
        </is>
      </c>
      <c r="B533" s="18" t="inlineStr">
        <is>
          <t>ข้อใดเป็น CYP inhibitor</t>
        </is>
      </c>
      <c r="C533" s="18" t="inlineStr"/>
      <c r="D533" s="18" t="inlineStr">
        <is>
          <t>Carbamazepine</t>
        </is>
      </c>
      <c r="E533" s="18" t="inlineStr">
        <is>
          <t>Phenytoin</t>
        </is>
      </c>
      <c r="F533" s="18" t="inlineStr">
        <is>
          <t>Valproate</t>
        </is>
      </c>
      <c r="G533" s="18" t="inlineStr">
        <is>
          <t>Topiramate</t>
        </is>
      </c>
      <c r="H533" s="18" t="inlineStr">
        <is>
          <t>Diazepam ห้ามนำไปทำซ้ำทุกกรณี เว้นแต่จะได้รับอนุญาต</t>
        </is>
      </c>
      <c r="I533" s="15" t="inlineStr">
        <is>
          <t>1</t>
        </is>
      </c>
      <c r="J533" s="18"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ห้ามนำไปทำซ้ำทุกกรณี เว้นแต่จะได้รับอนุญาต):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3" s="18" t="inlineStr"/>
      <c r="L533" s="18" t="inlineStr">
        <is>
          <t>General Therapeutics</t>
        </is>
      </c>
      <c r="M533" s="18" t="inlineStr">
        <is>
          <t>Clinic</t>
        </is>
      </c>
      <c r="N533" s="18" t="inlineStr">
        <is>
          <t>ข้อ 28 (PLE_CC1_2559.md)</t>
        </is>
      </c>
      <c r="O533" s="18" t="inlineStr">
        <is>
          <t>ข้อสอบจริง</t>
        </is>
      </c>
      <c r="P533" s="18" t="inlineStr">
        <is>
          <t>ปี 2559</t>
        </is>
      </c>
    </row>
    <row r="534">
      <c r="A534" s="15" t="inlineStr">
        <is>
          <t>555</t>
        </is>
      </c>
      <c r="B534" s="18" t="inlineStr">
        <is>
          <t>Metabolite ของยาในข้อใดเกิดพิษได้มากที่สุด</t>
        </is>
      </c>
      <c r="C534" s="18" t="inlineStr"/>
      <c r="D534" s="18" t="inlineStr">
        <is>
          <t>Dimercaprol (BAL) 3 mg/kg IM</t>
        </is>
      </c>
      <c r="E534" s="18" t="inlineStr">
        <is>
          <t>Ethanol 10% IV infusion for Methanol poisoning</t>
        </is>
      </c>
      <c r="F534" s="18" t="inlineStr">
        <is>
          <t>Fomepizole 15 mg/kg IV loading</t>
        </is>
      </c>
      <c r="G534" s="18" t="inlineStr">
        <is>
          <t>N-acetylcysteine (NAC) IV infusion protocol</t>
        </is>
      </c>
      <c r="H534" s="18" t="inlineStr">
        <is>
          <t>Atropine sulfate 2 mg IV Q5-10 min</t>
        </is>
      </c>
      <c r="I534" s="15" t="inlineStr">
        <is>
          <t>1</t>
        </is>
      </c>
      <c r="J5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4" s="18" t="inlineStr"/>
      <c r="L534" s="18" t="inlineStr">
        <is>
          <t>General Therapeutics</t>
        </is>
      </c>
      <c r="M534" s="18" t="inlineStr">
        <is>
          <t>Clinic</t>
        </is>
      </c>
      <c r="N534" s="18" t="inlineStr">
        <is>
          <t>ข้อ 30 (PLE_CC1_2559.md)</t>
        </is>
      </c>
      <c r="O534" s="18" t="inlineStr">
        <is>
          <t>ข้อสอบจริง</t>
        </is>
      </c>
      <c r="P534" s="18" t="inlineStr">
        <is>
          <t>ปี 2559</t>
        </is>
      </c>
    </row>
    <row r="535">
      <c r="A535" s="15" t="inlineStr">
        <is>
          <t>556</t>
        </is>
      </c>
      <c r="B535" s="18" t="inlineStr">
        <is>
          <t>ยา extended release โดยน้าตัวยาที่ออกฤทธิ์ผสมกับสารช่วยและกระจายตัวอย่างสม่้าเสมอเป็นระบบแบบใด</t>
        </is>
      </c>
      <c r="C535" s="18" t="inlineStr"/>
      <c r="D535" s="18" t="inlineStr">
        <is>
          <t>Mechanical pump</t>
        </is>
      </c>
      <c r="E535" s="18" t="inlineStr">
        <is>
          <t>Membrane reservoir</t>
        </is>
      </c>
      <c r="F535" s="18" t="inlineStr">
        <is>
          <t>Matrix system</t>
        </is>
      </c>
      <c r="G535" s="18" t="inlineStr">
        <is>
          <t>Osmotic system</t>
        </is>
      </c>
      <c r="H535" s="18" t="inlineStr">
        <is>
          <t>Hydrodynamic system</t>
        </is>
      </c>
      <c r="I535" s="15" t="inlineStr">
        <is>
          <t>1</t>
        </is>
      </c>
      <c r="J535" s="18" t="inlineStr">
        <is>
          <t>✅ คำตอบที่ถูกต้อง: ข้อ ก. Mechanical pump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Mechanical pump การเลือก Mechanical pump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(Membrane reservoir): ข้อนี้ไม่ใช่คำตอบที่ถูกต้องสำหรับภาวะ General Therapeutics เนื่องจากกลไกการออกฤทธิ์, efficacy หรือข้อบ่งใช้ไม่ตรงกับโจทย์ที่กำหนด
• ข้อ ค. (Matrix system): ข้อนี้ไม่ใช่คำตอบที่ถูกต้องสำหรับภาวะ General Therapeutics เนื่องจากกลไกการออกฤทธิ์, efficacy หรือข้อบ่งใช้ไม่ตรงกับโจทย์ที่กำหนด
• ข้อ ง. (Osmotic system): ข้อนี้ไม่ใช่คำตอบที่ถูกต้องสำหรับภาวะ General Therapeutics เนื่องจากกลไกการออกฤทธิ์, efficacy หรือข้อบ่งใช้ไม่ตรงกับโจทย์ที่กำหนด
• ข้อ จ. (Hydrodynamic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5" s="18" t="inlineStr"/>
      <c r="L535" s="18" t="inlineStr">
        <is>
          <t>General Therapeutics</t>
        </is>
      </c>
      <c r="M535" s="18" t="inlineStr">
        <is>
          <t>Clinic</t>
        </is>
      </c>
      <c r="N535" s="18" t="inlineStr">
        <is>
          <t>ข้อ 31 (PLE_CC1_2559.md)</t>
        </is>
      </c>
      <c r="O535" s="18" t="inlineStr">
        <is>
          <t>ข้อสอบจริง</t>
        </is>
      </c>
      <c r="P535" s="18" t="inlineStr">
        <is>
          <t>ปี 2559</t>
        </is>
      </c>
    </row>
    <row r="536">
      <c r="A536" s="15" t="inlineStr">
        <is>
          <t>557</t>
        </is>
      </c>
      <c r="B536" s="18" t="inlineStr">
        <is>
          <t>ยาต้านไวรัสเอชไอวีตัวใดใช้ในการรักษาไวรัสตับอักเสบบีได้</t>
        </is>
      </c>
      <c r="C536" s="18" t="inlineStr"/>
      <c r="D536" s="18" t="inlineStr">
        <is>
          <t>ATV/r</t>
        </is>
      </c>
      <c r="E536" s="18" t="inlineStr">
        <is>
          <t>EFV</t>
        </is>
      </c>
      <c r="F536" s="18" t="inlineStr">
        <is>
          <t>LPV/r</t>
        </is>
      </c>
      <c r="G536" s="18" t="inlineStr">
        <is>
          <t>RPV</t>
        </is>
      </c>
      <c r="H536" s="18" t="inlineStr">
        <is>
          <t>TDF</t>
        </is>
      </c>
      <c r="I536" s="15" t="inlineStr">
        <is>
          <t>1</t>
        </is>
      </c>
      <c r="J536" s="18" t="inlineStr">
        <is>
          <t>✅ คำตอบที่ถูกต้อง: ข้อ ก. ATV/r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ATV/r การเลือก ATV/r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(EFV): ข้อนี้ไม่ใช่คำตอบที่ถูกต้องสำหรับภาวะ General Therapeutics เนื่องจากกลไกการออกฤทธิ์, efficacy หรือข้อบ่งใช้ไม่ตรงกับโจทย์ที่กำหนด
• ข้อ ค. (LPV/r): ข้อนี้ไม่ใช่คำตอบที่ถูกต้องสำหรับภาวะ General Therapeutics เนื่องจากกลไกการออกฤทธิ์, efficacy หรือข้อบ่งใช้ไม่ตรงกับโจทย์ที่กำหนด
• ข้อ ง. (RPV): ข้อนี้ไม่ใช่คำตอบที่ถูกต้องสำหรับภาวะ General Therapeutics เนื่องจากกลไกการออกฤทธิ์, efficacy หรือข้อบ่งใช้ไม่ตรงกับโจทย์ที่กำหนด
• ข้อ จ. (TDF):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6" s="18" t="inlineStr"/>
      <c r="L536" s="18" t="inlineStr">
        <is>
          <t>General Therapeutics</t>
        </is>
      </c>
      <c r="M536" s="18" t="inlineStr">
        <is>
          <t>Clinic</t>
        </is>
      </c>
      <c r="N536" s="18" t="inlineStr">
        <is>
          <t>ข้อ 45 (PLE_CC1_2559.md)</t>
        </is>
      </c>
      <c r="O536" s="18" t="inlineStr">
        <is>
          <t>ข้อสอบจริง</t>
        </is>
      </c>
      <c r="P536" s="18" t="inlineStr">
        <is>
          <t>ปี 2559</t>
        </is>
      </c>
    </row>
    <row r="537">
      <c r="A537" s="15" t="inlineStr">
        <is>
          <t>558</t>
        </is>
      </c>
      <c r="B537" s="18" t="inlineStr">
        <is>
          <t>ยา anastrozole มีกลไกการออกฤทธิ์อย่างไร</t>
        </is>
      </c>
      <c r="C537" s="18" t="inlineStr"/>
      <c r="D537" s="18" t="inlineStr">
        <is>
          <t>HER-2 receptor antagonists</t>
        </is>
      </c>
      <c r="E537" s="18" t="inlineStr">
        <is>
          <t>Aromatase inhibitors</t>
        </is>
      </c>
      <c r="F537" s="18" t="inlineStr">
        <is>
          <t>Alkylating agents</t>
        </is>
      </c>
      <c r="G537" s="18" t="inlineStr">
        <is>
          <t>Anti-microtubules</t>
        </is>
      </c>
      <c r="H537" s="18" t="inlineStr">
        <is>
          <t>Anti-metabolites</t>
        </is>
      </c>
      <c r="I537" s="15" t="inlineStr">
        <is>
          <t>1</t>
        </is>
      </c>
      <c r="J537" s="18" t="inlineStr">
        <is>
          <t>✅ คำตอบที่ถูกต้อง: ข้อ ก. HER-2 receptor antagonists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HER-2 receptor antagonists การเลือก HER-2 receptor antagonists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ข. (Aromatase inhibitors): ข้อนี้ไม่ใช่คำตอบที่ถูกต้องสำหรับภาวะ Oncology &amp; Chemotherapy เนื่องจากกลไกการออกฤทธิ์, efficacy หรือข้อบ่งใช้ไม่ตรงกับโจทย์ที่กำหนด
• ข้อ ค. (Alkylating agents): ข้อนี้ไม่ใช่คำตอบที่ถูกต้องสำหรับภาวะ Oncology &amp; Chemotherapy เนื่องจากกลไกการออกฤทธิ์, efficacy หรือข้อบ่งใช้ไม่ตรงกับโจทย์ที่กำหนด
• ข้อ ง. (Anti-microtubules): ข้อนี้ไม่ใช่คำตอบที่ถูกต้องสำหรับภาวะ Oncology &amp; Chemotherapy เนื่องจากกลไกการออกฤทธิ์, efficacy หรือข้อบ่งใช้ไม่ตรงกับโจทย์ที่กำหนด
• ข้อ จ. (Anti-metabolites):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7" s="18" t="inlineStr"/>
      <c r="L537" s="18" t="inlineStr">
        <is>
          <t>Oncology &amp; Chemotherapy</t>
        </is>
      </c>
      <c r="M537" s="18" t="inlineStr">
        <is>
          <t>Clinic</t>
        </is>
      </c>
      <c r="N537" s="18" t="inlineStr">
        <is>
          <t>ข้อ 53 (PLE_CC1_2559.md)</t>
        </is>
      </c>
      <c r="O537" s="18" t="inlineStr">
        <is>
          <t>ข้อสอบจริง</t>
        </is>
      </c>
      <c r="P537" s="18" t="inlineStr">
        <is>
          <t>ปี 2559</t>
        </is>
      </c>
    </row>
    <row r="538">
      <c r="A538" s="15" t="inlineStr">
        <is>
          <t>559</t>
        </is>
      </c>
      <c r="B538" s="18" t="inlineStr">
        <is>
          <t>สารน ้าใดที่เป็น high alert drug</t>
        </is>
      </c>
      <c r="C538" s="18" t="inlineStr"/>
      <c r="D538" s="18" t="inlineStr">
        <is>
          <t>D5W</t>
        </is>
      </c>
      <c r="E538" s="18" t="inlineStr">
        <is>
          <t>0.45% NSS</t>
        </is>
      </c>
      <c r="F538" s="18" t="inlineStr">
        <is>
          <t>0.9% NSS</t>
        </is>
      </c>
      <c r="G538" s="18" t="inlineStr">
        <is>
          <t>3% NSS</t>
        </is>
      </c>
      <c r="H538" s="18" t="inlineStr">
        <is>
          <t>Ringer's Lactate solution อาหาร อ่อนเพลีย ไม่มีแรง ง่วงนอนตลอดเวลา FBS 100 mg/dl HbA1C=5.5%</t>
        </is>
      </c>
      <c r="I538" s="15" t="inlineStr">
        <is>
          <t>1</t>
        </is>
      </c>
      <c r="J538" s="18" t="inlineStr">
        <is>
          <t>✅ คำตอบที่ถูกต้อง: ข้อ ก. D5W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D5W กรณีศึกษาที่ 9 ผู้ป่วยเป็น hyperthyroidism ผ่าตัดต่อม thyroid เมื่อ 15 ปีที่แล้ว 2-3 เดือนที่ผ่านมานี น ้าหนักขึ น เบื่อ
🔍 ข้ออื่นผิดเพราะอะไร:
• ข้อ ข. (0.45% NSS): ข้อนี้ไม่ใช่คำตอบที่ถูกต้องสำหรับภาวะ General Therapeutics เนื่องจากกลไกการออกฤทธิ์, efficacy หรือข้อบ่งใช้ไม่ตรงกับโจทย์ที่กำหนด
• ข้อ ค. (0.9% NSS): ข้อนี้ไม่ใช่คำตอบที่ถูกต้องสำหรับภาวะ General Therapeutics เนื่องจากกลไกการออกฤทธิ์, efficacy หรือข้อบ่งใช้ไม่ตรงกับโจทย์ที่กำหนด
• ข้อ ง. (3% NSS): ข้อนี้ไม่ใช่คำตอบที่ถูกต้องสำหรับภาวะ General Therapeutics เนื่องจากกลไกการออกฤทธิ์, efficacy หรือข้อบ่งใช้ไม่ตรงกับโจทย์ที่กำหนด
• ข้อ จ. (Ringer's Lactate solution อาหาร อ่อนเพลีย ไม่มีแรง ง่วงนอนตลอดเวลา FBS 100 mg/dl HbA1C=5.5%):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8" s="18" t="inlineStr"/>
      <c r="L538" s="18" t="inlineStr">
        <is>
          <t>General Therapeutics</t>
        </is>
      </c>
      <c r="M538" s="18" t="inlineStr">
        <is>
          <t>Clinic</t>
        </is>
      </c>
      <c r="N538" s="18" t="inlineStr">
        <is>
          <t>ข้อ 56 (PLE_CC1_2559.md)</t>
        </is>
      </c>
      <c r="O538" s="18" t="inlineStr">
        <is>
          <t>ข้อสอบจริง</t>
        </is>
      </c>
      <c r="P538" s="18" t="inlineStr">
        <is>
          <t>ปี 2559</t>
        </is>
      </c>
    </row>
    <row r="539">
      <c r="A539" s="15" t="inlineStr">
        <is>
          <t>560</t>
        </is>
      </c>
      <c r="B539" s="18" t="inlineStr">
        <is>
          <t>ผู้ป่วยเป็นโรคอะไร</t>
        </is>
      </c>
      <c r="C539" s="18" t="inlineStr"/>
      <c r="D539" s="18" t="inlineStr">
        <is>
          <t>Goiter</t>
        </is>
      </c>
      <c r="E539" s="18" t="inlineStr">
        <is>
          <t>Hypothyroidism</t>
        </is>
      </c>
      <c r="F539" s="18" t="inlineStr">
        <is>
          <t>Hyperthyroidism</t>
        </is>
      </c>
      <c r="G539" s="18" t="inlineStr">
        <is>
          <t>Thyroid storm</t>
        </is>
      </c>
      <c r="H539" s="18" t="inlineStr">
        <is>
          <t>Diabetes mellitus</t>
        </is>
      </c>
      <c r="I539" s="15" t="inlineStr">
        <is>
          <t>1</t>
        </is>
      </c>
      <c r="J539" s="18"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(Hypothyroidism): ข้อนี้ไม่ใช่คำตอบที่ถูกต้องสำหรับภาวะ General Therapeutics เนื่องจากกลไกการออกฤทธิ์, efficacy หรือข้อบ่งใช้ไม่ตรงกับโจทย์ที่กำหนด
• ข้อ ค. (Hyperthyroidism): ข้อนี้ไม่ใช่คำตอบที่ถูกต้องสำหรับภาวะ General Therapeutics เนื่องจากกลไกการออกฤทธิ์, efficacy หรือข้อบ่งใช้ไม่ตรงกับโจทย์ที่กำหนด
• ข้อ ง. (Thyroid storm): ข้อนี้ไม่ใช่คำตอบที่ถูกต้องสำหรับภาวะ General Therapeutics เนื่องจากกลไกการออกฤทธิ์, efficacy หรือข้อบ่งใช้ไม่ตรงกับโจทย์ที่กำหนด
• ข้อ จ. (Diabetes mellitus):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9" s="18" t="inlineStr"/>
      <c r="L539" s="18" t="inlineStr">
        <is>
          <t>General Therapeutics</t>
        </is>
      </c>
      <c r="M539" s="18" t="inlineStr">
        <is>
          <t>Clinic</t>
        </is>
      </c>
      <c r="N539" s="18" t="inlineStr">
        <is>
          <t>ข้อ 57 (PLE_CC1_2559.md)</t>
        </is>
      </c>
      <c r="O539" s="18" t="inlineStr">
        <is>
          <t>ข้อสอบจริง</t>
        </is>
      </c>
      <c r="P539" s="18" t="inlineStr">
        <is>
          <t>ปี 2559</t>
        </is>
      </c>
    </row>
    <row r="540">
      <c r="A540" s="15" t="inlineStr">
        <is>
          <t>561</t>
        </is>
      </c>
      <c r="B540" s="18" t="inlineStr">
        <is>
          <t>ข้อใดคืออาการที่ปรากฏได้ในผู้ป่วยรายนี</t>
        </is>
      </c>
      <c r="C540" s="18" t="inlineStr"/>
      <c r="D540" s="18" t="inlineStr">
        <is>
          <t>Goiter</t>
        </is>
      </c>
      <c r="E540" s="18" t="inlineStr">
        <is>
          <t>Tachycardia</t>
        </is>
      </c>
      <c r="F540" s="18" t="inlineStr">
        <is>
          <t>Localized myxedema</t>
        </is>
      </c>
      <c r="G540" s="18" t="inlineStr">
        <is>
          <t>Lid retraction</t>
        </is>
      </c>
      <c r="H540" s="18" t="inlineStr">
        <is>
          <t>Hypertension</t>
        </is>
      </c>
      <c r="I540" s="15" t="inlineStr">
        <is>
          <t>1</t>
        </is>
      </c>
      <c r="J540" s="18"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(Tachycardia): ข้อนี้ไม่ใช่คำตอบที่ถูกต้องสำหรับภาวะ General Therapeutics เนื่องจากกลไกการออกฤทธิ์, efficacy หรือข้อบ่งใช้ไม่ตรงกับโจทย์ที่กำหนด
• ข้อ ค. (Localized myxedema): ข้อนี้ไม่ใช่คำตอบที่ถูกต้องสำหรับภาวะ General Therapeutics เนื่องจากกลไกการออกฤทธิ์, efficacy หรือข้อบ่งใช้ไม่ตรงกับโจทย์ที่กำหนด
• ข้อ ง. (Lid retraction): ข้อนี้ไม่ใช่คำตอบที่ถูกต้องสำหรับภาวะ General Therapeutics เนื่องจากกลไกการออกฤทธิ์, efficacy หรือข้อบ่งใช้ไม่ตรงกับโจทย์ที่กำหนด
• ข้อ จ. (Hypertension):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0" s="18" t="inlineStr"/>
      <c r="L540" s="18" t="inlineStr">
        <is>
          <t>General Therapeutics</t>
        </is>
      </c>
      <c r="M540" s="18" t="inlineStr">
        <is>
          <t>Clinic</t>
        </is>
      </c>
      <c r="N540" s="18" t="inlineStr">
        <is>
          <t>ข้อ 59 (PLE_CC1_2559.md)</t>
        </is>
      </c>
      <c r="O540" s="18" t="inlineStr">
        <is>
          <t>ข้อสอบจริง</t>
        </is>
      </c>
      <c r="P540" s="18" t="inlineStr">
        <is>
          <t>ปี 2559</t>
        </is>
      </c>
    </row>
    <row r="541">
      <c r="A541" s="15" t="inlineStr">
        <is>
          <t>562</t>
        </is>
      </c>
      <c r="B541" s="18" t="inlineStr">
        <is>
          <t>ยาที่ใช้ในการรักษาคือยาใด</t>
        </is>
      </c>
      <c r="C541" s="18" t="inlineStr"/>
      <c r="D541" s="18" t="inlineStr">
        <is>
          <t>Propylthiouracil</t>
        </is>
      </c>
      <c r="E541" s="18" t="inlineStr">
        <is>
          <t>Methimazole</t>
        </is>
      </c>
      <c r="F541" s="18" t="inlineStr">
        <is>
          <t>Propranolol</t>
        </is>
      </c>
      <c r="G541" s="18" t="inlineStr">
        <is>
          <t>Lithium</t>
        </is>
      </c>
      <c r="H541" s="18" t="inlineStr">
        <is>
          <t>Levothyroxine</t>
        </is>
      </c>
      <c r="I541" s="15" t="inlineStr">
        <is>
          <t>1</t>
        </is>
      </c>
      <c r="J541" s="18" t="inlineStr">
        <is>
          <t>✅ คำตอบที่ถูกต้อง: ข้อ ก. Propylthiouracil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(Propranolol): เป็น non-selective beta-blocker ข้าม blood-brain barrier ได้ดี เหมาะสำหรับ performance anxiety, essential tremor, migraine prophylaxis และ thyroid storm แต่ contraindication ใน asthma
• ข้อ ง. (Lithium): ข้อนี้ไม่ใช่คำตอบที่ถูกต้องสำหรับภาวะ General Therapeutics เนื่องจากกลไกการออกฤทธิ์, efficacy หรือข้อบ่งใช้ไม่ตรงกับโจทย์ที่กำหนด
• ข้อ จ.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541" s="18" t="inlineStr"/>
      <c r="L541" s="18" t="inlineStr">
        <is>
          <t>General Therapeutics</t>
        </is>
      </c>
      <c r="M541" s="18" t="inlineStr">
        <is>
          <t>Clinic</t>
        </is>
      </c>
      <c r="N541" s="18" t="inlineStr">
        <is>
          <t>ข้อ 60 (PLE_CC1_2559.md)</t>
        </is>
      </c>
      <c r="O541" s="18" t="inlineStr">
        <is>
          <t>ข้อสอบจริง</t>
        </is>
      </c>
      <c r="P541" s="18" t="inlineStr">
        <is>
          <t>ปี 2559</t>
        </is>
      </c>
    </row>
    <row r="542">
      <c r="A542" s="15" t="inlineStr">
        <is>
          <t>563</t>
        </is>
      </c>
      <c r="B542" s="18" t="inlineStr">
        <is>
          <t>หากผู้ป่วยเป็น recurrent vulvovaginal candidiasis ควรใช้ยาอะไร</t>
        </is>
      </c>
      <c r="C542" s="18" t="inlineStr"/>
      <c r="D542" s="18" t="inlineStr">
        <is>
          <t>Clotrimazole</t>
        </is>
      </c>
      <c r="E542" s="18" t="inlineStr">
        <is>
          <t>Metronidazole</t>
        </is>
      </c>
      <c r="F542" s="18" t="inlineStr">
        <is>
          <t>Clindamycin</t>
        </is>
      </c>
      <c r="G542" s="18" t="inlineStr">
        <is>
          <t>Amoxicillin + clavulanic acid</t>
        </is>
      </c>
      <c r="H542" s="18" t="inlineStr">
        <is>
          <t>Fluconazole</t>
        </is>
      </c>
      <c r="I542" s="15" t="inlineStr">
        <is>
          <t>1</t>
        </is>
      </c>
      <c r="J542" s="18" t="inlineStr">
        <is>
          <t>✅ คำตอบที่ถูกต้อง: ข้อ ก. Clotrimazole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Clotrimazole การเลือก Clotrimazole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(Clindamycin): ข้อนี้ไม่ใช่คำตอบที่ถูกต้องสำหรับภาวะ General Therapeutics เนื่องจากกลไกการออกฤทธิ์, efficacy หรือข้อบ่งใช้ไม่ตรงกับโจทย์ที่กำหนด
• ข้อ ง. (Amoxicillin + clavulanic acid): เป็น Aminopenicillin ยับยั้ง bacterial cell wall synthesis เป็น first-line สำหรับ uncomplicated bacterial infections (เช่น Strep pharyngitis, AOM, sinusitis)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2" s="18" t="inlineStr"/>
      <c r="L542" s="18" t="inlineStr">
        <is>
          <t>General Therapeutics</t>
        </is>
      </c>
      <c r="M542" s="18" t="inlineStr">
        <is>
          <t>Clinic</t>
        </is>
      </c>
      <c r="N542" s="18" t="inlineStr">
        <is>
          <t>ข้อ 63 (PLE_CC1_2559.md)</t>
        </is>
      </c>
      <c r="O542" s="18" t="inlineStr">
        <is>
          <t>ข้อสอบจริง</t>
        </is>
      </c>
      <c r="P542" s="18" t="inlineStr">
        <is>
          <t>ปี 2559</t>
        </is>
      </c>
    </row>
    <row r="543">
      <c r="A543" s="15" t="inlineStr">
        <is>
          <t>564</t>
        </is>
      </c>
      <c r="B543" s="18" t="inlineStr">
        <is>
          <t>Ketoconazole ไม่ควรให้ร่วมกับยาใด</t>
        </is>
      </c>
      <c r="C543" s="18" t="inlineStr"/>
      <c r="D543" s="18" t="inlineStr">
        <is>
          <t>Amoxicillin</t>
        </is>
      </c>
      <c r="E543" s="18" t="inlineStr">
        <is>
          <t>Domperidone</t>
        </is>
      </c>
      <c r="F543" s="18" t="inlineStr">
        <is>
          <t>Omeprazole</t>
        </is>
      </c>
      <c r="G543" s="18" t="inlineStr">
        <is>
          <t>CPM</t>
        </is>
      </c>
      <c r="H543" s="18" t="inlineStr">
        <is>
          <t>Pravastatin</t>
        </is>
      </c>
      <c r="I543" s="15" t="inlineStr">
        <is>
          <t>1</t>
        </is>
      </c>
      <c r="J543" s="18" t="inlineStr">
        <is>
          <t>✅ คำตอบที่ถูกต้อง: ข้อ ก. Amoxicillin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(Domperidone): เป็น peripheral D2 receptor antagonist เพิ่ม GI motility ไม่ผ่าน BBB จึงไม่ทำให้เกิด EPS เด่นชัด แต่ต้องระวัง QT prolongation ในขนาดสูง (&gt; 30 mg/day)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(CPM): ข้อนี้ไม่ใช่คำตอบที่ถูกต้องสำหรับภาวะ Dermatologic Disorders เนื่องจากกลไกการออกฤทธิ์, efficacy หรือข้อบ่งใช้ไม่ตรงกับโจทย์ที่กำหนด
• ข้อ จ. (Pravastatin):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3" s="18" t="inlineStr"/>
      <c r="L543" s="18" t="inlineStr">
        <is>
          <t>Dermatologic Disorders</t>
        </is>
      </c>
      <c r="M543" s="18" t="inlineStr">
        <is>
          <t>Clinic</t>
        </is>
      </c>
      <c r="N543" s="18" t="inlineStr">
        <is>
          <t>ข้อ 64 (PLE_CC1_2559.md)</t>
        </is>
      </c>
      <c r="O543" s="18" t="inlineStr">
        <is>
          <t>ข้อสอบจริง</t>
        </is>
      </c>
      <c r="P543" s="18" t="inlineStr">
        <is>
          <t>ปี 2559</t>
        </is>
      </c>
    </row>
    <row r="544">
      <c r="A544" s="15" t="inlineStr">
        <is>
          <t>565</t>
        </is>
      </c>
      <c r="B544" s="18" t="inlineStr">
        <is>
          <t>ผู้ป่วยรายนี ควรได้รับการรักษาแบบใด</t>
        </is>
      </c>
      <c r="C544" s="18" t="inlineStr"/>
      <c r="D544" s="18" t="inlineStr">
        <is>
          <t>ไม่ต้องได้รับการรักษา</t>
        </is>
      </c>
      <c r="E544" s="18" t="inlineStr">
        <is>
          <t>ลดน ้าหนัก</t>
        </is>
      </c>
      <c r="F544" s="18" t="inlineStr">
        <is>
          <t>ลดน ้าหนัก, ควบคุมอาหาร</t>
        </is>
      </c>
      <c r="G544" s="18" t="inlineStr">
        <is>
          <t>ลดน ้าหนัก, ควบคุมอาหาร, ให้ยาลดน ้าหนัก</t>
        </is>
      </c>
      <c r="H544" s="18" t="inlineStr">
        <is>
          <t>ลดน ้าหนัก, ควบคุมอาหาร, ให้ยาลดน ้าหนัก, ผ่าตัด</t>
        </is>
      </c>
      <c r="I544" s="15" t="inlineStr">
        <is>
          <t>1</t>
        </is>
      </c>
      <c r="J544" s="18" t="inlineStr">
        <is>
          <t>✅ คำตอบที่ถูกต้อง: ข้อ ก. ไม่ต้องได้รับการรักษา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ไม่ต้องได้รับการรักษา การเลือก ไม่ต้องได้รับการรักษา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(ลดน ้าหนัก, ควบคุมอาหาร):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(ลดน ้าหนัก, ควบคุมอาหาร, ให้ยาลดน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จ. (ลดน ้าหนัก, ควบคุมอาหาร, ให้ยาลดน ้าหนัก, ผ่าตัด):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4" s="18" t="inlineStr"/>
      <c r="L544" s="18" t="inlineStr">
        <is>
          <t>General Therapeutics</t>
        </is>
      </c>
      <c r="M544" s="18" t="inlineStr">
        <is>
          <t>Clinic</t>
        </is>
      </c>
      <c r="N544" s="18" t="inlineStr">
        <is>
          <t>ข้อ 71 (PLE_CC1_2559.md)</t>
        </is>
      </c>
      <c r="O544" s="18" t="inlineStr">
        <is>
          <t>ข้อสอบจริง</t>
        </is>
      </c>
      <c r="P544" s="18" t="inlineStr">
        <is>
          <t>ปี 2559</t>
        </is>
      </c>
    </row>
    <row r="545">
      <c r="A545" s="15" t="inlineStr">
        <is>
          <t>566</t>
        </is>
      </c>
      <c r="B545" s="18" t="inlineStr">
        <is>
          <t>ข้อใดคือกลไกการออกฤทธิ์ของยา orlistat</t>
        </is>
      </c>
      <c r="C545" s="18" t="inlineStr"/>
      <c r="D545" s="18" t="inlineStr">
        <is>
          <t>ยับยั ง NPC1L1</t>
        </is>
      </c>
      <c r="E545" s="18" t="inlineStr">
        <is>
          <t>ยับยั งเอนไซม์ lipase</t>
        </is>
      </c>
      <c r="F545" s="18" t="inlineStr">
        <is>
          <t>ยับยั งการท้างานของ bile acid</t>
        </is>
      </c>
      <c r="G545" s="18" t="inlineStr">
        <is>
          <t>ยับยั งการสังเคราะห์ cholesterol</t>
        </is>
      </c>
      <c r="H545" s="18" t="inlineStr">
        <is>
          <t>ยับยั งเอนไซม์ HMG CoA reductase</t>
        </is>
      </c>
      <c r="I545" s="15" t="inlineStr">
        <is>
          <t>1</t>
        </is>
      </c>
      <c r="J545" s="18" t="inlineStr">
        <is>
          <t>✅ คำตอบที่ถูกต้อง: ข้อ ก. ยับยั ง NPC1L1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 ง NPC1L1 การเลือก ยับยั ง NPC1L1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 งเอนไซม์ lipase): ข้อนี้ไม่ใช่คำตอบที่ถูกต้องสำหรับภาวะ General Therapeutics เนื่องจากกลไกการออกฤทธิ์, efficacy หรือข้อบ่งใช้ไม่ตรงกับโจทย์ที่กำหนด
• ข้อ ค. (ยับยั งการท้างานของ bile acid): ข้อนี้ไม่ใช่คำตอบที่ถูกต้องสำหรับภาวะ General Therapeutics เนื่องจากกลไกการออกฤทธิ์, efficacy หรือข้อบ่งใช้ไม่ตรงกับโจทย์ที่กำหนด
• ข้อ ง. (ยับยั งการสังเคราะห์ cholesterol): ข้อนี้ไม่ใช่คำตอบที่ถูกต้องสำหรับภาวะ General Therapeutics เนื่องจากกลไกการออกฤทธิ์, efficacy หรือข้อบ่งใช้ไม่ตรงกับโจทย์ที่กำหนด
• ข้อ จ. (ยับยั งเอนไซม์ HMG CoA reductase):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5" s="18" t="inlineStr"/>
      <c r="L545" s="18" t="inlineStr">
        <is>
          <t>General Therapeutics</t>
        </is>
      </c>
      <c r="M545" s="18" t="inlineStr">
        <is>
          <t>Clinic</t>
        </is>
      </c>
      <c r="N545" s="18" t="inlineStr">
        <is>
          <t>ข้อ 72 (PLE_CC1_2559.md)</t>
        </is>
      </c>
      <c r="O545" s="18" t="inlineStr">
        <is>
          <t>ข้อสอบจริง</t>
        </is>
      </c>
      <c r="P545" s="18" t="inlineStr">
        <is>
          <t>ปี 2559</t>
        </is>
      </c>
    </row>
    <row r="546">
      <c r="A546" s="15" t="inlineStr">
        <is>
          <t>567</t>
        </is>
      </c>
      <c r="B546" s="18" t="inlineStr">
        <is>
          <t>จากโครงสร้างของยาดังต่อไปนี ต้าแหน่งใดของโครงสร้างที่ไปออกฤทธิ์</t>
        </is>
      </c>
      <c r="C546" s="18" t="inlineStr"/>
      <c r="D546" s="18" t="inlineStr">
        <is>
          <t>Dimercaprol (BAL) 3 mg/kg IM</t>
        </is>
      </c>
      <c r="E546" s="18" t="inlineStr">
        <is>
          <t>Ethanol 10% IV infusion for Methanol poisoning</t>
        </is>
      </c>
      <c r="F546" s="18" t="inlineStr">
        <is>
          <t>Fomepizole 15 mg/kg IV loading</t>
        </is>
      </c>
      <c r="G546" s="18" t="inlineStr">
        <is>
          <t>N-acetylcysteine (NAC) IV infusion protocol</t>
        </is>
      </c>
      <c r="H546" s="18" t="inlineStr">
        <is>
          <t>E การตรวจสอบประวัติพบว่าผู้ป่วยรายนี ไม่มีโรคร่วมใด ไม่มีประวัติการแพ้ยา</t>
        </is>
      </c>
      <c r="I546" s="15" t="inlineStr">
        <is>
          <t>1</t>
        </is>
      </c>
      <c r="J54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กรณีศึกษาที่ 12 ผู้ป่วยอายุ 59 ปี ตรวจวัดความดันได้ 151/90 mmHg ได้รับการวินิจฉัยว่าเป็นโรคความดันโลหิตสูง จาก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(E การตรวจสอบประวัติพบว่าผู้ป่วยรายนี ไม่มีโรคร่วมใด ไม่มีประวัติการแพ้ยา):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6" s="18" t="inlineStr"/>
      <c r="L546" s="18" t="inlineStr">
        <is>
          <t>General Therapeutics</t>
        </is>
      </c>
      <c r="M546" s="18" t="inlineStr">
        <is>
          <t>Clinic</t>
        </is>
      </c>
      <c r="N546" s="18" t="inlineStr">
        <is>
          <t>ข้อ 76 (PLE_CC1_2559.md)</t>
        </is>
      </c>
      <c r="O546" s="18" t="inlineStr">
        <is>
          <t>ข้อสอบจริง</t>
        </is>
      </c>
      <c r="P546" s="18" t="inlineStr">
        <is>
          <t>ปี 2559</t>
        </is>
      </c>
    </row>
    <row r="547">
      <c r="A547" s="15" t="inlineStr">
        <is>
          <t>568</t>
        </is>
      </c>
      <c r="B547" s="18" t="inlineStr">
        <is>
          <t>ยาใดต่อไปนี ไม่ควรให้ในผู้ป่วยรายนี</t>
        </is>
      </c>
      <c r="C547" s="18" t="inlineStr"/>
      <c r="D547" s="18" t="inlineStr">
        <is>
          <t>Losartan</t>
        </is>
      </c>
      <c r="E547" s="18" t="inlineStr">
        <is>
          <t>Nifedipine</t>
        </is>
      </c>
      <c r="F547" s="18" t="inlineStr">
        <is>
          <t>Enalapril</t>
        </is>
      </c>
      <c r="G547" s="18" t="inlineStr">
        <is>
          <t>HCTZ</t>
        </is>
      </c>
      <c r="H547" s="18" t="inlineStr">
        <is>
          <t>Amlodipine</t>
        </is>
      </c>
      <c r="I547" s="15" t="inlineStr">
        <is>
          <t>1</t>
        </is>
      </c>
      <c r="J547" s="18" t="inlineStr">
        <is>
          <t>✅ คำตอบที่ถูกต้อง: ข้อ ก. Losartan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47" s="18" t="inlineStr"/>
      <c r="L547" s="18" t="inlineStr">
        <is>
          <t>General Therapeutics</t>
        </is>
      </c>
      <c r="M547" s="18" t="inlineStr">
        <is>
          <t>Clinic</t>
        </is>
      </c>
      <c r="N547" s="18" t="inlineStr">
        <is>
          <t>ข้อ 78 (PLE_CC1_2559.md)</t>
        </is>
      </c>
      <c r="O547" s="18" t="inlineStr">
        <is>
          <t>ข้อสอบจริง</t>
        </is>
      </c>
      <c r="P547" s="18" t="inlineStr">
        <is>
          <t>ปี 2559</t>
        </is>
      </c>
    </row>
    <row r="548">
      <c r="A548" s="15" t="inlineStr">
        <is>
          <t>569</t>
        </is>
      </c>
      <c r="B548" s="18" t="inlineStr">
        <is>
          <t>ผลทางห้องปฏิบัติการข้อใดต่อไปนี ถูกต้อง</t>
        </is>
      </c>
      <c r="C548" s="18" t="inlineStr"/>
      <c r="D548" s="18" t="inlineStr">
        <is>
          <t>Ferritin สูง, TIBC สูง, MCV สูง</t>
        </is>
      </c>
      <c r="E548" s="18" t="inlineStr">
        <is>
          <t>Ferritin ต่้า, TIBC ต่้า, MCV ต่้า</t>
        </is>
      </c>
      <c r="F548" s="18" t="inlineStr">
        <is>
          <t>Ferritin ต่้า, TIBC สูง, MCV ต่้า</t>
        </is>
      </c>
      <c r="G548" s="18" t="inlineStr">
        <is>
          <t>Ferritin สูง, TIBC ต่้า, MCV ต่้า</t>
        </is>
      </c>
      <c r="H548" s="18" t="inlineStr">
        <is>
          <t>Ferritin สูง, TIBC ต่้า, MCV สูง</t>
        </is>
      </c>
      <c r="I548" s="15" t="inlineStr">
        <is>
          <t>1</t>
        </is>
      </c>
      <c r="J548" s="18" t="inlineStr">
        <is>
          <t>✅ คำตอบที่ถูกต้อง: ข้อ ก. Ferritin สูง, TIBC สูง, MCV 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Ferritin สูง, TIBC สูง, MCV สูง การเลือก Ferritin สูง, TIBC สูง, MCV 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(Ferritin ต่้า,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ค. (Ferritin ต่้า, TIBC สูง, MCV ต่้า): ข้อนี้ไม่ใช่คำตอบที่ถูกต้องสำหรับภาวะ General Therapeutics เนื่องจากกลไกการออกฤทธิ์, efficacy หรือข้อบ่งใช้ไม่ตรงกับโจทย์ที่กำหนด
• ข้อ ง. (Ferritin สูง,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จ. (Ferritin สูง, TIBC ต่้า, MCV 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8" s="18" t="inlineStr"/>
      <c r="L548" s="18" t="inlineStr">
        <is>
          <t>General Therapeutics</t>
        </is>
      </c>
      <c r="M548" s="18" t="inlineStr">
        <is>
          <t>Clinic</t>
        </is>
      </c>
      <c r="N548" s="18" t="inlineStr">
        <is>
          <t>ข้อ 80 (PLE_CC1_2559.md)</t>
        </is>
      </c>
      <c r="O548" s="18" t="inlineStr">
        <is>
          <t>ข้อสอบจริง</t>
        </is>
      </c>
      <c r="P548" s="18" t="inlineStr">
        <is>
          <t>ปี 2559</t>
        </is>
      </c>
    </row>
    <row r="549">
      <c r="A549" s="15" t="inlineStr">
        <is>
          <t>570</t>
        </is>
      </c>
      <c r="B549" s="18" t="inlineStr">
        <is>
          <t>ควรให้ยาใดกับคนไข้รายนี</t>
        </is>
      </c>
      <c r="C549" s="18" t="inlineStr"/>
      <c r="D549" s="18" t="inlineStr">
        <is>
          <t>Folic acid</t>
        </is>
      </c>
      <c r="E549" s="18" t="inlineStr">
        <is>
          <t>Ferrous sulfate</t>
        </is>
      </c>
      <c r="F549" s="18" t="inlineStr">
        <is>
          <t>Folic acid, Vitamin B 12</t>
        </is>
      </c>
      <c r="G549" s="18" t="inlineStr">
        <is>
          <t>Folic acid, Ferrous sulfate</t>
        </is>
      </c>
      <c r="H549" s="18" t="inlineStr">
        <is>
          <t>Vitamin B12, Ferrous sulfate</t>
        </is>
      </c>
      <c r="I549" s="15" t="inlineStr">
        <is>
          <t>1</t>
        </is>
      </c>
      <c r="J549" s="18"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(Ferrous sulfate): ข้อนี้ไม่ใช่คำตอบที่ถูกต้องสำหรับภาวะ General Therapeutics เนื่องจากกลไกการออกฤทธิ์, efficacy หรือข้อบ่งใช้ไม่ตรงกับโจทย์ที่กำหนด
• ข้อ ค. (Folic acid, Vitamin B 12): ข้อนี้ไม่ใช่คำตอบที่ถูกต้องสำหรับภาวะ General Therapeutics เนื่องจากกลไกการออกฤทธิ์, efficacy หรือข้อบ่งใช้ไม่ตรงกับโจทย์ที่กำหนด
• ข้อ ง. (Folic acid,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(Vitamin B12,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9" s="18" t="inlineStr"/>
      <c r="L549" s="18" t="inlineStr">
        <is>
          <t>General Therapeutics</t>
        </is>
      </c>
      <c r="M549" s="18" t="inlineStr">
        <is>
          <t>Clinic</t>
        </is>
      </c>
      <c r="N549" s="18" t="inlineStr">
        <is>
          <t>ข้อ 81 (PLE_CC1_2559.md)</t>
        </is>
      </c>
      <c r="O549" s="18" t="inlineStr">
        <is>
          <t>ข้อสอบจริง</t>
        </is>
      </c>
      <c r="P549" s="18" t="inlineStr">
        <is>
          <t>ปี 2559</t>
        </is>
      </c>
    </row>
    <row r="550">
      <c r="A550" s="15" t="inlineStr">
        <is>
          <t>571</t>
        </is>
      </c>
      <c r="B550" s="18" t="inlineStr">
        <is>
          <t>ยาใดท้าให้การดูดซึมเหล็กลดลง</t>
        </is>
      </c>
      <c r="C550" s="18" t="inlineStr"/>
      <c r="D550" s="18" t="inlineStr">
        <is>
          <t>Amoxicillin</t>
        </is>
      </c>
      <c r="E550" s="18" t="inlineStr">
        <is>
          <t>Itraconazole</t>
        </is>
      </c>
      <c r="F550" s="18" t="inlineStr">
        <is>
          <t>Aripiprazole</t>
        </is>
      </c>
      <c r="G550" s="18" t="inlineStr">
        <is>
          <t>Hyoscine</t>
        </is>
      </c>
      <c r="H550" s="18" t="inlineStr">
        <is>
          <t>Omeprazole</t>
        </is>
      </c>
      <c r="I550" s="15" t="inlineStr">
        <is>
          <t>1</t>
        </is>
      </c>
      <c r="J550" s="18"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(Aripiprazole): ข้อนี้ไม่ใช่คำตอบที่ถูกต้องสำหรับภาวะ General Therapeutics เนื่องจากกลไกการออกฤทธิ์, efficacy หรือข้อบ่งใช้ไม่ตรงกับโจทย์ที่กำหนด
• ข้อ ง. (Hyoscine): ข้อนี้ไม่ใช่คำตอบที่ถูกต้องสำหรับภาวะ General Therapeutics เนื่องจากกลไกการออกฤทธิ์, efficacy หรือข้อบ่งใช้ไม่ตรงกับโจทย์ที่กำหนด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0" s="18" t="inlineStr"/>
      <c r="L550" s="18" t="inlineStr">
        <is>
          <t>General Therapeutics</t>
        </is>
      </c>
      <c r="M550" s="18" t="inlineStr">
        <is>
          <t>Clinic</t>
        </is>
      </c>
      <c r="N550" s="18" t="inlineStr">
        <is>
          <t>ข้อ 83 (PLE_CC1_2559.md)</t>
        </is>
      </c>
      <c r="O550" s="18" t="inlineStr">
        <is>
          <t>ข้อสอบจริง</t>
        </is>
      </c>
      <c r="P550" s="18" t="inlineStr">
        <is>
          <t>ปี 2559</t>
        </is>
      </c>
    </row>
    <row r="551">
      <c r="A551" s="15" t="inlineStr">
        <is>
          <t>572</t>
        </is>
      </c>
      <c r="B551" s="18" t="inlineStr">
        <is>
          <t>ค่าทางห้องปฏิบัติการค่าไหนที่แสดงให้เห็นว่ามีการสร้างเม็ดเลือดแดงที่ผิดปกติ</t>
        </is>
      </c>
      <c r="C551" s="18" t="inlineStr"/>
      <c r="D551" s="18" t="inlineStr">
        <is>
          <t>Reticulocytes</t>
        </is>
      </c>
      <c r="E551" s="18" t="inlineStr">
        <is>
          <t>MCH</t>
        </is>
      </c>
      <c r="F551" s="18" t="inlineStr">
        <is>
          <t>MCHC</t>
        </is>
      </c>
      <c r="G551" s="18" t="inlineStr">
        <is>
          <t>Hematocrit</t>
        </is>
      </c>
      <c r="H551" s="18" t="inlineStr">
        <is>
          <t>Hemoglobin enalapril ชอบอาหารรสจัดและไม่ชอบออกก้าลังกาย</t>
        </is>
      </c>
      <c r="I551" s="15" t="inlineStr">
        <is>
          <t>1</t>
        </is>
      </c>
      <c r="J551" s="18" t="inlineStr">
        <is>
          <t>✅ คำตอบที่ถูกต้อง: ข้อ ก. Reticulocytes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Reticulocytes กรณีศึกษาที่ 14 หญิง อายุ 65 ปี หนัก 65 kg สูง 155 cm เป็นโรคกระดูกพรุน ข้อเสื่อมมา 1 สัปดาห์ ได้รับยา risedronate, calcium, diclofenac, glucosamine, vitamin B complex เป็นโรคความดันโลหิตและโรคหัวใจโตมา 10 ปี ใช้ยา HCTZ,
🔍 ข้ออื่นผิดเพราะอะไร:
• ข้อ ข. (MCH): ข้อนี้ไม่ใช่คำตอบที่ถูกต้องสำหรับภาวะ General Therapeutics เนื่องจากกลไกการออกฤทธิ์, efficacy หรือข้อบ่งใช้ไม่ตรงกับโจทย์ที่กำหนด
• ข้อ ค. (MCHC): ข้อนี้ไม่ใช่คำตอบที่ถูกต้องสำหรับภาวะ General Therapeutics เนื่องจากกลไกการออกฤทธิ์, efficacy หรือข้อบ่งใช้ไม่ตรงกับโจทย์ที่กำหนด
• ข้อ ง. (Hematocrit): ข้อนี้ไม่ใช่คำตอบที่ถูกต้องสำหรับภาวะ General Therapeutics เนื่องจากกลไกการออกฤทธิ์, efficacy หรือข้อบ่งใช้ไม่ตรงกับโจทย์ที่กำหนด
• ข้อ จ. (Hemoglobin enalapril ชอบอาหารรสจัดและไม่ชอบออกก้าลังกาย):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1" s="18" t="inlineStr"/>
      <c r="L551" s="18" t="inlineStr">
        <is>
          <t>General Therapeutics</t>
        </is>
      </c>
      <c r="M551" s="18" t="inlineStr">
        <is>
          <t>Clinic</t>
        </is>
      </c>
      <c r="N551" s="18" t="inlineStr">
        <is>
          <t>ข้อ 84 (PLE_CC1_2559.md)</t>
        </is>
      </c>
      <c r="O551" s="18" t="inlineStr">
        <is>
          <t>ข้อสอบจริง</t>
        </is>
      </c>
      <c r="P551" s="18" t="inlineStr">
        <is>
          <t>ปี 2559</t>
        </is>
      </c>
    </row>
    <row r="552">
      <c r="A552" s="15" t="inlineStr">
        <is>
          <t>573</t>
        </is>
      </c>
      <c r="B552" s="18" t="inlineStr">
        <is>
          <t>ข้อใดผิดเกี่ยวกับ risedronate</t>
        </is>
      </c>
      <c r="C552" s="18" t="inlineStr"/>
      <c r="D552" s="18" t="inlineStr">
        <is>
          <t>กินวันเดียวกันในแต่ละสัปดาห์</t>
        </is>
      </c>
      <c r="E552" s="18" t="inlineStr">
        <is>
          <t>ระคายเคืองหลอดอาหารได้</t>
        </is>
      </c>
      <c r="F552" s="18" t="inlineStr">
        <is>
          <t>กินแล้วต้องนั่งหรือยืนอย่างน้อย 30 นาที</t>
        </is>
      </c>
      <c r="G552" s="18" t="inlineStr">
        <is>
          <t>กินก่อนอาหาร 1 ชั่วโมง</t>
        </is>
      </c>
      <c r="H552" s="18" t="inlineStr">
        <is>
          <t>ควรกินร่วมกันนมหรือยาลดกรดเพื่อเพิ่มการดูดซึม</t>
        </is>
      </c>
      <c r="I552" s="15" t="inlineStr">
        <is>
          <t>1</t>
        </is>
      </c>
      <c r="J552" s="18" t="inlineStr">
        <is>
          <t>✅ คำตอบที่ถูกต้อง: ข้อ ก. กินวันเดียวกันในแต่ละสัปดาห์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กินวันเดียวกันในแต่ละสัปดาห์ การเลือก กินวันเดียวกันในแต่ละสัปดาห์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(ระคายเคืองหลอดอาหารได้): ข้อนี้ไม่ใช่คำตอบที่ถูกต้องสำหรับภาวะ General Therapeutics เนื่องจากกลไกการออกฤทธิ์, efficacy หรือข้อบ่งใช้ไม่ตรงกับโจทย์ที่กำหนด
• ข้อ ค. (กินแล้วต้องนั่งหรือยืนอย่างน้อย 30 นาที): ข้อนี้ไม่ใช่คำตอบที่ถูกต้องสำหรับภาวะ General Therapeutics เนื่องจากกลไกการออกฤทธิ์, efficacy หรือข้อบ่งใช้ไม่ตรงกับโจทย์ที่กำหนด
• ข้อ ง. (กินก่อนอาหาร 1 ชั่วโมง): ข้อนี้ไม่ใช่คำตอบที่ถูกต้องสำหรับภาวะ General Therapeutics เนื่องจากกลไกการออกฤทธิ์, efficacy หรือข้อบ่งใช้ไม่ตรงกับโจทย์ที่กำหนด
• ข้อ จ. (ควรกินร่วมกันนมหรือยาลดกรดเพื่อเพิ่มการดูดซึม):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2" s="18" t="inlineStr"/>
      <c r="L552" s="18" t="inlineStr">
        <is>
          <t>General Therapeutics</t>
        </is>
      </c>
      <c r="M552" s="18" t="inlineStr">
        <is>
          <t>Clinic</t>
        </is>
      </c>
      <c r="N552" s="18" t="inlineStr">
        <is>
          <t>ข้อ 86 (PLE_CC1_2559.md)</t>
        </is>
      </c>
      <c r="O552" s="18" t="inlineStr">
        <is>
          <t>ข้อสอบจริง</t>
        </is>
      </c>
      <c r="P552" s="18" t="inlineStr">
        <is>
          <t>ปี 2559</t>
        </is>
      </c>
    </row>
    <row r="553">
      <c r="A553" s="15" t="inlineStr">
        <is>
          <t>574</t>
        </is>
      </c>
      <c r="B553" s="18" t="inlineStr">
        <is>
          <t>Gemfibrozil 1 x 1</t>
        </is>
      </c>
      <c r="C553" s="18" t="inlineStr"/>
      <c r="D553" s="18" t="inlineStr">
        <is>
          <t>Diltiazem 30 mg TID</t>
        </is>
      </c>
      <c r="E553" s="18" t="inlineStr">
        <is>
          <t>Warfarin 3 mg OD (target INR 2.0-3.0)</t>
        </is>
      </c>
      <c r="F553" s="18" t="inlineStr">
        <is>
          <t>Furosemide 40 mg OD</t>
        </is>
      </c>
      <c r="G553" s="18" t="inlineStr">
        <is>
          <t>Amlodipine 5 mg OD</t>
        </is>
      </c>
      <c r="H553" s="18" t="inlineStr">
        <is>
          <t>Losartan 50 mg OD</t>
        </is>
      </c>
      <c r="I553" s="15" t="inlineStr">
        <is>
          <t>1</t>
        </is>
      </c>
      <c r="J553" s="18"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3" s="18" t="inlineStr"/>
      <c r="L553" s="18" t="inlineStr">
        <is>
          <t>Cardiovascular Diseases</t>
        </is>
      </c>
      <c r="M553" s="18" t="inlineStr">
        <is>
          <t>Clinic</t>
        </is>
      </c>
      <c r="N553" s="18" t="inlineStr">
        <is>
          <t>ข้อ 3 (PLE_CC1_2558_Key.md)</t>
        </is>
      </c>
      <c r="O553" s="18" t="inlineStr">
        <is>
          <t>ข้อสอบจริง</t>
        </is>
      </c>
      <c r="P553" s="18" t="inlineStr">
        <is>
          <t>ปี 2558</t>
        </is>
      </c>
    </row>
    <row r="554">
      <c r="A554" s="15" t="inlineStr">
        <is>
          <t>575</t>
        </is>
      </c>
      <c r="B554" s="18" t="inlineStr">
        <is>
          <t>ผู้ป่วยรายนี้ต้องติดตามภาวะใด</t>
        </is>
      </c>
      <c r="C554" s="18" t="inlineStr"/>
      <c r="D554" s="18" t="inlineStr">
        <is>
          <t>ผื่นผิวหนัง</t>
        </is>
      </c>
      <c r="E554" s="18" t="inlineStr">
        <is>
          <t>ตับอักเสบ</t>
        </is>
      </c>
      <c r="F554" s="18" t="inlineStr">
        <is>
          <t>กล้ามเนื้ออักเสบ</t>
        </is>
      </c>
      <c r="G554" s="18" t="inlineStr">
        <is>
          <t>การทำงานของไตลดลง</t>
        </is>
      </c>
      <c r="H554" s="18" t="inlineStr">
        <is>
          <t>เลือดจาง</t>
        </is>
      </c>
      <c r="I554" s="15" t="inlineStr">
        <is>
          <t>1</t>
        </is>
      </c>
      <c r="J554" s="18" t="inlineStr">
        <is>
          <t>✅ คำตอบที่ถูกต้อง: ข้อ ก. ผื่นผิวหนัง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ผื่นผิวหนัง การเลือก ผื่นผิวหนัง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(การทำงานของไตลดลง): ข้อนี้ไม่ใช่คำตอบที่ถูกต้องสำหรับภาวะ General Therapeutics เนื่องจากกลไกการออกฤทธิ์, efficacy หรือข้อบ่งใช้ไม่ตรงกับโจทย์ที่กำหนด
• ข้อ จ. (เลือดจาง):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54" s="18" t="inlineStr"/>
      <c r="L554" s="18" t="inlineStr">
        <is>
          <t>General Therapeutics</t>
        </is>
      </c>
      <c r="M554" s="18" t="inlineStr">
        <is>
          <t>Clinic</t>
        </is>
      </c>
      <c r="N554" s="18" t="inlineStr">
        <is>
          <t>ข้อ 4 (PLE_CC1_2558_Key.md)</t>
        </is>
      </c>
      <c r="O554" s="18" t="inlineStr">
        <is>
          <t>ข้อสอบจริง</t>
        </is>
      </c>
      <c r="P554" s="18" t="inlineStr">
        <is>
          <t>ปี 2558</t>
        </is>
      </c>
    </row>
    <row r="555">
      <c r="A555" s="15" t="inlineStr">
        <is>
          <t>576</t>
        </is>
      </c>
      <c r="B555" s="18" t="inlineStr">
        <is>
          <t>ผู้ป่วยมาโรงพยาบาลวันนี้เนื่องจาก</t>
        </is>
      </c>
      <c r="C555" s="18" t="inlineStr"/>
      <c r="D555" s="18" t="inlineStr">
        <is>
          <t>เกิด DI ระหว่าง levodopa กับ benzeraside</t>
        </is>
      </c>
      <c r="E555" s="18" t="inlineStr">
        <is>
          <t>Levodopa ออกฤทธิ์สั้นลง</t>
        </is>
      </c>
      <c r="F555" s="18" t="inlineStr">
        <is>
          <t>ทนอาการข้างเคียงของ L-dopa ไม่ได้</t>
        </is>
      </c>
      <c r="G555" s="18" t="inlineStr">
        <is>
          <t>ยา levodopa ไม่ได้ผลในการรักษา</t>
        </is>
      </c>
      <c r="H555" s="18" t="inlineStr">
        <is>
          <t>ทนอาการข้างเคียงของ trihexyphenidyl ไม่ได้ ห้ามนำไปทำซ้ำทุกกรณี เว้นแต่จะได้รับอนุญาต</t>
        </is>
      </c>
      <c r="I555" s="15" t="inlineStr">
        <is>
          <t>1</t>
        </is>
      </c>
      <c r="J555" s="18" t="inlineStr">
        <is>
          <t>✅ คำตอบที่ถูกต้อง: ข้อ ก. เกิด DI ระหว่าง levodopa กับ benzeraside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 DI ระหว่าง levodopa กับ benzeraside การเลือก เกิด DI ระหว่าง levodopa กับ benzeraside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(Levodopa ออกฤทธิ์สั้นลง): ข้อนี้ไม่ใช่คำตอบที่ถูกต้องสำหรับภาวะ General Therapeutics เนื่องจากกลไกการออกฤทธิ์, efficacy หรือข้อบ่งใช้ไม่ตรงกับโจทย์ที่กำหนด
• ข้อ ค. (ทนอาการข้างเคียงของ L-dopa ไม่ได้): ข้อนี้ไม่ใช่คำตอบที่ถูกต้องสำหรับภาวะ General Therapeutics เนื่องจากกลไกการออกฤทธิ์, efficacy หรือข้อบ่งใช้ไม่ตรงกับโจทย์ที่กำหนด
• ข้อ ง. (ยา levodopa ไม่ได้ผลในการรักษา):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(ทนอาการข้างเคียงของ trihexyphenidyl ไม่ได้ ห้ามนำไปทำซ้ำทุกกรณี เว้นแต่จะได้รับอนุญาต):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5" s="18" t="inlineStr"/>
      <c r="L555" s="18" t="inlineStr">
        <is>
          <t>General Therapeutics</t>
        </is>
      </c>
      <c r="M555" s="18" t="inlineStr">
        <is>
          <t>Clinic</t>
        </is>
      </c>
      <c r="N555" s="18" t="inlineStr">
        <is>
          <t>ข้อ 11 (PLE_CC1_2558_Key.md)</t>
        </is>
      </c>
      <c r="O555" s="18" t="inlineStr">
        <is>
          <t>ข้อสอบจริง</t>
        </is>
      </c>
      <c r="P555" s="18" t="inlineStr">
        <is>
          <t>ปี 2558</t>
        </is>
      </c>
    </row>
    <row r="556">
      <c r="A556" s="15" t="inlineStr">
        <is>
          <t>577</t>
        </is>
      </c>
      <c r="B556" s="18" t="inlineStr">
        <is>
          <t>ต้องปรับการรักษาอย่างไรในผู้ป่วยรายนี้</t>
        </is>
      </c>
      <c r="C556" s="18" t="inlineStr"/>
      <c r="D556" s="18" t="inlineStr">
        <is>
          <t>เพิ่มขนาดยา L-dopa</t>
        </is>
      </c>
      <c r="E556" s="18" t="inlineStr">
        <is>
          <t>เพิ่มขนาดยา trihexyphenidyl</t>
        </is>
      </c>
      <c r="F556" s="18" t="inlineStr">
        <is>
          <t>ลดขนาดยา L-dopa ลง</t>
        </is>
      </c>
      <c r="G556" s="18" t="inlineStr">
        <is>
          <t>เปลี่ยนเป็น L-dopa/benserazide dispersible tablet</t>
        </is>
      </c>
      <c r="H556" s="18" t="inlineStr">
        <is>
          <t>เปลี่ยนเป็น L-dopa/benserazide sustained releasing</t>
        </is>
      </c>
      <c r="I556" s="15" t="inlineStr">
        <is>
          <t>1</t>
        </is>
      </c>
      <c r="J556" s="18" t="inlineStr">
        <is>
          <t>✅ คำตอบที่ถูกต้อง: ข้อ ก. เพิ่มขนาดยา L-dopa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เพิ่มขนาดยา L-dopa 💡 คำอธิบายและข้อกำหนดทางกฎหมาย:
💡 คำอธิบายและข้อกำหนดทางกฎหมาย:
การเลือก เพิ่มขนาดยา L-dopa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(เพิ่มขนาดยา trihexyphenidyl): เป็น centrally-acting anticholinergic ช่วยลด tremor ใน Parkinson disease แต่มี ADR ปากแห้ง ตาพร่า ท้องผูก ปัสสาวะคั่ง และ cognitive impairment ในผู้สูงอายุ
• ข้อ ค. (ลดขนาดยา L-dopa ลง): ข้อนี้ไม่ใช่คำตอบที่ถูกต้องสำหรับภาวะ Pharmacy Laws &amp; Ethics เนื่องจากกลไกการออกฤทธิ์, efficacy หรือข้อบ่งใช้ไม่ตรงกับโจทย์ที่กำหนด
• ข้อ ง. (เปลี่ยนเป็น L-dopa/benserazide dispersible tablet): ข้อนี้ไม่ใช่คำตอบที่ถูกต้องสำหรับภาวะ Pharmacy Laws &amp; Ethics เนื่องจากกลไกการออกฤทธิ์, efficacy หรือข้อบ่งใช้ไม่ตรงกับโจทย์ที่กำหนด
• ข้อ จ. (เปลี่ยนเป็น L-dopa/benserazide sustained releasing):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6" s="18" t="inlineStr"/>
      <c r="L556" s="18" t="inlineStr">
        <is>
          <t>Pharmacy Laws &amp; Ethics</t>
        </is>
      </c>
      <c r="M556" s="18" t="inlineStr">
        <is>
          <t>SAP</t>
        </is>
      </c>
      <c r="N556" s="18" t="inlineStr">
        <is>
          <t>ข้อ 12 (PLE_CC1_2558_Key.md)</t>
        </is>
      </c>
      <c r="O556" s="18" t="inlineStr">
        <is>
          <t>ข้อสอบจริง</t>
        </is>
      </c>
      <c r="P556" s="18" t="inlineStr">
        <is>
          <t>ปี 2558</t>
        </is>
      </c>
    </row>
    <row r="557">
      <c r="A557" s="15" t="inlineStr">
        <is>
          <t>578</t>
        </is>
      </c>
      <c r="B557" s="18" t="inlineStr">
        <is>
          <t>L-dopa เข้า BBB ด้วยกลไกใด</t>
        </is>
      </c>
      <c r="C557" s="18" t="inlineStr"/>
      <c r="D557" s="18" t="inlineStr">
        <is>
          <t>ใช้ amino acid co-transporter</t>
        </is>
      </c>
      <c r="E557" s="18" t="inlineStr">
        <is>
          <t>ใช้ passive diffusion</t>
        </is>
      </c>
      <c r="F557" s="18" t="inlineStr">
        <is>
          <t>ถูกเปลี่ยนเป็น dopamine ก่อนที่จะผ่าน BBB</t>
        </is>
      </c>
      <c r="G557" s="18" t="inlineStr">
        <is>
          <t>ต้องอาศัย carrier ในการเข้าสมอง</t>
        </is>
      </c>
      <c r="H557" s="18" t="inlineStr">
        <is>
          <t>ผ่านกระบวนการ active transporter</t>
        </is>
      </c>
      <c r="I557" s="15" t="inlineStr">
        <is>
          <t>1</t>
        </is>
      </c>
      <c r="J557" s="18" t="inlineStr">
        <is>
          <t>✅ คำตอบที่ถูกต้อง: ข้อ ก. ใช้ amino acid co-transporter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 amino acid co-transporter การเลือก ใช้ amino acid co-transporter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 passive diffusion): ข้อนี้ไม่ใช่คำตอบที่ถูกต้องสำหรับภาวะ General Therapeutics เนื่องจากกลไกการออกฤทธิ์, efficacy หรือข้อบ่งใช้ไม่ตรงกับโจทย์ที่กำหนด
• ข้อ ค. (ถูกเปลี่ยนเป็น dopamine ก่อนที่จะผ่าน BBB): ข้อนี้ไม่ใช่คำตอบที่ถูกต้องสำหรับภาวะ General Therapeutics เนื่องจากกลไกการออกฤทธิ์, efficacy หรือข้อบ่งใช้ไม่ตรงกับโจทย์ที่กำหนด
• ข้อ ง. (ต้องอาศัย carrier ในการเข้าสมอง): ข้อนี้ไม่ใช่คำตอบที่ถูกต้องสำหรับภาวะ General Therapeutics เนื่องจากกลไกการออกฤทธิ์, efficacy หรือข้อบ่งใช้ไม่ตรงกับโจทย์ที่กำหนด
• ข้อ จ. (ผ่านกระบวนการ active transporter):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7" s="18" t="inlineStr"/>
      <c r="L557" s="18" t="inlineStr">
        <is>
          <t>General Therapeutics</t>
        </is>
      </c>
      <c r="M557" s="18" t="inlineStr">
        <is>
          <t>Clinic</t>
        </is>
      </c>
      <c r="N557" s="18" t="inlineStr">
        <is>
          <t>ข้อ 13 (PLE_CC1_2558_Key.md)</t>
        </is>
      </c>
      <c r="O557" s="18" t="inlineStr">
        <is>
          <t>ข้อสอบจริง</t>
        </is>
      </c>
      <c r="P557" s="18" t="inlineStr">
        <is>
          <t>ปี 2558</t>
        </is>
      </c>
    </row>
    <row r="558">
      <c r="A558" s="15" t="inlineStr">
        <is>
          <t>579</t>
        </is>
      </c>
      <c r="B558" s="18" t="inlineStr">
        <is>
          <t>ยาใดส่งผลทำให้เกิดอาการคล้ายพาร์กินสัน</t>
        </is>
      </c>
      <c r="C558" s="18" t="inlineStr"/>
      <c r="D558" s="18" t="inlineStr">
        <is>
          <t>Benztropine</t>
        </is>
      </c>
      <c r="E558" s="18" t="inlineStr">
        <is>
          <t>Clozapine</t>
        </is>
      </c>
      <c r="F558" s="18" t="inlineStr">
        <is>
          <t>Haloperidol</t>
        </is>
      </c>
      <c r="G558" s="18" t="inlineStr">
        <is>
          <t>Selegiline</t>
        </is>
      </c>
      <c r="H558" s="18" t="inlineStr">
        <is>
          <t>Imipramine</t>
        </is>
      </c>
      <c r="I558" s="15" t="inlineStr">
        <is>
          <t>1</t>
        </is>
      </c>
      <c r="J558" s="18" t="inlineStr">
        <is>
          <t>✅ คำตอบที่ถูกต้อง: ข้อ ก. Benztropine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Benztropine การเลือก Benztropine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(Clozapine): เป็น atypical antipsychotic สำหรับ treatment-resistant schizophrenia ที่มี efficacy สูงสุด แต่มี black box warning เรื่อง agranulocytosis (ต้องตรวจ CBC สม่ำเสมอ), myocarditis และชัก
• ข้อ ค. (Haloperidol): เป็น First-generation (typical) antipsychotic ยับยั้ง D2 receptor สูง เสี่ยงต่อ Extrapyramidal symptoms (EPS), acute dystonia, akathisia และ tardive dyskinesia สูง
• ข้อ ง. (Selegiline): ข้อนี้ไม่ใช่คำตอบที่ถูกต้องสำหรับภาวะ Neurologic Disorders เนื่องจากกลไกการออกฤทธิ์, efficacy หรือข้อบ่งใช้ไม่ตรงกับโจทย์ที่กำหนด
• ข้อ จ. (Imipramine):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8" s="18" t="inlineStr"/>
      <c r="L558" s="18" t="inlineStr">
        <is>
          <t>Neurologic Disorders</t>
        </is>
      </c>
      <c r="M558" s="18" t="inlineStr">
        <is>
          <t>Clinic</t>
        </is>
      </c>
      <c r="N558" s="18" t="inlineStr">
        <is>
          <t>ข้อ 16 (PLE_CC1_2558_Key.md)</t>
        </is>
      </c>
      <c r="O558" s="18" t="inlineStr">
        <is>
          <t>ข้อสอบจริง</t>
        </is>
      </c>
      <c r="P558" s="18" t="inlineStr">
        <is>
          <t>ปี 2558</t>
        </is>
      </c>
    </row>
    <row r="559">
      <c r="A559" s="15" t="inlineStr">
        <is>
          <t>580</t>
        </is>
      </c>
      <c r="B559" s="18"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559" s="18" t="inlineStr"/>
      <c r="D559" s="18" t="inlineStr">
        <is>
          <t>1/100</t>
        </is>
      </c>
      <c r="E559" s="15" t="inlineStr">
        <is>
          <t>5/1000</t>
        </is>
      </c>
      <c r="F559" s="18" t="inlineStr">
        <is>
          <t>5/10000</t>
        </is>
      </c>
      <c r="G559" s="18" t="inlineStr">
        <is>
          <t>33/10000</t>
        </is>
      </c>
      <c r="H559" s="18" t="inlineStr">
        <is>
          <t>1/100000</t>
        </is>
      </c>
      <c r="I559" s="15" t="inlineStr">
        <is>
          <t>1</t>
        </is>
      </c>
      <c r="J559" s="18" t="inlineStr">
        <is>
          <t>✅ คำตอบที่ถูกต้อง: ข้อ ก. 1/100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1/100 การเลือก 1/100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(5/1000): ข้อนี้ไม่ใช่คำตอบที่ถูกต้องสำหรับภาวะ Neurologic Disorders เนื่องจากกลไกการออกฤทธิ์, efficacy หรือข้อบ่งใช้ไม่ตรงกับโจทย์ที่กำหนด
• ข้อ ค. (5/10000): ข้อนี้ไม่ใช่คำตอบที่ถูกต้องสำหรับภาวะ Neurologic Disorders เนื่องจากกลไกการออกฤทธิ์, efficacy หรือข้อบ่งใช้ไม่ตรงกับโจทย์ที่กำหนด
• ข้อ ง. (33/10000): ข้อนี้ไม่ใช่คำตอบที่ถูกต้องสำหรับภาวะ Neurologic Disorders เนื่องจากกลไกการออกฤทธิ์, efficacy หรือข้อบ่งใช้ไม่ตรงกับโจทย์ที่กำหนด
• ข้อ จ. (1/100000):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9" s="18" t="inlineStr"/>
      <c r="L559" s="18" t="inlineStr">
        <is>
          <t>Neurologic Disorders</t>
        </is>
      </c>
      <c r="M559" s="18" t="inlineStr">
        <is>
          <t>Clinic</t>
        </is>
      </c>
      <c r="N559" s="18" t="inlineStr">
        <is>
          <t>ข้อ 17 (PLE_CC1_2558_Key.md)</t>
        </is>
      </c>
      <c r="O559" s="18" t="inlineStr">
        <is>
          <t>ข้อสอบจริง</t>
        </is>
      </c>
      <c r="P559" s="18" t="inlineStr">
        <is>
          <t>ปี 2558</t>
        </is>
      </c>
    </row>
    <row r="560">
      <c r="A560" s="15" t="inlineStr">
        <is>
          <t>581</t>
        </is>
      </c>
      <c r="B560" s="18" t="inlineStr">
        <is>
          <t>ข้อใดผิดเกี่ยวกับการให้ยา amphotericin B</t>
        </is>
      </c>
      <c r="C560" s="18" t="inlineStr"/>
      <c r="D560" s="18" t="inlineStr">
        <is>
          <t>ให้ยาในอัตราเร็วอย่างช้า ๆ</t>
        </is>
      </c>
      <c r="E560" s="18" t="inlineStr">
        <is>
          <t>ติดตามค่าการทำงานของไต</t>
        </is>
      </c>
      <c r="F560" s="18" t="inlineStr">
        <is>
          <t>ให้ paracetamol+CPM ก่อนให้ยา</t>
        </is>
      </c>
      <c r="G560" s="18" t="inlineStr">
        <is>
          <t>ติดตาม K+ ในเลือด</t>
        </is>
      </c>
      <c r="H560" s="18" t="inlineStr">
        <is>
          <t>ติดตาม Ca2+ ในเลือด</t>
        </is>
      </c>
      <c r="I560" s="15" t="inlineStr">
        <is>
          <t>1</t>
        </is>
      </c>
      <c r="J560" s="18" t="inlineStr">
        <is>
          <t>✅ คำตอบที่ถูกต้อง: ข้อ ก. ให้ยาในอัตราเร็วอย่างช้า ๆ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ให้ยาในอัตราเร็วอย่างช้า ๆ การเลือก ให้ยาในอัตราเร็วอย่างช้า ๆ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(ติดตามค่าการทำงานของไต): ข้อนี้ไม่ใช่คำตอบที่ถูกต้องสำหรับภาวะ Infectious Diseases เนื่องจากกลไกการออกฤทธิ์, efficacy หรือข้อบ่งใช้ไม่ตรงกับโจทย์ที่กำหนด
• ข้อ ค. (ให้ paracetamol+CPM ก่อนให้ยา):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(ติดตาม K+ ในเลือด): ข้อนี้ไม่ใช่คำตอบที่ถูกต้องสำหรับภาวะ Infectious Diseases เนื่องจากกลไกการออกฤทธิ์, efficacy หรือข้อบ่งใช้ไม่ตรงกับโจทย์ที่กำหนด
• ข้อ จ. (ติดตาม Ca2+ ในเลือด):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0" s="18" t="inlineStr"/>
      <c r="L560" s="18" t="inlineStr">
        <is>
          <t>Infectious Diseases</t>
        </is>
      </c>
      <c r="M560" s="18" t="inlineStr">
        <is>
          <t>Clinic</t>
        </is>
      </c>
      <c r="N560" s="18" t="inlineStr">
        <is>
          <t>ข้อ 20 (PLE_CC1_2558_Key.md)</t>
        </is>
      </c>
      <c r="O560" s="18" t="inlineStr">
        <is>
          <t>ข้อสอบจริง</t>
        </is>
      </c>
      <c r="P560" s="18" t="inlineStr">
        <is>
          <t>ปี 2558</t>
        </is>
      </c>
    </row>
    <row r="561">
      <c r="A561" s="15" t="inlineStr">
        <is>
          <t>582</t>
        </is>
      </c>
      <c r="B561" s="18" t="inlineStr">
        <is>
          <t>ข้อใดผิดเกี่ยวกับโครงสร้างยา</t>
        </is>
      </c>
      <c r="C561" s="18" t="inlineStr"/>
      <c r="D561" s="18" t="inlineStr">
        <is>
          <t>โครงสร้างเป็น amphoteric drug</t>
        </is>
      </c>
      <c r="E561" s="18" t="inlineStr">
        <is>
          <t>โครงสร้างเป็นกลุ่ม macrolide ring</t>
        </is>
      </c>
      <c r="F561" s="18" t="inlineStr">
        <is>
          <t>ส่วนของ polyene ทำให้โครงสร้างมีความ rigid</t>
        </is>
      </c>
      <c r="G561" s="18" t="inlineStr">
        <is>
          <t>จากส่วนของ polyene เป็น cis</t>
        </is>
      </c>
      <c r="H561" s="18" t="inlineStr">
        <is>
          <t>น้ำตาล mycosamine ในโครงสร้างละลายน้ำได้</t>
        </is>
      </c>
      <c r="I561" s="15" t="inlineStr">
        <is>
          <t>1</t>
        </is>
      </c>
      <c r="J561" s="18" t="inlineStr">
        <is>
          <t>✅ คำตอบที่ถูกต้อง: ข้อ ก. โครงสร้างเป็น amphoteric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amphoteric drug การเลือก โครงสร้างเป็น amphoteric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(โครงสร้างเป็นกลุ่ม macrolide ring):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polyene ทำให้โครงสร้างมีความ rigid): ข้อนี้ไม่ใช่คำตอบที่ถูกต้องสำหรับภาวะ General Therapeutics เนื่องจากกลไกการออกฤทธิ์, efficacy หรือข้อบ่งใช้ไม่ตรงกับโจทย์ที่กำหนด
• ข้อ ง. (จากส่วนของ polyene เป็น cis): ข้อนี้ไม่ใช่คำตอบที่ถูกต้องสำหรับภาวะ General Therapeutics เนื่องจากกลไกการออกฤทธิ์, efficacy หรือข้อบ่งใช้ไม่ตรงกับโจทย์ที่กำหนด
• ข้อ จ. (น้ำตาล mycosamine ในโครงสร้างละลายน้ำได้):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1" s="18" t="inlineStr"/>
      <c r="L561" s="18" t="inlineStr">
        <is>
          <t>General Therapeutics</t>
        </is>
      </c>
      <c r="M561" s="18" t="inlineStr">
        <is>
          <t>Clinic</t>
        </is>
      </c>
      <c r="N561" s="18" t="inlineStr">
        <is>
          <t>ข้อ 21 (PLE_CC1_2558_Key.md)</t>
        </is>
      </c>
      <c r="O561" s="18" t="inlineStr">
        <is>
          <t>ข้อสอบจริง</t>
        </is>
      </c>
      <c r="P561" s="18" t="inlineStr">
        <is>
          <t>ปี 2558</t>
        </is>
      </c>
    </row>
    <row r="562">
      <c r="A562" s="15" t="inlineStr">
        <is>
          <t>583</t>
        </is>
      </c>
      <c r="B562" s="18" t="inlineStr">
        <is>
          <t>การผสม amp B กับ NSS เกิดการตกตะกอนด้วยกลไกใด</t>
        </is>
      </c>
      <c r="C562" s="18" t="inlineStr"/>
      <c r="D562" s="18" t="inlineStr">
        <is>
          <t>Complexation</t>
        </is>
      </c>
      <c r="E562" s="18" t="inlineStr">
        <is>
          <t>Isomerization</t>
        </is>
      </c>
      <c r="F562" s="18" t="inlineStr">
        <is>
          <t>Salting out</t>
        </is>
      </c>
      <c r="G562" s="18" t="inlineStr">
        <is>
          <t>Epimerization</t>
        </is>
      </c>
      <c r="H562" s="18" t="inlineStr">
        <is>
          <t>Polymerization</t>
        </is>
      </c>
      <c r="I562" s="15" t="inlineStr">
        <is>
          <t>1</t>
        </is>
      </c>
      <c r="J562" s="18" t="inlineStr">
        <is>
          <t>✅ คำตอบที่ถูกต้อง: ข้อ ก. Complexation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Complexation การเลือก Complexation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(Isomerization): ข้อนี้ไม่ใช่คำตอบที่ถูกต้องสำหรับภาวะ General Therapeutics เนื่องจากกลไกการออกฤทธิ์, efficacy หรือข้อบ่งใช้ไม่ตรงกับโจทย์ที่กำหนด
• ข้อ ค. (Salting out): ข้อนี้ไม่ใช่คำตอบที่ถูกต้องสำหรับภาวะ General Therapeutics เนื่องจากกลไกการออกฤทธิ์, efficacy หรือข้อบ่งใช้ไม่ตรงกับโจทย์ที่กำหนด
• ข้อ ง. (Epimerization): ข้อนี้ไม่ใช่คำตอบที่ถูกต้องสำหรับภาวะ General Therapeutics เนื่องจากกลไกการออกฤทธิ์, efficacy หรือข้อบ่งใช้ไม่ตรงกับโจทย์ที่กำหนด
• ข้อ จ. (Polymerization):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2" s="18" t="inlineStr"/>
      <c r="L562" s="18" t="inlineStr">
        <is>
          <t>General Therapeutics</t>
        </is>
      </c>
      <c r="M562" s="18" t="inlineStr">
        <is>
          <t>Clinic</t>
        </is>
      </c>
      <c r="N562" s="18" t="inlineStr">
        <is>
          <t>ข้อ 22 (PLE_CC1_2558_Key.md)</t>
        </is>
      </c>
      <c r="O562" s="18" t="inlineStr">
        <is>
          <t>ข้อสอบจริง</t>
        </is>
      </c>
      <c r="P562" s="18" t="inlineStr">
        <is>
          <t>ปี 2558</t>
        </is>
      </c>
    </row>
    <row r="563">
      <c r="A563" s="15" t="inlineStr">
        <is>
          <t>584</t>
        </is>
      </c>
      <c r="B563" s="18" t="inlineStr">
        <is>
          <t>ยาใดที่ผู้ป่วยรายนี้ควรได้รับในการป้องกันเชื้อฉวยโอกาส</t>
        </is>
      </c>
      <c r="C563" s="18" t="inlineStr"/>
      <c r="D563" s="18" t="inlineStr">
        <is>
          <t>Bactrim</t>
        </is>
      </c>
      <c r="E563" s="18" t="inlineStr">
        <is>
          <t>Fluconazole</t>
        </is>
      </c>
      <c r="F563" s="18" t="inlineStr">
        <is>
          <t>Azithromycin</t>
        </is>
      </c>
      <c r="G563" s="18" t="inlineStr">
        <is>
          <t>Acyclovir</t>
        </is>
      </c>
      <c r="H563" s="18" t="inlineStr">
        <is>
          <t>Prednisolone</t>
        </is>
      </c>
      <c r="I563" s="15" t="inlineStr">
        <is>
          <t>1</t>
        </is>
      </c>
      <c r="J563" s="18" t="inlineStr">
        <is>
          <t>✅ คำตอบที่ถูกต้อง: ข้อ ก. Bactrim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Bactrim การเลือก Bactrim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(Fluconazole): เป็น Triazole antifungal เป็น first-line สำหรับ Candida albicans และ Cryptococcal maintenance therapy ขับออกทางไตเด่นชัดจึงต้องปรับ dose ตาม CrCl
• ข้อ ค. (Azithromycin): เป็น Macrolide ครอบคลุม atypical pathogens (Mycoplasma, Chlamydia, Legionella) ขจัดออกทางตับเป็นหลัก และมี half-life ยาวนาน (~68 ชม.)
• ข้อ ง. (Acyclovir): เป็น Guanosine analog ยับยั้ง HSV และ VZV polymerase ต้องดื่มน้ำมากๆ ระหว่างได้ยา IV เพื่อป้องกัน crystal nephropathy และ obstructive AKI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3" s="18" t="inlineStr"/>
      <c r="L563" s="18" t="inlineStr">
        <is>
          <t>General Therapeutics</t>
        </is>
      </c>
      <c r="M563" s="18" t="inlineStr">
        <is>
          <t>Clinic</t>
        </is>
      </c>
      <c r="N563" s="18" t="inlineStr">
        <is>
          <t>ข้อ 24 (PLE_CC1_2558_Key.md)</t>
        </is>
      </c>
      <c r="O563" s="18" t="inlineStr">
        <is>
          <t>ข้อสอบจริง</t>
        </is>
      </c>
      <c r="P563" s="18" t="inlineStr">
        <is>
          <t>ปี 2558</t>
        </is>
      </c>
    </row>
    <row r="564">
      <c r="A564" s="15" t="inlineStr">
        <is>
          <t>585</t>
        </is>
      </c>
      <c r="B564" s="18" t="inlineStr">
        <is>
          <t>จากโครงสร้างยานี้ ข้อใดถูกต้อง</t>
        </is>
      </c>
      <c r="C564" s="18" t="inlineStr"/>
      <c r="D564" s="18" t="inlineStr">
        <is>
          <t>โครงสร้างเป็น thymidine analog</t>
        </is>
      </c>
      <c r="E564" s="18" t="inlineStr">
        <is>
          <t>ยาออกฤทธิ์ต่อ retro virus</t>
        </is>
      </c>
      <c r="F564" s="18" t="inlineStr">
        <is>
          <t>ยาถูกเปลี่ยนโดย thymidine kinase</t>
        </is>
      </c>
      <c r="G564" s="18" t="inlineStr">
        <is>
          <t>หมู่ azido ทำให้ยาไม่ทนแสงและความร้อน</t>
        </is>
      </c>
      <c r="H564" s="18" t="inlineStr">
        <is>
          <t>ยาถูกเปลี่ยนแปลงให้ออกฤทธิ์อยู่ในรูป glucuronide</t>
        </is>
      </c>
      <c r="I564" s="15" t="inlineStr">
        <is>
          <t>1</t>
        </is>
      </c>
      <c r="J564" s="18" t="inlineStr">
        <is>
          <t>✅ คำตอบที่ถูกต้อง: ข้อ ก. โครงสร้างเป็น thymidine analog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thymidine analog การเลือก โครงสร้างเป็น thymidine analog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(ยาออกฤทธิ์ต่อ retro virus): ข้อนี้ไม่ใช่คำตอบที่ถูกต้องสำหรับภาวะ General Therapeutics เนื่องจากกลไกการออกฤทธิ์, efficacy หรือข้อบ่งใช้ไม่ตรงกับโจทย์ที่กำหนด
• ข้อ ค. (ยาถูกเปลี่ยนโดย thymidine kinase): ข้อนี้ไม่ใช่คำตอบที่ถูกต้องสำหรับภาวะ General Therapeutics เนื่องจากกลไกการออกฤทธิ์, efficacy หรือข้อบ่งใช้ไม่ตรงกับโจทย์ที่กำหนด
• ข้อ ง. (หมู่ azido ทำให้ยาไม่ทนแสงและความร้อน):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จ. (ยาถูกเปลี่ยนแปลงให้ออกฤทธิ์อยู่ในรูป glucuronide):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4" s="18" t="inlineStr"/>
      <c r="L564" s="18" t="inlineStr">
        <is>
          <t>General Therapeutics</t>
        </is>
      </c>
      <c r="M564" s="18" t="inlineStr">
        <is>
          <t>Clinic</t>
        </is>
      </c>
      <c r="N564" s="18" t="inlineStr">
        <is>
          <t>ข้อ 26 (PLE_CC1_2558_Key.md)</t>
        </is>
      </c>
      <c r="O564" s="18" t="inlineStr">
        <is>
          <t>ข้อสอบจริง</t>
        </is>
      </c>
      <c r="P564" s="18" t="inlineStr">
        <is>
          <t>ปี 2558</t>
        </is>
      </c>
    </row>
    <row r="565">
      <c r="A565" s="15" t="inlineStr">
        <is>
          <t>586</t>
        </is>
      </c>
      <c r="B565" s="18" t="inlineStr">
        <is>
          <t>ต้องเพิ่มการรักษาอย่างไร</t>
        </is>
      </c>
      <c r="C565" s="18" t="inlineStr"/>
      <c r="D565" s="18" t="inlineStr">
        <is>
          <t>Ipratropium inhaler</t>
        </is>
      </c>
      <c r="E565" s="18" t="inlineStr">
        <is>
          <t>Budesonide inhaler</t>
        </is>
      </c>
      <c r="F565" s="18" t="inlineStr">
        <is>
          <t>Theophylline tablet</t>
        </is>
      </c>
      <c r="G565" s="18" t="inlineStr">
        <is>
          <t>Salmeterol inhaler</t>
        </is>
      </c>
      <c r="H565" s="18" t="inlineStr">
        <is>
          <t>Tiotropium inhaler</t>
        </is>
      </c>
      <c r="I565" s="15" t="inlineStr">
        <is>
          <t>1</t>
        </is>
      </c>
      <c r="J565" s="18" t="inlineStr">
        <is>
          <t>✅ คำตอบที่ถูกต้อง: ข้อ ก. Ipratropium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Ipratropium inhaler การเลือก Ipratropium inhaler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(Budesonide inhaler):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(Theophylline tablet): มี narrow therapeutic window (target 5-15 mcg/mL) และ ADR สูง (ใจสั่น คลื่นไส้ ชัก หัวใจเต้นผิดจังหวะ) CPG จึงจัดเป็นเพียงทางเลือกท้ายๆ (alternative)
• ข้อ ง. (Salmeterol inhaler): เป็น LABA ที่มี onset ช้า (10-20 นาที) จึงใช้เป็น maintenance bronchodilator เท่านั้น ห้ามใช้เป็น reliever เด็ดขาด
• ข้อ จ. (Tiotropium inhaler): เป็น Long-acting muscarinic antagonist (LAMA) มี bronchodilatory efficacy สูง เป็นแกนหลักใน COPD maintenance therapy และ add-on ใน severe asthma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5" s="18" t="inlineStr"/>
      <c r="L565" s="18" t="inlineStr">
        <is>
          <t>General Therapeutics</t>
        </is>
      </c>
      <c r="M565" s="18" t="inlineStr">
        <is>
          <t>Clinic</t>
        </is>
      </c>
      <c r="N565" s="18" t="inlineStr">
        <is>
          <t>ข้อ 28 (PLE_CC1_2558_Key.md)</t>
        </is>
      </c>
      <c r="O565" s="18" t="inlineStr">
        <is>
          <t>ข้อสอบจริง</t>
        </is>
      </c>
      <c r="P565" s="18" t="inlineStr">
        <is>
          <t>ปี 2558</t>
        </is>
      </c>
    </row>
    <row r="566">
      <c r="A566" s="15" t="inlineStr">
        <is>
          <t>587</t>
        </is>
      </c>
      <c r="B566" s="18" t="inlineStr">
        <is>
          <t>ผู้ป่วยไม่ควรใช้ยาในข้อใดต่อไปนี้</t>
        </is>
      </c>
      <c r="C566" s="18" t="inlineStr"/>
      <c r="D566" s="18" t="inlineStr">
        <is>
          <t>Aspirin</t>
        </is>
      </c>
      <c r="E566" s="18" t="inlineStr">
        <is>
          <t>Diclofenac</t>
        </is>
      </c>
      <c r="F566" s="18" t="inlineStr">
        <is>
          <t>Naproxen</t>
        </is>
      </c>
      <c r="G566" s="18" t="inlineStr">
        <is>
          <t>Ibuprofen</t>
        </is>
      </c>
      <c r="H566" s="18" t="inlineStr">
        <is>
          <t>Piroxicam</t>
        </is>
      </c>
      <c r="I566" s="15" t="inlineStr">
        <is>
          <t>1</t>
        </is>
      </c>
      <c r="J566" s="18"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General Therapeutics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(Piroxicam): เป็น oxicam NSAID ที่มี half-life ยาวนานมาก (~50 ชม.) แต่มีความเสี่ยงต่อ severe GI bleed และ skin reactions สูงที่สุดในกลุ่ม NSAIDs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6" s="18" t="inlineStr"/>
      <c r="L566" s="18" t="inlineStr">
        <is>
          <t>General Therapeutics</t>
        </is>
      </c>
      <c r="M566" s="18" t="inlineStr">
        <is>
          <t>Clinic</t>
        </is>
      </c>
      <c r="N566" s="18" t="inlineStr">
        <is>
          <t>ข้อ 32 (PLE_CC1_2558_Key.md)</t>
        </is>
      </c>
      <c r="O566" s="18" t="inlineStr">
        <is>
          <t>ข้อสอบจริง</t>
        </is>
      </c>
      <c r="P566" s="18" t="inlineStr">
        <is>
          <t>ปี 2558</t>
        </is>
      </c>
    </row>
    <row r="567">
      <c r="A567" s="15" t="inlineStr">
        <is>
          <t>588</t>
        </is>
      </c>
      <c r="B567" s="18" t="inlineStr">
        <is>
          <t>คาดว่าผู้ป่วยรายนี้เป็นโรคใด</t>
        </is>
      </c>
      <c r="C567" s="18" t="inlineStr"/>
      <c r="D567" s="18" t="inlineStr">
        <is>
          <t>ไข้หวัดใหญ่</t>
        </is>
      </c>
      <c r="E567" s="18" t="inlineStr">
        <is>
          <t>หัด</t>
        </is>
      </c>
      <c r="F567" s="18" t="inlineStr">
        <is>
          <t>คอตีบ</t>
        </is>
      </c>
      <c r="G567" s="18" t="inlineStr">
        <is>
          <t>เริม</t>
        </is>
      </c>
      <c r="H567" s="18" t="inlineStr">
        <is>
          <t>ไข้เลือดออก</t>
        </is>
      </c>
      <c r="I567" s="15" t="inlineStr">
        <is>
          <t>1</t>
        </is>
      </c>
      <c r="J567" s="18" t="inlineStr">
        <is>
          <t>✅ คำตอบที่ถูกต้อง: ข้อ ก. ไข้หวัดใหญ่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ไข้หวัดใหญ่ การเลือก ไข้หวัดใหญ่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(หัด): ข้อนี้ไม่ใช่คำตอบที่ถูกต้องสำหรับภาวะ General Therapeutics เนื่องจากกลไกการออกฤทธิ์, efficacy หรือข้อบ่งใช้ไม่ตรงกับโจทย์ที่กำหนด
• ข้อ ค. (คอตีบ): ข้อนี้ไม่ใช่คำตอบที่ถูกต้องสำหรับภาวะ General Therapeutics เนื่องจากกลไกการออกฤทธิ์, efficacy หรือข้อบ่งใช้ไม่ตรงกับโจทย์ที่กำหนด
• ข้อ ง. (เริม): ข้อนี้ไม่ใช่คำตอบที่ถูกต้องสำหรับภาวะ General Therapeutics เนื่องจากกลไกการออกฤทธิ์, efficacy หรือข้อบ่งใช้ไม่ตรงกับโจทย์ที่กำหนด
• ข้อ จ. (ไข้เลือดออก):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7" s="18" t="inlineStr"/>
      <c r="L567" s="18" t="inlineStr">
        <is>
          <t>General Therapeutics</t>
        </is>
      </c>
      <c r="M567" s="18" t="inlineStr">
        <is>
          <t>Clinic</t>
        </is>
      </c>
      <c r="N567" s="18" t="inlineStr">
        <is>
          <t>ข้อ 37 (PLE_CC1_2558_Key.md)</t>
        </is>
      </c>
      <c r="O567" s="18" t="inlineStr">
        <is>
          <t>ข้อสอบจริง</t>
        </is>
      </c>
      <c r="P567" s="18" t="inlineStr">
        <is>
          <t>ปี 2558</t>
        </is>
      </c>
    </row>
    <row r="568">
      <c r="A568" s="15" t="inlineStr">
        <is>
          <t>589</t>
        </is>
      </c>
      <c r="B568" s="18" t="inlineStr">
        <is>
          <t>จากรูป เส้นปะ และ เส้นทึบ คืออะไร</t>
        </is>
      </c>
      <c r="C568" s="18" t="inlineStr"/>
      <c r="D568" s="18" t="inlineStr">
        <is>
          <t>IgM / IgG</t>
        </is>
      </c>
      <c r="E568" s="18" t="inlineStr">
        <is>
          <t>IgG / IgA</t>
        </is>
      </c>
      <c r="F568" s="18" t="inlineStr">
        <is>
          <t>IgG / IgM</t>
        </is>
      </c>
      <c r="G568" s="18" t="inlineStr">
        <is>
          <t>IgE / IgM</t>
        </is>
      </c>
      <c r="H568" s="18" t="inlineStr">
        <is>
          <t>IgA / IgG</t>
        </is>
      </c>
      <c r="I568" s="15" t="inlineStr">
        <is>
          <t>1</t>
        </is>
      </c>
      <c r="J568" s="18" t="inlineStr">
        <is>
          <t>✅ คำตอบที่ถูกต้อง: ข้อ ก. IgM / IgG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IgM / IgG การเลือก IgM / IgG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(IgG / IgA): ข้อนี้ไม่ใช่คำตอบที่ถูกต้องสำหรับภาวะ General Therapeutics เนื่องจากกลไกการออกฤทธิ์, efficacy หรือข้อบ่งใช้ไม่ตรงกับโจทย์ที่กำหนด
• ข้อ ค. (IgG / IgM): ข้อนี้ไม่ใช่คำตอบที่ถูกต้องสำหรับภาวะ General Therapeutics เนื่องจากกลไกการออกฤทธิ์, efficacy หรือข้อบ่งใช้ไม่ตรงกับโจทย์ที่กำหนด
• ข้อ ง. (IgE / IgM): ข้อนี้ไม่ใช่คำตอบที่ถูกต้องสำหรับภาวะ General Therapeutics เนื่องจากกลไกการออกฤทธิ์, efficacy หรือข้อบ่งใช้ไม่ตรงกับโจทย์ที่กำหนด
• ข้อ จ. (IgA / IgG):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8" s="18" t="inlineStr"/>
      <c r="L568" s="18" t="inlineStr">
        <is>
          <t>General Therapeutics</t>
        </is>
      </c>
      <c r="M568" s="18" t="inlineStr">
        <is>
          <t>Clinic</t>
        </is>
      </c>
      <c r="N568" s="18" t="inlineStr">
        <is>
          <t>ข้อ 44 (PLE_CC1_2558_Key.md)</t>
        </is>
      </c>
      <c r="O568" s="18" t="inlineStr">
        <is>
          <t>ข้อสอบจริง</t>
        </is>
      </c>
      <c r="P568" s="18" t="inlineStr">
        <is>
          <t>ปี 2558</t>
        </is>
      </c>
    </row>
    <row r="569">
      <c r="A569" s="15" t="inlineStr">
        <is>
          <t>590</t>
        </is>
      </c>
      <c r="B569" s="18" t="inlineStr">
        <is>
          <t>จากกราฟข้อ 44. ข้อใดถูกต้อง</t>
        </is>
      </c>
      <c r="C569" s="18" t="inlineStr"/>
      <c r="D569" s="18" t="inlineStr">
        <is>
          <t>ฉีดวัคซีนซ้ำ เพื่อกระตุ้นการสร้าง Ab บางอย่างเพิ่มขึ้น</t>
        </is>
      </c>
      <c r="E569" s="18" t="inlineStr">
        <is>
          <t>ฉีดวัคซีนซ้ำ เพื่อให้ภูมิคุ้มกันสร้างให้อีกครั้ง</t>
        </is>
      </c>
      <c r="F569" s="18" t="inlineStr">
        <is>
          <t>การฉีดซ้ำไม่ได้เพิ่มปริมาณภูมิคุ้มกัน</t>
        </is>
      </c>
      <c r="G569" s="18" t="inlineStr">
        <is>
          <t>ไม่จำเป็นต้องฉีดซ้ำ</t>
        </is>
      </c>
      <c r="H569" s="18" t="inlineStr">
        <is>
          <t>สามารถฉีดกระตุ้นก่อนนัดได้ กรณีศึกษา 6 คลื่นไส้อาเจียน 5 วันที่แล้ว</t>
        </is>
      </c>
      <c r="I569" s="15" t="inlineStr">
        <is>
          <t>1</t>
        </is>
      </c>
      <c r="J569" s="18" t="inlineStr">
        <is>
          <t>✅ คำตอบที่ถูกต้อง: ข้อ ก. ฉีดวัคซีนซ้ำ เพื่อกระตุ้นการสร้าง Ab บางอย่างเพิ่มขึ้น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ฉีดวัคซีนซ้ำ เพื่อกระตุ้นการสร้าง Ab บางอย่างเพิ่มขึ้น ผู้ป่วยหญิงเป็น CKD Scr 5.0, K 6.5, PO4= 5.5 Hct 33 Hb=9 เป็น  CKD มา 2 ปี มาพบแพทย์ด้วย เบื่ออาหาร อ่อนเพลีย
🔍 ข้ออื่นผิดเพราะอะไร:
• ข้อ ข. (ฉีดวัคซีนซ้ำ เพื่อให้ภูมิคุ้มกันสร้างให้อีกครั้ง): ข้อนี้ไม่ใช่คำตอบที่ถูกต้องสำหรับภาวะ General Therapeutics เนื่องจากกลไกการออกฤทธิ์, efficacy หรือข้อบ่งใช้ไม่ตรงกับโจทย์ที่กำหนด
• ข้อ ค. (การฉีดซ้ำไม่ได้เพิ่มปริมาณภูมิคุ้มกัน):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(ไม่จำเป็นต้องฉีดซ้ำ):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(สามารถฉีดกระตุ้นก่อนนัดได้ กรณีศึกษา 6 คลื่นไส้อาเจียน 5 วันที่แล้ว):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9" s="18" t="inlineStr"/>
      <c r="L569" s="18" t="inlineStr">
        <is>
          <t>General Therapeutics</t>
        </is>
      </c>
      <c r="M569" s="18" t="inlineStr">
        <is>
          <t>Clinic</t>
        </is>
      </c>
      <c r="N569" s="18" t="inlineStr">
        <is>
          <t>ข้อ 45 (PLE_CC1_2558_Key.md)</t>
        </is>
      </c>
      <c r="O569" s="18" t="inlineStr">
        <is>
          <t>ข้อสอบจริง</t>
        </is>
      </c>
      <c r="P569" s="18" t="inlineStr">
        <is>
          <t>ปี 2558</t>
        </is>
      </c>
    </row>
    <row r="570">
      <c r="A570" s="15" t="inlineStr">
        <is>
          <t>591</t>
        </is>
      </c>
      <c r="B570" s="18" t="inlineStr">
        <is>
          <t>ผู้ป่วย มี ClCr เท่าไร</t>
        </is>
      </c>
      <c r="C570" s="18" t="inlineStr"/>
      <c r="D570" s="18" t="inlineStr">
        <is>
          <t>Dimercaprol (BAL) 3 mg/kg IM</t>
        </is>
      </c>
      <c r="E570" s="15" t="inlineStr">
        <is>
          <t>8.5</t>
        </is>
      </c>
      <c r="F570" s="15" t="inlineStr">
        <is>
          <t>10</t>
        </is>
      </c>
      <c r="G570" s="15" t="inlineStr">
        <is>
          <t>15</t>
        </is>
      </c>
      <c r="H570" s="15" t="inlineStr">
        <is>
          <t>20</t>
        </is>
      </c>
      <c r="I570" s="15" t="inlineStr">
        <is>
          <t>1</t>
        </is>
      </c>
      <c r="J5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(8.5): ข้อนี้ไม่ใช่คำตอบที่ถูกต้องสำหรับภาวะ General Therapeutics เนื่องจากกลไกการออกฤทธิ์, efficacy หรือข้อบ่งใช้ไม่ตรงกับโจทย์ที่กำหนด
• ข้อ ค. (10): ข้อนี้ไม่ใช่คำตอบที่ถูกต้องสำหรับภาวะ General Therapeutics เนื่องจากกลไกการออกฤทธิ์, efficacy หรือข้อบ่งใช้ไม่ตรงกับโจทย์ที่กำหนด
• ข้อ ง. (15): ข้อนี้ไม่ใช่คำตอบที่ถูกต้องสำหรับภาวะ General Therapeutics เนื่องจากกลไกการออกฤทธิ์, efficacy หรือข้อบ่งใช้ไม่ตรงกับโจทย์ที่กำหนด
• ข้อ จ. (20):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0" s="18" t="inlineStr"/>
      <c r="L570" s="18" t="inlineStr">
        <is>
          <t>General Therapeutics</t>
        </is>
      </c>
      <c r="M570" s="18" t="inlineStr">
        <is>
          <t>Clinic</t>
        </is>
      </c>
      <c r="N570" s="18" t="inlineStr">
        <is>
          <t>ข้อ 46 (PLE_CC1_2558_Key.md)</t>
        </is>
      </c>
      <c r="O570" s="18" t="inlineStr">
        <is>
          <t>ข้อสอบจริง</t>
        </is>
      </c>
      <c r="P570" s="18" t="inlineStr">
        <is>
          <t>ปี 2558</t>
        </is>
      </c>
    </row>
    <row r="571">
      <c r="A571" s="15" t="inlineStr">
        <is>
          <t>592</t>
        </is>
      </c>
      <c r="B571" s="18" t="inlineStr">
        <is>
          <t>ผู้ป่วยได้ EPO ต้องติดตามอะไร</t>
        </is>
      </c>
      <c r="C571" s="18" t="inlineStr"/>
      <c r="D571" s="18" t="inlineStr">
        <is>
          <t>Blood Pressure</t>
        </is>
      </c>
      <c r="E571" s="18" t="inlineStr">
        <is>
          <t>Heart Rate</t>
        </is>
      </c>
      <c r="F571" s="18" t="inlineStr">
        <is>
          <t>Sodium</t>
        </is>
      </c>
      <c r="G571" s="18" t="inlineStr">
        <is>
          <t>Calcium</t>
        </is>
      </c>
      <c r="H571" s="18" t="inlineStr">
        <is>
          <t>Body temperature</t>
        </is>
      </c>
      <c r="I571" s="15" t="inlineStr">
        <is>
          <t>1</t>
        </is>
      </c>
      <c r="J571" s="18" t="inlineStr">
        <is>
          <t>✅ คำตอบที่ถูกต้อง: ข้อ ก. Blood Pressure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Blood Pressure การเลือก Blood Pressure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(Heart Rate): ข้อนี้ไม่ใช่คำตอบที่ถูกต้องสำหรับภาวะ Renal Diseases เนื่องจากกลไกการออกฤทธิ์, efficacy หรือข้อบ่งใช้ไม่ตรงกับโจทย์ที่กำหนด
• ข้อ ค. (Sodium): ข้อนี้ไม่ใช่คำตอบที่ถูกต้องสำหรับภาวะ Renal Diseases เนื่องจากกลไกการออกฤทธิ์, efficacy หรือข้อบ่งใช้ไม่ตรงกับโจทย์ที่กำหนด
• ข้อ ง. (Calcium): ข้อนี้ไม่ใช่คำตอบที่ถูกต้องสำหรับภาวะ Renal Diseases เนื่องจากกลไกการออกฤทธิ์, efficacy หรือข้อบ่งใช้ไม่ตรงกับโจทย์ที่กำหนด
• ข้อ จ. (Body temperature):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71" s="18" t="inlineStr"/>
      <c r="L571" s="18" t="inlineStr">
        <is>
          <t>Renal Diseases</t>
        </is>
      </c>
      <c r="M571" s="18" t="inlineStr">
        <is>
          <t>Clinic</t>
        </is>
      </c>
      <c r="N571" s="18" t="inlineStr">
        <is>
          <t>ข้อ 49 (PLE_CC1_2558_Key.md)</t>
        </is>
      </c>
      <c r="O571" s="18" t="inlineStr">
        <is>
          <t>ข้อสอบจริง</t>
        </is>
      </c>
      <c r="P571" s="18" t="inlineStr">
        <is>
          <t>ปี 2558</t>
        </is>
      </c>
    </row>
    <row r="572">
      <c r="A572" s="15" t="inlineStr">
        <is>
          <t>593</t>
        </is>
      </c>
      <c r="B572" s="18" t="inlineStr">
        <is>
          <t>ผู้ป่วยเป็นอะไร</t>
        </is>
      </c>
      <c r="C572" s="18" t="inlineStr"/>
      <c r="D572" s="18" t="inlineStr">
        <is>
          <t>External hordeolum</t>
        </is>
      </c>
      <c r="E572" s="18" t="inlineStr">
        <is>
          <t>Blepharitis</t>
        </is>
      </c>
      <c r="F572" s="18" t="inlineStr">
        <is>
          <t>Bacterial conjunctivitis</t>
        </is>
      </c>
      <c r="G572" s="18" t="inlineStr">
        <is>
          <t>Virus conjunctivitis</t>
        </is>
      </c>
      <c r="H572" s="18" t="inlineStr">
        <is>
          <t>Pterygium</t>
        </is>
      </c>
      <c r="I572" s="15" t="inlineStr">
        <is>
          <t>1</t>
        </is>
      </c>
      <c r="J572" s="18" t="inlineStr">
        <is>
          <t>✅ คำตอบที่ถูกต้อง: ข้อ ก. External hordeolum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External hordeolum การเลือก External hordeolum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(Blepharitis):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(Virus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2" s="18" t="inlineStr"/>
      <c r="L572" s="18" t="inlineStr">
        <is>
          <t>General Therapeutics</t>
        </is>
      </c>
      <c r="M572" s="18" t="inlineStr">
        <is>
          <t>Clinic</t>
        </is>
      </c>
      <c r="N572" s="18" t="inlineStr">
        <is>
          <t>ข้อ 55 (PLE_CC1_2558_Key.md)</t>
        </is>
      </c>
      <c r="O572" s="18" t="inlineStr">
        <is>
          <t>ข้อสอบจริง</t>
        </is>
      </c>
      <c r="P572" s="18" t="inlineStr">
        <is>
          <t>ปี 2558</t>
        </is>
      </c>
    </row>
    <row r="573">
      <c r="A573" s="15" t="inlineStr">
        <is>
          <t>594</t>
        </is>
      </c>
      <c r="B573" s="18" t="inlineStr">
        <is>
          <t>สาเหตุเกิดจากอะไร</t>
        </is>
      </c>
      <c r="C573" s="18" t="inlineStr"/>
      <c r="D573" s="18" t="inlineStr">
        <is>
          <t>ใช้สายตานาน ๆ</t>
        </is>
      </c>
      <c r="E573" s="18" t="inlineStr">
        <is>
          <t>เชื้อ Staph. aureus</t>
        </is>
      </c>
      <c r="F573" s="18" t="inlineStr">
        <is>
          <t>ต่อมไขมันที่ตาอุดตัน</t>
        </is>
      </c>
      <c r="G573" s="18" t="inlineStr">
        <is>
          <t>ขนตาทิ่มเข้าดวงตา</t>
        </is>
      </c>
      <c r="H573" s="18" t="inlineStr">
        <is>
          <t>เกิดจากการอักเสบของต่อมไขมันที่ตา</t>
        </is>
      </c>
      <c r="I573" s="15" t="inlineStr">
        <is>
          <t>1</t>
        </is>
      </c>
      <c r="J573" s="18" t="inlineStr">
        <is>
          <t>✅ คำตอบที่ถูกต้อง: ข้อ ก. ใช้สายตานาน 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ใช้สายตานาน ๆ การเลือก ใช้สายตานาน 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(เชื้อ Staph. aureus): ข้อนี้ไม่ใช่คำตอบที่ถูกต้องสำหรับภาวะ General Therapeutics เนื่องจากกลไกการออกฤทธิ์, efficacy หรือข้อบ่งใช้ไม่ตรงกับโจทย์ที่กำหนด
• ข้อ ค. (ต่อมไขมันที่ตาอุดตัน): ข้อนี้ไม่ใช่คำตอบที่ถูกต้องสำหรับภาวะ General Therapeutics เนื่องจากกลไกการออกฤทธิ์, efficacy หรือข้อบ่งใช้ไม่ตรงกับโจทย์ที่กำหนด
• ข้อ ง. (ขนตาทิ่มเข้าดวงตา): ข้อนี้ไม่ใช่คำตอบที่ถูกต้องสำหรับภาวะ General Therapeutics เนื่องจากกลไกการออกฤทธิ์, efficacy หรือข้อบ่งใช้ไม่ตรงกับโจทย์ที่กำหนด
• ข้อ จ. (เกิดจากการอักเสบของต่อมไขมันที่ตา):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3" s="18" t="inlineStr"/>
      <c r="L573" s="18" t="inlineStr">
        <is>
          <t>General Therapeutics</t>
        </is>
      </c>
      <c r="M573" s="18" t="inlineStr">
        <is>
          <t>Clinic</t>
        </is>
      </c>
      <c r="N573" s="18" t="inlineStr">
        <is>
          <t>ข้อ 56 (PLE_CC1_2558_Key.md)</t>
        </is>
      </c>
      <c r="O573" s="18" t="inlineStr">
        <is>
          <t>ข้อสอบจริง</t>
        </is>
      </c>
      <c r="P573" s="18" t="inlineStr">
        <is>
          <t>ปี 2558</t>
        </is>
      </c>
    </row>
    <row r="574">
      <c r="A574" s="15" t="inlineStr">
        <is>
          <t>595</t>
        </is>
      </c>
      <c r="B574" s="18" t="inlineStr">
        <is>
          <t>จากนั้นได้ยา dicloxacillin ออกฤทธิ์กลไกใด</t>
        </is>
      </c>
      <c r="C574" s="18" t="inlineStr"/>
      <c r="D574" s="18" t="inlineStr">
        <is>
          <t>ยับยั้ง ribosome 30S</t>
        </is>
      </c>
      <c r="E574" s="18" t="inlineStr">
        <is>
          <t>ยับยั้ง ribosome 50s</t>
        </is>
      </c>
      <c r="F574" s="18" t="inlineStr">
        <is>
          <t>ยับยั้งการสร้าง DNA</t>
        </is>
      </c>
      <c r="G574" s="18" t="inlineStr">
        <is>
          <t>ยับยั้งการสร้างผนังเซลล์</t>
        </is>
      </c>
      <c r="H574" s="18" t="inlineStr">
        <is>
          <t>ยับยั้งการสร้างเยื่อหุ้มเซลล์</t>
        </is>
      </c>
      <c r="I574" s="15" t="inlineStr">
        <is>
          <t>1</t>
        </is>
      </c>
      <c r="J574" s="18" t="inlineStr">
        <is>
          <t>✅ คำตอบที่ถูกต้อง: ข้อ ก. ยับยั้ง ribosome 30S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 ribosome 30S การเลือก ยับยั้ง ribosome 30S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 ribosome 50s):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 DNA):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(ยับยั้งการสร้างผนังเซลล์):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4" s="18" t="inlineStr"/>
      <c r="L574" s="18" t="inlineStr">
        <is>
          <t>Infectious Diseases</t>
        </is>
      </c>
      <c r="M574" s="18" t="inlineStr">
        <is>
          <t>Clinic</t>
        </is>
      </c>
      <c r="N574" s="18" t="inlineStr">
        <is>
          <t>ข้อ 58 (PLE_CC1_2558_Key.md)</t>
        </is>
      </c>
      <c r="O574" s="18" t="inlineStr">
        <is>
          <t>ข้อสอบจริง</t>
        </is>
      </c>
      <c r="P574" s="18" t="inlineStr">
        <is>
          <t>ปี 2558</t>
        </is>
      </c>
    </row>
    <row r="575">
      <c r="A575" s="15" t="inlineStr">
        <is>
          <t>596</t>
        </is>
      </c>
      <c r="B575" s="18" t="inlineStr">
        <is>
          <t>ยาที่ควรใช้เป็นอันดับแรก</t>
        </is>
      </c>
      <c r="C575" s="18" t="inlineStr"/>
      <c r="D575" s="18" t="inlineStr">
        <is>
          <t>Paracetamol</t>
        </is>
      </c>
      <c r="E575" s="18" t="inlineStr">
        <is>
          <t>Glucosamine</t>
        </is>
      </c>
      <c r="F575" s="18" t="inlineStr">
        <is>
          <t>Diclofenac</t>
        </is>
      </c>
      <c r="G575" s="18" t="inlineStr">
        <is>
          <t>Tramadol</t>
        </is>
      </c>
      <c r="H575" s="18" t="inlineStr">
        <is>
          <t>Naproxen</t>
        </is>
      </c>
      <c r="I575" s="15" t="inlineStr">
        <is>
          <t>1</t>
        </is>
      </c>
      <c r="J575" s="18"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(Glucosamine): เป็นเพียง dietary supplement / symptom-modifying therapy สำหรับ OA ไม่ได้จัดเป็น disease-modifying agent และ CPG สากล (ACR) ไม่แนะนำให้ใช้เป็น first-line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(Naproxen):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5" s="18" t="inlineStr"/>
      <c r="L575" s="18" t="inlineStr">
        <is>
          <t>General Therapeutics</t>
        </is>
      </c>
      <c r="M575" s="18" t="inlineStr">
        <is>
          <t>Clinic</t>
        </is>
      </c>
      <c r="N575" s="18" t="inlineStr">
        <is>
          <t>ข้อ 63 (PLE_CC1_2558_Key.md)</t>
        </is>
      </c>
      <c r="O575" s="18" t="inlineStr">
        <is>
          <t>ข้อสอบจริง</t>
        </is>
      </c>
      <c r="P575" s="18" t="inlineStr">
        <is>
          <t>ปี 2558</t>
        </is>
      </c>
    </row>
    <row r="576">
      <c r="A576" s="15" t="inlineStr">
        <is>
          <t>597</t>
        </is>
      </c>
      <c r="B576" s="18" t="inlineStr">
        <is>
          <t>ผู้ป่วยไม่รับการรักษาต่อมา 6 เดือน ตรวจ FBS 190, A1c 9.0 Scr 2.2 ยาใดที่ควรได้รับ</t>
        </is>
      </c>
      <c r="C576" s="18" t="inlineStr"/>
      <c r="D576" s="18" t="inlineStr">
        <is>
          <t>Regular insulin</t>
        </is>
      </c>
      <c r="E576" s="18" t="inlineStr">
        <is>
          <t>Metformin</t>
        </is>
      </c>
      <c r="F576" s="18" t="inlineStr">
        <is>
          <t>Acarbose</t>
        </is>
      </c>
      <c r="G576" s="18" t="inlineStr">
        <is>
          <t>Glibenclamide</t>
        </is>
      </c>
      <c r="H576" s="18" t="inlineStr">
        <is>
          <t>Sitagliptin</t>
        </is>
      </c>
      <c r="I576" s="15" t="inlineStr">
        <is>
          <t>1</t>
        </is>
      </c>
      <c r="J576" s="18" t="inlineStr">
        <is>
          <t>✅ คำตอบที่ถูกต้อง: ข้อ ก. Regular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Regular insulin การเลือก Regular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(Glibenclamide): มี active metabolites ขับออกทางไต เสี่ยงต่อ prolonged severe hypoglycemia ในผู้สูงอายุและผู้ป่วย renal impairment จึงควรหลีกเลี่ยงตาม Beers Criteria
• ข้อ จ. (Sitagliptin):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6" s="18" t="inlineStr"/>
      <c r="L576" s="18" t="inlineStr">
        <is>
          <t>General Therapeutics</t>
        </is>
      </c>
      <c r="M576" s="18" t="inlineStr">
        <is>
          <t>Clinic</t>
        </is>
      </c>
      <c r="N576" s="18" t="inlineStr">
        <is>
          <t>ข้อ 71 (PLE_CC1_2558_Key.md)</t>
        </is>
      </c>
      <c r="O576" s="18" t="inlineStr">
        <is>
          <t>ข้อสอบจริง</t>
        </is>
      </c>
      <c r="P576" s="18" t="inlineStr">
        <is>
          <t>ปี 2558</t>
        </is>
      </c>
    </row>
    <row r="577">
      <c r="A577" s="15" t="inlineStr">
        <is>
          <t>598</t>
        </is>
      </c>
      <c r="B577" s="18" t="inlineStr">
        <is>
          <t>ต่อมาพบว่า ผลตรวจ PPG สูงควรให้ยาใด</t>
        </is>
      </c>
      <c r="C577" s="18" t="inlineStr"/>
      <c r="D577" s="18" t="inlineStr">
        <is>
          <t>Pioglitazone</t>
        </is>
      </c>
      <c r="E577" s="18" t="inlineStr">
        <is>
          <t>Insulin glargine</t>
        </is>
      </c>
      <c r="F577" s="18" t="inlineStr">
        <is>
          <t>Repaglinide</t>
        </is>
      </c>
      <c r="G577" s="18" t="inlineStr">
        <is>
          <t>Vildagliptin</t>
        </is>
      </c>
      <c r="H577" s="18" t="inlineStr">
        <is>
          <t>Glibenclamide ห้ามนำไปทำซ้ำทุกกรณี เว้นแต่จะได้รับอนุญาต</t>
        </is>
      </c>
      <c r="I577" s="15" t="inlineStr">
        <is>
          <t>1</t>
        </is>
      </c>
      <c r="J577" s="18" t="inlineStr">
        <is>
          <t>✅ คำตอบที่ถูกต้อง: ข้อ ก. Pioglitazone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ข้อนี้ไม่ใช่คำตอบที่ถูกต้องสำหรับภาวะ General Therapeutics เนื่องจากกลไกการออกฤทธิ์, efficacy หรือข้อบ่งใช้ไม่ตรงกับโจทย์ที่กำหนด
• ข้อ ค. (Repaglinide): ข้อนี้ไม่ใช่คำตอบที่ถูกต้องสำหรับภาวะ General Therapeutics เนื่องจากกลไกการออกฤทธิ์, efficacy หรือข้อบ่งใช้ไม่ตรงกับโจทย์ที่กำหนด
• ข้อ ง. (Vildagliptin):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ห้ามนำไปทำซ้ำทุกกรณี เว้นแต่จะได้รับอนุญาต):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577" s="18" t="inlineStr"/>
      <c r="L577" s="18" t="inlineStr">
        <is>
          <t>General Therapeutics</t>
        </is>
      </c>
      <c r="M577" s="18" t="inlineStr">
        <is>
          <t>Clinic</t>
        </is>
      </c>
      <c r="N577" s="18" t="inlineStr">
        <is>
          <t>ข้อ 72 (PLE_CC1_2558_Key.md)</t>
        </is>
      </c>
      <c r="O577" s="18" t="inlineStr">
        <is>
          <t>ข้อสอบจริง</t>
        </is>
      </c>
      <c r="P577" s="18" t="inlineStr">
        <is>
          <t>ปี 2558</t>
        </is>
      </c>
    </row>
    <row r="578">
      <c r="A578" s="15" t="inlineStr">
        <is>
          <t>599</t>
        </is>
      </c>
      <c r="B578" s="18" t="inlineStr">
        <is>
          <t>จากโครงสร้าง Sulfonylurea ตัวใดออกฤทธิ์นานสุด</t>
        </is>
      </c>
      <c r="C578" s="18" t="inlineStr"/>
      <c r="D578" s="18" t="inlineStr">
        <is>
          <t>Sitagliptin 100 mg OD</t>
        </is>
      </c>
      <c r="E578" s="18" t="inlineStr">
        <is>
          <t>Liraglutide 1.2 mg SC OD</t>
        </is>
      </c>
      <c r="F578" s="18" t="inlineStr">
        <is>
          <t>Levothyroxine 50 mcg OD</t>
        </is>
      </c>
      <c r="G578" s="18" t="inlineStr">
        <is>
          <t>Propylthiouracil 50 mg TID</t>
        </is>
      </c>
      <c r="H578" s="18" t="inlineStr">
        <is>
          <t>Methimazole 10 mg OD</t>
        </is>
      </c>
      <c r="I578" s="15" t="inlineStr">
        <is>
          <t>1</t>
        </is>
      </c>
      <c r="J578" s="18"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578" s="18" t="inlineStr"/>
      <c r="L578" s="18" t="inlineStr">
        <is>
          <t>Diabetes &amp; Endocrine</t>
        </is>
      </c>
      <c r="M578" s="18" t="inlineStr">
        <is>
          <t>Clinic</t>
        </is>
      </c>
      <c r="N578" s="18" t="inlineStr">
        <is>
          <t>ข้อ 73 (PLE_CC1_2558_Key.md)</t>
        </is>
      </c>
      <c r="O578" s="18" t="inlineStr">
        <is>
          <t>ข้อสอบจริง</t>
        </is>
      </c>
      <c r="P578" s="18" t="inlineStr">
        <is>
          <t>ปี 2558</t>
        </is>
      </c>
    </row>
    <row r="579">
      <c r="A579" s="15" t="inlineStr">
        <is>
          <t>600</t>
        </is>
      </c>
      <c r="B579" s="18" t="inlineStr">
        <is>
          <t>ภาวะ DKA รักษาอย่างไร</t>
        </is>
      </c>
      <c r="C579" s="18" t="inlineStr"/>
      <c r="D579" s="18" t="inlineStr">
        <is>
          <t>ให้ใช้ insulin ที่ออกฤทธิ์นาน</t>
        </is>
      </c>
      <c r="E579" s="18" t="inlineStr">
        <is>
          <t>ให้ NSS + regular insulin</t>
        </is>
      </c>
      <c r="F579" s="18" t="inlineStr">
        <is>
          <t>ให้ NaHCO3</t>
        </is>
      </c>
      <c r="G579" s="18" t="inlineStr">
        <is>
          <t>ให้ D5W</t>
        </is>
      </c>
      <c r="H579" s="18" t="inlineStr">
        <is>
          <t>ให้ NSS</t>
        </is>
      </c>
      <c r="I579" s="15" t="inlineStr">
        <is>
          <t>1</t>
        </is>
      </c>
      <c r="J579" s="18" t="inlineStr">
        <is>
          <t>✅ คำตอบที่ถูกต้อง: ข้อ ก. ให้ใช้ insulin ที่ออกฤทธิ์นาน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ให้ใช้ insulin ที่ออกฤทธิ์นาน การเลือก ให้ใช้ insulin ที่ออกฤทธิ์นาน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NSS + regular insulin): ข้อนี้ไม่ใช่คำตอบที่ถูกต้องสำหรับภาวะ General Therapeutics เนื่องจากกลไกการออกฤทธิ์, efficacy หรือข้อบ่งใช้ไม่ตรงกับโจทย์ที่กำหนด
• ข้อ ค. (ให้ NaHCO3): ข้อนี้ไม่ใช่คำตอบที่ถูกต้องสำหรับภาวะ General Therapeutics เนื่องจากกลไกการออกฤทธิ์, efficacy หรือข้อบ่งใช้ไม่ตรงกับโจทย์ที่กำหนด
• ข้อ ง. (ให้ D5W): ข้อนี้ไม่ใช่คำตอบที่ถูกต้องสำหรับภาวะ General Therapeutics เนื่องจากกลไกการออกฤทธิ์, efficacy หรือข้อบ่งใช้ไม่ตรงกับโจทย์ที่กำหนด
• ข้อ จ. (ให้ NSS):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9" s="18" t="inlineStr"/>
      <c r="L579" s="18" t="inlineStr">
        <is>
          <t>General Therapeutics</t>
        </is>
      </c>
      <c r="M579" s="18" t="inlineStr">
        <is>
          <t>Clinic</t>
        </is>
      </c>
      <c r="N579" s="18" t="inlineStr">
        <is>
          <t>ข้อ 74 (PLE_CC1_2558_Key.md)</t>
        </is>
      </c>
      <c r="O579" s="18" t="inlineStr">
        <is>
          <t>ข้อสอบจริง</t>
        </is>
      </c>
      <c r="P579" s="18" t="inlineStr">
        <is>
          <t>ปี 2558</t>
        </is>
      </c>
    </row>
    <row r="580">
      <c r="A580" s="15" t="inlineStr">
        <is>
          <t>601</t>
        </is>
      </c>
      <c r="B580" s="18" t="inlineStr">
        <is>
          <t>ข้อใดไม่เกี่ยวกับเลือดออกกะปิดกะปอย</t>
        </is>
      </c>
      <c r="C580" s="18" t="inlineStr"/>
      <c r="D580" s="18" t="inlineStr">
        <is>
          <t>ปริมาณฮอร์โมน estrogen ต่ำ</t>
        </is>
      </c>
      <c r="E580" s="18" t="inlineStr">
        <is>
          <t>ลืมกิน</t>
        </is>
      </c>
      <c r="F580" s="18" t="inlineStr">
        <is>
          <t>กินยา rifampicin ร่วมด้วย</t>
        </is>
      </c>
      <c r="G580" s="18" t="inlineStr">
        <is>
          <t>กินยา ketoconazole ร่วมด้วย</t>
        </is>
      </c>
      <c r="H580" s="18" t="inlineStr">
        <is>
          <t>กินยาคุมในช่วง 2-3 เดือนแรก</t>
        </is>
      </c>
      <c r="I580" s="15" t="inlineStr">
        <is>
          <t>1</t>
        </is>
      </c>
      <c r="J580" s="18" t="inlineStr">
        <is>
          <t>✅ คำตอบที่ถูกต้อง: ข้อ ก. ปริมาณฮอร์โมน estrogen ต่ำ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ปริมาณฮอร์โมน estrogen ต่ำ การเลือก ปริมาณฮอร์โมน estrogen ต่ำ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(ลืมกิน): ข้อนี้ไม่ใช่คำตอบที่ถูกต้องสำหรับภาวะ General Therapeutics เนื่องจากกลไกการออกฤทธิ์, efficacy หรือข้อบ่งใช้ไม่ตรงกับโจทย์ที่กำหนด
• ข้อ ค. (กินยา rifampicin ร่วมด้วย):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(กินยา ketoconazole ร่วมด้วย): ข้อนี้ไม่ใช่คำตอบที่ถูกต้องสำหรับภาวะ General Therapeutics เนื่องจากกลไกการออกฤทธิ์, efficacy หรือข้อบ่งใช้ไม่ตรงกับโจทย์ที่กำหนด
• ข้อ จ. (กินยาคุมในช่วง 2-3 เดือนแรก):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0" s="18" t="inlineStr"/>
      <c r="L580" s="18" t="inlineStr">
        <is>
          <t>General Therapeutics</t>
        </is>
      </c>
      <c r="M580" s="18" t="inlineStr">
        <is>
          <t>Clinic</t>
        </is>
      </c>
      <c r="N580" s="18" t="inlineStr">
        <is>
          <t>ข้อ 81 (PLE_CC1_2558_Key.md)</t>
        </is>
      </c>
      <c r="O580" s="18" t="inlineStr">
        <is>
          <t>ข้อสอบจริง</t>
        </is>
      </c>
      <c r="P580" s="18" t="inlineStr">
        <is>
          <t>ปี 2558</t>
        </is>
      </c>
    </row>
    <row r="581">
      <c r="A581" s="15" t="inlineStr">
        <is>
          <t>602</t>
        </is>
      </c>
      <c r="B581" s="18" t="inlineStr">
        <is>
          <t>ยาใดที่ผู้ป่วยควรได้รับ</t>
        </is>
      </c>
      <c r="C581" s="18" t="inlineStr"/>
      <c r="D581" s="18" t="inlineStr">
        <is>
          <t>Spironolactone กั บ HCTZ</t>
        </is>
      </c>
      <c r="E581" s="18" t="inlineStr">
        <is>
          <t>Mannitol</t>
        </is>
      </c>
      <c r="F581" s="18" t="inlineStr">
        <is>
          <t>Spironolactone กับ furosemide</t>
        </is>
      </c>
      <c r="G581" s="18" t="inlineStr">
        <is>
          <t>Amiloride</t>
        </is>
      </c>
      <c r="H581" s="18" t="inlineStr">
        <is>
          <t>HCTZ กับ furosemide</t>
        </is>
      </c>
      <c r="I581" s="15" t="inlineStr">
        <is>
          <t>1</t>
        </is>
      </c>
      <c r="J581" s="18" t="inlineStr">
        <is>
          <t>✅ คำตอบที่ถูกต้อง: ข้อ ก. Spironolactone กั บ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 บ HCTZ การเลือก Spironolactone กั บ HCTZ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ข. (Mannitol): เป็น Diluent ชนิด non-hygroscopic ให้ negative heat of solution (รู้สึกเย็นในปาก) นิยมใช้ใน chewable tablets และ orally disintegrating tablets (ODTs)
• ข้อ ค. (Spironolactone กับ furosemide): เป็น Loop diuretic ยับยั้ง Na+/K+/2Cl- cotransporter ที่ Thick ascending limb ใช้จัดการ volume overload ใน HF หรือ CKD แต่ไม่เหมาะเป็น first-line ลดความดันโลหิตเดี่ยวๆ
• ข้อ ง. (Amiloride): ข้อนี้ไม่ใช่คำตอบที่ถูกต้องสำหรับภาวะ General Therapeutics เนื่องจากกลไกการออกฤทธิ์, efficacy หรือข้อบ่งใช้ไม่ตรงกับโจทย์ที่กำหนด
• ข้อ จ. (HCTZ 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81" s="18" t="inlineStr"/>
      <c r="L581" s="18" t="inlineStr">
        <is>
          <t>General Therapeutics</t>
        </is>
      </c>
      <c r="M581" s="18" t="inlineStr">
        <is>
          <t>Clinic</t>
        </is>
      </c>
      <c r="N581" s="18" t="inlineStr">
        <is>
          <t>ข้อ 86 (PLE_CC1_2558_Key.md)</t>
        </is>
      </c>
      <c r="O581" s="18" t="inlineStr">
        <is>
          <t>ข้อสอบจริง</t>
        </is>
      </c>
      <c r="P581" s="18" t="inlineStr">
        <is>
          <t>ปี 2558</t>
        </is>
      </c>
    </row>
    <row r="582">
      <c r="A582" s="15" t="inlineStr">
        <is>
          <t>603</t>
        </is>
      </c>
      <c r="B582" s="18" t="inlineStr">
        <is>
          <t>Ascites ของผู้ป่วยรายนี้เกิดจากสาเหตุใด</t>
        </is>
      </c>
      <c r="C582" s="18" t="inlineStr"/>
      <c r="D582" s="18" t="inlineStr">
        <is>
          <t>Portal hypertension</t>
        </is>
      </c>
      <c r="E582" s="18" t="inlineStr">
        <is>
          <t>Nephropathy</t>
        </is>
      </c>
      <c r="F582" s="18" t="inlineStr">
        <is>
          <t>SBP</t>
        </is>
      </c>
      <c r="G582" s="18" t="inlineStr">
        <is>
          <t>Encephalopathy</t>
        </is>
      </c>
      <c r="H582" s="18" t="inlineStr">
        <is>
          <t>Variceal bleeding</t>
        </is>
      </c>
      <c r="I582" s="15" t="inlineStr">
        <is>
          <t>1</t>
        </is>
      </c>
      <c r="J582" s="18" t="inlineStr">
        <is>
          <t>✅ คำตอบที่ถูกต้อง: ข้อ ก. Portal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Portal hypertension การเลือก Portal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(Nephropathy): ข้อนี้ไม่ใช่คำตอบที่ถูกต้องสำหรับภาวะ General Therapeutics เนื่องจากกลไกการออกฤทธิ์, efficacy หรือข้อบ่งใช้ไม่ตรงกับโจทย์ที่กำหนด
• ข้อ ค. (SBP): ข้อนี้ไม่ใช่คำตอบที่ถูกต้องสำหรับภาวะ General Therapeutics เนื่องจากกลไกการออกฤทธิ์, efficacy หรือข้อบ่งใช้ไม่ตรงกับโจทย์ที่กำหนด
• ข้อ ง. (Encephalopathy): ข้อนี้ไม่ใช่คำตอบที่ถูกต้องสำหรับภาวะ General Therapeutics เนื่องจากกลไกการออกฤทธิ์, efficacy หรือข้อบ่งใช้ไม่ตรงกับโจทย์ที่กำหนด
• ข้อ จ. (Variceal bleeding):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2" s="18" t="inlineStr"/>
      <c r="L582" s="18" t="inlineStr">
        <is>
          <t>General Therapeutics</t>
        </is>
      </c>
      <c r="M582" s="18" t="inlineStr">
        <is>
          <t>Clinic</t>
        </is>
      </c>
      <c r="N582" s="18" t="inlineStr">
        <is>
          <t>ข้อ 87 (PLE_CC1_2558_Key.md)</t>
        </is>
      </c>
      <c r="O582" s="18" t="inlineStr">
        <is>
          <t>ข้อสอบจริง</t>
        </is>
      </c>
      <c r="P582" s="18" t="inlineStr">
        <is>
          <t>ปี 2558</t>
        </is>
      </c>
    </row>
    <row r="583">
      <c r="A583" s="15" t="inlineStr">
        <is>
          <t>604</t>
        </is>
      </c>
      <c r="B583" s="18" t="inlineStr">
        <is>
          <t>ค่า LAB ใดของผู้ป่วยที่ผิดปกติ</t>
        </is>
      </c>
      <c r="C583" s="18" t="inlineStr"/>
      <c r="D583" s="18" t="inlineStr">
        <is>
          <t>Calcium</t>
        </is>
      </c>
      <c r="E583" s="18" t="inlineStr">
        <is>
          <t>Hematocrit</t>
        </is>
      </c>
      <c r="F583" s="18" t="inlineStr">
        <is>
          <t>Phosphorus</t>
        </is>
      </c>
      <c r="G583" s="18" t="inlineStr">
        <is>
          <t>Albumin</t>
        </is>
      </c>
      <c r="H583" s="18" t="inlineStr">
        <is>
          <t>Potassium</t>
        </is>
      </c>
      <c r="I583" s="15" t="inlineStr">
        <is>
          <t>1</t>
        </is>
      </c>
      <c r="J583" s="18" t="inlineStr">
        <is>
          <t>✅ คำตอบที่ถูกต้อง: ข้อ ก. Calcium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การเลือก Calcium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(Hematocrit): ข้อนี้ไม่ใช่คำตอบที่ถูกต้องสำหรับภาวะ General Therapeutics เนื่องจากกลไกการออกฤทธิ์, efficacy หรือข้อบ่งใช้ไม่ตรงกับโจทย์ที่กำหนด
• ข้อ ค. (Phosphorus): ข้อนี้ไม่ใช่คำตอบที่ถูกต้องสำหรับภาวะ General Therapeutics เนื่องจากกลไกการออกฤทธิ์, efficacy หรือข้อบ่งใช้ไม่ตรงกับโจทย์ที่กำหนด
• ข้อ ง. (Albumin): ข้อนี้ไม่ใช่คำตอบที่ถูกต้องสำหรับภาวะ General Therapeutics เนื่องจากกลไกการออกฤทธิ์, efficacy หรือข้อบ่งใช้ไม่ตรงกับโจทย์ที่กำหนด
• ข้อ จ. (Potassium):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3" s="18" t="inlineStr"/>
      <c r="L583" s="18" t="inlineStr">
        <is>
          <t>General Therapeutics</t>
        </is>
      </c>
      <c r="M583" s="18" t="inlineStr">
        <is>
          <t>Clinic</t>
        </is>
      </c>
      <c r="N583" s="18" t="inlineStr">
        <is>
          <t>ข้อ 89 (PLE_CC1_2558_Key.md)</t>
        </is>
      </c>
      <c r="O583" s="18" t="inlineStr">
        <is>
          <t>ข้อสอบจริง</t>
        </is>
      </c>
      <c r="P583" s="18" t="inlineStr">
        <is>
          <t>ปี 2558</t>
        </is>
      </c>
    </row>
    <row r="584">
      <c r="A584" s="15" t="inlineStr">
        <is>
          <t>605</t>
        </is>
      </c>
      <c r="B584" s="18" t="inlineStr">
        <is>
          <t>ข้อใดเป็นพฤติกรรมที่ดีของผู้ป่วยต่อการนอนหลับ (sleep hygiene) โดยไม่ใช้ยา</t>
        </is>
      </c>
      <c r="C584" s="18" t="inlineStr"/>
      <c r="D584" s="18" t="inlineStr">
        <is>
          <t>ดื่มชา</t>
        </is>
      </c>
      <c r="E584" s="18" t="inlineStr">
        <is>
          <t>งีบกลางวัน</t>
        </is>
      </c>
      <c r="F584" s="18" t="inlineStr">
        <is>
          <t>ออกกำลังกายก่อนนอน</t>
        </is>
      </c>
      <c r="G584" s="18" t="inlineStr">
        <is>
          <t>ไม่สูบบุหรี่</t>
        </is>
      </c>
      <c r="H584" s="18" t="inlineStr">
        <is>
          <t>ดื่มไวน์</t>
        </is>
      </c>
      <c r="I584" s="15" t="inlineStr">
        <is>
          <t>1</t>
        </is>
      </c>
      <c r="J584" s="18" t="inlineStr">
        <is>
          <t>✅ คำตอบที่ถูกต้อง: ข้อ ก. ดื่มชา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ดื่มชา การเลือก ดื่มชา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(งีบกลางวัน):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ค. (ออกกำลังกายก่อนนอน):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(ไม่สูบบุหรี่):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4" s="18" t="inlineStr"/>
      <c r="L584" s="18" t="inlineStr">
        <is>
          <t>General Therapeutics</t>
        </is>
      </c>
      <c r="M584" s="18" t="inlineStr">
        <is>
          <t>Clinic</t>
        </is>
      </c>
      <c r="N584" s="18" t="inlineStr">
        <is>
          <t>ข้อ 3 (PLE_CC1_2558_Key.md)</t>
        </is>
      </c>
      <c r="O584" s="18" t="inlineStr">
        <is>
          <t>ข้อสอบจริง</t>
        </is>
      </c>
      <c r="P584" s="18" t="inlineStr">
        <is>
          <t>ปี 2558</t>
        </is>
      </c>
    </row>
    <row r="585">
      <c r="A585" s="15" t="inlineStr">
        <is>
          <t>606</t>
        </is>
      </c>
      <c r="B585" s="18" t="inlineStr">
        <is>
          <t>ยาใดเหมาะสมสำหรับผู้ป่วยรายนี้</t>
        </is>
      </c>
      <c r="C585" s="18" t="inlineStr"/>
      <c r="D585" s="18" t="inlineStr">
        <is>
          <t>Melatonin</t>
        </is>
      </c>
      <c r="E585" s="18" t="inlineStr">
        <is>
          <t>Lorazepam</t>
        </is>
      </c>
      <c r="F585" s="18" t="inlineStr">
        <is>
          <t>CPM</t>
        </is>
      </c>
      <c r="G585" s="18" t="inlineStr">
        <is>
          <t>Diazepam</t>
        </is>
      </c>
      <c r="H585" s="18" t="inlineStr">
        <is>
          <t>Nortriptyline</t>
        </is>
      </c>
      <c r="I585" s="15" t="inlineStr">
        <is>
          <t>1</t>
        </is>
      </c>
      <c r="J585" s="18" t="inlineStr">
        <is>
          <t>✅ คำตอบที่ถูกต้อง: ข้อ ก. Melatonin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Melatonin การเลือก Melatonin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(CPM): ข้อนี้ไม่ใช่คำตอบที่ถูกต้องสำหรับภาวะ General Therapeutics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5" s="18" t="inlineStr"/>
      <c r="L585" s="18" t="inlineStr">
        <is>
          <t>General Therapeutics</t>
        </is>
      </c>
      <c r="M585" s="18" t="inlineStr">
        <is>
          <t>Clinic</t>
        </is>
      </c>
      <c r="N585" s="18" t="inlineStr">
        <is>
          <t>ข้อ 4 (PLE_CC1_2558_Key.md)</t>
        </is>
      </c>
      <c r="O585" s="18" t="inlineStr">
        <is>
          <t>ข้อสอบจริง</t>
        </is>
      </c>
      <c r="P585" s="18" t="inlineStr">
        <is>
          <t>ปี 2558</t>
        </is>
      </c>
    </row>
    <row r="586">
      <c r="A586" s="15" t="inlineStr">
        <is>
          <t>607</t>
        </is>
      </c>
      <c r="B586" s="18" t="inlineStr">
        <is>
          <t>พัฒนาโครงสร้างยานอนหลับกลุ่ม BZD อย่างไร เพื่อเพิ่มการออกฤทธิ์</t>
        </is>
      </c>
      <c r="C586" s="18" t="inlineStr"/>
      <c r="D586" s="18" t="inlineStr">
        <is>
          <t>เปลี่ยน carbonyl</t>
        </is>
      </c>
      <c r="E586" s="18" t="inlineStr">
        <is>
          <t>เปลี่ยน N=C เป็น N-C</t>
        </is>
      </c>
      <c r="F586" s="18" t="inlineStr">
        <is>
          <t>ตน. 9 เติม Cl</t>
        </is>
      </c>
      <c r="G586" s="18" t="inlineStr">
        <is>
          <t>ตน. 7 เติม Cl</t>
        </is>
      </c>
      <c r="H586" s="18" t="inlineStr">
        <is>
          <t>เปลี่ยนวง A เป็น heterocyclic</t>
        </is>
      </c>
      <c r="I586" s="15" t="inlineStr">
        <is>
          <t>1</t>
        </is>
      </c>
      <c r="J586" s="18" t="inlineStr">
        <is>
          <t>✅ คำตอบที่ถูกต้อง: ข้อ ก. เปลี่ยน carbonyl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carbonyl การเลือก เปลี่ยน carbonyl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(เปลี่ยน N=C เป็น N-C): ข้อนี้ไม่ใช่คำตอบที่ถูกต้องสำหรับภาวะ General Therapeutics เนื่องจากกลไกการออกฤทธิ์, efficacy หรือข้อบ่งใช้ไม่ตรงกับโจทย์ที่กำหนด
• ข้อ ค. (ตน. 9 เติม Cl): ข้อนี้ไม่ใช่คำตอบที่ถูกต้องสำหรับภาวะ General Therapeutics เนื่องจากกลไกการออกฤทธิ์, efficacy หรือข้อบ่งใช้ไม่ตรงกับโจทย์ที่กำหนด
• ข้อ ง. (ตน. 7 เติม Cl):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(เปลี่ยนวง A เป็น heterocyclic):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6" s="18" t="inlineStr"/>
      <c r="L586" s="18" t="inlineStr">
        <is>
          <t>General Therapeutics</t>
        </is>
      </c>
      <c r="M586" s="18" t="inlineStr">
        <is>
          <t>Clinic</t>
        </is>
      </c>
      <c r="N586" s="18" t="inlineStr">
        <is>
          <t>ข้อ 5 (PLE_CC1_2558_Key.md)</t>
        </is>
      </c>
      <c r="O586" s="18" t="inlineStr">
        <is>
          <t>ข้อสอบจริง</t>
        </is>
      </c>
      <c r="P586" s="18" t="inlineStr">
        <is>
          <t>ปี 2558</t>
        </is>
      </c>
    </row>
    <row r="587">
      <c r="A587" s="15" t="inlineStr">
        <is>
          <t>608</t>
        </is>
      </c>
      <c r="B587" s="18" t="inlineStr">
        <is>
          <t>เชื้อที่เป็นสาเหตุหลักของโรคดังกล่าวคือ</t>
        </is>
      </c>
      <c r="C587" s="18" t="inlineStr"/>
      <c r="D587" s="18" t="inlineStr">
        <is>
          <t>H. influenza</t>
        </is>
      </c>
      <c r="E587" s="18" t="inlineStr">
        <is>
          <t>S. pyogenes</t>
        </is>
      </c>
      <c r="F587" s="18" t="inlineStr">
        <is>
          <t>Rhinovirus</t>
        </is>
      </c>
      <c r="G587" s="18" t="inlineStr">
        <is>
          <t>MAC</t>
        </is>
      </c>
      <c r="H587" s="18" t="inlineStr">
        <is>
          <t>Microsporum</t>
        </is>
      </c>
      <c r="I587" s="15" t="inlineStr">
        <is>
          <t>1</t>
        </is>
      </c>
      <c r="J587" s="18"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pyogenes): ข้อนี้ไม่ใช่คำตอบที่ถูกต้องสำหรับภาวะ General Therapeutics เนื่องจากกลไกการออกฤทธิ์, efficacy หรือข้อบ่งใช้ไม่ตรงกับโจทย์ที่กำหนด
• ข้อ ค. (Rhinovirus): ข้อนี้ไม่ใช่คำตอบที่ถูกต้องสำหรับภาวะ General Therapeutics เนื่องจากกลไกการออกฤทธิ์, efficacy หรือข้อบ่งใช้ไม่ตรงกับโจทย์ที่กำหนด
• ข้อ ง. (MAC): ข้อนี้ไม่ใช่คำตอบที่ถูกต้องสำหรับภาวะ General Therapeutics เนื่องจากกลไกการออกฤทธิ์, efficacy หรือข้อบ่งใช้ไม่ตรงกับโจทย์ที่กำหนด
• ข้อ จ. (Microsporum):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7" s="18" t="inlineStr"/>
      <c r="L587" s="18" t="inlineStr">
        <is>
          <t>General Therapeutics</t>
        </is>
      </c>
      <c r="M587" s="18" t="inlineStr">
        <is>
          <t>Clinic</t>
        </is>
      </c>
      <c r="N587" s="18" t="inlineStr">
        <is>
          <t>ข้อ 9 (PLE_CC1_2558_Key.md)</t>
        </is>
      </c>
      <c r="O587" s="18" t="inlineStr">
        <is>
          <t>ข้อสอบจริง</t>
        </is>
      </c>
      <c r="P587" s="18" t="inlineStr">
        <is>
          <t>ปี 2558</t>
        </is>
      </c>
    </row>
    <row r="588">
      <c r="A588" s="15" t="inlineStr">
        <is>
          <t>609</t>
        </is>
      </c>
      <c r="B588" s="18" t="inlineStr">
        <is>
          <t>ควรรักษาอย่างไร</t>
        </is>
      </c>
      <c r="C588" s="18" t="inlineStr"/>
      <c r="D588" s="18" t="inlineStr">
        <is>
          <t>Refer</t>
        </is>
      </c>
      <c r="E588" s="18" t="inlineStr">
        <is>
          <t>Amoxicillin</t>
        </is>
      </c>
      <c r="F588" s="18" t="inlineStr">
        <is>
          <t>Amoxicillin/clavulanic acid</t>
        </is>
      </c>
      <c r="G588" s="18" t="inlineStr">
        <is>
          <t>ดื่มน้ำมาก ๆ นอนพักผ่อน</t>
        </is>
      </c>
      <c r="H588" s="18" t="inlineStr">
        <is>
          <t>Acyclovir</t>
        </is>
      </c>
      <c r="I588" s="15" t="inlineStr">
        <is>
          <t>1</t>
        </is>
      </c>
      <c r="J588" s="18" t="inlineStr">
        <is>
          <t>✅ คำตอบที่ถูกต้อง: ข้อ ก. Refer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Refer การเลือก Refer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(Amoxicillin): เป็น Aminopenicillin ยับยั้ง bacterial cell wall synthesis เป็น first-line สำหรับ uncomplicated bacterial infections (เช่น Strep pharyngitis, AOM, sinusitis)
• ข้อ ค. (Amoxicillin/clavulanic acid): เป็น Aminopenicillin ยับยั้ง bacterial cell wall synthesis เป็น first-line สำหรับ uncomplicated bacterial infections (เช่น Strep pharyngitis, AOM, sinusitis)
• ข้อ ง. (ดื่มน้ำมาก ๆ นอนพักผ่อน): ข้อนี้ไม่ใช่คำตอบที่ถูกต้องสำหรับภาวะ General Therapeutics เนื่องจากกลไกการออกฤทธิ์, efficacy หรือข้อบ่งใช้ไม่ตรงกับโจทย์ที่กำหนด
• ข้อ จ. (Acyclovir): เป็น Guanosine analog ยับยั้ง HSV และ VZV polymerase ต้องดื่มน้ำมากๆ ระหว่างได้ยา IV เพื่อป้องกัน crystal nephropathy และ obstructive AKI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8" s="18" t="inlineStr"/>
      <c r="L588" s="18" t="inlineStr">
        <is>
          <t>General Therapeutics</t>
        </is>
      </c>
      <c r="M588" s="18" t="inlineStr">
        <is>
          <t>Clinic</t>
        </is>
      </c>
      <c r="N588" s="18" t="inlineStr">
        <is>
          <t>ข้อ 10 (PLE_CC1_2558_Key.md)</t>
        </is>
      </c>
      <c r="O588" s="18" t="inlineStr">
        <is>
          <t>ข้อสอบจริง</t>
        </is>
      </c>
      <c r="P588" s="18" t="inlineStr">
        <is>
          <t>ปี 2558</t>
        </is>
      </c>
    </row>
    <row r="589">
      <c r="A589" s="15" t="inlineStr">
        <is>
          <t>610</t>
        </is>
      </c>
      <c r="B589" s="18" t="inlineStr">
        <is>
          <t>ผู้ป่วยรายนี้ มีโอกาสเกิดโรคใด</t>
        </is>
      </c>
      <c r="C589" s="18" t="inlineStr"/>
      <c r="D589" s="18" t="inlineStr">
        <is>
          <t>Rubella</t>
        </is>
      </c>
      <c r="E589" s="18" t="inlineStr">
        <is>
          <t>Herpes zoster</t>
        </is>
      </c>
      <c r="F589" s="18" t="inlineStr">
        <is>
          <t>Diphtheria</t>
        </is>
      </c>
      <c r="G589" s="18" t="inlineStr">
        <is>
          <t>Rheumatic fever</t>
        </is>
      </c>
      <c r="H589" s="18" t="inlineStr">
        <is>
          <t>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t>
        </is>
      </c>
      <c r="I589" s="15" t="inlineStr">
        <is>
          <t>1</t>
        </is>
      </c>
      <c r="J589" s="18" t="inlineStr">
        <is>
          <t>✅ คำตอบที่ถูกต้อง: ข้อ ก. Rubella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Rubella การเลือก Rubella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ค. (Diphtheria): ข้อนี้ไม่ใช่คำตอบที่ถูกต้องสำหรับภาวะ General Therapeutics เนื่องจากกลไกการออกฤทธิ์, efficacy หรือข้อบ่งใช้ไม่ตรงกับโจทย์ที่กำหนด
• ข้อ ง. (Rheumatic fever): ข้อนี้ไม่ใช่คำตอบที่ถูกต้องสำหรับภาวะ General Therapeutics เนื่องจากกลไกการออกฤทธิ์, efficacy หรือข้อบ่งใช้ไม่ตรงกับโจทย์ที่กำหนด
• ข้อ จ. (Pertussis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9" s="18" t="inlineStr"/>
      <c r="L589" s="18" t="inlineStr">
        <is>
          <t>General Therapeutics</t>
        </is>
      </c>
      <c r="M589" s="18" t="inlineStr">
        <is>
          <t>Clinic</t>
        </is>
      </c>
      <c r="N589" s="18" t="inlineStr">
        <is>
          <t>ข้อ 11 (PLE_CC1_2558_Key.md)</t>
        </is>
      </c>
      <c r="O589" s="18" t="inlineStr">
        <is>
          <t>ข้อสอบจริง</t>
        </is>
      </c>
      <c r="P589" s="18" t="inlineStr">
        <is>
          <t>ปี 2558</t>
        </is>
      </c>
    </row>
    <row r="590">
      <c r="A590" s="15" t="inlineStr">
        <is>
          <t>611</t>
        </is>
      </c>
      <c r="B590" s="18" t="inlineStr">
        <is>
          <t>ยาอะไรที่ควรให้แก้ปวด</t>
        </is>
      </c>
      <c r="C590" s="18" t="inlineStr"/>
      <c r="D590" s="18" t="inlineStr">
        <is>
          <t>Allopurinol</t>
        </is>
      </c>
      <c r="E590" s="18" t="inlineStr">
        <is>
          <t>Colchicine</t>
        </is>
      </c>
      <c r="F590" s="18" t="inlineStr">
        <is>
          <t>Benzbromarone</t>
        </is>
      </c>
      <c r="G590" s="18" t="inlineStr">
        <is>
          <t>Sulfinpyrazone</t>
        </is>
      </c>
      <c r="H590" s="18" t="inlineStr">
        <is>
          <t>Paracetamol ห้ามนำไปทำซ้ำทุกกรณี เว้นแต่จะได้รับอนุญาต</t>
        </is>
      </c>
      <c r="I590" s="15" t="inlineStr">
        <is>
          <t>1</t>
        </is>
      </c>
      <c r="J590" s="18"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(Sulfinpyrazone): ข้อนี้ไม่ใช่คำตอบที่ถูกต้องสำหรับภาวะ General Therapeutics เนื่องจากกลไกการออกฤทธิ์, efficacy หรือข้อบ่งใช้ไม่ตรงกับโจทย์ที่กำหนด
• ข้อ จ. (Paracetamol ห้ามนำไปทำซ้ำทุกกรณี เว้นแต่จะได้รับอนุญาต):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0" s="18" t="inlineStr"/>
      <c r="L590" s="18" t="inlineStr">
        <is>
          <t>General Therapeutics</t>
        </is>
      </c>
      <c r="M590" s="18" t="inlineStr">
        <is>
          <t>Clinic</t>
        </is>
      </c>
      <c r="N590" s="18" t="inlineStr">
        <is>
          <t>ข้อ 18 (PLE_CC1_2558_Key.md)</t>
        </is>
      </c>
      <c r="O590" s="18" t="inlineStr">
        <is>
          <t>ข้อสอบจริง</t>
        </is>
      </c>
      <c r="P590" s="18" t="inlineStr">
        <is>
          <t>ปี 2558</t>
        </is>
      </c>
    </row>
    <row r="591">
      <c r="A591" s="15" t="inlineStr">
        <is>
          <t>612</t>
        </is>
      </c>
      <c r="B591" s="18" t="inlineStr">
        <is>
          <t>ยาใดที่ควรให้ป้องกัน</t>
        </is>
      </c>
      <c r="C591" s="18" t="inlineStr"/>
      <c r="D591" s="18" t="inlineStr">
        <is>
          <t>Allopurinol</t>
        </is>
      </c>
      <c r="E591" s="18" t="inlineStr">
        <is>
          <t>Colchicine</t>
        </is>
      </c>
      <c r="F591" s="18" t="inlineStr">
        <is>
          <t>Diclofenac</t>
        </is>
      </c>
      <c r="G591" s="18" t="inlineStr">
        <is>
          <t>Naproxen Na</t>
        </is>
      </c>
      <c r="H591" s="18" t="inlineStr">
        <is>
          <t>Paracetamol</t>
        </is>
      </c>
      <c r="I591" s="15" t="inlineStr">
        <is>
          <t>1</t>
        </is>
      </c>
      <c r="J591" s="18"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(Naproxen Na): เป็น non-selective NSAID ที่มี cardiovascular safety profile ดีที่สุด และมี efficacy สูงในการระงับ acute inflammation
• ข้อ จ.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1" s="18" t="inlineStr"/>
      <c r="L591" s="18" t="inlineStr">
        <is>
          <t>General Therapeutics</t>
        </is>
      </c>
      <c r="M591" s="18" t="inlineStr">
        <is>
          <t>Clinic</t>
        </is>
      </c>
      <c r="N591" s="18" t="inlineStr">
        <is>
          <t>ข้อ 19 (PLE_CC1_2558_Key.md)</t>
        </is>
      </c>
      <c r="O591" s="18" t="inlineStr">
        <is>
          <t>ข้อสอบจริง</t>
        </is>
      </c>
      <c r="P591" s="18" t="inlineStr">
        <is>
          <t>ปี 2558</t>
        </is>
      </c>
    </row>
    <row r="592">
      <c r="A592" s="15" t="inlineStr">
        <is>
          <t>613</t>
        </is>
      </c>
      <c r="B592" s="18" t="inlineStr">
        <is>
          <t>อาหารที่แนะนำให้ ผู้ป่วยรับประทาน</t>
        </is>
      </c>
      <c r="C592" s="18" t="inlineStr"/>
      <c r="D592" s="18" t="inlineStr">
        <is>
          <t>ปลาดุกย่าง</t>
        </is>
      </c>
      <c r="E592" s="18" t="inlineStr">
        <is>
          <t>เครื่องในสัตว์</t>
        </is>
      </c>
      <c r="F592" s="18" t="inlineStr">
        <is>
          <t>ปลาหมึกไข่นึ่งมะนาว</t>
        </is>
      </c>
      <c r="G592" s="18" t="inlineStr">
        <is>
          <t>ไวน์</t>
        </is>
      </c>
      <c r="H592" s="18" t="inlineStr">
        <is>
          <t>ผัดหน่อไม้ฝรั่ง</t>
        </is>
      </c>
      <c r="I592" s="15" t="inlineStr">
        <is>
          <t>1</t>
        </is>
      </c>
      <c r="J592" s="18" t="inlineStr">
        <is>
          <t>✅ คำตอบที่ถูกต้อง: ข้อ ก. ปลาดุกย่าง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ปลาดุกย่าง การเลือก ปลาดุกย่าง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(เครื่องในสัตว์): ข้อนี้ไม่ใช่คำตอบที่ถูกต้องสำหรับภาวะ General Therapeutics เนื่องจากกลไกการออกฤทธิ์, efficacy หรือข้อบ่งใช้ไม่ตรงกับโจทย์ที่กำหนด
• ข้อ ค. (ปลาหมึกไข่นึ่งมะนาว): ข้อนี้ไม่ใช่คำตอบที่ถูกต้องสำหรับภาวะ General Therapeutics เนื่องจากกลไกการออกฤทธิ์, efficacy หรือข้อบ่งใช้ไม่ตรงกับโจทย์ที่กำหนด
• ข้อ ง. (ไวน์): ข้อนี้ไม่ใช่คำตอบที่ถูกต้องสำหรับภาวะ General Therapeutics เนื่องจากกลไกการออกฤทธิ์, efficacy หรือข้อบ่งใช้ไม่ตรงกับโจทย์ที่กำหนด
• ข้อ จ. (ผัดหน่อไม้ฝรั่ง):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2" s="18" t="inlineStr"/>
      <c r="L592" s="18" t="inlineStr">
        <is>
          <t>General Therapeutics</t>
        </is>
      </c>
      <c r="M592" s="18" t="inlineStr">
        <is>
          <t>Clinic</t>
        </is>
      </c>
      <c r="N592" s="18" t="inlineStr">
        <is>
          <t>ข้อ 20 (PLE_CC1_2558_Key.md)</t>
        </is>
      </c>
      <c r="O592" s="18" t="inlineStr">
        <is>
          <t>ข้อสอบจริง</t>
        </is>
      </c>
      <c r="P592" s="18" t="inlineStr">
        <is>
          <t>ปี 2558</t>
        </is>
      </c>
    </row>
    <row r="593">
      <c r="A593" s="15" t="inlineStr">
        <is>
          <t>614</t>
        </is>
      </c>
      <c r="B593" s="18" t="inlineStr">
        <is>
          <t>ปัจจัยเสี่ยงของผู้ป่วยรายนี้คือ</t>
        </is>
      </c>
      <c r="C593" s="18" t="inlineStr"/>
      <c r="D593" s="18" t="inlineStr">
        <is>
          <t>ใช้น้ำยาสวนล้าง</t>
        </is>
      </c>
      <c r="E593" s="18" t="inlineStr">
        <is>
          <t>รับประทาน amoxicillin</t>
        </is>
      </c>
      <c r="F593" s="18" t="inlineStr">
        <is>
          <t>ประวัติมีเพศสัมพันธ์</t>
        </is>
      </c>
      <c r="G593" s="18" t="inlineStr">
        <is>
          <t>normal flora ในช่องคลอดลดลง</t>
        </is>
      </c>
      <c r="H593" s="18" t="inlineStr">
        <is>
          <t>ไม่มีข้อใดถูกต้อง ห้ามนำไปทำซ้ำทุกกรณี เว้นแต่จะได้รับอนุญาต</t>
        </is>
      </c>
      <c r="I593" s="15" t="inlineStr">
        <is>
          <t>1</t>
        </is>
      </c>
      <c r="J593" s="18" t="inlineStr">
        <is>
          <t>✅ คำตอบที่ถูกต้อง: ข้อ ก. ใช้น้ำยาสวนล้าง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ใช้น้ำยาสวนล้าง การเลือก ใช้น้ำยาสวนล้าง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 amoxicillin): เป็น Aminopenicillin ยับยั้ง bacterial cell wall synthesis เป็น first-line สำหรับ uncomplicated bacterial infections (เช่น Strep pharyngitis, AOM, sinusitis)
• ข้อ ค. (ประวัติมีเพศสัมพันธ์): ข้อนี้ไม่ใช่คำตอบที่ถูกต้องสำหรับภาวะ General Therapeutics เนื่องจากกลไกการออกฤทธิ์, efficacy หรือข้อบ่งใช้ไม่ตรงกับโจทย์ที่กำหนด
• ข้อ ง. (normal flora ในช่องคลอดลดลง):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(ไม่มีข้อใดถูกต้อง ห้ามนำไปทำซ้ำทุกกรณี เว้นแต่จะได้รับอนุญาต):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3" s="18" t="inlineStr"/>
      <c r="L593" s="18" t="inlineStr">
        <is>
          <t>General Therapeutics</t>
        </is>
      </c>
      <c r="M593" s="18" t="inlineStr">
        <is>
          <t>Clinic</t>
        </is>
      </c>
      <c r="N593" s="18" t="inlineStr">
        <is>
          <t>ข้อ 32 (PLE_CC1_2558_Key.md)</t>
        </is>
      </c>
      <c r="O593" s="18" t="inlineStr">
        <is>
          <t>ข้อสอบจริง</t>
        </is>
      </c>
      <c r="P593" s="18" t="inlineStr">
        <is>
          <t>ปี 2558</t>
        </is>
      </c>
    </row>
    <row r="594">
      <c r="A594" s="15" t="inlineStr">
        <is>
          <t>615</t>
        </is>
      </c>
      <c r="B594" s="18" t="inlineStr">
        <is>
          <t>ยาที่รักษาผู้ป่วยรายนี้</t>
        </is>
      </c>
      <c r="C594" s="18" t="inlineStr"/>
      <c r="D594" s="18" t="inlineStr">
        <is>
          <t>Cotrimoxazole</t>
        </is>
      </c>
      <c r="E594" s="18" t="inlineStr">
        <is>
          <t>Metronidazole</t>
        </is>
      </c>
      <c r="F594" s="18" t="inlineStr">
        <is>
          <t>Norfloxacin</t>
        </is>
      </c>
      <c r="G594" s="18" t="inlineStr">
        <is>
          <t>Clotrimazole</t>
        </is>
      </c>
      <c r="H594" s="18" t="inlineStr">
        <is>
          <t>Ciprofloxacin 2 เดือนต่อมาผู้ป่วยไปพบแพทย์ อีกครั้งแพทย์วินิจฉัยเป็นตกขาวจากเชื้อรา และให้ รับประทาน fluconazole</t>
        </is>
      </c>
      <c r="I594" s="15" t="inlineStr">
        <is>
          <t>1</t>
        </is>
      </c>
      <c r="J594" s="18" t="inlineStr">
        <is>
          <t>✅ คำตอบที่ถูกต้อง: ข้อ ก. Cotrimoxazole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(Norfloxacin): ข้อนี้ไม่ใช่คำตอบที่ถูกต้องสำหรับภาวะ General Therapeutics เนื่องจากกลไกการออกฤทธิ์, efficacy หรือข้อบ่งใช้ไม่ตรงกับโจทย์ที่กำหนด
• ข้อ ง. (Clotrimazole): ข้อนี้ไม่ใช่คำตอบที่ถูกต้องสำหรับภาวะ General Therapeutics เนื่องจากกลไกการออกฤทธิ์, efficacy หรือข้อบ่งใช้ไม่ตรงกับโจทย์ที่กำหนด
• ข้อ จ. (Ciprofloxacin 2 เดือนต่อมาผู้ป่วยไปพบแพทย์ อีกครั้งแพทย์วินิจฉัยเป็นตกขาวจากเชื้อรา และให้ รับประทาน fluconazole):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4" s="18" t="inlineStr"/>
      <c r="L594" s="18" t="inlineStr">
        <is>
          <t>General Therapeutics</t>
        </is>
      </c>
      <c r="M594" s="18" t="inlineStr">
        <is>
          <t>Clinic</t>
        </is>
      </c>
      <c r="N594" s="18" t="inlineStr">
        <is>
          <t>ข้อ 33 (PLE_CC1_2558_Key.md)</t>
        </is>
      </c>
      <c r="O594" s="18" t="inlineStr">
        <is>
          <t>ข้อสอบจริง</t>
        </is>
      </c>
      <c r="P594" s="18" t="inlineStr">
        <is>
          <t>ปี 2558</t>
        </is>
      </c>
    </row>
    <row r="595">
      <c r="A595" s="15" t="inlineStr">
        <is>
          <t>616</t>
        </is>
      </c>
      <c r="B595" s="18" t="inlineStr">
        <is>
          <t>Fluconazole ผ่าน CYP ใด</t>
        </is>
      </c>
      <c r="C595" s="18" t="inlineStr"/>
      <c r="D595" s="18" t="inlineStr">
        <is>
          <t>2D6</t>
        </is>
      </c>
      <c r="E595" s="18" t="inlineStr">
        <is>
          <t>1A2</t>
        </is>
      </c>
      <c r="F595" s="18" t="inlineStr">
        <is>
          <t>3A4</t>
        </is>
      </c>
      <c r="G595" s="18" t="inlineStr">
        <is>
          <t>2C9</t>
        </is>
      </c>
      <c r="H595" s="15" t="inlineStr">
        <is>
          <t>2.00E+01</t>
        </is>
      </c>
      <c r="I595" s="15" t="inlineStr">
        <is>
          <t>1</t>
        </is>
      </c>
      <c r="J595" s="18" t="inlineStr">
        <is>
          <t>✅ คำตอบที่ถูกต้อง: ข้อ ก. 2D6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2D6 การเลือก 2D6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(1A2): ข้อนี้ไม่ใช่คำตอบที่ถูกต้องสำหรับภาวะ Infectious Diseases เนื่องจากกลไกการออกฤทธิ์, efficacy หรือข้อบ่งใช้ไม่ตรงกับโจทย์ที่กำหนด
• ข้อ ค. (3A4): ข้อนี้ไม่ใช่คำตอบที่ถูกต้องสำหรับภาวะ Infectious Diseases เนื่องจากกลไกการออกฤทธิ์, efficacy หรือข้อบ่งใช้ไม่ตรงกับโจทย์ที่กำหนด
• ข้อ ง. (2C9): ข้อนี้ไม่ใช่คำตอบที่ถูกต้องสำหรับภาวะ Infectious Diseases เนื่องจากกลไกการออกฤทธิ์, efficacy หรือข้อบ่งใช้ไม่ตรงกับโจทย์ที่กำหนด
• ข้อ จ. (2E1):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5" s="18" t="inlineStr"/>
      <c r="L595" s="18" t="inlineStr">
        <is>
          <t>Infectious Diseases</t>
        </is>
      </c>
      <c r="M595" s="18" t="inlineStr">
        <is>
          <t>Clinic</t>
        </is>
      </c>
      <c r="N595" s="18" t="inlineStr">
        <is>
          <t>ข้อ 34 (PLE_CC1_2558_Key.md)</t>
        </is>
      </c>
      <c r="O595" s="18" t="inlineStr">
        <is>
          <t>ข้อสอบจริง</t>
        </is>
      </c>
      <c r="P595" s="18" t="inlineStr">
        <is>
          <t>ปี 2558</t>
        </is>
      </c>
    </row>
    <row r="596">
      <c r="A596" s="15" t="inlineStr">
        <is>
          <t>617</t>
        </is>
      </c>
      <c r="B596" s="18" t="inlineStr">
        <is>
          <t>ข้อใดเป็นกลไกการออกฤทธิ์ของ fluconazole</t>
        </is>
      </c>
      <c r="C596" s="18" t="inlineStr"/>
      <c r="D596" s="18" t="inlineStr">
        <is>
          <t>ยับยั้งการสร้างส่วนประกอบของผนังเซลล์</t>
        </is>
      </c>
      <c r="E596" s="18" t="inlineStr">
        <is>
          <t>ยับยั้งการสร้าง squalene epoxidase</t>
        </is>
      </c>
      <c r="F596" s="18" t="inlineStr">
        <is>
          <t>ยับยั้งการสร้างส่วนประกอบของเยื่อหุ้มเซลล์</t>
        </is>
      </c>
      <c r="G596" s="18" t="inlineStr">
        <is>
          <t>ยับยั้งกระบวนการ mitosis</t>
        </is>
      </c>
      <c r="H596" s="18" t="inlineStr">
        <is>
          <t>ยับยั้งการสร้าง ribosome</t>
        </is>
      </c>
      <c r="I596" s="15" t="inlineStr">
        <is>
          <t>1</t>
        </is>
      </c>
      <c r="J596" s="18" t="inlineStr">
        <is>
          <t>✅ คำตอบที่ถูกต้อง: ข้อ ก. ยับยั้งการสร้างส่วนประกอบของผนังเซลล์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ยับยั้งการสร้างส่วนประกอบของผนังเซลล์ การเลือก ยับยั้งการสร้างส่วนประกอบของผนังเซลล์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(ยับยั้งการสร้าง squalene epoxidase):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(ยับยั้งการสร้างส่วนประกอบของเยื่อหุ้มเซลล์):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(ยับยั้งกระบวนการ mitosis):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 ribosome):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6" s="18" t="inlineStr"/>
      <c r="L596" s="18" t="inlineStr">
        <is>
          <t>Infectious Diseases</t>
        </is>
      </c>
      <c r="M596" s="18" t="inlineStr">
        <is>
          <t>Clinic</t>
        </is>
      </c>
      <c r="N596" s="18" t="inlineStr">
        <is>
          <t>ข้อ 35 (PLE_CC1_2558_Key.md)</t>
        </is>
      </c>
      <c r="O596" s="18" t="inlineStr">
        <is>
          <t>ข้อสอบจริง</t>
        </is>
      </c>
      <c r="P596" s="18" t="inlineStr">
        <is>
          <t>ปี 2558</t>
        </is>
      </c>
    </row>
    <row r="597">
      <c r="A597" s="15" t="inlineStr">
        <is>
          <t>618</t>
        </is>
      </c>
      <c r="B597" s="18" t="inlineStr">
        <is>
          <t>จากสูตรตำรับยาเหน็บต่อไปนี้ ต้องใช้ยาพื้น PEG เท่าใดสำหรับ 1 แท่ง Rx. Fluconazole 0.1 g/supp PEG base qs ….. กำหนด DV. fluconazole = 1, blank weight of PEG = 2.5 g, ความหนาแน่นของ PEG = 1.2 เท่าของ theobroma oil</t>
        </is>
      </c>
      <c r="C597" s="18" t="inlineStr"/>
      <c r="D597" s="18" t="inlineStr">
        <is>
          <t>2.30 g</t>
        </is>
      </c>
      <c r="E597" s="18" t="inlineStr">
        <is>
          <t>2.38 g</t>
        </is>
      </c>
      <c r="F597" s="18" t="inlineStr">
        <is>
          <t>1.20 g</t>
        </is>
      </c>
      <c r="G597" s="18" t="inlineStr">
        <is>
          <t>2.60 g</t>
        </is>
      </c>
      <c r="H597" s="18" t="inlineStr">
        <is>
          <t>2.70 g</t>
        </is>
      </c>
      <c r="I597" s="15" t="inlineStr">
        <is>
          <t>1</t>
        </is>
      </c>
      <c r="J597" s="18" t="inlineStr">
        <is>
          <t>✅ คำตอบที่ถูกต้อง: ข้อ ก. 2.30 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2.30 g การเลือก 2.30 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(2.38 g): ข้อนี้ไม่ใช่คำตอบที่ถูกต้องสำหรับภาวะ Infectious Diseases เนื่องจากกลไกการออกฤทธิ์, efficacy หรือข้อบ่งใช้ไม่ตรงกับโจทย์ที่กำหนด
• ข้อ ค. (1.20 g): ข้อนี้ไม่ใช่คำตอบที่ถูกต้องสำหรับภาวะ Infectious Diseases เนื่องจากกลไกการออกฤทธิ์, efficacy หรือข้อบ่งใช้ไม่ตรงกับโจทย์ที่กำหนด
• ข้อ ง. (2.60 g): ข้อนี้ไม่ใช่คำตอบที่ถูกต้องสำหรับภาวะ Infectious Diseases เนื่องจากกลไกการออกฤทธิ์, efficacy หรือข้อบ่งใช้ไม่ตรงกับโจทย์ที่กำหนด
• ข้อ จ. (2.70 g):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7" s="18" t="inlineStr"/>
      <c r="L597" s="18" t="inlineStr">
        <is>
          <t>Infectious Diseases</t>
        </is>
      </c>
      <c r="M597" s="18" t="inlineStr">
        <is>
          <t>Clinic</t>
        </is>
      </c>
      <c r="N597" s="18" t="inlineStr">
        <is>
          <t>ข้อ 36 (PLE_CC1_2558_Key.md)</t>
        </is>
      </c>
      <c r="O597" s="18" t="inlineStr">
        <is>
          <t>ข้อสอบจริง</t>
        </is>
      </c>
      <c r="P597" s="18" t="inlineStr">
        <is>
          <t>ปี 2558</t>
        </is>
      </c>
    </row>
    <row r="598">
      <c r="A598" s="15" t="inlineStr">
        <is>
          <t>619</t>
        </is>
      </c>
      <c r="B598" s="18" t="inlineStr">
        <is>
          <t>ยาบรรเทาอาการคือข้อใด</t>
        </is>
      </c>
      <c r="C598" s="18" t="inlineStr"/>
      <c r="D598" s="18" t="inlineStr">
        <is>
          <t>Formoterol</t>
        </is>
      </c>
      <c r="E598" s="18" t="inlineStr">
        <is>
          <t>Salbutamol</t>
        </is>
      </c>
      <c r="F598" s="18" t="inlineStr">
        <is>
          <t>Tiotropium</t>
        </is>
      </c>
      <c r="G598" s="18" t="inlineStr">
        <is>
          <t>Salmeterol</t>
        </is>
      </c>
      <c r="H598" s="18" t="inlineStr">
        <is>
          <t>Prednisolone</t>
        </is>
      </c>
      <c r="I598" s="15" t="inlineStr">
        <is>
          <t>1</t>
        </is>
      </c>
      <c r="J598" s="18" t="inlineStr">
        <is>
          <t>✅ คำตอบที่ถูกต้อง: ข้อ ก. Formoterol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(Tiotropium): เป็น Long-acting muscarinic antagonist (LAMA) มี bronchodilatory efficacy สูง เป็นแกนหลักใน COPD maintenance therapy และ add-on ใน severe asthma
• ข้อ ง. (Salmeterol): เป็น LABA ที่มี onset ช้า (10-20 นาที) จึงใช้เป็น maintenance bronchodilator เท่านั้น ห้ามใช้เป็น reliever เด็ดขาด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8" s="18" t="inlineStr"/>
      <c r="L598" s="18" t="inlineStr">
        <is>
          <t>General Therapeutics</t>
        </is>
      </c>
      <c r="M598" s="18" t="inlineStr">
        <is>
          <t>Clinic</t>
        </is>
      </c>
      <c r="N598" s="18" t="inlineStr">
        <is>
          <t>ข้อ 39 (PLE_CC1_2558_Key.md)</t>
        </is>
      </c>
      <c r="O598" s="18" t="inlineStr">
        <is>
          <t>ข้อสอบจริง</t>
        </is>
      </c>
      <c r="P598" s="18" t="inlineStr">
        <is>
          <t>ปี 2558</t>
        </is>
      </c>
    </row>
    <row r="599">
      <c r="A599" s="15" t="inlineStr">
        <is>
          <t>620</t>
        </is>
      </c>
      <c r="B599" s="18" t="inlineStr">
        <is>
          <t>ข้อใดถูกเกี่ยวกับการให้ prednisolone</t>
        </is>
      </c>
      <c r="C599" s="18" t="inlineStr"/>
      <c r="D599" s="18" t="inlineStr">
        <is>
          <t>กินติดต่อกันจนครบ 5 วัน</t>
        </is>
      </c>
      <c r="E599" s="18" t="inlineStr">
        <is>
          <t>กินต่อเนื่อง 28 วัน แล้วลดขนาดลง</t>
        </is>
      </c>
      <c r="F599" s="18" t="inlineStr">
        <is>
          <t>กินต่อเนื่อง 30 วัน แล้วลดขนาดลง</t>
        </is>
      </c>
      <c r="G599" s="18" t="inlineStr">
        <is>
          <t>ลดขนาดยาลงทีละ 1 สัปดาห์</t>
        </is>
      </c>
      <c r="H599" s="18" t="inlineStr">
        <is>
          <t>กินต่อเนื่อง 28 วัน แล้วหยุดยา</t>
        </is>
      </c>
      <c r="I599" s="15" t="inlineStr">
        <is>
          <t>1</t>
        </is>
      </c>
      <c r="J599" s="18" t="inlineStr">
        <is>
          <t>✅ คำตอบที่ถูกต้อง: ข้อ ก. กินติดต่อกันจนครบ 5 วัน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กินติดต่อกันจนครบ 5 วัน การเลือก กินติดต่อกันจนครบ 5 วัน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(กินต่อเนื่อง 28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ค. (กินต่อเนื่อง 30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ง. (ลดขนาดยาลงทีละ 1 สัปดาห์): ข้อนี้ไม่ใช่คำตอบที่ถูกต้องสำหรับภาวะ Allergy &amp; Immunology เนื่องจากกลไกการออกฤทธิ์, efficacy หรือข้อบ่งใช้ไม่ตรงกับโจทย์ที่กำหนด
• ข้อ จ. (กินต่อเนื่อง 28 วัน แล้วหยุดยา):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99" s="18" t="inlineStr"/>
      <c r="L599" s="18" t="inlineStr">
        <is>
          <t>Allergy &amp; Immunology</t>
        </is>
      </c>
      <c r="M599" s="18" t="inlineStr">
        <is>
          <t>Clinic</t>
        </is>
      </c>
      <c r="N599" s="18" t="inlineStr">
        <is>
          <t>ข้อ 40 (PLE_CC1_2558_Key.md)</t>
        </is>
      </c>
      <c r="O599" s="18" t="inlineStr">
        <is>
          <t>ข้อสอบจริง</t>
        </is>
      </c>
      <c r="P599" s="18" t="inlineStr">
        <is>
          <t>ปี 2558</t>
        </is>
      </c>
    </row>
    <row r="600">
      <c r="A600" s="15" t="inlineStr">
        <is>
          <t>621</t>
        </is>
      </c>
      <c r="B600" s="18" t="inlineStr">
        <is>
          <t>ข้อใดเป็นการป้องกันเพื่อไม่ ให้เกิด exacerbation</t>
        </is>
      </c>
      <c r="C600" s="18" t="inlineStr"/>
      <c r="D600" s="18" t="inlineStr">
        <is>
          <t>กิน theophylline ต่อเนื่องทุกวัน</t>
        </is>
      </c>
      <c r="E600" s="18" t="inlineStr">
        <is>
          <t>พ่น fluticasone/salmeterol ต่อเนื่องทุกวัน</t>
        </is>
      </c>
      <c r="F600" s="18" t="inlineStr">
        <is>
          <t>เพิ่ม tiotropium</t>
        </is>
      </c>
      <c r="G600" s="18" t="inlineStr">
        <is>
          <t>ฉีด influenza ทุก 5 ปี</t>
        </is>
      </c>
      <c r="H600" s="18" t="inlineStr">
        <is>
          <t>เพิ่ม indacaterol ห้ามนำไปทำซ้ำทุกกรณี เว้นแต่จะได้รับอนุญาต</t>
        </is>
      </c>
      <c r="I600" s="15" t="inlineStr">
        <is>
          <t>1</t>
        </is>
      </c>
      <c r="J600" s="18" t="inlineStr">
        <is>
          <t>✅ คำตอบที่ถูกต้อง: ข้อ ก. กิน theophylline ต่อเนื่องทุกวัน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 theophylline ต่อเนื่องทุกวัน การเลือก กิน theophylline ต่อเนื่องทุกวัน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(พ่น fluticasone/salmeterol ต่อเนื่องทุกวัน): เป็น potent ICS มี high topical potency และ systemic bioavailability ต่ำ ใช้เป็น maintenance anti-inflammatory controller ใน moderate-to-severe asthma และ COPD with high eosinophils
• ข้อ ค. (เพิ่ม tiotropium): เป็น Long-acting muscarinic antagonist (LAMA) มี bronchodilatory efficacy สูง เป็นแกนหลักใน COPD maintenance therapy และ add-on ใน severe asthma
• ข้อ ง. (ฉีด influenza ทุก 5 ปี): วัคซีนไข้หวัดใหญ่ชนิด inactivated ฉีดปีละ 1 ครั้ง ในกลุ่มเสี่ยง 7 กลุ่มโรคเรื้อรัง และเด็กอายุ 6 เดือน - 2 ปี
• ข้อ จ. (เพิ่ม indacaterol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0" s="18" t="inlineStr"/>
      <c r="L600" s="18" t="inlineStr">
        <is>
          <t>General Therapeutics</t>
        </is>
      </c>
      <c r="M600" s="18" t="inlineStr">
        <is>
          <t>Clinic</t>
        </is>
      </c>
      <c r="N600" s="18" t="inlineStr">
        <is>
          <t>ข้อ 41 (PLE_CC1_2558_Key.md)</t>
        </is>
      </c>
      <c r="O600" s="18" t="inlineStr">
        <is>
          <t>ข้อสอบจริง</t>
        </is>
      </c>
      <c r="P600" s="18" t="inlineStr">
        <is>
          <t>ปี 2558</t>
        </is>
      </c>
    </row>
    <row r="601">
      <c r="A601" s="15" t="inlineStr">
        <is>
          <t>622</t>
        </is>
      </c>
      <c r="B601" s="18" t="inlineStr">
        <is>
          <t>ข้อใดผิด</t>
        </is>
      </c>
      <c r="C601" s="18" t="inlineStr"/>
      <c r="D601" s="18" t="inlineStr">
        <is>
          <t>บุหรี่เป็นสาเหตุหลัก</t>
        </is>
      </c>
      <c r="E601" s="18" t="inlineStr">
        <is>
          <t>หลอดลมไวต่อการแพ้</t>
        </is>
      </c>
      <c r="F601" s="18" t="inlineStr">
        <is>
          <t>FEV1 = 40% จัดอยู่ในระดับ severe</t>
        </is>
      </c>
      <c r="G601" s="18" t="inlineStr">
        <is>
          <t>ผู้ป่วยรายนี้สูบบุหรี่ 40 pack-years</t>
        </is>
      </c>
      <c r="H601" s="18" t="inlineStr">
        <is>
          <t>ถูกทุกข้อ</t>
        </is>
      </c>
      <c r="I601" s="15" t="inlineStr">
        <is>
          <t>1</t>
        </is>
      </c>
      <c r="J601" s="18" t="inlineStr">
        <is>
          <t>✅ คำตอบที่ถูกต้อง: ข้อ ก. บุหรี่เป็นสาเหตุหลัก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บุหรี่เป็นสาเหตุหลัก การเลือก บุหรี่เป็นสาเหตุหลัก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(หลอดลมไวต่อการแพ้): ข้อนี้ไม่ใช่คำตอบที่ถูกต้องสำหรับภาวะ General Therapeutics เนื่องจากกลไกการออกฤทธิ์, efficacy หรือข้อบ่งใช้ไม่ตรงกับโจทย์ที่กำหนด
• ข้อ ค. (FEV1 = 40% จัดอยู่ในระดับ severe): ข้อนี้ไม่ใช่คำตอบที่ถูกต้องสำหรับภาวะ General Therapeutics เนื่องจากกลไกการออกฤทธิ์, efficacy หรือข้อบ่งใช้ไม่ตรงกับโจทย์ที่กำหนด
• ข้อ ง. (ผู้ป่วยรายนี้สูบบุหรี่ 40 pack-years):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1" s="18" t="inlineStr"/>
      <c r="L601" s="18" t="inlineStr">
        <is>
          <t>General Therapeutics</t>
        </is>
      </c>
      <c r="M601" s="18" t="inlineStr">
        <is>
          <t>Clinic</t>
        </is>
      </c>
      <c r="N601" s="18" t="inlineStr">
        <is>
          <t>ข้อ 42 (PLE_CC1_2558_Key.md)</t>
        </is>
      </c>
      <c r="O601" s="18" t="inlineStr">
        <is>
          <t>ข้อสอบจริง</t>
        </is>
      </c>
      <c r="P601" s="18" t="inlineStr">
        <is>
          <t>ปี 2558</t>
        </is>
      </c>
    </row>
    <row r="602">
      <c r="A602" s="15" t="inlineStr">
        <is>
          <t>623</t>
        </is>
      </c>
      <c r="B602" s="18" t="inlineStr">
        <is>
          <t>ยาในข้อใดทำให้เกิดอาการไอแห้ง</t>
        </is>
      </c>
      <c r="C602" s="18" t="inlineStr"/>
      <c r="D602" s="18" t="inlineStr">
        <is>
          <t>Acetylcysteine</t>
        </is>
      </c>
      <c r="E602" s="18" t="inlineStr">
        <is>
          <t>Enalapril</t>
        </is>
      </c>
      <c r="F602" s="18" t="inlineStr">
        <is>
          <t>Theophylline</t>
        </is>
      </c>
      <c r="G602" s="18" t="inlineStr">
        <is>
          <t>Fluticasone</t>
        </is>
      </c>
      <c r="H602" s="18" t="inlineStr">
        <is>
          <t>Salmeterol</t>
        </is>
      </c>
      <c r="I602" s="15" t="inlineStr">
        <is>
          <t>1</t>
        </is>
      </c>
      <c r="J602" s="18" t="inlineStr">
        <is>
          <t>✅ คำตอบที่ถูกต้อง: ข้อ ก. Acetylcysteine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Acetylcysteine การเลือก Acetylcysteine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(Theophylline): มี narrow therapeutic window (target 5-15 mcg/mL) และ ADR สูง (ใจสั่น คลื่นไส้ ชัก หัวใจเต้นผิดจังหวะ) CPG จึงจัดเป็นเพียงทางเลือกท้ายๆ (alternative)
• ข้อ ง. (Fluticasone): เป็น potent ICS มี high topical potency และ systemic bioavailability ต่ำ ใช้เป็น maintenance anti-inflammatory controller ใน moderate-to-severe asthma และ COPD with high eosinophils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2" s="18" t="inlineStr"/>
      <c r="L602" s="18" t="inlineStr">
        <is>
          <t>General Therapeutics</t>
        </is>
      </c>
      <c r="M602" s="18" t="inlineStr">
        <is>
          <t>Clinic</t>
        </is>
      </c>
      <c r="N602" s="18" t="inlineStr">
        <is>
          <t>ข้อ 43 (PLE_CC1_2558_Key.md)</t>
        </is>
      </c>
      <c r="O602" s="18" t="inlineStr">
        <is>
          <t>ข้อสอบจริง</t>
        </is>
      </c>
      <c r="P602" s="18" t="inlineStr">
        <is>
          <t>ปี 2558</t>
        </is>
      </c>
    </row>
    <row r="603">
      <c r="A603" s="15" t="inlineStr">
        <is>
          <t>624</t>
        </is>
      </c>
      <c r="B603" s="18" t="inlineStr">
        <is>
          <t>ยาข้อใดทำให้อาการแย่ลง</t>
        </is>
      </c>
      <c r="C603" s="18" t="inlineStr"/>
      <c r="D603" s="18" t="inlineStr">
        <is>
          <t>Paracetamol</t>
        </is>
      </c>
      <c r="E603" s="18" t="inlineStr">
        <is>
          <t>Nifedipine</t>
        </is>
      </c>
      <c r="F603" s="18" t="inlineStr">
        <is>
          <t>Amiloride</t>
        </is>
      </c>
      <c r="G603" s="18" t="inlineStr">
        <is>
          <t>HCTZ</t>
        </is>
      </c>
      <c r="H603" s="18" t="inlineStr">
        <is>
          <t>Spironolactone</t>
        </is>
      </c>
      <c r="I603" s="15" t="inlineStr">
        <is>
          <t>1</t>
        </is>
      </c>
      <c r="J603" s="18"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(Amiloride): ข้อนี้ไม่ใช่คำตอบที่ถูกต้องสำหรับภาวะ General Therapeutics เนื่องจากกลไกการออกฤทธิ์, efficacy หรือข้อบ่งใช้ไม่ตรงกับโจทย์ที่กำหนด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3" s="18" t="inlineStr"/>
      <c r="L603" s="18" t="inlineStr">
        <is>
          <t>General Therapeutics</t>
        </is>
      </c>
      <c r="M603" s="18" t="inlineStr">
        <is>
          <t>Clinic</t>
        </is>
      </c>
      <c r="N603" s="18" t="inlineStr">
        <is>
          <t>ข้อ 49 (PLE_CC1_2558_Key.md)</t>
        </is>
      </c>
      <c r="O603" s="18" t="inlineStr">
        <is>
          <t>ข้อสอบจริง</t>
        </is>
      </c>
      <c r="P603" s="18" t="inlineStr">
        <is>
          <t>ปี 2558</t>
        </is>
      </c>
    </row>
    <row r="604">
      <c r="A604" s="15" t="inlineStr">
        <is>
          <t>625</t>
        </is>
      </c>
      <c r="B604" s="18" t="inlineStr">
        <is>
          <t>การแปลผลจากตารางต่อไปนี้ ข้อใดถูกต้อง</t>
        </is>
      </c>
      <c r="C604" s="18" t="inlineStr"/>
      <c r="D604" s="18" t="inlineStr">
        <is>
          <t>การให้ยา combination มีประสิทธิภาพและความปลอดภัยมากกว่ายาเดี่ยว อย่างมีนัยสำคัญทางสถิติ</t>
        </is>
      </c>
      <c r="E604" s="18" t="inlineStr">
        <is>
          <t>การให้ยา combination มีประสิทธิภาพเท่ายาเดี่ยวแต่เกิดผลข้างเคียงมากกว่าอย่างมีนัยสำคัญทางสถิติ</t>
        </is>
      </c>
      <c r="F604" s="18" t="inlineStr">
        <is>
          <t>Telmisartan มีประสิทธิภาพมากกว่า ramipril อย่างมีนัยสำคัญทางสถิติ</t>
        </is>
      </c>
      <c r="G604" s="18" t="inlineStr">
        <is>
          <t>Telmisartan ทำให้เกิดผลข้างเคียงต่อไตมากกว่า ramipril อย่างมีนัยสำคัญทางสถิติ</t>
        </is>
      </c>
      <c r="H604" s="18" t="inlineStr">
        <is>
          <t>Telmisartan กับ ramipril ทำให้ ความดันต่ำไม่แตกต่างกัน กรณีศึกษา 8 เหนื่อย นอนราบไม่ได้ แพทย์วินิจฉัย acute heart failureได้รับยากลับบ้านดังนี้</t>
        </is>
      </c>
      <c r="I604" s="15" t="inlineStr">
        <is>
          <t>1</t>
        </is>
      </c>
      <c r="J604" s="18" t="inlineStr">
        <is>
          <t>✅ คำตอบที่ถูกต้อง: ข้อ ก. การให้ยา combination มีประสิทธิภาพและความปลอดภัยมากกว่ายาเดี่ยว อย่างมีนัยสำคัญทางสถิติ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การให้ยา combination มีประสิทธิภาพและความปลอดภัยมากกว่ายาเดี่ยว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ผู้ป่วยชาย อายุ   55 ปี อ้วน โรคประจำตัวเป็นความดัน ไขมันในเลือดสูง ดื่มสุรา ไม่สูบบุหรี่ มาโรงพยาบาลด้วยอาการหอบ
🔍 ข้ออื่นผิดเพราะอะไร:
• ข้อ ข. (การให้ยา combination มีประสิทธิภาพเท่ายาเดี่ยวแต่เกิดผลข้างเคียงมากกว่าอย่างมีนัยสำคัญทางสถิติ):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ค. (Telmisartan มีประสิทธิภาพมากกว่า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ง. (Telmisartan ทำให้เกิดผลข้างเคียงต่อไตมากกว่า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จ. (Telmisartan กับ ramipril ทำให้ ความดันต่ำไม่แตกต่างกัน กรณีศึกษา 8 เหนื่อย นอนราบไม่ได้ แพทย์วินิจฉัย acute heart failureได้รับยากลับบ้านดังนี้):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04" s="18" t="inlineStr"/>
      <c r="L604" s="18" t="inlineStr">
        <is>
          <t>General Therapeutics</t>
        </is>
      </c>
      <c r="M604" s="18" t="inlineStr">
        <is>
          <t>Clinic</t>
        </is>
      </c>
      <c r="N604" s="18" t="inlineStr">
        <is>
          <t>ข้อ 53 (PLE_CC1_2558_Key.md)</t>
        </is>
      </c>
      <c r="O604" s="18" t="inlineStr">
        <is>
          <t>ข้อสอบจริง</t>
        </is>
      </c>
      <c r="P604" s="18" t="inlineStr">
        <is>
          <t>ปี 2558</t>
        </is>
      </c>
    </row>
    <row r="605">
      <c r="A605" s="15" t="inlineStr">
        <is>
          <t>626</t>
        </is>
      </c>
      <c r="B605" s="18" t="inlineStr">
        <is>
          <t>ข้อใดไม่ใช่ปัจจัยเสี่ยงของผู้ป่วยรายนี้</t>
        </is>
      </c>
      <c r="C605" s="18" t="inlineStr"/>
      <c r="D605" s="18" t="inlineStr">
        <is>
          <t>เพศชาย</t>
        </is>
      </c>
      <c r="E605" s="18" t="inlineStr">
        <is>
          <t>ความดันโลหิตสูง</t>
        </is>
      </c>
      <c r="F605" s="18" t="inlineStr">
        <is>
          <t>ไขมันในเลือดสูง</t>
        </is>
      </c>
      <c r="G605" s="18" t="inlineStr">
        <is>
          <t>ดื่มสุรา</t>
        </is>
      </c>
      <c r="H605" s="18" t="inlineStr">
        <is>
          <t>อ้วน</t>
        </is>
      </c>
      <c r="I605" s="15" t="inlineStr">
        <is>
          <t>1</t>
        </is>
      </c>
      <c r="J605" s="18" t="inlineStr">
        <is>
          <t>✅ คำตอบที่ถูกต้อง: ข้อ ก. เพศชาย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เพศชาย การเลือก เพศชาย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ค. (ไขมันในเลือดสูง): ข้อนี้ไม่ใช่คำตอบที่ถูกต้องสำหรับภาวะ General Therapeutics เนื่องจากกลไกการออกฤทธิ์, efficacy หรือข้อบ่งใช้ไม่ตรงกับโจทย์ที่กำหนด
• ข้อ ง. (ดื่มสุรา): ข้อนี้ไม่ใช่คำตอบที่ถูกต้องสำหรับภาวะ General Therapeutics เนื่องจากกลไกการออกฤทธิ์, efficacy หรือข้อบ่งใช้ไม่ตรงกับโจทย์ที่กำหนด
• ข้อ จ. (อ้วน):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5" s="18" t="inlineStr"/>
      <c r="L605" s="18" t="inlineStr">
        <is>
          <t>General Therapeutics</t>
        </is>
      </c>
      <c r="M605" s="18" t="inlineStr">
        <is>
          <t>Clinic</t>
        </is>
      </c>
      <c r="N605" s="18" t="inlineStr">
        <is>
          <t>ข้อ 55 (PLE_CC1_2558_Key.md)</t>
        </is>
      </c>
      <c r="O605" s="18" t="inlineStr">
        <is>
          <t>ข้อสอบจริง</t>
        </is>
      </c>
      <c r="P605" s="18" t="inlineStr">
        <is>
          <t>ปี 2558</t>
        </is>
      </c>
    </row>
    <row r="606">
      <c r="A606" s="15" t="inlineStr">
        <is>
          <t>627</t>
        </is>
      </c>
      <c r="B606" s="18" t="inlineStr">
        <is>
          <t>เมื่ออาการดีขึ้นแพทย์ ให้กลับบ้านเมื่อผู้ป่วยมาพบแพทย์ ครั้งหน้าแล้วอาการปกติ ควรได้รับยาใดเพิ่มเติม</t>
        </is>
      </c>
      <c r="C606" s="18" t="inlineStr"/>
      <c r="D606" s="18" t="inlineStr">
        <is>
          <t>Digoxin</t>
        </is>
      </c>
      <c r="E606" s="18" t="inlineStr">
        <is>
          <t>Carvedilol</t>
        </is>
      </c>
      <c r="F606" s="18" t="inlineStr">
        <is>
          <t>Amlodipine</t>
        </is>
      </c>
      <c r="G606" s="18" t="inlineStr">
        <is>
          <t>Amiodarone</t>
        </is>
      </c>
      <c r="H606" s="18" t="inlineStr">
        <is>
          <t>Verapamil ห้ามนำไปทำซ้ำทุกกรณี เว้นแต่จะได้รับอนุญาต</t>
        </is>
      </c>
      <c r="I606" s="15" t="inlineStr">
        <is>
          <t>1</t>
        </is>
      </c>
      <c r="J606" s="18"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(Amiodarone): เป็น Class III antiarrhythmic มี half-life ยาวนาน (~2 เดือน) มี ADRs ต่อหลายอวัยวะ: pulmonary fibrosis, thyroid dysfunction (hypo/hyper), corneal microdeposits, hepatotoxicity
• ข้อ จ. (Verapamil ห้ามนำไปทำซ้ำทุกกรณี เว้นแต่จะได้รับอนุญาต):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6" s="18" t="inlineStr"/>
      <c r="L606" s="18" t="inlineStr">
        <is>
          <t>General Therapeutics</t>
        </is>
      </c>
      <c r="M606" s="18" t="inlineStr">
        <is>
          <t>Clinic</t>
        </is>
      </c>
      <c r="N606" s="18" t="inlineStr">
        <is>
          <t>ข้อ 56 (PLE_CC1_2558_Key.md)</t>
        </is>
      </c>
      <c r="O606" s="18" t="inlineStr">
        <is>
          <t>ข้อสอบจริง</t>
        </is>
      </c>
      <c r="P606" s="18" t="inlineStr">
        <is>
          <t>ปี 2558</t>
        </is>
      </c>
    </row>
    <row r="607">
      <c r="A607" s="15" t="inlineStr">
        <is>
          <t>628</t>
        </is>
      </c>
      <c r="B607" s="18" t="inlineStr">
        <is>
          <t>คำแนะนำใดเหมาะสมสำหรับผู้ป่วยรายนี้</t>
        </is>
      </c>
      <c r="C607" s="18" t="inlineStr"/>
      <c r="D607" s="18" t="inlineStr">
        <is>
          <t>กินผักผลไม้เป็นประจำ</t>
        </is>
      </c>
      <c r="E607" s="18" t="inlineStr">
        <is>
          <t>ดื่มน้ำไม่เกินวันละ 1.5 ลิตร</t>
        </is>
      </c>
      <c r="F607" s="18" t="inlineStr">
        <is>
          <t>ควรออกกำลังกายเป็นประจำทุกวัน</t>
        </is>
      </c>
      <c r="G607" s="18" t="inlineStr">
        <is>
          <t>หลีกเลี่ยงอาหารที่มีไขมันสูง</t>
        </is>
      </c>
      <c r="H607" s="18" t="inlineStr">
        <is>
          <t>ควรระวังไม่ให้ท้องผูก</t>
        </is>
      </c>
      <c r="I607" s="15" t="inlineStr">
        <is>
          <t>1</t>
        </is>
      </c>
      <c r="J607" s="18" t="inlineStr">
        <is>
          <t>✅ คำตอบที่ถูกต้อง: ข้อ ก. กินผักผลไม้เป็นประจำ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กินผักผลไม้เป็นประจำ การเลือก กินผักผลไม้เป็นประจำ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(ดื่มน้ำไม่เกินวันละ 1.5 ลิตร): ข้อนี้ไม่ใช่คำตอบที่ถูกต้องสำหรับภาวะ General Therapeutics เนื่องจากกลไกการออกฤทธิ์, efficacy หรือข้อบ่งใช้ไม่ตรงกับโจทย์ที่กำหนด
• ข้อ ค. (ควรออกกำลังกายเป็นประจำทุกวัน):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(หลีกเลี่ยงอาหารที่มีไขมันสูง): ข้อนี้ไม่ใช่คำตอบที่ถูกต้องสำหรับภาวะ General Therapeutics เนื่องจากกลไกการออกฤทธิ์, efficacy หรือข้อบ่งใช้ไม่ตรงกับโจทย์ที่กำหนด
• ข้อ จ. (ควรระวังไม่ให้ท้องผูก):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7" s="18" t="inlineStr"/>
      <c r="L607" s="18" t="inlineStr">
        <is>
          <t>General Therapeutics</t>
        </is>
      </c>
      <c r="M607" s="18" t="inlineStr">
        <is>
          <t>Clinic</t>
        </is>
      </c>
      <c r="N607" s="18" t="inlineStr">
        <is>
          <t>ข้อ 57 (PLE_CC1_2558_Key.md)</t>
        </is>
      </c>
      <c r="O607" s="18" t="inlineStr">
        <is>
          <t>ข้อสอบจริง</t>
        </is>
      </c>
      <c r="P607" s="18" t="inlineStr">
        <is>
          <t>ปี 2558</t>
        </is>
      </c>
    </row>
    <row r="608">
      <c r="A608" s="15" t="inlineStr">
        <is>
          <t>629</t>
        </is>
      </c>
      <c r="B608" s="18" t="inlineStr">
        <is>
          <t>ข้อใดไม่ถูกต้อง</t>
        </is>
      </c>
      <c r="C608" s="18" t="inlineStr"/>
      <c r="D608" s="18" t="inlineStr">
        <is>
          <t>Cyclophosphamide เป็น prodrug</t>
        </is>
      </c>
      <c r="E608" s="18" t="inlineStr">
        <is>
          <t>Doxorubicin เป็นยาในกลุ่ม anthracycline</t>
        </is>
      </c>
      <c r="F608" s="18" t="inlineStr">
        <is>
          <t>Metabolite ของ cyclophosphamide คือ acrolein</t>
        </is>
      </c>
      <c r="G608" s="18" t="inlineStr">
        <is>
          <t>ยาที่มีพิษต่อหัวใจคือ doxorubicin</t>
        </is>
      </c>
      <c r="H608" s="18" t="inlineStr">
        <is>
          <t>Tamoxifen เป็นยาในกลุ่ม non-steroidal antiestrogen</t>
        </is>
      </c>
      <c r="I608" s="15" t="inlineStr">
        <is>
          <t>1</t>
        </is>
      </c>
      <c r="J608" s="18" t="inlineStr">
        <is>
          <t>✅ คำตอบที่ถูกต้อง: ข้อ ก. Cyclophosphamide เป็น prodrug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เป็น prodrug การเลือก Cyclophosphamide เป็น prodrug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เป็นยาในกลุ่ม anthracycline): ข้อนี้ไม่ใช่คำตอบที่ถูกต้องสำหรับภาวะ General Therapeutics เนื่องจากกลไกการออกฤทธิ์, efficacy หรือข้อบ่งใช้ไม่ตรงกับโจทย์ที่กำหนด
• ข้อ ค. (Metabolite ของ cyclophosphamide คือ acrolein): ข้อนี้ไม่ใช่คำตอบที่ถูกต้องสำหรับภาวะ General Therapeutics เนื่องจากกลไกการออกฤทธิ์, efficacy หรือข้อบ่งใช้ไม่ตรงกับโจทย์ที่กำหนด
• ข้อ ง. (ยาที่มีพิษต่อหัวใจคือ doxorubicin): ข้อนี้ไม่ใช่คำตอบที่ถูกต้องสำหรับภาวะ General Therapeutics เนื่องจากกลไกการออกฤทธิ์, efficacy หรือข้อบ่งใช้ไม่ตรงกับโจทย์ที่กำหนด
• ข้อ จ. (Tamoxifen เป็นยาในกลุ่ม non-steroidal antiestrogen):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8" s="18" t="inlineStr"/>
      <c r="L608" s="18" t="inlineStr">
        <is>
          <t>General Therapeutics</t>
        </is>
      </c>
      <c r="M608" s="18" t="inlineStr">
        <is>
          <t>Clinic</t>
        </is>
      </c>
      <c r="N608" s="18" t="inlineStr">
        <is>
          <t>ข้อ 64 (PLE_CC1_2558_Key.md)</t>
        </is>
      </c>
      <c r="O608" s="18" t="inlineStr">
        <is>
          <t>ข้อสอบจริง</t>
        </is>
      </c>
      <c r="P608" s="18" t="inlineStr">
        <is>
          <t>ปี 2558</t>
        </is>
      </c>
    </row>
    <row r="609">
      <c r="A609" s="15" t="inlineStr">
        <is>
          <t>630</t>
        </is>
      </c>
      <c r="B609" s="18" t="inlineStr">
        <is>
          <t>Tamoxifen มีข้อห้ามใช้ในโรคใด</t>
        </is>
      </c>
      <c r="C609" s="18" t="inlineStr"/>
      <c r="D609" s="18" t="inlineStr">
        <is>
          <t>HTN</t>
        </is>
      </c>
      <c r="E609" s="18" t="inlineStr">
        <is>
          <t>CKD</t>
        </is>
      </c>
      <c r="F609" s="18" t="inlineStr">
        <is>
          <t>DM</t>
        </is>
      </c>
      <c r="G609" s="18" t="inlineStr">
        <is>
          <t>DVT</t>
        </is>
      </c>
      <c r="H609" s="18" t="inlineStr">
        <is>
          <t>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t>
        </is>
      </c>
      <c r="I609" s="15" t="inlineStr">
        <is>
          <t>1</t>
        </is>
      </c>
      <c r="J609" s="18" t="inlineStr">
        <is>
          <t>✅ คำตอบที่ถูกต้อง: ข้อ ก. HTN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HTN Tamoxifen itself is a prodrug, having relatively little affinity for its target protein, the estrogen receptor.  It is metabolized in the liver by the cytochrome P450 isoform CYP2D6 and CYP3A4 into active metabolites more affinity with the estrogen receptor than tamoxifen itself. These active metabolites compete with estrogen in the body for binding to the estrogen receptor. In breast tissue, 4-OH tamoxifen acts as an
🔍 ข้ออื่นผิดเพราะอะไร:
• ข้อ ข. (CKD): ข้อนี้ไม่ใช่คำตอบที่ถูกต้องสำหรับภาวะ Oncology &amp; Chemotherapy เนื่องจากกลไกการออกฤทธิ์, efficacy หรือข้อบ่งใช้ไม่ตรงกับโจทย์ที่กำหนด
• ข้อ ค. (DM): ข้อนี้ไม่ใช่คำตอบที่ถูกต้องสำหรับภาวะ Oncology &amp; Chemotherapy เนื่องจากกลไกการออกฤทธิ์, efficacy หรือข้อบ่งใช้ไม่ตรงกับโจทย์ที่กำหนด
• ข้อ ง. (DVT): ข้อนี้ไม่ใช่คำตอบที่ถูกต้องสำหรับภาวะ Oncology &amp; Chemotherapy เนื่องจากกลไกการออกฤทธิ์, efficacy หรือข้อบ่งใช้ไม่ตรงกับโจทย์ที่กำหนด
• ข้อ จ. (BPH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09" s="18" t="inlineStr"/>
      <c r="L609" s="18" t="inlineStr">
        <is>
          <t>Oncology &amp; Chemotherapy</t>
        </is>
      </c>
      <c r="M609" s="18" t="inlineStr">
        <is>
          <t>Clinic</t>
        </is>
      </c>
      <c r="N609" s="18" t="inlineStr">
        <is>
          <t>ข้อ 67 (PLE_CC1_2558_Key.md)</t>
        </is>
      </c>
      <c r="O609" s="18" t="inlineStr">
        <is>
          <t>ข้อสอบจริง</t>
        </is>
      </c>
      <c r="P609" s="18" t="inlineStr">
        <is>
          <t>ปี 2558</t>
        </is>
      </c>
    </row>
    <row r="610">
      <c r="A610" s="15" t="inlineStr">
        <is>
          <t>631</t>
        </is>
      </c>
      <c r="B610" s="18" t="inlineStr">
        <is>
          <t>ข้อใดถูกต้องเกี่ยวกับข้อความดังกล่าว</t>
        </is>
      </c>
      <c r="C610" s="18" t="inlineStr"/>
      <c r="D610" s="18" t="inlineStr">
        <is>
          <t>Tamoxifen ไม่ใช่ active metabolite</t>
        </is>
      </c>
      <c r="E610" s="18" t="inlineStr">
        <is>
          <t>การออกฤทธิ์ของ tamoxifen ไม่ขึ้นกับเชื้อชาติ</t>
        </is>
      </c>
      <c r="F610" s="18" t="inlineStr">
        <is>
          <t>คนไข้ที่เป็น poor metabolizer ของ 2D6 จะทำให้ ยาออกฤทธิ์ได้น้อยลง</t>
        </is>
      </c>
      <c r="G610" s="18" t="inlineStr">
        <is>
          <t>คนไข้ที่เป็น rapid metabolizer ของ 2D6 จะทำให้ยาออกฤทธิ์ได้น้อยลง</t>
        </is>
      </c>
      <c r="H610" s="18" t="inlineStr">
        <is>
          <t>คนไข้ที่กิน paroxetine จะทำให้ยาออกฤทธิ์ได้มากขึ้น</t>
        </is>
      </c>
      <c r="I610" s="15" t="inlineStr">
        <is>
          <t>1</t>
        </is>
      </c>
      <c r="J610" s="18" t="inlineStr">
        <is>
          <t>✅ คำตอบที่ถูกต้อง: ข้อ ก. Tamoxifen ไม่ใช่ active metabolite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Tamoxifen ไม่ใช่ active metabolite การเลือก Tamoxifen ไม่ใช่ active metabolite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(การออกฤทธิ์ของ tamoxifen ไม่ขึ้นกับเชื้อชาติ): ข้อนี้ไม่ใช่คำตอบที่ถูกต้องสำหรับภาวะ General Therapeutics เนื่องจากกลไกการออกฤทธิ์, efficacy หรือข้อบ่งใช้ไม่ตรงกับโจทย์ที่กำหนด
• ข้อ ค. (คนไข้ที่เป็น poor metabolizer ของ 2D6 จะทำให้ 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ง. (คนไข้ที่เป็น rapid metabolizer ของ 2D6 จะทำให้ยาออกฤทธิ์ได้น้อยลง):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จ. (คนไข้ที่กิน paroxetine จะทำให้ยาออกฤทธิ์ได้มากขึ้น):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0" s="18" t="inlineStr"/>
      <c r="L610" s="18" t="inlineStr">
        <is>
          <t>General Therapeutics</t>
        </is>
      </c>
      <c r="M610" s="18" t="inlineStr">
        <is>
          <t>Clinic</t>
        </is>
      </c>
      <c r="N610" s="18" t="inlineStr">
        <is>
          <t>ข้อ 68 (PLE_CC1_2558_Key.md)</t>
        </is>
      </c>
      <c r="O610" s="18" t="inlineStr">
        <is>
          <t>ข้อสอบจริง</t>
        </is>
      </c>
      <c r="P610" s="18" t="inlineStr">
        <is>
          <t>ปี 2558</t>
        </is>
      </c>
    </row>
    <row r="611">
      <c r="A611" s="15" t="inlineStr">
        <is>
          <t>632</t>
        </is>
      </c>
      <c r="B611" s="18" t="inlineStr">
        <is>
          <t>ข้อใดถูกต้องเกี่ยวกับคำแนะนำการกิน cafergot</t>
        </is>
      </c>
      <c r="C611" s="18" t="inlineStr"/>
      <c r="D611" s="18" t="inlineStr">
        <is>
          <t>กินหลังอาหารทันที</t>
        </is>
      </c>
      <c r="E611" s="18" t="inlineStr">
        <is>
          <t>กินไม่เกินวันละ 6 เม็ด</t>
        </is>
      </c>
      <c r="F611" s="18" t="inlineStr">
        <is>
          <t>1 เดือนไม่ควรกินเกิน 10 เม็ด</t>
        </is>
      </c>
      <c r="G611" s="18" t="inlineStr">
        <is>
          <t>กินร่วมกับนมเพื่อเพิ่มการดูดซึม</t>
        </is>
      </c>
      <c r="H611" s="18" t="inlineStr">
        <is>
          <t>1 สัปดาห์ไม่ควรกินเกิน 8 เม็ด ห้ามนำไปทำซ้ำทุกกรณี เว้นแต่จะได้รับอนุญาต</t>
        </is>
      </c>
      <c r="I611" s="15" t="inlineStr">
        <is>
          <t>1</t>
        </is>
      </c>
      <c r="J611" s="18" t="inlineStr">
        <is>
          <t>✅ คำตอบที่ถูกต้อง: ข้อ ก. กินหลังอาหารทันที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กินหลังอาหารทันที การเลือก กินหลังอาหารทันที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(กินไม่เกินวันละ 6 เม็ด): ข้อนี้ไม่ใช่คำตอบที่ถูกต้องสำหรับภาวะ General Therapeutics เนื่องจากกลไกการออกฤทธิ์, efficacy หรือข้อบ่งใช้ไม่ตรงกับโจทย์ที่กำหนด
• ข้อ ค. (1 เดือนไม่ควรกินเกิน 10 เม็ด): ข้อนี้ไม่ใช่คำตอบที่ถูกต้องสำหรับภาวะ General Therapeutics เนื่องจากกลไกการออกฤทธิ์, efficacy หรือข้อบ่งใช้ไม่ตรงกับโจทย์ที่กำหนด
• ข้อ ง. (กินร่วมกับนมเพื่อเพิ่มการดูดซึม):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จ. (1 สัปดาห์ไม่ควรกินเกิน 8 เม็ด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1" s="18" t="inlineStr"/>
      <c r="L611" s="18" t="inlineStr">
        <is>
          <t>General Therapeutics</t>
        </is>
      </c>
      <c r="M611" s="18" t="inlineStr">
        <is>
          <t>Clinic</t>
        </is>
      </c>
      <c r="N611" s="18" t="inlineStr">
        <is>
          <t>ข้อ 72 (PLE_CC1_2558_Key.md)</t>
        </is>
      </c>
      <c r="O611" s="18" t="inlineStr">
        <is>
          <t>ข้อสอบจริง</t>
        </is>
      </c>
      <c r="P611" s="18" t="inlineStr">
        <is>
          <t>ปี 2558</t>
        </is>
      </c>
    </row>
    <row r="612">
      <c r="A612" s="15" t="inlineStr">
        <is>
          <t>633</t>
        </is>
      </c>
      <c r="B612" s="18" t="inlineStr">
        <is>
          <t>ข้อใดถูก</t>
        </is>
      </c>
      <c r="C612" s="18" t="inlineStr"/>
      <c r="D612" s="18" t="inlineStr">
        <is>
          <t>ฉีด ERIG ต้องทำ skin test</t>
        </is>
      </c>
      <c r="E612" s="18" t="inlineStr">
        <is>
          <t>ฉีด ERIG ที่ต้นแขนคนละข้างกับที่ ฉีด rabies</t>
        </is>
      </c>
      <c r="F612" s="18" t="inlineStr">
        <is>
          <t>ฉีด rabies แบบ IDใช้ปริมาณวัคซีนมากกว่า IM</t>
        </is>
      </c>
      <c r="G612" s="18" t="inlineStr">
        <is>
          <t>วัคซีนทุกยี่ห้อสามารถใช้แทนกันได้</t>
        </is>
      </c>
      <c r="H612" s="18" t="inlineStr">
        <is>
          <t>ไม่มีข้อใดถูก</t>
        </is>
      </c>
      <c r="I612" s="15" t="inlineStr">
        <is>
          <t>1</t>
        </is>
      </c>
      <c r="J612" s="18" t="inlineStr">
        <is>
          <t>✅ คำตอบที่ถูกต้อง: ข้อ ก. ฉีด ERIG ต้องทำ skin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 ERIG ต้องทำ skin test การเลือก ฉีด ERIG ต้องทำ skin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 ERIG ที่ต้นแขนคนละข้างกับที่ ฉีด rabies): ข้อนี้ไม่ใช่คำตอบที่ถูกต้องสำหรับภาวะ General Therapeutics เนื่องจากกลไกการออกฤทธิ์, efficacy หรือข้อบ่งใช้ไม่ตรงกับโจทย์ที่กำหนด
• ข้อ ค. (ฉีด rabies แบบ IDใช้ปริมาณวัคซีนมากกว่า IM): ข้อนี้ไม่ใช่คำตอบที่ถูกต้องสำหรับภาวะ General Therapeutics เนื่องจากกลไกการออกฤทธิ์, efficacy หรือข้อบ่งใช้ไม่ตรงกับโจทย์ที่กำหนด
• ข้อ ง. (วัคซีนทุกยี่ห้อสามารถใช้แทนกันได้):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2" s="18" t="inlineStr"/>
      <c r="L612" s="18" t="inlineStr">
        <is>
          <t>General Therapeutics</t>
        </is>
      </c>
      <c r="M612" s="18" t="inlineStr">
        <is>
          <t>Clinic</t>
        </is>
      </c>
      <c r="N612" s="18" t="inlineStr">
        <is>
          <t>ข้อ 75 (PLE_CC1_2558_Key.md)</t>
        </is>
      </c>
      <c r="O612" s="18" t="inlineStr">
        <is>
          <t>ข้อสอบจริง</t>
        </is>
      </c>
      <c r="P612" s="18" t="inlineStr">
        <is>
          <t>ปี 2558</t>
        </is>
      </c>
    </row>
    <row r="613">
      <c r="A613" s="15" t="inlineStr">
        <is>
          <t>634</t>
        </is>
      </c>
      <c r="B613" s="18" t="inlineStr">
        <is>
          <t>ข้อใดถูกเกี่ยวกับการฉีดบาดทะยักในผู้ป่วยรายนี้</t>
        </is>
      </c>
      <c r="C613" s="18" t="inlineStr"/>
      <c r="D613" s="18" t="inlineStr">
        <is>
          <t>ฉีดเข็มเดียว</t>
        </is>
      </c>
      <c r="E613" s="18" t="inlineStr">
        <is>
          <t>ฉีดเดือนที่ 0 -1-6</t>
        </is>
      </c>
      <c r="F613" s="18" t="inlineStr">
        <is>
          <t>ฉีดใหม่ทั้งหมด 5 เข็ม</t>
        </is>
      </c>
      <c r="G613" s="18" t="inlineStr">
        <is>
          <t>ฉีดเดือนที่ 0 ,1</t>
        </is>
      </c>
      <c r="H613" s="18" t="inlineStr">
        <is>
          <t>ฉีดพร้อมกับ rabies</t>
        </is>
      </c>
      <c r="I613" s="15" t="inlineStr">
        <is>
          <t>1</t>
        </is>
      </c>
      <c r="J613" s="18" t="inlineStr">
        <is>
          <t>✅ คำตอบที่ถูกต้อง: ข้อ ก. ฉีดเข็มเดียว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ฉีดเข็มเดียว การเลือก ฉีดเข็มเดียว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(ฉีดเดือนที่ 0 -1-6): ข้อนี้ไม่ใช่คำตอบที่ถูกต้องสำหรับภาวะ General Therapeutics เนื่องจากกลไกการออกฤทธิ์, efficacy หรือข้อบ่งใช้ไม่ตรงกับโจทย์ที่กำหนด
• ข้อ ค. (ฉีดใหม่ทั้งหมด 5 เข็ม): ข้อนี้ไม่ใช่คำตอบที่ถูกต้องสำหรับภาวะ General Therapeutics เนื่องจากกลไกการออกฤทธิ์, efficacy หรือข้อบ่งใช้ไม่ตรงกับโจทย์ที่กำหนด
• ข้อ ง. (ฉีดเดือนที่ 0 ,1): ข้อนี้ไม่ใช่คำตอบที่ถูกต้องสำหรับภาวะ General Therapeutics เนื่องจากกลไกการออกฤทธิ์, efficacy หรือข้อบ่งใช้ไม่ตรงกับโจทย์ที่กำหนด
• ข้อ จ. (ฉีดพร้อมกับ rabies):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3" s="18" t="inlineStr"/>
      <c r="L613" s="18" t="inlineStr">
        <is>
          <t>General Therapeutics</t>
        </is>
      </c>
      <c r="M613" s="18" t="inlineStr">
        <is>
          <t>Clinic</t>
        </is>
      </c>
      <c r="N613" s="18" t="inlineStr">
        <is>
          <t>ข้อ 77 (PLE_CC1_2558_Key.md)</t>
        </is>
      </c>
      <c r="O613" s="18" t="inlineStr">
        <is>
          <t>ข้อสอบจริง</t>
        </is>
      </c>
      <c r="P613" s="18" t="inlineStr">
        <is>
          <t>ปี 2558</t>
        </is>
      </c>
    </row>
    <row r="614">
      <c r="A614" s="15" t="inlineStr">
        <is>
          <t>635</t>
        </is>
      </c>
      <c r="B614" s="18" t="inlineStr">
        <is>
          <t>ยาแก้ปวด NSAIDs ตัวใด มีระยะเวลาในการออกฤทธิ์นานที่สุด</t>
        </is>
      </c>
      <c r="C614" s="18" t="inlineStr"/>
      <c r="D614" s="18" t="inlineStr">
        <is>
          <t>Ibuprofen</t>
        </is>
      </c>
      <c r="E614" s="18" t="inlineStr">
        <is>
          <t>Etoricoxib</t>
        </is>
      </c>
      <c r="F614" s="18" t="inlineStr">
        <is>
          <t>Naproxen</t>
        </is>
      </c>
      <c r="G614" s="18" t="inlineStr">
        <is>
          <t>Celecoxib</t>
        </is>
      </c>
      <c r="H614" s="18" t="inlineStr">
        <is>
          <t>Nimesulide</t>
        </is>
      </c>
      <c r="I614" s="15" t="inlineStr">
        <is>
          <t>1</t>
        </is>
      </c>
      <c r="J614" s="18" t="inlineStr">
        <is>
          <t>✅ คำตอบที่ถูกต้อง: ข้อ ก. Ibuprofen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(Nimesulide):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14" s="18" t="inlineStr"/>
      <c r="L614" s="18" t="inlineStr">
        <is>
          <t>Musculoskeletal &amp; Joint</t>
        </is>
      </c>
      <c r="M614" s="18" t="inlineStr">
        <is>
          <t>Clinic</t>
        </is>
      </c>
      <c r="N614" s="18" t="inlineStr">
        <is>
          <t>ข้อ 2 (Pharmtutor_2024_Set1.md)</t>
        </is>
      </c>
      <c r="O614" s="18" t="inlineStr">
        <is>
          <t>Mock</t>
        </is>
      </c>
      <c r="P614" s="18" t="inlineStr">
        <is>
          <t>Mock Pharmtutor 2024</t>
        </is>
      </c>
    </row>
    <row r="615">
      <c r="A615" s="15" t="inlineStr">
        <is>
          <t>636</t>
        </is>
      </c>
      <c r="B615" s="18" t="inlineStr">
        <is>
          <t>ข้อใดคือกลไกการออกฤทธิ์ของยา Hydrochlorothiazide</t>
        </is>
      </c>
      <c r="C615" s="18" t="inlineStr"/>
      <c r="D615" s="18" t="inlineStr">
        <is>
          <t>ยับยั้ง Angiotensin – converting enzyme</t>
        </is>
      </c>
      <c r="E615" s="18" t="inlineStr">
        <is>
          <t>ยับยั้ง Beta1 receptor ที่หัวใจ และลดอัตราการเต้นของหัวใจ</t>
        </is>
      </c>
      <c r="F615" s="18" t="inlineStr">
        <is>
          <t>ยับยั้ง Voltage-sensitive Calcium Channel Type L</t>
        </is>
      </c>
      <c r="G615" s="18" t="inlineStr">
        <is>
          <t>ยับยั้ง NaCl cotransporter ที่ Distal convoluted tubule</t>
        </is>
      </c>
      <c r="H615" s="18" t="inlineStr">
        <is>
          <t>ยับยั้ง Na-K-2Cl transporter ส่งผลให้ยับยั้งการดูดกลับ Na+ ที่ Thick ascending limb ของ Loop of Henle</t>
        </is>
      </c>
      <c r="I615" s="15" t="inlineStr">
        <is>
          <t>1</t>
        </is>
      </c>
      <c r="J615" s="18" t="inlineStr">
        <is>
          <t>✅ คำตอบที่ถูกต้อง: ข้อ ก. ยับยั้ง Angiotensin – converting enzyme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ยับยั้ง Angiotensin – converting enzyme การเลือก ยับยั้ง Angiotensin – converting enzyme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(ยับยั้ง Beta1 receptor ที่หัวใจ และลดอัตราการเต้นของหัวใจ): ข้อนี้ไม่ใช่คำตอบที่ถูกต้องสำหรับภาวะ Cardiovascular Diseases เนื่องจากกลไกการออกฤทธิ์, efficacy หรือข้อบ่งใช้ไม่ตรงกับโจทย์ที่กำหนด
• ข้อ ค. (ยับยั้ง Voltage-sensitive Calcium Channel Type L): ข้อนี้ไม่ใช่คำตอบที่ถูกต้องสำหรับภาวะ Cardiovascular Diseases เนื่องจากกลไกการออกฤทธิ์, efficacy หรือข้อบ่งใช้ไม่ตรงกับโจทย์ที่กำหนด
• ข้อ ง. (ยับยั้ง NaCl cotransporter ที่ Distal convoluted tubule): ข้อนี้ไม่ใช่คำตอบที่ถูกต้องสำหรับภาวะ Cardiovascular Diseases เนื่องจากกลไกการออกฤทธิ์, efficacy หรือข้อบ่งใช้ไม่ตรงกับโจทย์ที่กำหนด
• ข้อ จ. (ยับยั้ง Na-K-2Cl transporter ส่งผลให้ยับยั้งการดูดกลับ Na+ ที่ Thick ascending limb ของ Loop of Henle):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615" s="18" t="inlineStr"/>
      <c r="L615" s="18" t="inlineStr">
        <is>
          <t>Cardiovascular Diseases</t>
        </is>
      </c>
      <c r="M615" s="18" t="inlineStr">
        <is>
          <t>Clinic</t>
        </is>
      </c>
      <c r="N615" s="18" t="inlineStr">
        <is>
          <t>ข้อ 5 (Pharmtutor_2024_Set1.md)</t>
        </is>
      </c>
      <c r="O615" s="18" t="inlineStr">
        <is>
          <t>Mock</t>
        </is>
      </c>
      <c r="P615" s="18" t="inlineStr">
        <is>
          <t>Mock Pharmtutor 2024</t>
        </is>
      </c>
    </row>
    <row r="616">
      <c r="A616" s="15" t="inlineStr">
        <is>
          <t>637</t>
        </is>
      </c>
      <c r="B616" s="18"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616" s="18" t="inlineStr"/>
      <c r="D616" s="18" t="inlineStr">
        <is>
          <t>Unstable angina</t>
        </is>
      </c>
      <c r="E616" s="18" t="inlineStr">
        <is>
          <t>Stable angina</t>
        </is>
      </c>
      <c r="F616" s="18" t="inlineStr">
        <is>
          <t>NSTEMI</t>
        </is>
      </c>
      <c r="G616" s="18" t="inlineStr">
        <is>
          <t>STEMI</t>
        </is>
      </c>
      <c r="H616" s="18" t="inlineStr">
        <is>
          <t>Heart failure</t>
        </is>
      </c>
      <c r="I616" s="15" t="inlineStr">
        <is>
          <t>1</t>
        </is>
      </c>
      <c r="J616" s="18" t="inlineStr">
        <is>
          <t>✅ คำตอบที่ถูกต้อง: ข้อ ก. Unstable angina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Unstable angina การเลือก Unstable angina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(Stable angina): ข้อนี้ไม่ใช่คำตอบที่ถูกต้องสำหรับภาวะ General Therapeutics เนื่องจากกลไกการออกฤทธิ์, efficacy หรือข้อบ่งใช้ไม่ตรงกับโจทย์ที่กำหนด
• ข้อ ค. (NSTEMI): ข้อนี้ไม่ใช่คำตอบที่ถูกต้องสำหรับภาวะ General Therapeutics เนื่องจากกลไกการออกฤทธิ์, efficacy หรือข้อบ่งใช้ไม่ตรงกับโจทย์ที่กำหนด
• ข้อ ง. (STEMI): ข้อนี้ไม่ใช่คำตอบที่ถูกต้องสำหรับภาวะ General Therapeutics เนื่องจากกลไกการออกฤทธิ์, efficacy หรือข้อบ่งใช้ไม่ตรงกับโจทย์ที่กำหนด
• ข้อ จ. (Heart failure):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6" s="18" t="inlineStr"/>
      <c r="L616" s="18" t="inlineStr">
        <is>
          <t>General Therapeutics</t>
        </is>
      </c>
      <c r="M616" s="18" t="inlineStr">
        <is>
          <t>Clinic</t>
        </is>
      </c>
      <c r="N616" s="18" t="inlineStr">
        <is>
          <t>ข้อ 6 (Pharmtutor_2024_Set1.md)</t>
        </is>
      </c>
      <c r="O616" s="18" t="inlineStr">
        <is>
          <t>Mock</t>
        </is>
      </c>
      <c r="P616" s="18" t="inlineStr">
        <is>
          <t>Mock Pharmtutor 2024</t>
        </is>
      </c>
    </row>
    <row r="617">
      <c r="A617" s="15" t="inlineStr">
        <is>
          <t>638</t>
        </is>
      </c>
      <c r="B617" s="18" t="inlineStr">
        <is>
          <t>โครงสร้างใดกระตุ้นการเกิด rhabdomyolysis น้อยที่สุด</t>
        </is>
      </c>
      <c r="C617" s="18" t="inlineStr"/>
      <c r="D617" s="18" t="inlineStr">
        <is>
          <t>Sodium thiosulfate 25% 50 mL IV</t>
        </is>
      </c>
      <c r="E617" s="18" t="inlineStr">
        <is>
          <t>Calcium disodium EDTA 1 g IV</t>
        </is>
      </c>
      <c r="F617" s="18" t="inlineStr">
        <is>
          <t>Desferrioxamine 1 g IM/IV</t>
        </is>
      </c>
      <c r="G617" s="18" t="inlineStr">
        <is>
          <t>Dimercaprol (BAL) 3 mg/kg IM</t>
        </is>
      </c>
      <c r="H617" s="18" t="inlineStr">
        <is>
          <t>ไม่มีข้อใดถูก</t>
        </is>
      </c>
      <c r="I617" s="15" t="inlineStr">
        <is>
          <t>1</t>
        </is>
      </c>
      <c r="J6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7" s="18" t="inlineStr"/>
      <c r="L617" s="18" t="inlineStr">
        <is>
          <t>General Therapeutics</t>
        </is>
      </c>
      <c r="M617" s="18" t="inlineStr">
        <is>
          <t>Clinic</t>
        </is>
      </c>
      <c r="N617" s="18" t="inlineStr">
        <is>
          <t>ข้อ 10 (Pharmtutor_2024_Set1.md)</t>
        </is>
      </c>
      <c r="O617" s="18" t="inlineStr">
        <is>
          <t>Mock</t>
        </is>
      </c>
      <c r="P617" s="18" t="inlineStr">
        <is>
          <t>Mock Pharmtutor 2024</t>
        </is>
      </c>
    </row>
    <row r="618">
      <c r="A618" s="15" t="inlineStr">
        <is>
          <t>639</t>
        </is>
      </c>
      <c r="B618" s="18" t="inlineStr">
        <is>
          <t>ผู้ป่วยชาย มีอาการคัน บริเวณหนังศีรษะ เกาเป็นสะเก็ด เป็นขุย หนังศีรษะแดง เส้นผมหัก ข้อใดต่อไปนี้เป็นเชื้อก่อโรค</t>
        </is>
      </c>
      <c r="C618" s="18" t="inlineStr"/>
      <c r="D618" s="18" t="inlineStr">
        <is>
          <t>Malassezia furfur</t>
        </is>
      </c>
      <c r="E618" s="18" t="inlineStr">
        <is>
          <t>Candida albican</t>
        </is>
      </c>
      <c r="F618" s="18" t="inlineStr">
        <is>
          <t>Trichophyton</t>
        </is>
      </c>
      <c r="G618" s="18" t="inlineStr">
        <is>
          <t>Cutibacterium acnes</t>
        </is>
      </c>
      <c r="H618" s="18" t="inlineStr">
        <is>
          <t>Pediculus humanus</t>
        </is>
      </c>
      <c r="I618" s="15" t="inlineStr">
        <is>
          <t>1</t>
        </is>
      </c>
      <c r="J618" s="18"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ข้อนี้ไม่ใช่คำตอบที่ถูกต้องสำหรับภาวะ General Therapeutics เนื่องจากกลไกการออกฤทธิ์, efficacy หรือข้อบ่งใช้ไม่ตรงกับโจทย์ที่กำหนด
• ข้อ ค. (Trichophyton): ข้อนี้ไม่ใช่คำตอบที่ถูกต้องสำหรับภาวะ General Therapeutics เนื่องจากกลไกการออกฤทธิ์, efficacy หรือข้อบ่งใช้ไม่ตรงกับโจทย์ที่กำหนด
• ข้อ ง. (Cutibacterium acnes): ข้อนี้ไม่ใช่คำตอบที่ถูกต้องสำหรับภาวะ General Therapeutics เนื่องจากกลไกการออกฤทธิ์, efficacy หรือข้อบ่งใช้ไม่ตรงกับโจทย์ที่กำหนด
• ข้อ จ. (Pediculus humanus):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8" s="18" t="inlineStr"/>
      <c r="L618" s="18" t="inlineStr">
        <is>
          <t>General Therapeutics</t>
        </is>
      </c>
      <c r="M618" s="18" t="inlineStr">
        <is>
          <t>Clinic</t>
        </is>
      </c>
      <c r="N618" s="18" t="inlineStr">
        <is>
          <t>ข้อ 13 (Pharmtutor_2024_Set1.md)</t>
        </is>
      </c>
      <c r="O618" s="18" t="inlineStr">
        <is>
          <t>Mock</t>
        </is>
      </c>
      <c r="P618" s="18" t="inlineStr">
        <is>
          <t>Mock Pharmtutor 2024</t>
        </is>
      </c>
    </row>
    <row r="619">
      <c r="A619" s="15" t="inlineStr">
        <is>
          <t>640</t>
        </is>
      </c>
      <c r="B619" s="18" t="inlineStr">
        <is>
          <t>จากโครงสร้าง dexamethasone บริเวณใดไม่สำคัญต่อการออกฤทธิ์</t>
        </is>
      </c>
      <c r="C619" s="18" t="inlineStr"/>
      <c r="D619" s="18" t="inlineStr">
        <is>
          <t>Cetirizine 10 mg OD</t>
        </is>
      </c>
      <c r="E619" s="18" t="inlineStr">
        <is>
          <t>Loratadine 10 mg OD</t>
        </is>
      </c>
      <c r="F619" s="18" t="inlineStr">
        <is>
          <t>Fexofenadine 180 mg OD</t>
        </is>
      </c>
      <c r="G619" s="18" t="inlineStr">
        <is>
          <t>Chlorpheniramine 4 mg TID</t>
        </is>
      </c>
      <c r="H619" s="18" t="inlineStr">
        <is>
          <t>Fluticasone furoate nasal spray</t>
        </is>
      </c>
      <c r="I619" s="15" t="inlineStr">
        <is>
          <t>1</t>
        </is>
      </c>
      <c r="J619" s="18"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9" s="18" t="inlineStr"/>
      <c r="L619" s="18" t="inlineStr">
        <is>
          <t>Allergy &amp; Immunology</t>
        </is>
      </c>
      <c r="M619" s="18" t="inlineStr">
        <is>
          <t>Clinic</t>
        </is>
      </c>
      <c r="N619" s="18" t="inlineStr">
        <is>
          <t>ข้อ 18 (Pharmtutor_2024_Set1.md)</t>
        </is>
      </c>
      <c r="O619" s="18" t="inlineStr">
        <is>
          <t>Mock</t>
        </is>
      </c>
      <c r="P619" s="18" t="inlineStr">
        <is>
          <t>Mock Pharmtutor 2024</t>
        </is>
      </c>
    </row>
    <row r="620">
      <c r="A620" s="15" t="inlineStr">
        <is>
          <t>641</t>
        </is>
      </c>
      <c r="B620" s="18" t="inlineStr">
        <is>
          <t>ข้อใดคือกลไกการออกฤทธิ์ของยาในกลุ่ม Dolasetron</t>
        </is>
      </c>
      <c r="C620" s="18" t="inlineStr"/>
      <c r="D620" s="18" t="inlineStr">
        <is>
          <t>D1 antagonist</t>
        </is>
      </c>
      <c r="E620" s="18" t="inlineStr">
        <is>
          <t>D2 antagonist</t>
        </is>
      </c>
      <c r="F620" s="18" t="inlineStr">
        <is>
          <t>5HT2 antagonist</t>
        </is>
      </c>
      <c r="G620" s="18" t="inlineStr">
        <is>
          <t>5HT3 antagonist</t>
        </is>
      </c>
      <c r="H620" s="18" t="inlineStr">
        <is>
          <t>Antihistamine</t>
        </is>
      </c>
      <c r="I620" s="15" t="inlineStr">
        <is>
          <t>1</t>
        </is>
      </c>
      <c r="J620" s="18" t="inlineStr">
        <is>
          <t>✅ คำตอบที่ถูกต้อง: ข้อ ก. D1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D1 antagonist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(D2 antagonist): ข้อนี้ไม่ใช่คำตอบที่ถูกต้องสำหรับภาวะ General Therapeutics เนื่องจากกลไกการออกฤทธิ์, efficacy หรือข้อบ่งใช้ไม่ตรงกับโจทย์ที่กำหนด
• ข้อ ค. (5HT2 antagonist): ข้อนี้ไม่ใช่คำตอบที่ถูกต้องสำหรับภาวะ General Therapeutics เนื่องจากกลไกการออกฤทธิ์, efficacy หรือข้อบ่งใช้ไม่ตรงกับโจทย์ที่กำหนด
• ข้อ ง. (5HT3 antagonist): ข้อนี้ไม่ใช่คำตอบที่ถูกต้องสำหรับภาวะ General Therapeutics เนื่องจากกลไกการออกฤทธิ์, efficacy หรือข้อบ่งใช้ไม่ตรงกับโจทย์ที่กำหนด
• ข้อ จ. (Antihistamine):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0" s="18" t="inlineStr"/>
      <c r="L620" s="18" t="inlineStr">
        <is>
          <t>General Therapeutics</t>
        </is>
      </c>
      <c r="M620" s="18" t="inlineStr">
        <is>
          <t>Clinic</t>
        </is>
      </c>
      <c r="N620" s="18" t="inlineStr">
        <is>
          <t>ข้อ 21 (Pharmtutor_2024_Set1.md)</t>
        </is>
      </c>
      <c r="O620" s="18" t="inlineStr">
        <is>
          <t>Mock</t>
        </is>
      </c>
      <c r="P620" s="18" t="inlineStr">
        <is>
          <t>Mock Pharmtutor 2024</t>
        </is>
      </c>
    </row>
    <row r="621">
      <c r="A621" s="15" t="inlineStr">
        <is>
          <t>642</t>
        </is>
      </c>
      <c r="B621" s="18" t="inlineStr">
        <is>
          <t>จากข้อข้างต้น ยาในข้อใดเหมาะสมที่สุดสำหรับผู้ป่วยรายนี้</t>
        </is>
      </c>
      <c r="C621" s="18" t="inlineStr"/>
      <c r="D621" s="18" t="inlineStr">
        <is>
          <t>Lactulose Solution</t>
        </is>
      </c>
      <c r="E621" s="18" t="inlineStr">
        <is>
          <t>Bisacodyl Tablet</t>
        </is>
      </c>
      <c r="F621" s="18" t="inlineStr">
        <is>
          <t>NaCl Enema</t>
        </is>
      </c>
      <c r="G621" s="18" t="inlineStr">
        <is>
          <t>Ispaghula husk</t>
        </is>
      </c>
      <c r="H621" s="18" t="inlineStr">
        <is>
          <t>Senokot</t>
        </is>
      </c>
      <c r="I621" s="15" t="inlineStr">
        <is>
          <t>1</t>
        </is>
      </c>
      <c r="J621" s="18" t="inlineStr">
        <is>
          <t>✅ คำตอบที่ถูกต้อง: ข้อ ก. Lactulose Solution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Lactulose Solution การเลือก Lactulose Solution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(Bisacodyl Tablet):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(NaCl Enema): ข้อนี้ไม่ใช่คำตอบที่ถูกต้องสำหรับภาวะ General Therapeutics เนื่องจากกลไกการออกฤทธิ์, efficacy หรือข้อบ่งใช้ไม่ตรงกับโจทย์ที่กำหนด
• ข้อ ง. (Ispaghula husk): ข้อนี้ไม่ใช่คำตอบที่ถูกต้องสำหรับภาวะ General Therapeutics เนื่องจากกลไกการออกฤทธิ์, efficacy หรือข้อบ่งใช้ไม่ตรงกับโจทย์ที่กำหนด
• ข้อ จ. (Senokot):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1" s="18" t="inlineStr"/>
      <c r="L621" s="18" t="inlineStr">
        <is>
          <t>General Therapeutics</t>
        </is>
      </c>
      <c r="M621" s="18" t="inlineStr">
        <is>
          <t>Clinic</t>
        </is>
      </c>
      <c r="N621" s="18" t="inlineStr">
        <is>
          <t>ข้อ 24 (Pharmtutor_2024_Set1.md)</t>
        </is>
      </c>
      <c r="O621" s="18" t="inlineStr">
        <is>
          <t>Mock</t>
        </is>
      </c>
      <c r="P621" s="18" t="inlineStr">
        <is>
          <t>Mock Pharmtutor 2024</t>
        </is>
      </c>
    </row>
    <row r="622">
      <c r="A622" s="15" t="inlineStr">
        <is>
          <t>643</t>
        </is>
      </c>
      <c r="B622" s="18"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C622" s="18" t="inlineStr"/>
      <c r="D622" s="18" t="inlineStr">
        <is>
          <t>Metronidazole</t>
        </is>
      </c>
      <c r="E622" s="18" t="inlineStr">
        <is>
          <t>ORS</t>
        </is>
      </c>
      <c r="F622" s="18" t="inlineStr">
        <is>
          <t>Loperamide</t>
        </is>
      </c>
      <c r="G622" s="18" t="inlineStr">
        <is>
          <t>Norfloxacin</t>
        </is>
      </c>
      <c r="H622" s="18" t="inlineStr">
        <is>
          <t>Dioctahedral Smectite</t>
        </is>
      </c>
      <c r="I622" s="15" t="inlineStr">
        <is>
          <t>1</t>
        </is>
      </c>
      <c r="J622" s="18" t="inlineStr">
        <is>
          <t>✅ คำตอบที่ถูกต้อง: ข้อ ก.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(ORS): ข้อนี้ไม่ใช่คำตอบที่ถูกต้องสำหรับภาวะ General Therapeutics เนื่องจากกลไกการออกฤทธิ์, efficacy หรือข้อบ่งใช้ไม่ตรงกับโจทย์ที่กำหนด
• ข้อ ค. (Loperamide): เป็น peripheral mu-opioid agonist ลด peristalsis ใช้บรรเทาอาการ acute non-infectious diarrhea แต่ห้ามใช้ใน bloody diarrhea (dysentery) หรือ bacterial enteritis (เสี่ยง toxic megacolon)
• ข้อ ง. (Norfloxacin): ข้อนี้ไม่ใช่คำตอบที่ถูกต้องสำหรับภาวะ General Therapeutics เนื่องจากกลไกการออกฤทธิ์, efficacy หรือข้อบ่งใช้ไม่ตรงกับโจทย์ที่กำหนด
• ข้อ จ. (Dioctahedral Smectite):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2" s="18" t="inlineStr"/>
      <c r="L622" s="18" t="inlineStr">
        <is>
          <t>General Therapeutics</t>
        </is>
      </c>
      <c r="M622" s="18" t="inlineStr">
        <is>
          <t>Clinic</t>
        </is>
      </c>
      <c r="N622" s="18" t="inlineStr">
        <is>
          <t>ข้อ 25 (Pharmtutor_2024_Set1.md)</t>
        </is>
      </c>
      <c r="O622" s="18" t="inlineStr">
        <is>
          <t>Mock</t>
        </is>
      </c>
      <c r="P622" s="18" t="inlineStr">
        <is>
          <t>Mock Pharmtutor 2024</t>
        </is>
      </c>
    </row>
    <row r="623">
      <c r="A623" s="15" t="inlineStr">
        <is>
          <t>644</t>
        </is>
      </c>
      <c r="B623" s="18" t="inlineStr">
        <is>
          <t>การตรวจในข้อใด ที่ไม่สามารถระบุถึงการเป็นโรคลำไส้อักเสบเรื้อรัง</t>
        </is>
      </c>
      <c r="C623" s="18" t="inlineStr"/>
      <c r="D623" s="18" t="inlineStr">
        <is>
          <t>การส่องกล้อง</t>
        </is>
      </c>
      <c r="E623" s="18" t="inlineStr">
        <is>
          <t>การตรวจเลือด</t>
        </is>
      </c>
      <c r="F623" s="18" t="inlineStr">
        <is>
          <t>การตรวจอุจจาระ</t>
        </is>
      </c>
      <c r="G623" s="18" t="inlineStr">
        <is>
          <t>การตรวจปัสสาวะ</t>
        </is>
      </c>
      <c r="H623" s="18" t="inlineStr">
        <is>
          <t>การตรวจชิ้นเนื้อ</t>
        </is>
      </c>
      <c r="I623" s="15" t="inlineStr">
        <is>
          <t>1</t>
        </is>
      </c>
      <c r="J623" s="18" t="inlineStr">
        <is>
          <t>✅ คำตอบที่ถูกต้อง: ข้อ ก. การส่องกล้อง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การส่องกล้อง การเลือก การส่องกล้อง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(การตรวจเลือด): ข้อนี้ไม่ใช่คำตอบที่ถูกต้องสำหรับภาวะ General Therapeutics เนื่องจากกลไกการออกฤทธิ์, efficacy หรือข้อบ่งใช้ไม่ตรงกับโจทย์ที่กำหนด
• ข้อ ค. (การตรวจอุจจาระ): ข้อนี้ไม่ใช่คำตอบที่ถูกต้องสำหรับภาวะ General Therapeutics เนื่องจากกลไกการออกฤทธิ์, efficacy หรือข้อบ่งใช้ไม่ตรงกับโจทย์ที่กำหนด
• ข้อ ง. (การตรวจปัสสาวะ):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จ. (การตรวจชิ้นเนื้อ):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3" s="18" t="inlineStr"/>
      <c r="L623" s="18" t="inlineStr">
        <is>
          <t>General Therapeutics</t>
        </is>
      </c>
      <c r="M623" s="18" t="inlineStr">
        <is>
          <t>Clinic</t>
        </is>
      </c>
      <c r="N623" s="18" t="inlineStr">
        <is>
          <t>ข้อ 27 (Pharmtutor_2024_Set1.md)</t>
        </is>
      </c>
      <c r="O623" s="18" t="inlineStr">
        <is>
          <t>Mock</t>
        </is>
      </c>
      <c r="P623" s="18" t="inlineStr">
        <is>
          <t>Mock Pharmtutor 2024</t>
        </is>
      </c>
    </row>
    <row r="624">
      <c r="A624" s="15" t="inlineStr">
        <is>
          <t>645</t>
        </is>
      </c>
      <c r="B624" s="18" t="inlineStr">
        <is>
          <t>ยาในข้อใดต่อไปนี้ ออกฤทธิ์ต้านอักเสบในคนไข้ลำไส้อักเสบเรื้อรัง</t>
        </is>
      </c>
      <c r="C624" s="18" t="inlineStr"/>
      <c r="D624" s="18" t="inlineStr">
        <is>
          <t>Norfloxacin</t>
        </is>
      </c>
      <c r="E624" s="18" t="inlineStr">
        <is>
          <t>Adalimumab</t>
        </is>
      </c>
      <c r="F624" s="18" t="inlineStr">
        <is>
          <t>Azathioprine</t>
        </is>
      </c>
      <c r="G624" s="18" t="inlineStr">
        <is>
          <t>Cyclosporine</t>
        </is>
      </c>
      <c r="H624" s="18" t="inlineStr">
        <is>
          <t>Metronidazole</t>
        </is>
      </c>
      <c r="I624" s="15" t="inlineStr">
        <is>
          <t>1</t>
        </is>
      </c>
      <c r="J624" s="18"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(Adalimumab): ข้อนี้ไม่ใช่คำตอบที่ถูกต้องสำหรับภาวะ General Therapeutics เนื่องจากกลไกการออกฤทธิ์, efficacy หรือข้อบ่งใช้ไม่ตรงกับโจทย์ที่กำหนด
• ข้อ ค. (Azathioprine): ข้อนี้ไม่ใช่คำตอบที่ถูกต้องสำหรับภาวะ General Therapeutics เนื่องจากกลไกการออกฤทธิ์, efficacy หรือข้อบ่งใช้ไม่ตรงกับโจทย์ที่กำหนด
• ข้อ ง. (Cyclosporine): ข้อนี้ไม่ใช่คำตอบที่ถูกต้องสำหรับภาวะ General Therapeutics เนื่องจากกลไกการออกฤทธิ์, efficacy หรือข้อบ่งใช้ไม่ตรงกับโจทย์ที่กำหนด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4" s="18" t="inlineStr"/>
      <c r="L624" s="18" t="inlineStr">
        <is>
          <t>General Therapeutics</t>
        </is>
      </c>
      <c r="M624" s="18" t="inlineStr">
        <is>
          <t>Clinic</t>
        </is>
      </c>
      <c r="N624" s="18" t="inlineStr">
        <is>
          <t>ข้อ 28 (Pharmtutor_2024_Set1.md)</t>
        </is>
      </c>
      <c r="O624" s="18" t="inlineStr">
        <is>
          <t>Mock</t>
        </is>
      </c>
      <c r="P624" s="18" t="inlineStr">
        <is>
          <t>Mock Pharmtutor 2024</t>
        </is>
      </c>
    </row>
    <row r="625">
      <c r="A625" s="15" t="inlineStr">
        <is>
          <t>646</t>
        </is>
      </c>
      <c r="B625" s="18" t="inlineStr">
        <is>
          <t>ยาในข้อใด ที่สามารถใช้ได้ในผู้ป่วย G6PD deficiency</t>
        </is>
      </c>
      <c r="C625" s="18" t="inlineStr"/>
      <c r="D625" s="18" t="inlineStr">
        <is>
          <t>Fosfomycin</t>
        </is>
      </c>
      <c r="E625" s="18" t="inlineStr">
        <is>
          <t>Nitrofurantoin</t>
        </is>
      </c>
      <c r="F625" s="18" t="inlineStr">
        <is>
          <t>Ciprofloxacin</t>
        </is>
      </c>
      <c r="G625" s="18" t="inlineStr">
        <is>
          <t>Dapsone</t>
        </is>
      </c>
      <c r="H625" s="18" t="inlineStr">
        <is>
          <t>Glibenclamide</t>
        </is>
      </c>
      <c r="I625" s="15" t="inlineStr">
        <is>
          <t>1</t>
        </is>
      </c>
      <c r="J625" s="18" t="inlineStr">
        <is>
          <t>✅ คำตอบที่ถูกต้อง: ข้อ ก. Fosfomycin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Fosfomycin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oral single-dose 3 g sachet สำหรับ acute uncomplicated cystitis มี spectrum กว้างครอบคลุม ESBL E. coli ปลอดภัยในหญิงตั้งครรภ์
🔍 ข้ออื่นผิดเพราะอะไร:
• ข้อ ข. (Nitrofurantoin): เป็น urinary tract antiseptic สำหรับ uncomplicated cystitis ปลอดภัยในหญิงตั้งครรภ์ (ยกเว้นใกล้คลอด) แต่ contraindication เมื่อ CrCl &lt; 30 mL/min
• ข้อ ค. (Ciprofloxacin): เป็น Fluoroquinolone เด่นต่อ Gram-negative รวมทั้ง Pseudomonas aeruginosa แต่มี black box warning เรื่อง tendon rupture, QT prolongation, aortic aneurysm และ dysglycemia
• ข้อ ง. (Dapsone):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5" s="18" t="inlineStr"/>
      <c r="L625" s="18" t="inlineStr">
        <is>
          <t>General Therapeutics</t>
        </is>
      </c>
      <c r="M625" s="18" t="inlineStr">
        <is>
          <t>Clinic</t>
        </is>
      </c>
      <c r="N625" s="18" t="inlineStr">
        <is>
          <t>ข้อ 29 (Pharmtutor_2024_Set1.md)</t>
        </is>
      </c>
      <c r="O625" s="18" t="inlineStr">
        <is>
          <t>Mock</t>
        </is>
      </c>
      <c r="P625" s="18" t="inlineStr">
        <is>
          <t>Mock Pharmtutor 2024</t>
        </is>
      </c>
    </row>
    <row r="626">
      <c r="A626" s="15" t="inlineStr">
        <is>
          <t>647</t>
        </is>
      </c>
      <c r="B626" s="18"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C626" s="18" t="inlineStr"/>
      <c r="D626" s="18" t="inlineStr">
        <is>
          <t>Folic acid</t>
        </is>
      </c>
      <c r="E626" s="18" t="inlineStr">
        <is>
          <t>Vitamin B12</t>
        </is>
      </c>
      <c r="F626" s="18" t="inlineStr">
        <is>
          <t>Ferrous sulfate</t>
        </is>
      </c>
      <c r="G626" s="18" t="inlineStr">
        <is>
          <t>Packed red cell</t>
        </is>
      </c>
      <c r="H626" s="18" t="inlineStr">
        <is>
          <t>Platelet</t>
        </is>
      </c>
      <c r="I626" s="15" t="inlineStr">
        <is>
          <t>1</t>
        </is>
      </c>
      <c r="J626" s="18"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B12): ข้อนี้ไม่ใช่คำตอบที่ถูกต้องสำหรับภาวะ General Therapeutics เนื่องจากกลไกการออกฤทธิ์, efficacy หรือข้อบ่งใช้ไม่ตรงกับโจทย์ที่กำหนด
• ข้อ ค. (Ferrous sulfate): ข้อนี้ไม่ใช่คำตอบที่ถูกต้องสำหรับภาวะ General Therapeutics เนื่องจากกลไกการออกฤทธิ์, efficacy หรือข้อบ่งใช้ไม่ตรงกับโจทย์ที่กำหนด
• ข้อ ง. (Packed red cell): ข้อนี้ไม่ใช่คำตอบที่ถูกต้องสำหรับภาวะ General Therapeutics เนื่องจากกลไกการออกฤทธิ์, efficacy หรือข้อบ่งใช้ไม่ตรงกับโจทย์ที่กำหนด
• ข้อ จ. (Platelet):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6" s="18" t="inlineStr"/>
      <c r="L626" s="18" t="inlineStr">
        <is>
          <t>General Therapeutics</t>
        </is>
      </c>
      <c r="M626" s="18" t="inlineStr">
        <is>
          <t>Clinic</t>
        </is>
      </c>
      <c r="N626" s="18" t="inlineStr">
        <is>
          <t>ข้อ 30 (Pharmtutor_2024_Set1.md)</t>
        </is>
      </c>
      <c r="O626" s="18" t="inlineStr">
        <is>
          <t>Mock</t>
        </is>
      </c>
      <c r="P626" s="18" t="inlineStr">
        <is>
          <t>Mock Pharmtutor 2024</t>
        </is>
      </c>
    </row>
    <row r="627">
      <c r="A627" s="15" t="inlineStr">
        <is>
          <t>648</t>
        </is>
      </c>
      <c r="B627" s="18" t="inlineStr">
        <is>
          <t>ยาต้านเอชไอวีตัวใด ที่ควรตรวจคัดกรอง HLA-B5701</t>
        </is>
      </c>
      <c r="C627" s="18" t="inlineStr"/>
      <c r="D627" s="18" t="inlineStr">
        <is>
          <t>Tenofovir</t>
        </is>
      </c>
      <c r="E627" s="18" t="inlineStr">
        <is>
          <t>Lamivudine</t>
        </is>
      </c>
      <c r="F627" s="18" t="inlineStr">
        <is>
          <t>Atazanavir</t>
        </is>
      </c>
      <c r="G627" s="18" t="inlineStr">
        <is>
          <t>Zidovudine</t>
        </is>
      </c>
      <c r="H627" s="18" t="inlineStr">
        <is>
          <t>Abacavir</t>
        </is>
      </c>
      <c r="I627" s="15" t="inlineStr">
        <is>
          <t>1</t>
        </is>
      </c>
      <c r="J627" s="18" t="inlineStr">
        <is>
          <t>✅ คำตอบที่ถูกต้อง: ข้อ ก. Tenofovir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Tenofovir การเลือก Tenofovir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(Lamivudine): ข้อนี้ไม่ใช่คำตอบที่ถูกต้องสำหรับภาวะ General Therapeutics เนื่องจากกลไกการออกฤทธิ์, efficacy หรือข้อบ่งใช้ไม่ตรงกับโจทย์ที่กำหนด
• ข้อ ค. (Atazanavir): ข้อนี้ไม่ใช่คำตอบที่ถูกต้องสำหรับภาวะ General Therapeutics เนื่องจากกลไกการออกฤทธิ์, efficacy หรือข้อบ่งใช้ไม่ตรงกับโจทย์ที่กำหนด
• ข้อ ง. (Zidovudine): ข้อนี้ไม่ใช่คำตอบที่ถูกต้องสำหรับภาวะ General Therapeutics เนื่องจากกลไกการออกฤทธิ์, efficacy หรือข้อบ่งใช้ไม่ตรงกับโจทย์ที่กำหนด
• ข้อ จ. (Abacavir):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7" s="18" t="inlineStr"/>
      <c r="L627" s="18" t="inlineStr">
        <is>
          <t>General Therapeutics</t>
        </is>
      </c>
      <c r="M627" s="18" t="inlineStr">
        <is>
          <t>Clinic</t>
        </is>
      </c>
      <c r="N627" s="18" t="inlineStr">
        <is>
          <t>ข้อ 32 (Pharmtutor_2024_Set1.md)</t>
        </is>
      </c>
      <c r="O627" s="18" t="inlineStr">
        <is>
          <t>Mock</t>
        </is>
      </c>
      <c r="P627" s="18" t="inlineStr">
        <is>
          <t>Mock Pharmtutor 2024</t>
        </is>
      </c>
    </row>
    <row r="628">
      <c r="A628" s="15" t="inlineStr">
        <is>
          <t>649</t>
        </is>
      </c>
      <c r="B628" s="18"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Pharingitis มีประวัติแพ้ยา penicillin ยาในข้อใดเหมาะมที่สุดสำหรับผู้ป่วยรายนี้</t>
        </is>
      </c>
      <c r="C628" s="18" t="inlineStr"/>
      <c r="D628" s="18" t="inlineStr">
        <is>
          <t>Amoxicillin 500 mg BID 10 days</t>
        </is>
      </c>
      <c r="E628" s="18" t="inlineStr">
        <is>
          <t>Amoxicillin+Clavulanic 625 mg BID 5 days</t>
        </is>
      </c>
      <c r="F628" s="18" t="inlineStr">
        <is>
          <t>Azithromycin 250 mg BID 3 days</t>
        </is>
      </c>
      <c r="G628" s="18" t="inlineStr">
        <is>
          <t>Azithromycin 500 mg BID 3 days</t>
        </is>
      </c>
      <c r="H628" s="18" t="inlineStr">
        <is>
          <t>Clarithromycin 500 mg TID 3 days</t>
        </is>
      </c>
      <c r="I628" s="15" t="inlineStr">
        <is>
          <t>1</t>
        </is>
      </c>
      <c r="J628" s="18" t="inlineStr">
        <is>
          <t>✅ คำตอบที่ถูกต้อง: ข้อ ก. Amoxicillin 500 mg BID 10 days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 500 mg BID 10 days การเลือก Amoxicillin 500 mg BID 10 days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(Amoxicillin+Clavulanic 625 mg BID 5 days): เป็น Aminopenicillin ยับยั้ง bacterial cell wall synthesis เป็น first-line สำหรับ uncomplicated bacterial infections (เช่น Strep pharyngitis, AOM, sinusitis)
• ข้อ ค. (Azithromycin 250 mg BID 3 days): เป็น Macrolide ครอบคลุม atypical pathogens (Mycoplasma, Chlamydia, Legionella) ขจัดออกทางตับเป็นหลัก และมี half-life ยาวนาน (~68 ชม.)
• ข้อ ง. (Azithromycin 500 mg BID 3 days): เป็น Macrolide ครอบคลุม atypical pathogens (Mycoplasma, Chlamydia, Legionella) ขจัดออกทางตับเป็นหลัก และมี half-life ยาวนาน (~68 ชม.)
• ข้อ จ. (Clarithromycin 500 mg TID 3 days):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8" s="18" t="inlineStr"/>
      <c r="L628" s="18" t="inlineStr">
        <is>
          <t>Infectious Diseases</t>
        </is>
      </c>
      <c r="M628" s="18" t="inlineStr">
        <is>
          <t>Clinic</t>
        </is>
      </c>
      <c r="N628" s="18" t="inlineStr">
        <is>
          <t>ข้อ 35 (Pharmtutor_2024_Set1.md)</t>
        </is>
      </c>
      <c r="O628" s="18" t="inlineStr">
        <is>
          <t>Mock</t>
        </is>
      </c>
      <c r="P628" s="18" t="inlineStr">
        <is>
          <t>Mock Pharmtutor 2024</t>
        </is>
      </c>
    </row>
    <row r="629">
      <c r="A629" s="15" t="inlineStr">
        <is>
          <t>650</t>
        </is>
      </c>
      <c r="B629" s="18" t="inlineStr">
        <is>
          <t>ข้อใดคือกลไกการดื้อยาของยาในกลุ่ม penicillin</t>
        </is>
      </c>
      <c r="C629" s="18" t="inlineStr"/>
      <c r="D629" s="18" t="inlineStr">
        <is>
          <t>Drug inactivation / modification</t>
        </is>
      </c>
      <c r="E629" s="18" t="inlineStr">
        <is>
          <t>Alteration of target sites</t>
        </is>
      </c>
      <c r="F629" s="18" t="inlineStr">
        <is>
          <t>Bypass pathways</t>
        </is>
      </c>
      <c r="G629" s="18" t="inlineStr">
        <is>
          <t>Decreased uptake</t>
        </is>
      </c>
      <c r="H629" s="18" t="inlineStr">
        <is>
          <t>Increased uptake จงใช้ข้อมูลต่อไปนี้ ตอบคำถามข้อ 38-39 Azithromycin (as anhydrous base)</t>
        </is>
      </c>
      <c r="I629" s="15" t="inlineStr">
        <is>
          <t>1</t>
        </is>
      </c>
      <c r="J629" s="18" t="inlineStr">
        <is>
          <t>✅ คำตอบที่ถูกต้อง: ข้อ ก. Drug inactivation / modification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Drug inactivation / modification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(Alteration of target sites): ข้อนี้ไม่ใช่คำตอบที่ถูกต้องสำหรับภาวะ Infectious Diseases เนื่องจากกลไกการออกฤทธิ์, efficacy หรือข้อบ่งใช้ไม่ตรงกับโจทย์ที่กำหนด
• ข้อ ค. (Bypass pathways): ข้อนี้ไม่ใช่คำตอบที่ถูกต้องสำหรับภาวะ Infectious Diseases เนื่องจากกลไกการออกฤทธิ์, efficacy หรือข้อบ่งใช้ไม่ตรงกับโจทย์ที่กำหนด
• ข้อ ง. (Decreased uptake): ข้อนี้ไม่ใช่คำตอบที่ถูกต้องสำหรับภาวะ Infectious Diseases เนื่องจากกลไกการออกฤทธิ์, efficacy หรือข้อบ่งใช้ไม่ตรงกับโจทย์ที่กำหนด
• ข้อ จ. (Increased uptake จงใช้ข้อมูลต่อไปนี้ ตอบคำถามข้อ 38-39 Azithromycin (as anhydrous base)):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9" s="18" t="inlineStr"/>
      <c r="L629" s="18" t="inlineStr">
        <is>
          <t>Infectious Diseases</t>
        </is>
      </c>
      <c r="M629" s="18" t="inlineStr">
        <is>
          <t>Clinic</t>
        </is>
      </c>
      <c r="N629" s="18" t="inlineStr">
        <is>
          <t>ข้อ 37 (Pharmtutor_2024_Set1.md)</t>
        </is>
      </c>
      <c r="O629" s="18" t="inlineStr">
        <is>
          <t>Mock</t>
        </is>
      </c>
      <c r="P629" s="18" t="inlineStr">
        <is>
          <t>Mock Pharmtutor 2024</t>
        </is>
      </c>
    </row>
    <row r="630">
      <c r="A630" s="15" t="inlineStr">
        <is>
          <t>651</t>
        </is>
      </c>
      <c r="B630" s="18" t="inlineStr">
        <is>
          <t>Xanthan gum ทำหน้าที่ใดในตำรับ</t>
        </is>
      </c>
      <c r="C630" s="18" t="inlineStr"/>
      <c r="D630" s="18" t="inlineStr">
        <is>
          <t>Glidant</t>
        </is>
      </c>
      <c r="E630" s="18" t="inlineStr">
        <is>
          <t>Sweetening agent</t>
        </is>
      </c>
      <c r="F630" s="18" t="inlineStr">
        <is>
          <t>Thickening agent</t>
        </is>
      </c>
      <c r="G630" s="18" t="inlineStr">
        <is>
          <t>Binder</t>
        </is>
      </c>
      <c r="H630" s="18" t="inlineStr">
        <is>
          <t>Suspending agent</t>
        </is>
      </c>
      <c r="I630" s="15" t="inlineStr">
        <is>
          <t>1</t>
        </is>
      </c>
      <c r="J630" s="18" t="inlineStr">
        <is>
          <t>✅ คำตอบที่ถูกต้อง: ข้อ ก. Glidant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Glidant การเลือก Glidant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(Sweetening agent): ข้อนี้ไม่ใช่คำตอบที่ถูกต้องสำหรับภาวะ General Therapeutics เนื่องจากกลไกการออกฤทธิ์, efficacy หรือข้อบ่งใช้ไม่ตรงกับโจทย์ที่กำหนด
• ข้อ ค. (Thickening agent): ข้อนี้ไม่ใช่คำตอบที่ถูกต้องสำหรับภาวะ General Therapeutics เนื่องจากกลไกการออกฤทธิ์, efficacy หรือข้อบ่งใช้ไม่ตรงกับโจทย์ที่กำหนด
• ข้อ ง. (Binder): ข้อนี้ไม่ใช่คำตอบที่ถูกต้องสำหรับภาวะ General Therapeutics เนื่องจากกลไกการออกฤทธิ์, efficacy หรือข้อบ่งใช้ไม่ตรงกับโจทย์ที่กำหนด
• ข้อ จ. (Suspending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0" s="18" t="inlineStr"/>
      <c r="L630" s="18" t="inlineStr">
        <is>
          <t>General Therapeutics</t>
        </is>
      </c>
      <c r="M630" s="18" t="inlineStr">
        <is>
          <t>Clinic</t>
        </is>
      </c>
      <c r="N630" s="18" t="inlineStr">
        <is>
          <t>ข้อ 38 (Pharmtutor_2024_Set1.md)</t>
        </is>
      </c>
      <c r="O630" s="18" t="inlineStr">
        <is>
          <t>Mock</t>
        </is>
      </c>
      <c r="P630" s="18" t="inlineStr">
        <is>
          <t>Mock Pharmtutor 2024</t>
        </is>
      </c>
    </row>
    <row r="631">
      <c r="A631" s="15" t="inlineStr">
        <is>
          <t>652</t>
        </is>
      </c>
      <c r="B631" s="18" t="inlineStr">
        <is>
          <t>ในระหว่างกระบวนการบรรจุผงยาลงขวด พบว่าน้ำหนักแต่ละขวดมีความแปรปรวน ควรเติมสารใดในตำรับเพิ่ม</t>
        </is>
      </c>
      <c r="C631" s="18" t="inlineStr"/>
      <c r="D631" s="18" t="inlineStr">
        <is>
          <t>Colloidal silicon dioxide</t>
        </is>
      </c>
      <c r="E631" s="18" t="inlineStr">
        <is>
          <t>Xanthan gum</t>
        </is>
      </c>
      <c r="F631" s="18" t="inlineStr">
        <is>
          <t>Hydroxypropyl cellulose</t>
        </is>
      </c>
      <c r="G631" s="18" t="inlineStr">
        <is>
          <t>Spray dried artificial flavors</t>
        </is>
      </c>
      <c r="H631" s="18" t="inlineStr">
        <is>
          <t>Tribasic sodium phosphate dodecahydrate</t>
        </is>
      </c>
      <c r="I631" s="15" t="inlineStr">
        <is>
          <t>1</t>
        </is>
      </c>
      <c r="J631" s="18"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(Xanthan gum): ข้อนี้ไม่ใช่คำตอบที่ถูกต้องสำหรับภาวะ General Therapeutics เนื่องจากกลไกการออกฤทธิ์, efficacy หรือข้อบ่งใช้ไม่ตรงกับโจทย์ที่กำหนด
• ข้อ ค. (Hydroxypropyl cellulose): ข้อนี้ไม่ใช่คำตอบที่ถูกต้องสำหรับภาวะ General Therapeutics เนื่องจากกลไกการออกฤทธิ์, efficacy หรือข้อบ่งใช้ไม่ตรงกับโจทย์ที่กำหนด
• ข้อ ง. (Spray dried artificial flavors): ข้อนี้ไม่ใช่คำตอบที่ถูกต้องสำหรับภาวะ General Therapeutics เนื่องจากกลไกการออกฤทธิ์, efficacy หรือข้อบ่งใช้ไม่ตรงกับโจทย์ที่กำหนด
• ข้อ จ. (Tribasic sodium phosphate dodecahydrate):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1" s="18" t="inlineStr"/>
      <c r="L631" s="18" t="inlineStr">
        <is>
          <t>General Therapeutics</t>
        </is>
      </c>
      <c r="M631" s="18" t="inlineStr">
        <is>
          <t>Clinic</t>
        </is>
      </c>
      <c r="N631" s="18" t="inlineStr">
        <is>
          <t>ข้อ 39 (Pharmtutor_2024_Set1.md)</t>
        </is>
      </c>
      <c r="O631" s="18" t="inlineStr">
        <is>
          <t>Mock</t>
        </is>
      </c>
      <c r="P631" s="18" t="inlineStr">
        <is>
          <t>Mock Pharmtutor 2024</t>
        </is>
      </c>
    </row>
    <row r="632">
      <c r="A632" s="15" t="inlineStr">
        <is>
          <t>653</t>
        </is>
      </c>
      <c r="B632" s="18" t="inlineStr">
        <is>
          <t>ข้อใดกล่าวผิดเกี่ยวกับภาวะชักต่อเนื่อง</t>
        </is>
      </c>
      <c r="C632" s="18" t="inlineStr"/>
      <c r="D632" s="18" t="inlineStr">
        <is>
          <t>ปัยจัยที่ก่อให้เกิดภาวะชักต่อเนื่องมากที่สุด คือ ความเครียด</t>
        </is>
      </c>
      <c r="E632" s="18" t="inlineStr">
        <is>
          <t>ภาวะชักต่อเนื่องคืออการชักที่มีระยะเวลาติดต่อกันมากกว่า 5 นาที หรือมีการชักซ้ำภายใน 24 ชั่วโมง</t>
        </is>
      </c>
      <c r="F632" s="18" t="inlineStr">
        <is>
          <t>ยาทางเลือกแรกในการรักษาภาวะชักต่อเนื่องคือยาฉีดในกลุ่ม Benzodiazepine</t>
        </is>
      </c>
      <c r="G632" s="18" t="inlineStr">
        <is>
          <t>การให้ยา Phenytoin ชนิดฉีดมีการปรับขนาดยาตามน้ำหนักตัวของคนไข้</t>
        </is>
      </c>
      <c r="H632" s="18" t="inlineStr">
        <is>
          <t>ภาวะชักต่อเนื่องมักเกิดในเด็กมากกว่าผู้สูงอายุ</t>
        </is>
      </c>
      <c r="I632" s="15" t="inlineStr">
        <is>
          <t>1</t>
        </is>
      </c>
      <c r="J632" s="18" t="inlineStr">
        <is>
          <t>✅ คำตอบที่ถูกต้อง: ข้อ ก. ปัยจัยที่ก่อให้เกิดภาวะชักต่อเนื่องมากที่สุด คือ ความเครียด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ปัยจัยที่ก่อให้เกิดภาวะชักต่อเนื่องมากที่สุด คือ ความเครียด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(ภาวะชักต่อเนื่องคืออการชักที่มีระยะเวลาติดต่อกันมากกว่า 5 นาที หรือมีการชักซ้ำภายใน 24 ชั่วโมง): ข้อนี้ไม่ใช่คำตอบที่ถูกต้องสำหรับภาวะ Neurologic Disorders เนื่องจากกลไกการออกฤทธิ์, efficacy หรือข้อบ่งใช้ไม่ตรงกับโจทย์ที่กำหนด
• ข้อ ค. (ยาทางเลือกแรกในการรักษาภาวะชักต่อเนื่องคือยาฉีดในกลุ่ม Benzodiazepine): ข้อนี้ไม่ใช่คำตอบที่ถูกต้องสำหรับภาวะ Neurologic Disorders เนื่องจากกลไกการออกฤทธิ์, efficacy หรือข้อบ่งใช้ไม่ตรงกับโจทย์ที่กำหนด
• ข้อ ง. (การให้ยา Phenytoin ชนิดฉีดมีการปรับขนาดยาตามน้ำหนักตัวของคนไข้): เป็น sodium channel blocker สำหรับ focal/generalized seizures มี non-linear (Michaelis-Menten) PK เสี่ยง toxicity ได้ง่ายเมื่อปรับ dose และทำให้เกิด gingival hyperplasia, hirsutism, cerebellar ataxia
• ข้อ จ. (ภาวะชักต่อเนื่องมักเกิดในเด็กมากกว่าผู้สูงอายุ):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2" s="18" t="inlineStr"/>
      <c r="L632" s="18" t="inlineStr">
        <is>
          <t>Neurologic Disorders</t>
        </is>
      </c>
      <c r="M632" s="18" t="inlineStr">
        <is>
          <t>Clinic</t>
        </is>
      </c>
      <c r="N632" s="18" t="inlineStr">
        <is>
          <t>ข้อ 45 (Pharmtutor_2024_Set1.md)</t>
        </is>
      </c>
      <c r="O632" s="18" t="inlineStr">
        <is>
          <t>Mock</t>
        </is>
      </c>
      <c r="P632" s="18" t="inlineStr">
        <is>
          <t>Mock Pharmtutor 2024</t>
        </is>
      </c>
    </row>
    <row r="633">
      <c r="A633" s="15" t="inlineStr">
        <is>
          <t>654</t>
        </is>
      </c>
      <c r="B633" s="18" t="inlineStr">
        <is>
          <t>ข้อใดจับคู่ไม่ถูกต้อง</t>
        </is>
      </c>
      <c r="C633" s="18" t="inlineStr"/>
      <c r="D633" s="18" t="inlineStr">
        <is>
          <t>Phenytoin - Nausea/Vomiting</t>
        </is>
      </c>
      <c r="E633" s="18" t="inlineStr">
        <is>
          <t>Levetiracetam - Induce Suicidal</t>
        </is>
      </c>
      <c r="F633" s="18" t="inlineStr">
        <is>
          <t>Valproic acid - Teratogenicity</t>
        </is>
      </c>
      <c r="G633" s="18" t="inlineStr">
        <is>
          <t>Lorazepam - Retrograde amnesia</t>
        </is>
      </c>
      <c r="H633" s="18" t="inlineStr">
        <is>
          <t>Propofol - Confusion</t>
        </is>
      </c>
      <c r="I633" s="15" t="inlineStr">
        <is>
          <t>1</t>
        </is>
      </c>
      <c r="J633" s="18" t="inlineStr">
        <is>
          <t>✅ คำตอบที่ถูกต้อง: ข้อ ก. Phenytoin - Nausea/Vomiting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 Nausea/Vomiting การเลือก Phenytoin - Nausea/Vomiting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 Induce Suicidal):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 Teratogenicity): ข้อนี้ไม่ใช่คำตอบที่ถูกต้องสำหรับภาวะ General Therapeutics เนื่องจากกลไกการออกฤทธิ์, efficacy หรือข้อบ่งใช้ไม่ตรงกับโจทย์ที่กำหนด
• ข้อ ง. (Lorazepam - Retrograde amnesia): เป็น Benzodiazepine กลุ่ม LOT (Lorazepam, Oxazepam, Temazepam) ที่ผ่าน hepatic Phase II glucuronidation โดยตรง ไม่ผ่าน CYP oxidation จึงปลอดภัยกว่าในผู้สูงอายุและโรคตับ
• ข้อ จ. (Propofol - Confusion):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633" s="18" t="inlineStr"/>
      <c r="L633" s="18" t="inlineStr">
        <is>
          <t>General Therapeutics</t>
        </is>
      </c>
      <c r="M633" s="18" t="inlineStr">
        <is>
          <t>Clinic</t>
        </is>
      </c>
      <c r="N633" s="18" t="inlineStr">
        <is>
          <t>ข้อ 46 (Pharmtutor_2024_Set1.md)</t>
        </is>
      </c>
      <c r="O633" s="18" t="inlineStr">
        <is>
          <t>Mock</t>
        </is>
      </c>
      <c r="P633" s="18" t="inlineStr">
        <is>
          <t>Mock Pharmtutor 2024</t>
        </is>
      </c>
    </row>
    <row r="634">
      <c r="A634" s="15" t="inlineStr">
        <is>
          <t>655</t>
        </is>
      </c>
      <c r="B634" s="18" t="inlineStr">
        <is>
          <t>ข้อใดถูกต้องเกี่ยวกับ Nociceptive Pain</t>
        </is>
      </c>
      <c r="C634" s="18" t="inlineStr"/>
      <c r="D634" s="18" t="inlineStr">
        <is>
          <t>เป็นความปวดที่เกิดจากความบาดเจ็บ การอักเสบหรือมีการทำลายเนื้อเยื่อ</t>
        </is>
      </c>
      <c r="E634" s="18" t="inlineStr">
        <is>
          <t>ระบุตำแหน่งของการปวดได้ชัดเจน</t>
        </is>
      </c>
      <c r="F634" s="18" t="inlineStr">
        <is>
          <t>Prostaglandin เป็นสารสื่อประสาทหลักในการแสดงอาการ</t>
        </is>
      </c>
      <c r="G634" s="18" t="inlineStr">
        <is>
          <t>ตอบสนองต่อการใช้ opioids</t>
        </is>
      </c>
      <c r="H634" s="18" t="inlineStr">
        <is>
          <t>ถูกทุกข้อ</t>
        </is>
      </c>
      <c r="I634" s="15" t="inlineStr">
        <is>
          <t>1</t>
        </is>
      </c>
      <c r="J634" s="18" t="inlineStr">
        <is>
          <t>✅ คำตอบที่ถูกต้อง: ข้อ ก. เป็นความปวดที่เกิดจากความบาดเจ็บ การอักเสบหรือมีการทำลายเนื้อเยื่อ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เป็นความปวดที่เกิดจากความบาดเจ็บ การอักเสบหรือมีการทำลายเนื้อเยื่อ การเลือก เป็นความปวดที่เกิดจากความบาดเจ็บ การอักเสบหรือมีการทำลายเนื้อเยื่อ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(ระบุตำแหน่งของการปวดได้ชัดเจน): ข้อนี้ไม่ใช่คำตอบที่ถูกต้องสำหรับภาวะ General Therapeutics เนื่องจากกลไกการออกฤทธิ์, efficacy หรือข้อบ่งใช้ไม่ตรงกับโจทย์ที่กำหนด
• ข้อ ค. (Prostaglandin เป็นสารสื่อประสาทหลักในการแสดงอาการ): ข้อนี้ไม่ใช่คำตอบที่ถูกต้องสำหรับภาวะ General Therapeutics เนื่องจากกลไกการออกฤทธิ์, efficacy หรือข้อบ่งใช้ไม่ตรงกับโจทย์ที่กำหนด
• ข้อ ง. (ตอบสนองต่อการใช้ opioids):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4" s="18" t="inlineStr"/>
      <c r="L634" s="18" t="inlineStr">
        <is>
          <t>General Therapeutics</t>
        </is>
      </c>
      <c r="M634" s="18" t="inlineStr">
        <is>
          <t>Clinic</t>
        </is>
      </c>
      <c r="N634" s="18" t="inlineStr">
        <is>
          <t>ข้อ 48 (Pharmtutor_2024_Set1.md)</t>
        </is>
      </c>
      <c r="O634" s="18" t="inlineStr">
        <is>
          <t>Mock</t>
        </is>
      </c>
      <c r="P634" s="18" t="inlineStr">
        <is>
          <t>Mock Pharmtutor 2024</t>
        </is>
      </c>
    </row>
    <row r="635">
      <c r="A635" s="15" t="inlineStr">
        <is>
          <t>656</t>
        </is>
      </c>
      <c r="B635" s="18" t="inlineStr">
        <is>
          <t>ยาในข้อใดไม่สามารถใข้ในการรักษาอาการปวดแบบ Neuropathic pain</t>
        </is>
      </c>
      <c r="C635" s="18" t="inlineStr"/>
      <c r="D635" s="18" t="inlineStr">
        <is>
          <t>Tramadol</t>
        </is>
      </c>
      <c r="E635" s="18" t="inlineStr">
        <is>
          <t>Amitriptyline</t>
        </is>
      </c>
      <c r="F635" s="18" t="inlineStr">
        <is>
          <t>Gabapentin</t>
        </is>
      </c>
      <c r="G635" s="18" t="inlineStr">
        <is>
          <t>Venlafaxine</t>
        </is>
      </c>
      <c r="H635" s="18" t="inlineStr">
        <is>
          <t>Flunarizine</t>
        </is>
      </c>
      <c r="I635" s="15" t="inlineStr">
        <is>
          <t>1</t>
        </is>
      </c>
      <c r="J635" s="18"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(Gabapentin):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35" s="18" t="inlineStr"/>
      <c r="L635" s="18" t="inlineStr">
        <is>
          <t>General Therapeutics</t>
        </is>
      </c>
      <c r="M635" s="18" t="inlineStr">
        <is>
          <t>Clinic</t>
        </is>
      </c>
      <c r="N635" s="18" t="inlineStr">
        <is>
          <t>ข้อ 49 (Pharmtutor_2024_Set1.md)</t>
        </is>
      </c>
      <c r="O635" s="18" t="inlineStr">
        <is>
          <t>Mock</t>
        </is>
      </c>
      <c r="P635" s="18" t="inlineStr">
        <is>
          <t>Mock Pharmtutor 2024</t>
        </is>
      </c>
    </row>
    <row r="636">
      <c r="A636" s="15" t="inlineStr">
        <is>
          <t>657</t>
        </is>
      </c>
      <c r="B636" s="18" t="inlineStr">
        <is>
          <t>Opioids receptor ชนิดใดเป็นตัวหลักที่มีบทบาทสำคัญในเรื่องของการปวด</t>
        </is>
      </c>
      <c r="C636" s="18" t="inlineStr"/>
      <c r="D636" s="18" t="inlineStr">
        <is>
          <t>Kappa receptor</t>
        </is>
      </c>
      <c r="E636" s="18" t="inlineStr">
        <is>
          <t>Mu receptor</t>
        </is>
      </c>
      <c r="F636" s="18" t="inlineStr">
        <is>
          <t>Delta receptor</t>
        </is>
      </c>
      <c r="G636" s="18" t="inlineStr">
        <is>
          <t>Alpha receptor</t>
        </is>
      </c>
      <c r="H636" s="18" t="inlineStr">
        <is>
          <t>Beta receptor</t>
        </is>
      </c>
      <c r="I636" s="15" t="inlineStr">
        <is>
          <t>1</t>
        </is>
      </c>
      <c r="J636" s="18" t="inlineStr">
        <is>
          <t>✅ คำตอบที่ถูกต้อง: ข้อ ก. Kappa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Kappa receptor การเลือก Kappa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 receptor): ข้อนี้ไม่ใช่คำตอบที่ถูกต้องสำหรับภาวะ General Therapeutics เนื่องจากกลไกการออกฤทธิ์, efficacy หรือข้อบ่งใช้ไม่ตรงกับโจทย์ที่กำหนด
• ข้อ ค. (Delta receptor): ข้อนี้ไม่ใช่คำตอบที่ถูกต้องสำหรับภาวะ General Therapeutics เนื่องจากกลไกการออกฤทธิ์, efficacy หรือข้อบ่งใช้ไม่ตรงกับโจทย์ที่กำหนด
• ข้อ ง. (Alpha receptor): ข้อนี้ไม่ใช่คำตอบที่ถูกต้องสำหรับภาวะ General Therapeutics เนื่องจากกลไกการออกฤทธิ์, efficacy หรือข้อบ่งใช้ไม่ตรงกับโจทย์ที่กำหนด
• ข้อ จ. (Beta receptor):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6" s="18" t="inlineStr"/>
      <c r="L636" s="18" t="inlineStr">
        <is>
          <t>General Therapeutics</t>
        </is>
      </c>
      <c r="M636" s="18" t="inlineStr">
        <is>
          <t>Clinic</t>
        </is>
      </c>
      <c r="N636" s="18" t="inlineStr">
        <is>
          <t>ข้อ 50 (Pharmtutor_2024_Set1.md)</t>
        </is>
      </c>
      <c r="O636" s="18" t="inlineStr">
        <is>
          <t>Mock</t>
        </is>
      </c>
      <c r="P636" s="18" t="inlineStr">
        <is>
          <t>Mock Pharmtutor 2024</t>
        </is>
      </c>
    </row>
    <row r="637">
      <c r="A637" s="15" t="inlineStr">
        <is>
          <t>658</t>
        </is>
      </c>
      <c r="B637" s="18" t="inlineStr">
        <is>
          <t>ข้อใดคือผลข้างเคียงหลักของการใช้ยาในกลุ่ม Opioids</t>
        </is>
      </c>
      <c r="C637" s="18" t="inlineStr"/>
      <c r="D637" s="18" t="inlineStr">
        <is>
          <t>ท้องเสีย</t>
        </is>
      </c>
      <c r="E637" s="18" t="inlineStr">
        <is>
          <t>คลื่นไส้ อาเจียน</t>
        </is>
      </c>
      <c r="F637" s="18" t="inlineStr">
        <is>
          <t>ท้องผูก</t>
        </is>
      </c>
      <c r="G637" s="18" t="inlineStr">
        <is>
          <t>ความดันตก</t>
        </is>
      </c>
      <c r="H637" s="18" t="inlineStr">
        <is>
          <t>กดการหายใจ</t>
        </is>
      </c>
      <c r="I637" s="15" t="inlineStr">
        <is>
          <t>1</t>
        </is>
      </c>
      <c r="J637" s="18" t="inlineStr">
        <is>
          <t>✅ คำตอบที่ถูกต้อง: ข้อ ก. ท้องเสีย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ท้องเสีย การเลือก ท้องเสีย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 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(ความดันตก): ข้อนี้ไม่ใช่คำตอบที่ถูกต้องสำหรับภาวะ General Therapeutics เนื่องจากกลไกการออกฤทธิ์, efficacy หรือข้อบ่งใช้ไม่ตรงกับโจทย์ที่กำหนด
• ข้อ จ. (กดการหายใจ):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7" s="18" t="inlineStr"/>
      <c r="L637" s="18" t="inlineStr">
        <is>
          <t>General Therapeutics</t>
        </is>
      </c>
      <c r="M637" s="18" t="inlineStr">
        <is>
          <t>Clinic</t>
        </is>
      </c>
      <c r="N637" s="18" t="inlineStr">
        <is>
          <t>ข้อ 51 (Pharmtutor_2024_Set1.md)</t>
        </is>
      </c>
      <c r="O637" s="18" t="inlineStr">
        <is>
          <t>Mock</t>
        </is>
      </c>
      <c r="P637" s="18" t="inlineStr">
        <is>
          <t>Mock Pharmtutor 2024</t>
        </is>
      </c>
    </row>
    <row r="638">
      <c r="A638" s="15" t="inlineStr">
        <is>
          <t>659</t>
        </is>
      </c>
      <c r="B638" s="18" t="inlineStr">
        <is>
          <t>ข้อใดกล่าวไม่ถูกต้องเกี่ยวกับภาวะอัลไซเมอร์</t>
        </is>
      </c>
      <c r="C638" s="18" t="inlineStr"/>
      <c r="D638" s="18" t="inlineStr">
        <is>
          <t>เกิดการสะสมของ amyloid plaques ขัดขวางการส่ง สัญญาณประสาท</t>
        </is>
      </c>
      <c r="E638" s="18" t="inlineStr">
        <is>
          <t>ปัจจุบันยังไม่มีวิธีการรักษา มีแต่การให้ยาเพื่อชะลออาการเท่านั้น</t>
        </is>
      </c>
      <c r="F638" s="18" t="inlineStr">
        <is>
          <t>Memantine ใช้ใน moderate-severe Alzheimer’s disease</t>
        </is>
      </c>
      <c r="G638" s="18" t="inlineStr">
        <is>
          <t>Donepezil มีความจำเพาะต่อ AChE ได้น้อย และมีค่าครึ่งชีวิตที่สั้น</t>
        </is>
      </c>
      <c r="H638" s="18" t="inlineStr">
        <is>
          <t>Dementia มากกว่า 60% มาจาก Alzheimer’s disease</t>
        </is>
      </c>
      <c r="I638" s="15" t="inlineStr">
        <is>
          <t>1</t>
        </is>
      </c>
      <c r="J638" s="18" t="inlineStr">
        <is>
          <t>✅ คำตอบที่ถูกต้อง: ข้อ ก. เกิดการสะสมของ amyloid plaques ขัดขวางการส่ง สัญญาณประสาท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เกิดการสะสมของ amyloid plaques ขัดขวางการส่ง สัญญาณประสาท การเลือก เกิดการสะสมของ amyloid plaques ขัดขวางการส่ง สัญญาณประสาท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(ปัจจุบันยังไม่มีวิธีการรักษา มีแต่การให้ยาเพื่อชะลออาการเท่านั้น):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(Memantine ใช้ใน moderate-severe Alzheimer’s disease): ข้อนี้ไม่ใช่คำตอบที่ถูกต้องสำหรับภาวะ General Therapeutics เนื่องจากกลไกการออกฤทธิ์, efficacy หรือข้อบ่งใช้ไม่ตรงกับโจทย์ที่กำหนด
• ข้อ ง. (Donepezil มีความจำเพาะต่อ AChE ได้น้อย และมีค่าครึ่งชีวิตที่สั้น): ข้อนี้ไม่ใช่คำตอบที่ถูกต้องสำหรับภาวะ General Therapeutics เนื่องจากกลไกการออกฤทธิ์, efficacy หรือข้อบ่งใช้ไม่ตรงกับโจทย์ที่กำหนด
• ข้อ จ. (Dementia มากกว่า 60% มาจาก Alzheimer’s disease):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8" s="18" t="inlineStr"/>
      <c r="L638" s="18" t="inlineStr">
        <is>
          <t>General Therapeutics</t>
        </is>
      </c>
      <c r="M638" s="18" t="inlineStr">
        <is>
          <t>Clinic</t>
        </is>
      </c>
      <c r="N638" s="18" t="inlineStr">
        <is>
          <t>ข้อ 52 (Pharmtutor_2024_Set1.md)</t>
        </is>
      </c>
      <c r="O638" s="18" t="inlineStr">
        <is>
          <t>Mock</t>
        </is>
      </c>
      <c r="P638" s="18" t="inlineStr">
        <is>
          <t>Mock Pharmtutor 2024</t>
        </is>
      </c>
    </row>
    <row r="639">
      <c r="A639" s="15" t="inlineStr">
        <is>
          <t>660</t>
        </is>
      </c>
      <c r="B639" s="18" t="inlineStr">
        <is>
          <t>ข้อใดคือแบบประเมินภาวะการติดบุหรี่</t>
        </is>
      </c>
      <c r="C639" s="18" t="inlineStr"/>
      <c r="D639" s="18" t="inlineStr">
        <is>
          <t>STAR</t>
        </is>
      </c>
      <c r="E639" s="18" t="inlineStr">
        <is>
          <t>Fagerstrom</t>
        </is>
      </c>
      <c r="F639" s="18" t="inlineStr">
        <is>
          <t>5A</t>
        </is>
      </c>
      <c r="G639" s="18" t="inlineStr">
        <is>
          <t>3A2T</t>
        </is>
      </c>
      <c r="H639" s="18" t="inlineStr">
        <is>
          <t>EQ5D</t>
        </is>
      </c>
      <c r="I639" s="15" t="inlineStr">
        <is>
          <t>1</t>
        </is>
      </c>
      <c r="J639" s="18" t="inlineStr">
        <is>
          <t>✅ คำตอบที่ถูกต้อง: ข้อ ก. STAR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STAR การเลือก STAR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(Fagerstrom): ข้อนี้ไม่ใช่คำตอบที่ถูกต้องสำหรับภาวะ Pulmonary Diseases เนื่องจากกลไกการออกฤทธิ์, efficacy หรือข้อบ่งใช้ไม่ตรงกับโจทย์ที่กำหนด
• ข้อ ค. (5A): ข้อนี้ไม่ใช่คำตอบที่ถูกต้องสำหรับภาวะ Pulmonary Diseases เนื่องจากกลไกการออกฤทธิ์, efficacy หรือข้อบ่งใช้ไม่ตรงกับโจทย์ที่กำหนด
• ข้อ ง. (3A2T): ข้อนี้ไม่ใช่คำตอบที่ถูกต้องสำหรับภาวะ Pulmonary Diseases เนื่องจากกลไกการออกฤทธิ์, efficacy หรือข้อบ่งใช้ไม่ตรงกับโจทย์ที่กำหนด
• ข้อ จ. (EQ5D):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9" s="18" t="inlineStr"/>
      <c r="L639" s="18" t="inlineStr">
        <is>
          <t>Pulmonary Diseases</t>
        </is>
      </c>
      <c r="M639" s="18" t="inlineStr">
        <is>
          <t>Clinic</t>
        </is>
      </c>
      <c r="N639" s="18" t="inlineStr">
        <is>
          <t>ข้อ 54 (Pharmtutor_2024_Set1.md)</t>
        </is>
      </c>
      <c r="O639" s="18" t="inlineStr">
        <is>
          <t>Mock</t>
        </is>
      </c>
      <c r="P639" s="18" t="inlineStr">
        <is>
          <t>Mock Pharmtutor 2024</t>
        </is>
      </c>
    </row>
    <row r="640">
      <c r="A640" s="15" t="inlineStr">
        <is>
          <t>661</t>
        </is>
      </c>
      <c r="B640" s="18" t="inlineStr">
        <is>
          <t>ข้อใดจับคู่ไม่ถูกต้อง</t>
        </is>
      </c>
      <c r="C640" s="18" t="inlineStr"/>
      <c r="D640" s="18" t="inlineStr">
        <is>
          <t>Clozapine - Agranulocytosis</t>
        </is>
      </c>
      <c r="E640" s="18" t="inlineStr">
        <is>
          <t>Fluoxetine - Insomnia</t>
        </is>
      </c>
      <c r="F640" s="18" t="inlineStr">
        <is>
          <t>Alprazolam - Retrograde Amnesia</t>
        </is>
      </c>
      <c r="G640" s="18" t="inlineStr">
        <is>
          <t>Duloxetine - Hypotension</t>
        </is>
      </c>
      <c r="H640" s="18" t="inlineStr">
        <is>
          <t>Bupropion - Induce seizure</t>
        </is>
      </c>
      <c r="I640" s="15" t="inlineStr">
        <is>
          <t>1</t>
        </is>
      </c>
      <c r="J640" s="18" t="inlineStr">
        <is>
          <t>✅ คำตอบที่ถูกต้อง: ข้อ ก. Clozapine - Agranulocytosis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Clozapine - Agranulocytosis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 Insomnia): เป็น SSRI มี half-life ยาวที่สุดในกลุ่ม (ร่วมกับ active metabolite norfluoxetine) จึงมี discontinuation syndrome ต่ำ แต่ยับยั้ง CYP2D6 สูง
• ข้อ ค. (Alprazolam - Retrograde Amnesia): เป็น intermediate-acting Benzodiazepine ออกฤทธิ์เร็ว เหมาะสำหรับ panic attack แต่มีโอกาสเกิด dependence และ rebound anxiety สูงเมื่อหยุดยา
• ข้อ ง. (Duloxetine - Hypotension): ข้อนี้ไม่ใช่คำตอบที่ถูกต้องสำหรับภาวะ General Therapeutics เนื่องจากกลไกการออกฤทธิ์, efficacy หรือข้อบ่งใช้ไม่ตรงกับโจทย์ที่กำหนด
• ข้อ จ. (Bupropion - Induce seizure): เป็น NDRI ใช้ช่วยเลิกบุหรี่และรักษาซึมเศร้า แต่มี contraindication ในผู้ป่วยประวัติชัก (seizure disorder) หรือ anorexia/bulimia nervosa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0" s="18" t="inlineStr"/>
      <c r="L640" s="18" t="inlineStr">
        <is>
          <t>General Therapeutics</t>
        </is>
      </c>
      <c r="M640" s="18" t="inlineStr">
        <is>
          <t>Clinic</t>
        </is>
      </c>
      <c r="N640" s="18" t="inlineStr">
        <is>
          <t>ข้อ 57 (Pharmtutor_2024_Set1.md)</t>
        </is>
      </c>
      <c r="O640" s="18" t="inlineStr">
        <is>
          <t>Mock</t>
        </is>
      </c>
      <c r="P640" s="18" t="inlineStr">
        <is>
          <t>Mock Pharmtutor 2024</t>
        </is>
      </c>
    </row>
    <row r="641">
      <c r="A641" s="15" t="inlineStr">
        <is>
          <t>662</t>
        </is>
      </c>
      <c r="B641" s="18" t="inlineStr">
        <is>
          <t>โครงสร้างใดเข้าจับกับ binding site ของ GABA receptor ได้แตกต่างจากพวก</t>
        </is>
      </c>
      <c r="C641" s="18" t="inlineStr"/>
      <c r="D641" s="18" t="inlineStr">
        <is>
          <t>Sodium thiosulfate 25% 50 mL IV</t>
        </is>
      </c>
      <c r="E641" s="18" t="inlineStr">
        <is>
          <t>Calcium disodium EDTA 1 g IV</t>
        </is>
      </c>
      <c r="F641" s="18" t="inlineStr">
        <is>
          <t>Desferrioxamine 1 g IM/IV</t>
        </is>
      </c>
      <c r="G641" s="18" t="inlineStr">
        <is>
          <t>Dimercaprol (BAL) 3 mg/kg IM</t>
        </is>
      </c>
      <c r="H641" s="18" t="inlineStr">
        <is>
          <t>Ethanol 10% IV infusion for Methanol poisoning</t>
        </is>
      </c>
      <c r="I641" s="15" t="inlineStr">
        <is>
          <t>1</t>
        </is>
      </c>
      <c r="J6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1" s="18" t="inlineStr"/>
      <c r="L641" s="18" t="inlineStr">
        <is>
          <t>General Therapeutics</t>
        </is>
      </c>
      <c r="M641" s="18" t="inlineStr">
        <is>
          <t>Clinic</t>
        </is>
      </c>
      <c r="N641" s="18" t="inlineStr">
        <is>
          <t>ข้อ 59 (Pharmtutor_2024_Set1.md)</t>
        </is>
      </c>
      <c r="O641" s="18" t="inlineStr">
        <is>
          <t>Mock</t>
        </is>
      </c>
      <c r="P641" s="18" t="inlineStr">
        <is>
          <t>Mock Pharmtutor 2024</t>
        </is>
      </c>
    </row>
    <row r="642">
      <c r="A642" s="15" t="inlineStr">
        <is>
          <t>663</t>
        </is>
      </c>
      <c r="B642" s="18" t="inlineStr">
        <is>
          <t>จากอาการและประวัติของผู้ป่วยข้างต้น ข้อใดคือการรักษาที่เหมาะสมที่สุด</t>
        </is>
      </c>
      <c r="C642" s="18" t="inlineStr"/>
      <c r="D642" s="18" t="inlineStr">
        <is>
          <t>Bronchodilator</t>
        </is>
      </c>
      <c r="E642" s="18" t="inlineStr">
        <is>
          <t>LABA</t>
        </is>
      </c>
      <c r="F642" s="18" t="inlineStr">
        <is>
          <t>LABA+LAMA</t>
        </is>
      </c>
      <c r="G642" s="18" t="inlineStr">
        <is>
          <t>LAMA</t>
        </is>
      </c>
      <c r="H642" s="18" t="inlineStr">
        <is>
          <t>LABA+LABA+ICS</t>
        </is>
      </c>
      <c r="I642" s="15" t="inlineStr">
        <is>
          <t>1</t>
        </is>
      </c>
      <c r="J642" s="18" t="inlineStr">
        <is>
          <t>✅ คำตอบที่ถูกต้อง: ข้อ ก. Bronchodilator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Bronchodilator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(LABA): ข้อนี้ไม่ใช่คำตอบที่ถูกต้องสำหรับภาวะ General Therapeutics เนื่องจากกลไกการออกฤทธิ์, efficacy หรือข้อบ่งใช้ไม่ตรงกับโจทย์ที่กำหนด
• ข้อ ค. (LABA+LAMA): ข้อนี้ไม่ใช่คำตอบที่ถูกต้องสำหรับภาวะ General Therapeutics เนื่องจากกลไกการออกฤทธิ์, efficacy หรือข้อบ่งใช้ไม่ตรงกับโจทย์ที่กำหนด
• ข้อ ง. (LAMA): ข้อนี้ไม่ใช่คำตอบที่ถูกต้องสำหรับภาวะ General Therapeutics เนื่องจากกลไกการออกฤทธิ์, efficacy หรือข้อบ่งใช้ไม่ตรงกับโจทย์ที่กำหนด
• ข้อ จ. (LABA+LABA+ICS):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2" s="18" t="inlineStr"/>
      <c r="L642" s="18" t="inlineStr">
        <is>
          <t>General Therapeutics</t>
        </is>
      </c>
      <c r="M642" s="18" t="inlineStr">
        <is>
          <t>Clinic</t>
        </is>
      </c>
      <c r="N642" s="18" t="inlineStr">
        <is>
          <t>ข้อ 62 (Pharmtutor_2024_Set1.md)</t>
        </is>
      </c>
      <c r="O642" s="18" t="inlineStr">
        <is>
          <t>Mock</t>
        </is>
      </c>
      <c r="P642" s="18" t="inlineStr">
        <is>
          <t>Mock Pharmtutor 2024</t>
        </is>
      </c>
    </row>
    <row r="643">
      <c r="A643" s="15" t="inlineStr">
        <is>
          <t>664</t>
        </is>
      </c>
      <c r="B643" s="18" t="inlineStr">
        <is>
          <t>ข้อใดกล่าว ผิด เกี่ยวกับ Seretide accuhaler</t>
        </is>
      </c>
      <c r="C643" s="18" t="inlineStr"/>
      <c r="D643" s="18" t="inlineStr">
        <is>
          <t>อยู่ในลักษณะ Solid particles</t>
        </is>
      </c>
      <c r="E643" s="18" t="inlineStr">
        <is>
          <t>นิยมใช้ lactose เป็นตัวพา</t>
        </is>
      </c>
      <c r="F643" s="18" t="inlineStr">
        <is>
          <t>เป็น multiple unit dose</t>
        </is>
      </c>
      <c r="G643" s="18" t="inlineStr">
        <is>
          <t>ต้องทดสอบ Microbial limits</t>
        </is>
      </c>
      <c r="H643" s="18" t="inlineStr">
        <is>
          <t>ต้องทดสอบ Spray Pattern</t>
        </is>
      </c>
      <c r="I643" s="15" t="inlineStr">
        <is>
          <t>1</t>
        </is>
      </c>
      <c r="J643" s="18" t="inlineStr">
        <is>
          <t>✅ คำตอบที่ถูกต้อง: ข้อ ก. อยู่ในลักษณะ Solid particles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อยู่ในลักษณะ Solid particles การเลือก อยู่ในลักษณะ Solid particles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(นิยมใช้ lactose เป็นตัวพา): เป็น Diluent / Filler ยอดนิยม ละลายน้ำได้ดี ให้ mouthfeel ที่ดี แต่เกิด Maillard reaction (เม็ดยาเปลี่ยนเป็นสีน้ำตาล) เมื่อผสมกับ primary amine drugs
• ข้อ ค. (เป็น multiple unit dose): ข้อนี้ไม่ใช่คำตอบที่ถูกต้องสำหรับภาวะ Pulmonary Diseases เนื่องจากกลไกการออกฤทธิ์, efficacy หรือข้อบ่งใช้ไม่ตรงกับโจทย์ที่กำหนด
• ข้อ ง. (ต้องทดสอบ Microbial limits): ข้อนี้ไม่ใช่คำตอบที่ถูกต้องสำหรับภาวะ Pulmonary Diseases เนื่องจากกลไกการออกฤทธิ์, efficacy หรือข้อบ่งใช้ไม่ตรงกับโจทย์ที่กำหนด
• ข้อ จ. (ต้องทดสอบ Spray Pattern):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3" s="18" t="inlineStr"/>
      <c r="L643" s="18" t="inlineStr">
        <is>
          <t>Pulmonary Diseases</t>
        </is>
      </c>
      <c r="M643" s="18" t="inlineStr">
        <is>
          <t>Clinic</t>
        </is>
      </c>
      <c r="N643" s="18" t="inlineStr">
        <is>
          <t>ข้อ 64 (Pharmtutor_2024_Set1.md)</t>
        </is>
      </c>
      <c r="O643" s="18" t="inlineStr">
        <is>
          <t>Mock</t>
        </is>
      </c>
      <c r="P643" s="18" t="inlineStr">
        <is>
          <t>Mock Pharmtutor 2024</t>
        </is>
      </c>
    </row>
    <row r="644">
      <c r="A644" s="15" t="inlineStr">
        <is>
          <t>665</t>
        </is>
      </c>
      <c r="B644" s="18" t="inlineStr">
        <is>
          <t>จาก USP 39 กำหนดให้ห้ามพบเชื้อใดใน Seretide accuhaler</t>
        </is>
      </c>
      <c r="C644" s="18" t="inlineStr"/>
      <c r="D644" s="18" t="inlineStr">
        <is>
          <t>Staphylococcus aureus</t>
        </is>
      </c>
      <c r="E644" s="18" t="inlineStr">
        <is>
          <t>Candida albicans</t>
        </is>
      </c>
      <c r="F644" s="18" t="inlineStr">
        <is>
          <t>Pseudomonas aeruginosa</t>
        </is>
      </c>
      <c r="G644" s="18" t="inlineStr">
        <is>
          <t>ข้อ a และ c ถูก</t>
        </is>
      </c>
      <c r="H644" s="18" t="inlineStr">
        <is>
          <t>ข้อ a b และ c ถูก</t>
        </is>
      </c>
      <c r="I644" s="15" t="inlineStr">
        <is>
          <t>1</t>
        </is>
      </c>
      <c r="J644" s="18" t="inlineStr">
        <is>
          <t>✅ คำตอบที่ถูกต้อง: ข้อ ก. Staphylococcus aureus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Staphylococcus aureus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ข้อนี้ไม่ใช่คำตอบที่ถูกต้องสำหรับภาวะ Pulmonary Diseases เนื่องจากกลไกการออกฤทธิ์, efficacy หรือข้อบ่งใช้ไม่ตรงกับโจทย์ที่กำหนด
• ข้อ ค. (Pseudomonas aeruginosa): ข้อนี้ไม่ใช่คำตอบที่ถูกต้องสำหรับภาวะ Pulmonary Diseases เนื่องจากกลไกการออกฤทธิ์, efficacy หรือข้อบ่งใช้ไม่ตรงกับโจทย์ที่กำหนด
• ข้อ ง. (ข้อ a และ c ถูก): ข้อนี้ไม่ใช่คำตอบที่ถูกต้องสำหรับภาวะ Pulmonary Diseases เนื่องจากกลไกการออกฤทธิ์, efficacy หรือข้อบ่งใช้ไม่ตรงกับโจทย์ที่กำหนด
• ข้อ จ. (ข้อ a b และ c ถูก):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4" s="18" t="inlineStr"/>
      <c r="L644" s="18" t="inlineStr">
        <is>
          <t>Pulmonary Diseases</t>
        </is>
      </c>
      <c r="M644" s="18" t="inlineStr">
        <is>
          <t>Clinic</t>
        </is>
      </c>
      <c r="N644" s="18" t="inlineStr">
        <is>
          <t>ข้อ 65 (Pharmtutor_2024_Set1.md)</t>
        </is>
      </c>
      <c r="O644" s="18" t="inlineStr">
        <is>
          <t>Mock</t>
        </is>
      </c>
      <c r="P644" s="18" t="inlineStr">
        <is>
          <t>Mock Pharmtutor 2024</t>
        </is>
      </c>
    </row>
    <row r="645">
      <c r="A645" s="15" t="inlineStr">
        <is>
          <t>666</t>
        </is>
      </c>
      <c r="B645" s="18" t="inlineStr">
        <is>
          <t>ข้อใดกล่าวผิดเกี่ยวกับภาวะการปวดระดู หรือปวดประจำเดือน</t>
        </is>
      </c>
      <c r="C645" s="18" t="inlineStr"/>
      <c r="D645" s="18" t="inlineStr">
        <is>
          <t>มีอาการอยู่ประมาณ 1 วัน อาจพบอาการได้นานถึง 2-3 วัน</t>
        </is>
      </c>
      <c r="E645" s="18" t="inlineStr">
        <is>
          <t>มักเกิดภายใน 6-12 เดือนหลังจากเริ่มมีประจำเดือนครั้งแรก</t>
        </is>
      </c>
      <c r="F645" s="18" t="inlineStr">
        <is>
          <t>อาการจะมากที่สุดในช่วงที่มีเลือดประจำเดือนออกมาก</t>
        </is>
      </c>
      <c r="G645" s="18" t="inlineStr">
        <is>
          <t>สาเหตุเกิดจากการหดรัดตัวของกล้ามเนื้อมดลูกจากการกระตุ้นของสาร Prostaglandin ที่หลั่งออกมาในระหว่างมีประจำเดือน</t>
        </is>
      </c>
      <c r="H645" s="18" t="inlineStr">
        <is>
          <t>มักจะเริ่มแสดงอาการเมื่อเข้าสู่ทำงาน และมีการตกไข่อย่างสม่ำเสมอ</t>
        </is>
      </c>
      <c r="I645" s="15" t="inlineStr">
        <is>
          <t>1</t>
        </is>
      </c>
      <c r="J645" s="18" t="inlineStr">
        <is>
          <t>✅ คำตอบที่ถูกต้อง: ข้อ ก. มีอาการอยู่ประมาณ 1 วัน อาจพบอาการได้นานถึง 2-3 วัน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มีอาการอยู่ประมาณ 1 วัน อาจพบอาการได้นานถึง 2-3 วัน การเลือก มีอาการอยู่ประมาณ 1 วัน อาจพบอาการได้นานถึง 2-3 วัน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(มักเกิดภายใน 6-12 เดือนหลังจากเริ่มมีประจำเดือนครั้งแรก): ข้อนี้ไม่ใช่คำตอบที่ถูกต้องสำหรับภาวะ Gynaecologic &amp; GU เนื่องจากกลไกการออกฤทธิ์, efficacy หรือข้อบ่งใช้ไม่ตรงกับโจทย์ที่กำหนด
• ข้อ ค. (อาการจะมากที่สุดในช่วงที่มีเลือดประจำเดือนออกมาก): ข้อนี้ไม่ใช่คำตอบที่ถูกต้องสำหรับภาวะ Gynaecologic &amp; GU เนื่องจากกลไกการออกฤทธิ์, efficacy หรือข้อบ่งใช้ไม่ตรงกับโจทย์ที่กำหนด
• ข้อ ง. (สาเหตุเกิดจากการหดรัดตัวของกล้ามเนื้อมดลูกจากการกระตุ้นของสาร Prostaglandin ที่หลั่งออกมาในระหว่างมีประจำเดือน):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(มักจะเริ่มแสดงอาการเมื่อเข้าสู่ทำงาน และมีการตกไข่อย่างสม่ำเสมอ):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5" s="18" t="inlineStr"/>
      <c r="L645" s="18" t="inlineStr">
        <is>
          <t>Gynaecologic &amp; GU</t>
        </is>
      </c>
      <c r="M645" s="18" t="inlineStr">
        <is>
          <t>Clinic</t>
        </is>
      </c>
      <c r="N645" s="18" t="inlineStr">
        <is>
          <t>ข้อ 66 (Pharmtutor_2024_Set1.md)</t>
        </is>
      </c>
      <c r="O645" s="18" t="inlineStr">
        <is>
          <t>Mock</t>
        </is>
      </c>
      <c r="P645" s="18" t="inlineStr">
        <is>
          <t>Mock Pharmtutor 2024</t>
        </is>
      </c>
    </row>
    <row r="646">
      <c r="A646" s="15" t="inlineStr">
        <is>
          <t>667</t>
        </is>
      </c>
      <c r="B646" s="18" t="inlineStr">
        <is>
          <t>ข้อใดไม่ใช่การรักษาภาวะการปวดระดู</t>
        </is>
      </c>
      <c r="C646" s="18" t="inlineStr"/>
      <c r="D646" s="18" t="inlineStr">
        <is>
          <t>การรับประทานยาในกลุ่มแก้อักเสบที่ไม่ใช่สเตรียรอยด์</t>
        </is>
      </c>
      <c r="E646" s="18" t="inlineStr">
        <is>
          <t>การประคบเย็น</t>
        </is>
      </c>
      <c r="F646" s="18" t="inlineStr">
        <is>
          <t>การใช้คลื่นความถี่สูงในการรักษาการปวด</t>
        </is>
      </c>
      <c r="G646" s="18" t="inlineStr">
        <is>
          <t>การใช้ห่วงคุมกำเนิด</t>
        </is>
      </c>
      <c r="H646" s="18" t="inlineStr">
        <is>
          <t>การรับประทานยาคุมกำเนิดชนิด progestin</t>
        </is>
      </c>
      <c r="I646" s="15" t="inlineStr">
        <is>
          <t>1</t>
        </is>
      </c>
      <c r="J646" s="18" t="inlineStr">
        <is>
          <t>✅ คำตอบที่ถูกต้อง: ข้อ ก. การรับประทานยาในกลุ่มแก้อักเสบที่ไม่ใช่สเตรียรอยด์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การรับประทานยาในกลุ่มแก้อักเสบที่ไม่ใช่สเตรียรอยด์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(การประคบเย็น): ข้อนี้ไม่ใช่คำตอบที่ถูกต้องสำหรับภาวะ General Therapeutics เนื่องจากกลไกการออกฤทธิ์, efficacy หรือข้อบ่งใช้ไม่ตรงกับโจทย์ที่กำหนด
• ข้อ ค. (การใช้คลื่นความถี่สูงในการรักษาการปวด): ข้อนี้ไม่ใช่คำตอบที่ถูกต้องสำหรับภาวะ General Therapeutics เนื่องจากกลไกการออกฤทธิ์, efficacy หรือข้อบ่งใช้ไม่ตรงกับโจทย์ที่กำหนด
• ข้อ ง. (การใช้ห่วงคุมกำเนิด):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จ. (การรับประทานยาคุมกำเนิดชนิด progestin):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6" s="18" t="inlineStr"/>
      <c r="L646" s="18" t="inlineStr">
        <is>
          <t>General Therapeutics</t>
        </is>
      </c>
      <c r="M646" s="18" t="inlineStr">
        <is>
          <t>Clinic</t>
        </is>
      </c>
      <c r="N646" s="18" t="inlineStr">
        <is>
          <t>ข้อ 67 (Pharmtutor_2024_Set1.md)</t>
        </is>
      </c>
      <c r="O646" s="18" t="inlineStr">
        <is>
          <t>Mock</t>
        </is>
      </c>
      <c r="P646" s="18" t="inlineStr">
        <is>
          <t>Mock Pharmtutor 2024</t>
        </is>
      </c>
    </row>
    <row r="647">
      <c r="A647" s="15" t="inlineStr">
        <is>
          <t>668</t>
        </is>
      </c>
      <c r="B647" s="18" t="inlineStr">
        <is>
          <t>ปัจจัยใดบ้างที่ส่งผลต่อภาวะกลั้นปัสสาวะ</t>
        </is>
      </c>
      <c r="C647" s="18" t="inlineStr"/>
      <c r="D647" s="18" t="inlineStr">
        <is>
          <t>การดื่มเครื่องดื่มที่มีคาเฟอีน</t>
        </is>
      </c>
      <c r="E647" s="18" t="inlineStr">
        <is>
          <t>ภาวะอ้วน</t>
        </is>
      </c>
      <c r="F647" s="18" t="inlineStr">
        <is>
          <t>กล้ามเนื้ออุ้งเชิงกรานหดตัว</t>
        </is>
      </c>
      <c r="G647" s="18" t="inlineStr">
        <is>
          <t>ข้อ a และ b</t>
        </is>
      </c>
      <c r="H647" s="18" t="inlineStr">
        <is>
          <t>ถูกทุกข้อ</t>
        </is>
      </c>
      <c r="I647" s="15" t="inlineStr">
        <is>
          <t>1</t>
        </is>
      </c>
      <c r="J647" s="18" t="inlineStr">
        <is>
          <t>✅ คำตอบที่ถูกต้อง: ข้อ ก. การดื่มเครื่องดื่มที่มีคาเฟอีน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การดื่มเครื่องดื่มที่มีคาเฟอีน การเลือก การดื่มเครื่องดื่มที่มีคาเฟอีน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(ภาวะอ้วน):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(กล้ามเนื้ออุ้งเชิงกรานหดตัว): ข้อนี้ไม่ใช่คำตอบที่ถูกต้องสำหรับภาวะ General Therapeutics เนื่องจากกลไกการออกฤทธิ์, efficacy หรือข้อบ่งใช้ไม่ตรงกับโจทย์ที่กำหนด
• ข้อ ง. (ข้อ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7" s="18" t="inlineStr"/>
      <c r="L647" s="18" t="inlineStr">
        <is>
          <t>General Therapeutics</t>
        </is>
      </c>
      <c r="M647" s="18" t="inlineStr">
        <is>
          <t>Clinic</t>
        </is>
      </c>
      <c r="N647" s="18" t="inlineStr">
        <is>
          <t>ข้อ 72 (Pharmtutor_2024_Set1.md)</t>
        </is>
      </c>
      <c r="O647" s="18" t="inlineStr">
        <is>
          <t>Mock</t>
        </is>
      </c>
      <c r="P647" s="18" t="inlineStr">
        <is>
          <t>Mock Pharmtutor 2024</t>
        </is>
      </c>
    </row>
    <row r="648">
      <c r="A648" s="15" t="inlineStr">
        <is>
          <t>669</t>
        </is>
      </c>
      <c r="B648" s="18" t="inlineStr">
        <is>
          <t>ยาในข้อใดสามารถรักษาภาวะกลั้นปัสสาวะไม่ได้</t>
        </is>
      </c>
      <c r="C648" s="18" t="inlineStr"/>
      <c r="D648" s="18" t="inlineStr">
        <is>
          <t>Furosemide</t>
        </is>
      </c>
      <c r="E648" s="18" t="inlineStr">
        <is>
          <t>Enalapril</t>
        </is>
      </c>
      <c r="F648" s="18" t="inlineStr">
        <is>
          <t>Duloxetine</t>
        </is>
      </c>
      <c r="G648" s="18" t="inlineStr">
        <is>
          <t>Venlafaxine</t>
        </is>
      </c>
      <c r="H648" s="18" t="inlineStr">
        <is>
          <t>Nortriptyline</t>
        </is>
      </c>
      <c r="I648" s="15" t="inlineStr">
        <is>
          <t>1</t>
        </is>
      </c>
      <c r="J648" s="18"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(Duloxetine):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8" s="18" t="inlineStr"/>
      <c r="L648" s="18" t="inlineStr">
        <is>
          <t>General Therapeutics</t>
        </is>
      </c>
      <c r="M648" s="18" t="inlineStr">
        <is>
          <t>Clinic</t>
        </is>
      </c>
      <c r="N648" s="18" t="inlineStr">
        <is>
          <t>ข้อ 73 (Pharmtutor_2024_Set1.md)</t>
        </is>
      </c>
      <c r="O648" s="18" t="inlineStr">
        <is>
          <t>Mock</t>
        </is>
      </c>
      <c r="P648" s="18" t="inlineStr">
        <is>
          <t>Mock Pharmtutor 2024</t>
        </is>
      </c>
    </row>
    <row r="649">
      <c r="A649" s="15" t="inlineStr">
        <is>
          <t>670</t>
        </is>
      </c>
      <c r="B649" s="18" t="inlineStr">
        <is>
          <t>ข้อใดคือกลไกการออกฤทธิ์ของยา Glipizide</t>
        </is>
      </c>
      <c r="C649" s="18" t="inlineStr"/>
      <c r="D649" s="18" t="inlineStr">
        <is>
          <t>กระตุ้นเอนไซม์ AMPK ในเซลล์ตับ</t>
        </is>
      </c>
      <c r="E649" s="18" t="inlineStr">
        <is>
          <t>ลดการดูดซึมกลูโคสบริเวณลำไส้</t>
        </is>
      </c>
      <c r="F649" s="18" t="inlineStr">
        <is>
          <t>กระตุ้นการหลั่งอินซูลินโดยยับยั้ง ATP-sensitive K+ channels ใน beta-cell</t>
        </is>
      </c>
      <c r="G649" s="18" t="inlineStr">
        <is>
          <t>กระตุ้น Peroxisome proliferator-activated receptor (PPAR)-γ</t>
        </is>
      </c>
      <c r="H649" s="18" t="inlineStr">
        <is>
          <t>ยับยั้งการย่อยแป้งและคาร์โบไฮเดรต โดยยับยั้งการทำงานของเอนไซม์ Alpha-glucosidase</t>
        </is>
      </c>
      <c r="I649" s="15" t="inlineStr">
        <is>
          <t>1</t>
        </is>
      </c>
      <c r="J649" s="18" t="inlineStr">
        <is>
          <t>✅ คำตอบที่ถูกต้อง: ข้อ ก. กระตุ้นเอนไซม์ AMPK ในเซลล์ตับ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กระตุ้นเอนไซม์ AMPK ในเซลล์ตับ การเลือก กระตุ้นเอนไซม์ AMPK ในเซลล์ตับ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(ลดการดูดซึมกลูโคสบริเวณลำไส้): ข้อนี้ไม่ใช่คำตอบที่ถูกต้องสำหรับภาวะ Diabetes &amp; Endocrine เนื่องจากกลไกการออกฤทธิ์, efficacy หรือข้อบ่งใช้ไม่ตรงกับโจทย์ที่กำหนด
• ข้อ ค. (กระตุ้นการหลั่งอินซูลินโดยยับยั้ง ATP-sensitive K+ channels ใน beta-cell): ข้อนี้ไม่ใช่คำตอบที่ถูกต้องสำหรับภาวะ Diabetes &amp; Endocrine เนื่องจากกลไกการออกฤทธิ์, efficacy หรือข้อบ่งใช้ไม่ตรงกับโจทย์ที่กำหนด
• ข้อ ง. (กระตุ้น Peroxisome proliferator-activated receptor (PPAR)-γ): ข้อนี้ไม่ใช่คำตอบที่ถูกต้องสำหรับภาวะ Diabetes &amp; Endocrine เนื่องจากกลไกการออกฤทธิ์, efficacy หรือข้อบ่งใช้ไม่ตรงกับโจทย์ที่กำหนด
• ข้อ จ. (ยับยั้งการย่อยแป้งและคาร์โบไฮเดรต โดยยับยั้งการทำงานของเอนไซม์ Alpha-glucosidase):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649" s="18" t="inlineStr"/>
      <c r="L649" s="18" t="inlineStr">
        <is>
          <t>Diabetes &amp; Endocrine</t>
        </is>
      </c>
      <c r="M649" s="18" t="inlineStr">
        <is>
          <t>Clinic</t>
        </is>
      </c>
      <c r="N649" s="18" t="inlineStr">
        <is>
          <t>ข้อ 76 (Pharmtutor_2024_Set1.md)</t>
        </is>
      </c>
      <c r="O649" s="18" t="inlineStr">
        <is>
          <t>Mock</t>
        </is>
      </c>
      <c r="P649" s="18" t="inlineStr">
        <is>
          <t>Mock Pharmtutor 2024</t>
        </is>
      </c>
    </row>
    <row r="650">
      <c r="A650" s="15" t="inlineStr">
        <is>
          <t>671</t>
        </is>
      </c>
      <c r="B650" s="18" t="inlineStr">
        <is>
          <t>ข้อใดคือ กลไกการออกฤทธิ์ของยา Orlistat</t>
        </is>
      </c>
      <c r="C650" s="18" t="inlineStr"/>
      <c r="D650" s="18" t="inlineStr">
        <is>
          <t>กดความอยากอาหารผ่านระบบประสาท sympathomimetic</t>
        </is>
      </c>
      <c r="E650" s="18" t="inlineStr">
        <is>
          <t>กดความอยากอาหารผ่านโดยเป็น Selective serotonin receptor agonist</t>
        </is>
      </c>
      <c r="F650" s="18" t="inlineStr">
        <is>
          <t>กดความอยากอาหารผ่านโดยเป็น Dopamine/ NE reuptake inhibitor</t>
        </is>
      </c>
      <c r="G650" s="18" t="inlineStr">
        <is>
          <t>กดความอยากอาหารผ่านโดยเป็น GLP-1 agonist</t>
        </is>
      </c>
      <c r="H650" s="18" t="inlineStr">
        <is>
          <t>ยับยั้งเอนไซม์ไลเปส ลดการดูดซึมไขมัน</t>
        </is>
      </c>
      <c r="I650" s="15" t="inlineStr">
        <is>
          <t>1</t>
        </is>
      </c>
      <c r="J650" s="18" t="inlineStr">
        <is>
          <t>✅ คำตอบที่ถูกต้อง: ข้อ ก. กดความอยากอาหารผ่านระบบประสาท sympathomimetic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กดความอยากอาหารผ่านระบบประสาท sympathomimetic การเลือก กดความอยากอาหารผ่านระบบประสาท sympathomimetic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(กดความอยากอาหารผ่านโดยเป็น Selective serotonin receptor agonist): ข้อนี้ไม่ใช่คำตอบที่ถูกต้องสำหรับภาวะ General Therapeutics เนื่องจากกลไกการออกฤทธิ์, efficacy หรือข้อบ่งใช้ไม่ตรงกับโจทย์ที่กำหนด
• ข้อ ค. (กดความอยากอาหารผ่านโดยเป็น Dopamine/ NE reuptake inhibitor): ข้อนี้ไม่ใช่คำตอบที่ถูกต้องสำหรับภาวะ General Therapeutics เนื่องจากกลไกการออกฤทธิ์, efficacy หรือข้อบ่งใช้ไม่ตรงกับโจทย์ที่กำหนด
• ข้อ ง. (กดความอยากอาหารผ่านโดยเป็น GLP-1 agonist): ข้อนี้ไม่ใช่คำตอบที่ถูกต้องสำหรับภาวะ General Therapeutics เนื่องจากกลไกการออกฤทธิ์, efficacy หรือข้อบ่งใช้ไม่ตรงกับโจทย์ที่กำหนด
• ข้อ จ. (ยับยั้งเอนไซม์ไลเปส ลดการดูดซึมไขมัน):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0" s="18" t="inlineStr"/>
      <c r="L650" s="18" t="inlineStr">
        <is>
          <t>General Therapeutics</t>
        </is>
      </c>
      <c r="M650" s="18" t="inlineStr">
        <is>
          <t>Clinic</t>
        </is>
      </c>
      <c r="N650" s="18" t="inlineStr">
        <is>
          <t>ข้อ 79 (Pharmtutor_2024_Set1.md)</t>
        </is>
      </c>
      <c r="O650" s="18" t="inlineStr">
        <is>
          <t>Mock</t>
        </is>
      </c>
      <c r="P650" s="18" t="inlineStr">
        <is>
          <t>Mock Pharmtutor 2024</t>
        </is>
      </c>
    </row>
    <row r="651">
      <c r="A651" s="15" t="inlineStr">
        <is>
          <t>672</t>
        </is>
      </c>
      <c r="B651" s="18" t="inlineStr">
        <is>
          <t>ผู้ป่วยรายนี้ควรได้รับยา cycle ปัจจุบันหรือไม่ อย่างไร</t>
        </is>
      </c>
      <c r="C651" s="18" t="inlineStr"/>
      <c r="D651" s="18" t="inlineStr">
        <is>
          <t>ไม่ควรได้รับ เพราะ Hb ต่ำมี anemia</t>
        </is>
      </c>
      <c r="E651" s="18" t="inlineStr">
        <is>
          <t>ควรได้รับ เพราะให้การรักษาที่ต่อเนื่อง</t>
        </is>
      </c>
      <c r="F651" s="18" t="inlineStr">
        <is>
          <t>ไม่ควรได้รับ เพราะ ANC ต่ำกว่าเกณฑ์</t>
        </is>
      </c>
      <c r="G651" s="18" t="inlineStr">
        <is>
          <t>ไม่ควรได้รับ เพราะ plt count ต่ำ</t>
        </is>
      </c>
      <c r="H651" s="18" t="inlineStr">
        <is>
          <t>ควรได้รับ เพราะ ผู้ป่วยยังตอบสนองต่อการรักษา</t>
        </is>
      </c>
      <c r="I651" s="15" t="inlineStr">
        <is>
          <t>1</t>
        </is>
      </c>
      <c r="J651" s="18" t="inlineStr">
        <is>
          <t>✅ คำตอบที่ถูกต้อง: ข้อ ก. ไม่ควรได้รับ เพราะ Hb ต่ำมี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ไม่ควรได้รับ เพราะ Hb ต่ำมี anemia การเลือก ไม่ควรได้รับ เพราะ Hb ต่ำมี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(ควรได้รับ เพราะให้การรักษาที่ต่อเนื่อง):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(ไม่ควรได้รับ เพราะ ANC ต่ำกว่าเกณฑ์): ข้อนี้ไม่ใช่คำตอบที่ถูกต้องสำหรับภาวะ General Therapeutics เนื่องจากกลไกการออกฤทธิ์, efficacy หรือข้อบ่งใช้ไม่ตรงกับโจทย์ที่กำหนด
• ข้อ ง. (ไม่ควรได้รับ เพราะ plt count ต่ำ): ข้อนี้ไม่ใช่คำตอบที่ถูกต้องสำหรับภาวะ General Therapeutics เนื่องจากกลไกการออกฤทธิ์, efficacy หรือข้อบ่งใช้ไม่ตรงกับโจทย์ที่กำหนด
• ข้อ จ. (ควรได้รับ เพราะ ผู้ป่วยยังตอบสนองต่อการรักษา):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1" s="18" t="inlineStr"/>
      <c r="L651" s="18" t="inlineStr">
        <is>
          <t>General Therapeutics</t>
        </is>
      </c>
      <c r="M651" s="18" t="inlineStr">
        <is>
          <t>Clinic</t>
        </is>
      </c>
      <c r="N651" s="18" t="inlineStr">
        <is>
          <t>ข้อ 83 (Pharmtutor_2024_Set1.md)</t>
        </is>
      </c>
      <c r="O651" s="18" t="inlineStr">
        <is>
          <t>Mock</t>
        </is>
      </c>
      <c r="P651" s="18" t="inlineStr">
        <is>
          <t>Mock Pharmtutor 2024</t>
        </is>
      </c>
    </row>
    <row r="652">
      <c r="A652" s="15" t="inlineStr">
        <is>
          <t>673</t>
        </is>
      </c>
      <c r="B652" s="18" t="inlineStr">
        <is>
          <t>ต่อมาผู้ป่วยรายนี้ตรวจพบว่าเป็น CA Colon ได้รับยาสูตร mFOLFOX6 ผู้ป่วยได้รับ Leucovorin เนื่องด้วยเหตุผลอะไร</t>
        </is>
      </c>
      <c r="C652" s="18" t="inlineStr"/>
      <c r="D652" s="18" t="inlineStr">
        <is>
          <t>ลดฤทธิ์ของ Oxaliplatin</t>
        </is>
      </c>
      <c r="E652" s="18" t="inlineStr">
        <is>
          <t>เพิ่มฤทธิ์ของ Oxaliplatin</t>
        </is>
      </c>
      <c r="F652" s="18" t="inlineStr">
        <is>
          <t>ลดฤทธิ์ของ 5-FU</t>
        </is>
      </c>
      <c r="G652" s="18" t="inlineStr">
        <is>
          <t>เพิ่มฤทธิ์ของ 5-FU</t>
        </is>
      </c>
      <c r="H652" s="18" t="inlineStr">
        <is>
          <t>ลดอาการข้างเคียงจากยา 5-FU</t>
        </is>
      </c>
      <c r="I652" s="15" t="inlineStr">
        <is>
          <t>1</t>
        </is>
      </c>
      <c r="J652" s="18" t="inlineStr">
        <is>
          <t>✅ คำตอบที่ถูกต้อง: ข้อ ก. ลดฤทธิ์ของ Oxaliplatin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ลดฤทธิ์ของ Oxaliplatin การเลือก ลดฤทธิ์ของ Oxaliplatin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(เพิ่มฤทธิ์ของ Oxaliplatin): ข้อนี้ไม่ใช่คำตอบที่ถูกต้องสำหรับภาวะ General Therapeutics เนื่องจากกลไกการออกฤทธิ์, efficacy หรือข้อบ่งใช้ไม่ตรงกับโจทย์ที่กำหนด
• ข้อ ค. (ลดฤทธิ์ของ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ง. (เพิ่มฤทธิ์ของ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จ. (ลดอาการข้างเคียงจากยา 5-FU):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2" s="18" t="inlineStr"/>
      <c r="L652" s="18" t="inlineStr">
        <is>
          <t>General Therapeutics</t>
        </is>
      </c>
      <c r="M652" s="18" t="inlineStr">
        <is>
          <t>Clinic</t>
        </is>
      </c>
      <c r="N652" s="18" t="inlineStr">
        <is>
          <t>ข้อ 84 (Pharmtutor_2024_Set1.md)</t>
        </is>
      </c>
      <c r="O652" s="18" t="inlineStr">
        <is>
          <t>Mock</t>
        </is>
      </c>
      <c r="P652" s="18" t="inlineStr">
        <is>
          <t>Mock Pharmtutor 2024</t>
        </is>
      </c>
    </row>
    <row r="653">
      <c r="A653" s="15" t="inlineStr">
        <is>
          <t>674</t>
        </is>
      </c>
      <c r="B653" s="18"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C653" s="18" t="inlineStr"/>
      <c r="D653" s="18" t="inlineStr">
        <is>
          <t>Mild - persistent</t>
        </is>
      </c>
      <c r="E653" s="18" t="inlineStr">
        <is>
          <t>Moderate-Severe persistent</t>
        </is>
      </c>
      <c r="F653" s="18" t="inlineStr">
        <is>
          <t>Mild - intermittent</t>
        </is>
      </c>
      <c r="G653" s="18" t="inlineStr">
        <is>
          <t>Moderate-Severe intermittent</t>
        </is>
      </c>
      <c r="H653" s="18" t="inlineStr">
        <is>
          <t>Uncontrolled</t>
        </is>
      </c>
      <c r="I653" s="15" t="inlineStr">
        <is>
          <t>1</t>
        </is>
      </c>
      <c r="J653" s="18" t="inlineStr">
        <is>
          <t>✅ คำตอบที่ถูกต้อง: ข้อ ก. Mild - persistent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Mild - persistent การเลือก Mild - persistent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(Moderate-Severe persistent): ข้อนี้ไม่ใช่คำตอบที่ถูกต้องสำหรับภาวะ General Therapeutics เนื่องจากกลไกการออกฤทธิ์, efficacy หรือข้อบ่งใช้ไม่ตรงกับโจทย์ที่กำหนด
• ข้อ ค. (Mild - intermittent): ข้อนี้ไม่ใช่คำตอบที่ถูกต้องสำหรับภาวะ General Therapeutics เนื่องจากกลไกการออกฤทธิ์, efficacy หรือข้อบ่งใช้ไม่ตรงกับโจทย์ที่กำหนด
• ข้อ ง. (Moderate-Severe intermittent): ข้อนี้ไม่ใช่คำตอบที่ถูกต้องสำหรับภาวะ General Therapeutics เนื่องจากกลไกการออกฤทธิ์, efficacy หรือข้อบ่งใช้ไม่ตรงกับโจทย์ที่กำหนด
• ข้อ จ. (Uncontrolled):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3" s="18" t="inlineStr"/>
      <c r="L653" s="18" t="inlineStr">
        <is>
          <t>General Therapeutics</t>
        </is>
      </c>
      <c r="M653" s="18" t="inlineStr">
        <is>
          <t>Clinic</t>
        </is>
      </c>
      <c r="N653" s="18" t="inlineStr">
        <is>
          <t>ข้อ 85 (Pharmtutor_2024_Set1.md)</t>
        </is>
      </c>
      <c r="O653" s="18" t="inlineStr">
        <is>
          <t>Mock</t>
        </is>
      </c>
      <c r="P653" s="18" t="inlineStr">
        <is>
          <t>Mock Pharmtutor 2024</t>
        </is>
      </c>
    </row>
    <row r="654">
      <c r="A654" s="15" t="inlineStr">
        <is>
          <t>675</t>
        </is>
      </c>
      <c r="B654" s="18" t="inlineStr">
        <is>
          <t>ยาทางเลือกแรกในการรักษาของผู้ป่วยรายดังกล่าว คือข้อใด หากผู้ป่วยไม่มีข้อห้ามใช้ยา</t>
        </is>
      </c>
      <c r="C654" s="18" t="inlineStr"/>
      <c r="D654" s="18" t="inlineStr">
        <is>
          <t>CPM</t>
        </is>
      </c>
      <c r="E654" s="18" t="inlineStr">
        <is>
          <t>Loratadine</t>
        </is>
      </c>
      <c r="F654" s="18" t="inlineStr">
        <is>
          <t>Fluticasone nasal spray</t>
        </is>
      </c>
      <c r="G654" s="18" t="inlineStr">
        <is>
          <t>Immunotherapy</t>
        </is>
      </c>
      <c r="H654" s="18" t="inlineStr">
        <is>
          <t>Phenylephrine</t>
        </is>
      </c>
      <c r="I654" s="15" t="inlineStr">
        <is>
          <t>1</t>
        </is>
      </c>
      <c r="J654" s="18" t="inlineStr">
        <is>
          <t>✅ คำตอบที่ถูกต้อง: ข้อ ก. CPM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CPM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(Loratadine): ข้อนี้ไม่ใช่คำตอบที่ถูกต้องสำหรับภาวะ General Therapeutics เนื่องจากกลไกการออกฤทธิ์, efficacy หรือข้อบ่งใช้ไม่ตรงกับโจทย์ที่กำหนด
• ข้อ ค. (Fluticasone nasal spray): เป็น potent ICS มี high topical potency และ systemic bioavailability ต่ำ ใช้เป็น maintenance anti-inflammatory controller ใน moderate-to-severe asthma และ COPD with high eosinophils
• ข้อ ง. (Immunotherapy): ข้อนี้ไม่ใช่คำตอบที่ถูกต้องสำหรับภาวะ General Therapeutics เนื่องจากกลไกการออกฤทธิ์, efficacy หรือข้อบ่งใช้ไม่ตรงกับโจทย์ที่กำหนด
• ข้อ จ. (Phenylephrine):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4" s="18" t="inlineStr"/>
      <c r="L654" s="18" t="inlineStr">
        <is>
          <t>General Therapeutics</t>
        </is>
      </c>
      <c r="M654" s="18" t="inlineStr">
        <is>
          <t>Clinic</t>
        </is>
      </c>
      <c r="N654" s="18" t="inlineStr">
        <is>
          <t>ข้อ 86 (Pharmtutor_2024_Set1.md)</t>
        </is>
      </c>
      <c r="O654" s="18" t="inlineStr">
        <is>
          <t>Mock</t>
        </is>
      </c>
      <c r="P654" s="18" t="inlineStr">
        <is>
          <t>Mock Pharmtutor 2024</t>
        </is>
      </c>
    </row>
    <row r="655">
      <c r="A655" s="15" t="inlineStr">
        <is>
          <t>676</t>
        </is>
      </c>
      <c r="B655" s="18" t="inlineStr">
        <is>
          <t>จากอาการข้างต้นผู้ป่วยรายดังกล่าวควรได้รับยาชนิดใดในการรักษาเพิ่มเติม</t>
        </is>
      </c>
      <c r="C655" s="18" t="inlineStr"/>
      <c r="D655" s="18" t="inlineStr">
        <is>
          <t>erythropoietin stimulating agent</t>
        </is>
      </c>
      <c r="E655" s="18" t="inlineStr">
        <is>
          <t>Sodium polystyrene sulfonate</t>
        </is>
      </c>
      <c r="F655" s="18" t="inlineStr">
        <is>
          <t>alfacalcidol</t>
        </is>
      </c>
      <c r="G655" s="18" t="inlineStr">
        <is>
          <t>Sodamint</t>
        </is>
      </c>
      <c r="H655" s="18" t="inlineStr">
        <is>
          <t>Sevelamer</t>
        </is>
      </c>
      <c r="I655" s="15" t="inlineStr">
        <is>
          <t>1</t>
        </is>
      </c>
      <c r="J655" s="18" t="inlineStr">
        <is>
          <t>✅ คำตอบที่ถูกต้อง: ข้อ ก. erythropoietin stimulating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erythropoietin stimulating agent การเลือก erythropoietin stimulating agent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ค. (alfacalcidol): ข้อนี้ไม่ใช่คำตอบที่ถูกต้องสำหรับภาวะ General Therapeutics เนื่องจากกลไกการออกฤทธิ์, efficacy หรือข้อบ่งใช้ไม่ตรงกับโจทย์ที่กำหนด
• ข้อ ง. (Sodamint): ข้อนี้ไม่ใช่คำตอบที่ถูกต้องสำหรับภาวะ General Therapeutics เนื่องจากกลไกการออกฤทธิ์, efficacy หรือข้อบ่งใช้ไม่ตรงกับโจทย์ที่กำหนด
• ข้อ จ. (Sevelamer): เป็น Non-calcium, non-aluminum phosphate binder เหมาะสำหรับ CKD patients ที่มี hypercalcemia หรือ vascular calcification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5" s="18" t="inlineStr"/>
      <c r="L655" s="18" t="inlineStr">
        <is>
          <t>General Therapeutics</t>
        </is>
      </c>
      <c r="M655" s="18" t="inlineStr">
        <is>
          <t>Clinic</t>
        </is>
      </c>
      <c r="N655" s="18" t="inlineStr">
        <is>
          <t>ข้อ 90 (Pharmtutor_2024_Set1.md)</t>
        </is>
      </c>
      <c r="O655" s="18" t="inlineStr">
        <is>
          <t>Mock</t>
        </is>
      </c>
      <c r="P655" s="18" t="inlineStr">
        <is>
          <t>Mock Pharmtutor 2024</t>
        </is>
      </c>
    </row>
    <row r="656">
      <c r="A656" s="15" t="inlineStr">
        <is>
          <t>677</t>
        </is>
      </c>
      <c r="B656" s="18" t="inlineStr">
        <is>
          <t>จากโครงสร้างยา Digoxin ข้างต้น หากต้องการทดสอบสารสำคัญตามวงกลมในภาพ ควรใช้การทดสอบใดเพื่อพิสูจน์เอกลักษณ์สารดังกล่าว</t>
        </is>
      </c>
      <c r="C656" s="18" t="inlineStr"/>
      <c r="D656" s="18" t="inlineStr">
        <is>
          <t>Folin-Ciocalteu Content</t>
        </is>
      </c>
      <c r="E656" s="18" t="inlineStr">
        <is>
          <t>DPPH assay</t>
        </is>
      </c>
      <c r="F656" s="18" t="inlineStr">
        <is>
          <t>Liebermann-burchard test</t>
        </is>
      </c>
      <c r="G656" s="18" t="inlineStr">
        <is>
          <t>Dragendorff test</t>
        </is>
      </c>
      <c r="H656" s="18" t="inlineStr">
        <is>
          <t>FTIR spectroscopy</t>
        </is>
      </c>
      <c r="I656" s="15" t="inlineStr">
        <is>
          <t>1</t>
        </is>
      </c>
      <c r="J656" s="18" t="inlineStr">
        <is>
          <t>✅ คำตอบที่ถูกต้อง: ข้อ ก. Folin-Ciocalteu Content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Folin-Ciocalteu Content การเลือก Folin-Ciocalteu Content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(DPPH assay): ข้อนี้ไม่ใช่คำตอบที่ถูกต้องสำหรับภาวะ Cardiovascular Diseases เนื่องจากกลไกการออกฤทธิ์, efficacy หรือข้อบ่งใช้ไม่ตรงกับโจทย์ที่กำหนด
• ข้อ ค. (Liebermann-burchard test): ข้อนี้ไม่ใช่คำตอบที่ถูกต้องสำหรับภาวะ Cardiovascular Diseases เนื่องจากกลไกการออกฤทธิ์, efficacy หรือข้อบ่งใช้ไม่ตรงกับโจทย์ที่กำหนด
• ข้อ ง. (Dragendorff test): ข้อนี้ไม่ใช่คำตอบที่ถูกต้องสำหรับภาวะ Cardiovascular Diseases เนื่องจากกลไกการออกฤทธิ์, efficacy หรือข้อบ่งใช้ไม่ตรงกับโจทย์ที่กำหนด
• ข้อ จ. (FTIR spectroscopy):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6" s="18" t="inlineStr"/>
      <c r="L656" s="18" t="inlineStr">
        <is>
          <t>Cardiovascular Diseases</t>
        </is>
      </c>
      <c r="M656" s="18" t="inlineStr">
        <is>
          <t>Clinic</t>
        </is>
      </c>
      <c r="N656" s="18" t="inlineStr">
        <is>
          <t>ข้อ 91 (Pharmtutor_2024_Set1.md)</t>
        </is>
      </c>
      <c r="O656" s="18" t="inlineStr">
        <is>
          <t>Mock</t>
        </is>
      </c>
      <c r="P656" s="18" t="inlineStr">
        <is>
          <t>Mock Pharmtutor 2024</t>
        </is>
      </c>
    </row>
    <row r="657">
      <c r="A657" s="15" t="inlineStr">
        <is>
          <t>678</t>
        </is>
      </c>
      <c r="B657" s="18" t="inlineStr">
        <is>
          <t>ข้อใดต่อไปนี้ ไม่ใช่ วิธีการทดสอบ specific test ในข้อ 101</t>
        </is>
      </c>
      <c r="C657" s="18" t="inlineStr"/>
      <c r="D657" s="18" t="inlineStr">
        <is>
          <t>Membrane Filtration</t>
        </is>
      </c>
      <c r="E657" s="18" t="inlineStr">
        <is>
          <t>Plate-count Methods</t>
        </is>
      </c>
      <c r="F657" s="18" t="inlineStr">
        <is>
          <t>Most-Probable-Number (MPN) Method</t>
        </is>
      </c>
      <c r="G657" s="18" t="inlineStr">
        <is>
          <t>Direct inoculation</t>
        </is>
      </c>
      <c r="H657" s="18" t="inlineStr">
        <is>
          <t>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t>
        </is>
      </c>
      <c r="I657" s="15" t="inlineStr">
        <is>
          <t>1</t>
        </is>
      </c>
      <c r="J657" s="18" t="inlineStr">
        <is>
          <t>✅ คำตอบที่ถูกต้อง: ข้อ ก. Membrane Filtration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Membrane Filtration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(Plate-count Methods): ข้อนี้ไม่ใช่คำตอบที่ถูกต้องสำหรับภาวะ General Therapeutics เนื่องจากกลไกการออกฤทธิ์, efficacy หรือข้อบ่งใช้ไม่ตรงกับโจทย์ที่กำหนด
• ข้อ ค. (Most-Probable-Number (MPN) Method): ข้อนี้ไม่ใช่คำตอบที่ถูกต้องสำหรับภาวะ General Therapeutics เนื่องจากกลไกการออกฤทธิ์, efficacy หรือข้อบ่งใช้ไม่ตรงกับโจทย์ที่กำหนด
• ข้อ ง. (Direct inoculation):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7" s="18" t="inlineStr"/>
      <c r="L657" s="18" t="inlineStr">
        <is>
          <t>General Therapeutics</t>
        </is>
      </c>
      <c r="M657" s="18" t="inlineStr">
        <is>
          <t>Clinic</t>
        </is>
      </c>
      <c r="N657" s="18" t="inlineStr">
        <is>
          <t>ข้อ 102 (Pharmtutor_2024_Set1.md)</t>
        </is>
      </c>
      <c r="O657" s="18" t="inlineStr">
        <is>
          <t>Mock</t>
        </is>
      </c>
      <c r="P657" s="18" t="inlineStr">
        <is>
          <t>Mock Pharmtutor 2024</t>
        </is>
      </c>
    </row>
    <row r="658">
      <c r="A658" s="15" t="inlineStr">
        <is>
          <t>679</t>
        </is>
      </c>
      <c r="B658" s="18" t="inlineStr">
        <is>
          <t>ในระหว่างกระบวนผลิต พบว่า เม็ดยาติดสาก ควรเติมสารใดในตำรับเพิ่ม</t>
        </is>
      </c>
      <c r="C658" s="18" t="inlineStr"/>
      <c r="D658" s="18" t="inlineStr">
        <is>
          <t>Calcium hydrogen phosphate (anhydrous)</t>
        </is>
      </c>
      <c r="E658" s="18" t="inlineStr">
        <is>
          <t>Microcrystalline cellulose</t>
        </is>
      </c>
      <c r="F658" s="18" t="inlineStr">
        <is>
          <t>Croscarmellose sodium</t>
        </is>
      </c>
      <c r="G658" s="18" t="inlineStr">
        <is>
          <t>Hypromellose</t>
        </is>
      </c>
      <c r="H658" s="18" t="inlineStr">
        <is>
          <t>Magnesium stearate</t>
        </is>
      </c>
      <c r="I658" s="15" t="inlineStr">
        <is>
          <t>1</t>
        </is>
      </c>
      <c r="J658" s="18" t="inlineStr">
        <is>
          <t>✅ คำตอบที่ถูกต้อง: ข้อ ก. Calcium hydrogen phosphate (anhydrous)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hydrogen phosphate (anhydrous) การเลือก Calcium hydrogen phosphate (anhydrous)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General Therapeutics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General Therapeutics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8" s="18" t="inlineStr"/>
      <c r="L658" s="18" t="inlineStr">
        <is>
          <t>General Therapeutics</t>
        </is>
      </c>
      <c r="M658" s="18" t="inlineStr">
        <is>
          <t>Clinic</t>
        </is>
      </c>
      <c r="N658" s="18" t="inlineStr">
        <is>
          <t>ข้อ 103 (Pharmtutor_2024_Set1.md)</t>
        </is>
      </c>
      <c r="O658" s="18" t="inlineStr">
        <is>
          <t>Mock</t>
        </is>
      </c>
      <c r="P658" s="18" t="inlineStr">
        <is>
          <t>Mock Pharmtutor 2024</t>
        </is>
      </c>
    </row>
    <row r="659">
      <c r="A659" s="15" t="inlineStr">
        <is>
          <t>680</t>
        </is>
      </c>
      <c r="B659" s="18" t="inlineStr">
        <is>
          <t>สารใดนิยมใช้เป็น propellant ใน MDIs</t>
        </is>
      </c>
      <c r="C659" s="18" t="inlineStr"/>
      <c r="D659" s="18" t="inlineStr">
        <is>
          <t>hydrofluoroalkane (HFA)</t>
        </is>
      </c>
      <c r="E659" s="18" t="inlineStr">
        <is>
          <t>nitrous oxide</t>
        </is>
      </c>
      <c r="F659" s="18" t="inlineStr">
        <is>
          <t>isobutane</t>
        </is>
      </c>
      <c r="G659" s="18" t="inlineStr">
        <is>
          <t>n-butane</t>
        </is>
      </c>
      <c r="H659" s="18" t="inlineStr">
        <is>
          <t>propane</t>
        </is>
      </c>
      <c r="I659" s="15" t="inlineStr">
        <is>
          <t>1</t>
        </is>
      </c>
      <c r="J659" s="18" t="inlineStr">
        <is>
          <t>✅ คำตอบที่ถูกต้อง: ข้อ ก. hydrofluoroalkane (HFA)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hydrofluoroalkane (HFA) การเลือก hydrofluoroalkane (HFA)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(nitrous oxide): ข้อนี้ไม่ใช่คำตอบที่ถูกต้องสำหรับภาวะ General Therapeutics เนื่องจากกลไกการออกฤทธิ์, efficacy หรือข้อบ่งใช้ไม่ตรงกับโจทย์ที่กำหนด
• ข้อ ค. (isobutane): ข้อนี้ไม่ใช่คำตอบที่ถูกต้องสำหรับภาวะ General Therapeutics เนื่องจากกลไกการออกฤทธิ์, efficacy หรือข้อบ่งใช้ไม่ตรงกับโจทย์ที่กำหนด
• ข้อ ง. (n-butane): ข้อนี้ไม่ใช่คำตอบที่ถูกต้องสำหรับภาวะ General Therapeutics เนื่องจากกลไกการออกฤทธิ์, efficacy หรือข้อบ่งใช้ไม่ตรงกับโจทย์ที่กำหนด
• ข้อ จ. (propane):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9" s="18" t="inlineStr"/>
      <c r="L659" s="18" t="inlineStr">
        <is>
          <t>General Therapeutics</t>
        </is>
      </c>
      <c r="M659" s="18" t="inlineStr">
        <is>
          <t>Clinic</t>
        </is>
      </c>
      <c r="N659" s="18" t="inlineStr">
        <is>
          <t>ข้อ 109 (Pharmtutor_2024_Set1.md)</t>
        </is>
      </c>
      <c r="O659" s="18" t="inlineStr">
        <is>
          <t>Mock</t>
        </is>
      </c>
      <c r="P659" s="18" t="inlineStr">
        <is>
          <t>Mock Pharmtutor 2024</t>
        </is>
      </c>
    </row>
    <row r="660">
      <c r="A660" s="15" t="inlineStr">
        <is>
          <t>681</t>
        </is>
      </c>
      <c r="B660" s="18" t="inlineStr">
        <is>
          <t>ข้อใดจำเป็นไม่จำเป็นต้องทดสอบใน MDIs</t>
        </is>
      </c>
      <c r="C660" s="18" t="inlineStr"/>
      <c r="D660" s="18" t="inlineStr">
        <is>
          <t>Spray Pattern</t>
        </is>
      </c>
      <c r="E660" s="18" t="inlineStr">
        <is>
          <t>Microbial Limits</t>
        </is>
      </c>
      <c r="F660" s="18" t="inlineStr">
        <is>
          <t>Net Content Weight</t>
        </is>
      </c>
      <c r="G660" s="18" t="inlineStr">
        <is>
          <t>Leachables (stability)</t>
        </is>
      </c>
      <c r="H660" s="18" t="inlineStr">
        <is>
          <t>Uniformity of Dosage Units</t>
        </is>
      </c>
      <c r="I660" s="15" t="inlineStr">
        <is>
          <t>1</t>
        </is>
      </c>
      <c r="J660" s="18" t="inlineStr">
        <is>
          <t>✅ คำตอบที่ถูกต้อง: ข้อ ก. Spray Pattern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Spray Pattern การเลือก Spray Pattern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(Microbial Limits): ข้อนี้ไม่ใช่คำตอบที่ถูกต้องสำหรับภาวะ General Therapeutics เนื่องจากกลไกการออกฤทธิ์, efficacy หรือข้อบ่งใช้ไม่ตรงกับโจทย์ที่กำหนด
• ข้อ ค. (Net Content Weight): ข้อนี้ไม่ใช่คำตอบที่ถูกต้องสำหรับภาวะ General Therapeutics เนื่องจากกลไกการออกฤทธิ์, efficacy หรือข้อบ่งใช้ไม่ตรงกับโจทย์ที่กำหนด
• ข้อ ง. (Leachables (stability)): ข้อนี้ไม่ใช่คำตอบที่ถูกต้องสำหรับภาวะ General Therapeutics เนื่องจากกลไกการออกฤทธิ์, efficacy หรือข้อบ่งใช้ไม่ตรงกับโจทย์ที่กำหนด
• ข้อ จ. (Uniformity of Dosage Units):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0" s="18" t="inlineStr"/>
      <c r="L660" s="18" t="inlineStr">
        <is>
          <t>General Therapeutics</t>
        </is>
      </c>
      <c r="M660" s="18" t="inlineStr">
        <is>
          <t>Clinic</t>
        </is>
      </c>
      <c r="N660" s="18" t="inlineStr">
        <is>
          <t>ข้อ 110 (Pharmtutor_2024_Set1.md)</t>
        </is>
      </c>
      <c r="O660" s="18" t="inlineStr">
        <is>
          <t>Mock</t>
        </is>
      </c>
      <c r="P660" s="18" t="inlineStr">
        <is>
          <t>Mock Pharmtutor 2024</t>
        </is>
      </c>
    </row>
    <row r="661">
      <c r="A661" s="15" t="inlineStr">
        <is>
          <t>682</t>
        </is>
      </c>
      <c r="B661" s="18" t="inlineStr">
        <is>
          <t>ยาในชนิดใดไม่จำเป็นต้องทำบัญชี ขย 10</t>
        </is>
      </c>
      <c r="C661" s="18" t="inlineStr"/>
      <c r="D661" s="18" t="inlineStr">
        <is>
          <t>Prednisolone Tablet</t>
        </is>
      </c>
      <c r="E661" s="18" t="inlineStr">
        <is>
          <t>Seretide Accuhaler</t>
        </is>
      </c>
      <c r="F661" s="18" t="inlineStr">
        <is>
          <t>Tramadol Tablet</t>
        </is>
      </c>
      <c r="G661" s="18" t="inlineStr">
        <is>
          <t>Oseltamivir Capsule</t>
        </is>
      </c>
      <c r="H661" s="18" t="inlineStr">
        <is>
          <t>Lamivudine Tablet</t>
        </is>
      </c>
      <c r="I661" s="15" t="inlineStr">
        <is>
          <t>1</t>
        </is>
      </c>
      <c r="J661" s="18" t="inlineStr">
        <is>
          <t>✅ คำตอบที่ถูกต้อง: ข้อ ก. Prednisolone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Prednisolone Tablet การเลือก Prednisolone Tablet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(Seretide Accuhaler): ข้อนี้ไม่ใช่คำตอบที่ถูกต้องสำหรับภาวะ General Therapeutics เนื่องจากกลไกการออกฤทธิ์, efficacy หรือข้อบ่งใช้ไม่ตรงกับโจทย์ที่กำหนด
• ข้อ ค. (Tramadol Tablet): เป็น weak mu-opioid agonist และ SNRI เป็นเพียง second-line / add-on สำหรับ pain relief ไม่มีฤทธิ์ลดการอักเสบ (no anti-inflammatory efficacy) และเสี่ยงต่อ serotonin syndrome และชัก
• ข้อ ง. (Oseltamivir Capsule):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(Lamivudine Tablet):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61" s="18" t="inlineStr"/>
      <c r="L661" s="18" t="inlineStr">
        <is>
          <t>General Therapeutics</t>
        </is>
      </c>
      <c r="M661" s="18" t="inlineStr">
        <is>
          <t>Clinic</t>
        </is>
      </c>
      <c r="N661" s="18" t="inlineStr">
        <is>
          <t>ข้อ 113 (Pharmtutor_2024_Set1.md)</t>
        </is>
      </c>
      <c r="O661" s="18" t="inlineStr">
        <is>
          <t>Mock</t>
        </is>
      </c>
      <c r="P661" s="18" t="inlineStr">
        <is>
          <t>Mock Pharmtutor 2024</t>
        </is>
      </c>
    </row>
    <row r="662">
      <c r="A662" s="15" t="inlineStr">
        <is>
          <t>683</t>
        </is>
      </c>
      <c r="B662" s="18" t="inlineStr">
        <is>
          <t>เจ้าหน้าที่พนักงานสุ่มตรวจวัตถุออกฤทธิ์ต่อจิตประสาทที่ร้านขายยา เมื่อส่งตรวจที่กรมวิทยาศาสตร์การแพทย์ พบว่า ปริมาณตัวยาสำคัญต่ำกว่าช่วงมาตรฐาน 12% สามารถสรุปได้ว่าวัตถุออกฤทธิ์ดังกล่าวเป็นวัตถุออกฤทธิ์ชนิดใด</t>
        </is>
      </c>
      <c r="C662" s="18" t="inlineStr"/>
      <c r="D662" s="18" t="inlineStr">
        <is>
          <t>วัตถุออกฤทธิ์ปลอม</t>
        </is>
      </c>
      <c r="E662" s="18" t="inlineStr">
        <is>
          <t>วัตถุออกฤทธิ์เสื่อมคุณภาพ</t>
        </is>
      </c>
      <c r="F662" s="18" t="inlineStr">
        <is>
          <t>วัตถุออกฤทธิ์ผิดมาตรฐาน</t>
        </is>
      </c>
      <c r="G662" s="18" t="inlineStr">
        <is>
          <t>วัตถุออกฤทธิ์ผิดคุณภาพ</t>
        </is>
      </c>
      <c r="H662" s="18" t="inlineStr">
        <is>
          <t>วัตถุออกฤทธิ์ต่ำกว่ามาตรฐาน</t>
        </is>
      </c>
      <c r="I662" s="15" t="inlineStr">
        <is>
          <t>1</t>
        </is>
      </c>
      <c r="J662" s="18" t="inlineStr">
        <is>
          <t>✅ คำตอบที่ถูกต้อง: ข้อ ก. วัตถุออกฤทธิ์ปลอม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วัตถุออกฤทธิ์ปลอม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(วัตถุออกฤทธิ์เสื่อมคุณภาพ):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ค. (วัตถุออกฤทธิ์ผิดมาตรฐาน): ข้อนี้ไม่ใช่คำตอบที่ถูกต้องสำหรับภาวะ Pharmacy Laws &amp; Ethics เนื่องจากกลไกการออกฤทธิ์, efficacy หรือข้อบ่งใช้ไม่ตรงกับโจทย์ที่กำหนด
• ข้อ ง. (วัตถุออกฤทธิ์ผิดคุณภาพ):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จ. (วัตถุออกฤทธิ์ต่ำกว่ามาตรฐาน):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2" s="18" t="inlineStr"/>
      <c r="L662" s="18" t="inlineStr">
        <is>
          <t>Pharmacy Laws &amp; Ethics</t>
        </is>
      </c>
      <c r="M662" s="18" t="inlineStr">
        <is>
          <t>SAP</t>
        </is>
      </c>
      <c r="N662" s="18" t="inlineStr">
        <is>
          <t>ข้อ 114 (Pharmtutor_2024_Set1.md)</t>
        </is>
      </c>
      <c r="O662" s="18" t="inlineStr">
        <is>
          <t>Mock</t>
        </is>
      </c>
      <c r="P662" s="18" t="inlineStr">
        <is>
          <t>Mock Pharmtutor 2024</t>
        </is>
      </c>
    </row>
    <row r="663">
      <c r="A663" s="15" t="inlineStr">
        <is>
          <t>684</t>
        </is>
      </c>
      <c r="B663" s="18" t="inlineStr">
        <is>
          <t>จากกราฟข้างต้นเป็นกราฟแสดงการกระจายรายได้ของคนไทยในปี 2545 จากกราฟข้างต้นสามารถสรุปได้ว่าอย่างไร</t>
        </is>
      </c>
      <c r="C663" s="18" t="inlineStr"/>
      <c r="D663" s="18" t="inlineStr">
        <is>
          <t>การกระจายของข้อมูลเป็นแบบปกติ normal distribution</t>
        </is>
      </c>
      <c r="E663" s="18" t="inlineStr">
        <is>
          <t>การกระจายของข้อมูลเป็นแบบปกติ normal distribution (Mean&gt;Mode)</t>
        </is>
      </c>
      <c r="F663" s="18" t="inlineStr">
        <is>
          <t>การกระจายของข้อมูลเป็นแบบปกติ normal distribution (Mean&lt;Mode)</t>
        </is>
      </c>
      <c r="G663" s="18" t="inlineStr">
        <is>
          <t>การกระจายของข้อมูลเบ้ไปทางขวา Right Skewed</t>
        </is>
      </c>
      <c r="H663" s="18" t="inlineStr">
        <is>
          <t>การกระจายของข้อมูลเบ้ไปทางซ้าย Left Skewed</t>
        </is>
      </c>
      <c r="I663" s="15" t="inlineStr">
        <is>
          <t>1</t>
        </is>
      </c>
      <c r="J663" s="18" t="inlineStr">
        <is>
          <t>✅ คำตอบที่ถูกต้อง: ข้อ ก. การกระจายของข้อมูลเป็นแบบปกติ normal distribution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การกระจายของข้อมูลเป็นแบบปกติ normal distribution การเลือก การกระจายของข้อมูลเป็นแบบปกติ normal distribution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(การกระจายของข้อมูลเป็นแบบปกติ normal distribution (Mean&gt;Mode)): ข้อนี้ไม่ใช่คำตอบที่ถูกต้องสำหรับภาวะ General Therapeutics เนื่องจากกลไกการออกฤทธิ์, efficacy หรือข้อบ่งใช้ไม่ตรงกับโจทย์ที่กำหนด
• ข้อ ค. (การกระจายของข้อมูลเป็นแบบปกติ normal distribution (Mean&lt;Mode)): ข้อนี้ไม่ใช่คำตอบที่ถูกต้องสำหรับภาวะ General Therapeutics เนื่องจากกลไกการออกฤทธิ์, efficacy หรือข้อบ่งใช้ไม่ตรงกับโจทย์ที่กำหนด
• ข้อ ง. (การกระจายของข้อมูลเบ้ไปทางขวา Right Skewed): ข้อนี้ไม่ใช่คำตอบที่ถูกต้องสำหรับภาวะ General Therapeutics เนื่องจากกลไกการออกฤทธิ์, efficacy หรือข้อบ่งใช้ไม่ตรงกับโจทย์ที่กำหนด
• ข้อ จ. (การกระจายของข้อมูลเบ้ไปทางซ้าย Left Skewed):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3" s="18" t="inlineStr"/>
      <c r="L663" s="18" t="inlineStr">
        <is>
          <t>General Therapeutics</t>
        </is>
      </c>
      <c r="M663" s="18" t="inlineStr">
        <is>
          <t>Clinic</t>
        </is>
      </c>
      <c r="N663" s="18" t="inlineStr">
        <is>
          <t>ข้อ 117 (Pharmtutor_2024_Set1.md)</t>
        </is>
      </c>
      <c r="O663" s="18" t="inlineStr">
        <is>
          <t>Mock</t>
        </is>
      </c>
      <c r="P663" s="18" t="inlineStr">
        <is>
          <t>Mock Pharmtutor 2024</t>
        </is>
      </c>
    </row>
    <row r="664">
      <c r="A664" s="15" t="inlineStr">
        <is>
          <t>685</t>
        </is>
      </c>
      <c r="B664" s="18"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C664" s="18" t="inlineStr"/>
      <c r="D664" s="18" t="inlineStr">
        <is>
          <t>PDPA</t>
        </is>
      </c>
      <c r="E664" s="18" t="inlineStr">
        <is>
          <t>PDCA</t>
        </is>
      </c>
      <c r="F664" s="18" t="inlineStr">
        <is>
          <t>Tallman letter</t>
        </is>
      </c>
      <c r="G664" s="18" t="inlineStr">
        <is>
          <t>Swiss cheese model</t>
        </is>
      </c>
      <c r="H664" s="18" t="inlineStr">
        <is>
          <t>5-why</t>
        </is>
      </c>
      <c r="I664" s="15" t="inlineStr">
        <is>
          <t>1</t>
        </is>
      </c>
      <c r="J664" s="18" t="inlineStr">
        <is>
          <t>✅ คำตอบที่ถูกต้อง: ข้อ ก. PDPA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PDPA การเลือก PDPA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(PDCA): ข้อนี้ไม่ใช่คำตอบที่ถูกต้องสำหรับภาวะ Infectious Diseases เนื่องจากกลไกการออกฤทธิ์, efficacy หรือข้อบ่งใช้ไม่ตรงกับโจทย์ที่กำหนด
• ข้อ ค. (Tallman letter): ข้อนี้ไม่ใช่คำตอบที่ถูกต้องสำหรับภาวะ Infectious Diseases เนื่องจากกลไกการออกฤทธิ์, efficacy หรือข้อบ่งใช้ไม่ตรงกับโจทย์ที่กำหนด
• ข้อ ง. (Swiss cheese model): ข้อนี้ไม่ใช่คำตอบที่ถูกต้องสำหรับภาวะ Infectious Diseases เนื่องจากกลไกการออกฤทธิ์, efficacy หรือข้อบ่งใช้ไม่ตรงกับโจทย์ที่กำหนด
• ข้อ จ. (5-why):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4" s="18" t="inlineStr"/>
      <c r="L664" s="18" t="inlineStr">
        <is>
          <t>Infectious Diseases</t>
        </is>
      </c>
      <c r="M664" s="18" t="inlineStr">
        <is>
          <t>Clinic</t>
        </is>
      </c>
      <c r="N664" s="18" t="inlineStr">
        <is>
          <t>ข้อ 119 (Pharmtutor_2024_Set1.md)</t>
        </is>
      </c>
      <c r="O664" s="18" t="inlineStr">
        <is>
          <t>Mock</t>
        </is>
      </c>
      <c r="P664" s="18" t="inlineStr">
        <is>
          <t>Mock Pharmtutor 2024</t>
        </is>
      </c>
    </row>
    <row r="665">
      <c r="A665" s="15" t="inlineStr">
        <is>
          <t>686</t>
        </is>
      </c>
      <c r="B665" s="18" t="inlineStr">
        <is>
          <t>ข้อใดไม่ใช่ข้อห้ามใช้ของ Fibrinolytic agent</t>
        </is>
      </c>
      <c r="C665" s="18" t="inlineStr"/>
      <c r="D665" s="18" t="inlineStr">
        <is>
          <t>มีประวัติเลือดออกในสมอง (Hemorrhagic stroke)</t>
        </is>
      </c>
      <c r="E665" s="18" t="inlineStr">
        <is>
          <t>มีประวัติสมองขาดเลือด (Ischemic stroke) ภายใน 6 เดือน</t>
        </is>
      </c>
      <c r="F665" s="18" t="inlineStr">
        <is>
          <t>เลือดออกในระบบทางเดินอาหาร ภายใน 6 สัปดาห์</t>
        </is>
      </c>
      <c r="G665" s="18" t="inlineStr">
        <is>
          <t>เคยผ่าตัดใหญ่ภายใน 1 เดือน</t>
        </is>
      </c>
      <c r="H665" s="18" t="inlineStr">
        <is>
          <t>มีความดันโลหิต &gt;160/100 mmHg</t>
        </is>
      </c>
      <c r="I665" s="15" t="inlineStr">
        <is>
          <t>1</t>
        </is>
      </c>
      <c r="J665" s="18" t="inlineStr">
        <is>
          <t>✅ คำตอบที่ถูกต้อง: ข้อ ก. มีประวัติเลือดออกในสมอง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มีประวัติเลือดออกในสมอง (Hemorrhagic stroke) การเลือก มีประวัติเลือดออกในสมอง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(มีประวัติสมองขาดเลือด (Ischemic stroke) ภายใน 6 เดือน): ข้อนี้ไม่ใช่คำตอบที่ถูกต้องสำหรับภาวะ General Therapeutics เนื่องจากกลไกการออกฤทธิ์, efficacy หรือข้อบ่งใช้ไม่ตรงกับโจทย์ที่กำหนด
• ข้อ ค. (เลือดออกในระบบทางเดินอาหาร ภายใน 6 สัปดาห์): ข้อนี้ไม่ใช่คำตอบที่ถูกต้องสำหรับภาวะ General Therapeutics เนื่องจากกลไกการออกฤทธิ์, efficacy หรือข้อบ่งใช้ไม่ตรงกับโจทย์ที่กำหนด
• ข้อ ง. (เคยผ่าตัดใหญ่ภายใน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(มีความดันโลหิต &gt;160/100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5" s="18" t="inlineStr"/>
      <c r="L665" s="18" t="inlineStr">
        <is>
          <t>General Therapeutics</t>
        </is>
      </c>
      <c r="M665" s="18" t="inlineStr">
        <is>
          <t>Clinic</t>
        </is>
      </c>
      <c r="N665" s="18" t="inlineStr">
        <is>
          <t>ข้อ 8 (Pharmtutor_2024_Set2.md)</t>
        </is>
      </c>
      <c r="O665" s="18" t="inlineStr">
        <is>
          <t>Mock</t>
        </is>
      </c>
      <c r="P665" s="18" t="inlineStr">
        <is>
          <t>Mock Pharmtutor 2024</t>
        </is>
      </c>
    </row>
    <row r="666">
      <c r="A666" s="15" t="inlineStr">
        <is>
          <t>687</t>
        </is>
      </c>
      <c r="B666" s="18" t="inlineStr">
        <is>
          <t>จากโครงสร้างที่กำหนดให้ ข้อใดไม่มีฤทธิ์ต้านการอักเสบ</t>
        </is>
      </c>
      <c r="C666" s="18" t="inlineStr"/>
      <c r="D666" s="18" t="inlineStr">
        <is>
          <t>Dimercaprol (BAL) 3 mg/kg IM</t>
        </is>
      </c>
      <c r="E666" s="18" t="inlineStr">
        <is>
          <t>Ethanol 10% IV infusion for Methanol poisoning</t>
        </is>
      </c>
      <c r="F666" s="18" t="inlineStr">
        <is>
          <t>Fomepizole 15 mg/kg IV loading</t>
        </is>
      </c>
      <c r="G666" s="18" t="inlineStr">
        <is>
          <t>N-acetylcysteine (NAC) IV infusion protocol</t>
        </is>
      </c>
      <c r="H666" s="18" t="inlineStr">
        <is>
          <t>Atropine sulfate 2 mg IV Q5-10 min</t>
        </is>
      </c>
      <c r="I666" s="15" t="inlineStr">
        <is>
          <t>1</t>
        </is>
      </c>
      <c r="J6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6" s="18" t="inlineStr"/>
      <c r="L666" s="18" t="inlineStr">
        <is>
          <t>General Therapeutics</t>
        </is>
      </c>
      <c r="M666" s="18" t="inlineStr">
        <is>
          <t>Clinic</t>
        </is>
      </c>
      <c r="N666" s="18" t="inlineStr">
        <is>
          <t>ข้อ 20 (Pharmtutor_2024_Set2.md)</t>
        </is>
      </c>
      <c r="O666" s="18" t="inlineStr">
        <is>
          <t>Mock</t>
        </is>
      </c>
      <c r="P666" s="18" t="inlineStr">
        <is>
          <t>Mock Pharmtutor 2024</t>
        </is>
      </c>
    </row>
    <row r="667">
      <c r="A667" s="15" t="inlineStr">
        <is>
          <t>688</t>
        </is>
      </c>
      <c r="B667" s="18" t="inlineStr">
        <is>
          <t>กลไกของการใช้ยาลดกรด หรือป้องกันกรดท่นขึ้นมาจากการมีภาวะกรดเกิด ที่จับตัวกันเป็นก้อน เรียกกลไกนี้ว่าอะไร</t>
        </is>
      </c>
      <c r="C667" s="18" t="inlineStr"/>
      <c r="D667" s="18" t="inlineStr">
        <is>
          <t>Forming Effect</t>
        </is>
      </c>
      <c r="E667" s="18" t="inlineStr">
        <is>
          <t>Rafting Effect</t>
        </is>
      </c>
      <c r="F667" s="18" t="inlineStr">
        <is>
          <t>Generating Effect</t>
        </is>
      </c>
      <c r="G667" s="18" t="inlineStr">
        <is>
          <t>Grouping Effect</t>
        </is>
      </c>
      <c r="H667" s="18" t="inlineStr">
        <is>
          <t>ข้อ a และ b ถูก</t>
        </is>
      </c>
      <c r="I667" s="15" t="inlineStr">
        <is>
          <t>1</t>
        </is>
      </c>
      <c r="J667" s="18" t="inlineStr">
        <is>
          <t>✅ คำตอบที่ถูกต้อง: ข้อ ก. Forming Effect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Forming Effect การเลือก Forming Effect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(Rafting Effect): ข้อนี้ไม่ใช่คำตอบที่ถูกต้องสำหรับภาวะ GI Disorders เนื่องจากกลไกการออกฤทธิ์, efficacy หรือข้อบ่งใช้ไม่ตรงกับโจทย์ที่กำหนด
• ข้อ ค. (Generating Effect): ข้อนี้ไม่ใช่คำตอบที่ถูกต้องสำหรับภาวะ GI Disorders เนื่องจากกลไกการออกฤทธิ์, efficacy หรือข้อบ่งใช้ไม่ตรงกับโจทย์ที่กำหนด
• ข้อ ง. (Grouping Effect): ข้อนี้ไม่ใช่คำตอบที่ถูกต้องสำหรับภาวะ GI Disorders เนื่องจากกลไกการออกฤทธิ์, efficacy หรือข้อบ่งใช้ไม่ตรงกับโจทย์ที่กำหนด
• ข้อ จ. (ข้อ a และ b ถูก):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7" s="18" t="inlineStr"/>
      <c r="L667" s="18" t="inlineStr">
        <is>
          <t>GI Disorders</t>
        </is>
      </c>
      <c r="M667" s="18" t="inlineStr">
        <is>
          <t>Clinic</t>
        </is>
      </c>
      <c r="N667" s="18" t="inlineStr">
        <is>
          <t>ข้อ 22 (Pharmtutor_2024_Set2.md)</t>
        </is>
      </c>
      <c r="O667" s="18" t="inlineStr">
        <is>
          <t>Mock</t>
        </is>
      </c>
      <c r="P667" s="18" t="inlineStr">
        <is>
          <t>Mock Pharmtutor 2024</t>
        </is>
      </c>
    </row>
    <row r="668">
      <c r="A668" s="15" t="inlineStr">
        <is>
          <t>689</t>
        </is>
      </c>
      <c r="B668" s="18" t="inlineStr">
        <is>
          <t>การให้คำแนะนำในผู้ป่วยท้องผูก ข้อใดเหมาะสม</t>
        </is>
      </c>
      <c r="C668" s="18" t="inlineStr"/>
      <c r="D668" s="18" t="inlineStr">
        <is>
          <t>หลีกเลียงอาหารรสจัด</t>
        </is>
      </c>
      <c r="E668" s="18" t="inlineStr">
        <is>
          <t>กินอาหารอ่อน ย่อยง่าย ไม่มีกากใย</t>
        </is>
      </c>
      <c r="F668" s="18" t="inlineStr">
        <is>
          <t>ดื่มน้ำมากๆต่อวัน และออกกำลังกายอย่างสม่ำเสมอ</t>
        </is>
      </c>
      <c r="G668" s="18" t="inlineStr">
        <is>
          <t>ปรึกษาแพทย์ผู้เชี่ยวชาญ เพื่อหาสาเหตุ และปรับเปลี่ยนการรักษา</t>
        </is>
      </c>
      <c r="H668" s="18" t="inlineStr">
        <is>
          <t>ทุกข้อคือคำแนะนำที่เหมาะสม</t>
        </is>
      </c>
      <c r="I668" s="15" t="inlineStr">
        <is>
          <t>1</t>
        </is>
      </c>
      <c r="J668" s="18" t="inlineStr">
        <is>
          <t>✅ คำตอบที่ถูกต้อง: ข้อ ก. หลีกเลียงอาหารรสจัด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หลีกเลียงอาหารรสจัด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(กินอาหารอ่อน ย่อยง่าย ไม่มีกากใย): ข้อนี้ไม่ใช่คำตอบที่ถูกต้องสำหรับภาวะ GI Disorders เนื่องจากกลไกการออกฤทธิ์, efficacy หรือข้อบ่งใช้ไม่ตรงกับโจทย์ที่กำหนด
• ข้อ ค. (ดื่มน้ำมากๆต่อวัน และออกกำลังกายอย่างสม่ำเสมอ): ข้อนี้ไม่ใช่คำตอบที่ถูกต้องสำหรับภาวะ GI Disorders เนื่องจากกลไกการออกฤทธิ์, efficacy หรือข้อบ่งใช้ไม่ตรงกับโจทย์ที่กำหนด
• ข้อ ง. (ปรึกษาแพทย์ผู้เชี่ยวชาญ เพื่อหาสาเหตุ และปรับเปลี่ยนการรักษา): ข้อนี้ไม่ใช่คำตอบที่ถูกต้องสำหรับภาวะ GI Disorders เนื่องจากกลไกการออกฤทธิ์, efficacy หรือข้อบ่งใช้ไม่ตรงกับโจทย์ที่กำหนด
• ข้อ จ. (ทุกข้อคือคำแนะนำที่เหมาะสม):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8" s="18" t="inlineStr"/>
      <c r="L668" s="18" t="inlineStr">
        <is>
          <t>GI Disorders</t>
        </is>
      </c>
      <c r="M668" s="18" t="inlineStr">
        <is>
          <t>Clinic</t>
        </is>
      </c>
      <c r="N668" s="18" t="inlineStr">
        <is>
          <t>ข้อ 27 (Pharmtutor_2024_Set2.md)</t>
        </is>
      </c>
      <c r="O668" s="18" t="inlineStr">
        <is>
          <t>Mock</t>
        </is>
      </c>
      <c r="P668" s="18" t="inlineStr">
        <is>
          <t>Mock Pharmtutor 2024</t>
        </is>
      </c>
    </row>
    <row r="669">
      <c r="A669" s="15" t="inlineStr">
        <is>
          <t>690</t>
        </is>
      </c>
      <c r="B669" s="18" t="inlineStr">
        <is>
          <t>ยาในข้อใด ที่ผู้ป่วย G6PD deficiency สามารถใช้ได้</t>
        </is>
      </c>
      <c r="C669" s="18" t="inlineStr"/>
      <c r="D669" s="18" t="inlineStr">
        <is>
          <t>Norfloxacin</t>
        </is>
      </c>
      <c r="E669" s="18" t="inlineStr">
        <is>
          <t>Doxorubicin</t>
        </is>
      </c>
      <c r="F669" s="18" t="inlineStr">
        <is>
          <t>Isoniazid</t>
        </is>
      </c>
      <c r="G669" s="18" t="inlineStr">
        <is>
          <t>Primaquine</t>
        </is>
      </c>
      <c r="H669" s="18" t="inlineStr">
        <is>
          <t>Tramadol</t>
        </is>
      </c>
      <c r="I669" s="15" t="inlineStr">
        <is>
          <t>1</t>
        </is>
      </c>
      <c r="J669" s="18"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ข้อนี้ไม่ใช่คำตอบที่ถูกต้องสำหรับภาวะ General Therapeutics เนื่องจากกลไกการออกฤทธิ์, efficacy หรือข้อบ่งใช้ไม่ตรงกับโจทย์ที่กำหนด
• ข้อ ค.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(Primaquine): ข้อนี้ไม่ใช่คำตอบที่ถูกต้องสำหรับภาวะ General Therapeutics เนื่องจากกลไกการออกฤทธิ์, efficacy หรือข้อบ่งใช้ไม่ตรงกับโจทย์ที่กำหนด
• ข้อ จ. (Tramadol):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9" s="18" t="inlineStr"/>
      <c r="L669" s="18" t="inlineStr">
        <is>
          <t>General Therapeutics</t>
        </is>
      </c>
      <c r="M669" s="18" t="inlineStr">
        <is>
          <t>Clinic</t>
        </is>
      </c>
      <c r="N669" s="18" t="inlineStr">
        <is>
          <t>ข้อ 30 (Pharmtutor_2024_Set2.md)</t>
        </is>
      </c>
      <c r="O669" s="18" t="inlineStr">
        <is>
          <t>Mock</t>
        </is>
      </c>
      <c r="P669" s="18" t="inlineStr">
        <is>
          <t>Mock Pharmtutor 2024</t>
        </is>
      </c>
    </row>
    <row r="670">
      <c r="A670" s="15" t="inlineStr">
        <is>
          <t>691</t>
        </is>
      </c>
      <c r="B670" s="18" t="inlineStr">
        <is>
          <t>ข้อใดใช้เป็น Plasticizer สำหรับทำ Capsule ไม่ได้</t>
        </is>
      </c>
      <c r="C670" s="18" t="inlineStr"/>
      <c r="D670" s="18" t="inlineStr">
        <is>
          <t>Mannitol</t>
        </is>
      </c>
      <c r="E670" s="18" t="inlineStr">
        <is>
          <t>Glycerin</t>
        </is>
      </c>
      <c r="F670" s="18" t="inlineStr">
        <is>
          <t>Sorbitol</t>
        </is>
      </c>
      <c r="G670" s="18" t="inlineStr">
        <is>
          <t>Hydroxylalkylstarch</t>
        </is>
      </c>
      <c r="H670" s="18" t="inlineStr">
        <is>
          <t>Propylene glycol</t>
        </is>
      </c>
      <c r="I670" s="15" t="inlineStr">
        <is>
          <t>1</t>
        </is>
      </c>
      <c r="J670" s="18" t="inlineStr">
        <is>
          <t>✅ คำตอบที่ถูกต้อง: ข้อ ก. Mannitol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Mannitol 💡 คำอธิบายและเหตุผลทางเภสัชกรรม:
💡 คำอธิบายและเหตุผลทางเภสัชกรรม:
การเลือก Mannitol เป็นคำตอบที่ถูกต้องตามแนวทางการรักษามาตรฐาน เนื่องจาก เป็น Diluent ชนิด non-hygroscopic ให้ negative heat of solution (รู้สึกเย็นในปาก) นิยมใช้ใน chewable tablets และ orally disintegrating tablets (ODTs)
USP/NF, British Pharmacopoeia (BP) และ Remington: The Science and Practice of Pharmacy (หัวข้อ Solid Dosage Forms)
🔍 ข้ออื่นผิดเพราะอะไร:
• ข้อ ข. (Glycerin): ข้อนี้ไม่ใช่คำตอบที่ถูกต้องสำหรับภาวะ Solid Dosage Forms เนื่องจากกลไกการออกฤทธิ์, efficacy หรือข้อบ่งใช้ไม่ตรงกับโจทย์ที่กำหนด
• ข้อ ค. (Sorbitol): ข้อนี้ไม่ใช่คำตอบที่ถูกต้องสำหรับภาวะ Solid Dosage Forms เนื่องจากกลไกการออกฤทธิ์, efficacy หรือข้อบ่งใช้ไม่ตรงกับโจทย์ที่กำหนด
• ข้อ ง. (Hydroxylalkylstarch): ข้อนี้ไม่ใช่คำตอบที่ถูกต้องสำหรับภาวะ Solid Dosage Forms เนื่องจากกลไกการออกฤทธิ์, efficacy หรือข้อบ่งใช้ไม่ตรงกับโจทย์ที่กำหนด
• ข้อ จ. (Propylene glycol):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0" s="18" t="inlineStr"/>
      <c r="L670" s="18" t="inlineStr">
        <is>
          <t>Solid Dosage Forms</t>
        </is>
      </c>
      <c r="M670" s="18" t="inlineStr">
        <is>
          <t>Product</t>
        </is>
      </c>
      <c r="N670" s="18" t="inlineStr">
        <is>
          <t>ข้อ 39 (Pharmtutor_2024_Set2.md)</t>
        </is>
      </c>
      <c r="O670" s="18" t="inlineStr">
        <is>
          <t>Mock</t>
        </is>
      </c>
      <c r="P670" s="18" t="inlineStr">
        <is>
          <t>Mock Pharmtutor 2024</t>
        </is>
      </c>
    </row>
    <row r="671">
      <c r="A671" s="15" t="inlineStr">
        <is>
          <t>692</t>
        </is>
      </c>
      <c r="B671" s="18" t="inlineStr">
        <is>
          <t>จากข้อข้างต้น ข้อใดเป็นเชื้อสาเหตุให้เกิดอาการดังกล่าว</t>
        </is>
      </c>
      <c r="C671" s="18" t="inlineStr"/>
      <c r="D671" s="18" t="inlineStr">
        <is>
          <t>Trichomonas</t>
        </is>
      </c>
      <c r="E671" s="18" t="inlineStr">
        <is>
          <t>Candida sp.</t>
        </is>
      </c>
      <c r="F671" s="18" t="inlineStr">
        <is>
          <t>Lactobacillus sp.</t>
        </is>
      </c>
      <c r="G671" s="18" t="inlineStr">
        <is>
          <t>Gardnerella sp.</t>
        </is>
      </c>
      <c r="H671" s="18" t="inlineStr">
        <is>
          <t>Neisseria sp.</t>
        </is>
      </c>
      <c r="I671" s="15" t="inlineStr">
        <is>
          <t>1</t>
        </is>
      </c>
      <c r="J671" s="18" t="inlineStr">
        <is>
          <t>✅ คำตอบที่ถูกต้อง: ข้อ ก. Trichomonas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sp.): ข้อนี้ไม่ใช่คำตอบที่ถูกต้องสำหรับภาวะ General Therapeutics เนื่องจากกลไกการออกฤทธิ์, efficacy หรือข้อบ่งใช้ไม่ตรงกับโจทย์ที่กำหนด
• ข้อ ค. (Lactobacillus sp.): ข้อนี้ไม่ใช่คำตอบที่ถูกต้องสำหรับภาวะ General Therapeutics เนื่องจากกลไกการออกฤทธิ์, efficacy หรือข้อบ่งใช้ไม่ตรงกับโจทย์ที่กำหนด
• ข้อ ง. (Gardnerella sp.): ข้อนี้ไม่ใช่คำตอบที่ถูกต้องสำหรับภาวะ General Therapeutics เนื่องจากกลไกการออกฤทธิ์, efficacy หรือข้อบ่งใช้ไม่ตรงกับโจทย์ที่กำหนด
• ข้อ จ. (Neisseria sp.):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1" s="18" t="inlineStr"/>
      <c r="L671" s="18" t="inlineStr">
        <is>
          <t>General Therapeutics</t>
        </is>
      </c>
      <c r="M671" s="18" t="inlineStr">
        <is>
          <t>Clinic</t>
        </is>
      </c>
      <c r="N671" s="18" t="inlineStr">
        <is>
          <t>ข้อ 43 (Pharmtutor_2024_Set2.md)</t>
        </is>
      </c>
      <c r="O671" s="18" t="inlineStr">
        <is>
          <t>Mock</t>
        </is>
      </c>
      <c r="P671" s="18" t="inlineStr">
        <is>
          <t>Mock Pharmtutor 2024</t>
        </is>
      </c>
    </row>
    <row r="672">
      <c r="A672" s="15" t="inlineStr">
        <is>
          <t>693</t>
        </is>
      </c>
      <c r="B672" s="18" t="inlineStr">
        <is>
          <t>ยาแก้ปวดชนิดใดห้ามใช้ในเด็กต่ำกว่า 5 ขวบ เนื่องจากอาจทำให้กดการทำงานของระบบหายใจได้</t>
        </is>
      </c>
      <c r="C672" s="18" t="inlineStr"/>
      <c r="D672" s="18" t="inlineStr">
        <is>
          <t>Paracetamol</t>
        </is>
      </c>
      <c r="E672" s="18" t="inlineStr">
        <is>
          <t>Naproxen</t>
        </is>
      </c>
      <c r="F672" s="18" t="inlineStr">
        <is>
          <t>Tramadol</t>
        </is>
      </c>
      <c r="G672" s="18" t="inlineStr">
        <is>
          <t>Celecoxib</t>
        </is>
      </c>
      <c r="H672" s="18" t="inlineStr">
        <is>
          <t>Flunarizine</t>
        </is>
      </c>
      <c r="I672" s="15" t="inlineStr">
        <is>
          <t>1</t>
        </is>
      </c>
      <c r="J672" s="18"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(Naproxen): เป็น non-selective NSAID ที่มี cardiovascular safety profile ดีที่สุด และมี efficacy สูงในการระงับ acute inflammation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(Celecoxib): เป็น selective COX-2 inhibitor มี GI safety profile ดีกว่า non-selective NSAIDs แต่มี cardiovascular risk เพิ่มขึ้น และ contraindication ในผู้ป่วย post-CABG หรือ sulfonamide allergy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2" s="18" t="inlineStr"/>
      <c r="L672" s="18" t="inlineStr">
        <is>
          <t>General Therapeutics</t>
        </is>
      </c>
      <c r="M672" s="18" t="inlineStr">
        <is>
          <t>Clinic</t>
        </is>
      </c>
      <c r="N672" s="18" t="inlineStr">
        <is>
          <t>ข้อ 48 (Pharmtutor_2024_Set2.md)</t>
        </is>
      </c>
      <c r="O672" s="18" t="inlineStr">
        <is>
          <t>Mock</t>
        </is>
      </c>
      <c r="P672" s="18" t="inlineStr">
        <is>
          <t>Mock Pharmtutor 2024</t>
        </is>
      </c>
    </row>
    <row r="673">
      <c r="A673" s="15" t="inlineStr">
        <is>
          <t>694</t>
        </is>
      </c>
      <c r="B673" s="18" t="inlineStr">
        <is>
          <t>ข้อใดกล่าวถูกต้องที่สุดกับการรักษาอาการปวดปลายประสาท</t>
        </is>
      </c>
      <c r="C673" s="18" t="inlineStr"/>
      <c r="D673" s="18" t="inlineStr">
        <is>
          <t>จำเป็นต้องใช้ยาในกลุ่ม opioids โดยมีผลข้างการรักษาดีกว่าการใช้ยาในกลุ่ม NSAIDs</t>
        </is>
      </c>
      <c r="E673" s="18" t="inlineStr">
        <is>
          <t>กลไกการเกิดส่วนมากเกิดขึ้นจากการเพิ่มขึ้นของสารสื่อประสาทโดยเฉพาะ GABA และ Glutamine</t>
        </is>
      </c>
      <c r="F673" s="18" t="inlineStr">
        <is>
          <t>ยาทางเลือกแรกในการรักษาคือ Tramadol + Flunarizine</t>
        </is>
      </c>
      <c r="G673" s="18" t="inlineStr">
        <is>
          <t>การปวดบริเวณปลายประสาทแล้วจะเกิดจากการเพิ่มการส่งสัญญาณของ Sodium และ Calcium</t>
        </is>
      </c>
      <c r="H673" s="18"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673" s="15" t="inlineStr">
        <is>
          <t>1</t>
        </is>
      </c>
      <c r="J673" s="18" t="inlineStr">
        <is>
          <t>✅ คำตอบที่ถูกต้อง: ข้อ ก. จำเป็นต้องใช้ยาในกลุ่ม opioids โดยมีผลข้างการรักษาดีกว่าการใช้ยาในกลุ่ม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จำเป็นต้องใช้ยาในกลุ่ม opioids โดยมีผลข้างการรักษาดีกว่าการใช้ยาในกลุ่ม NSAIDs การเลือก จำเป็นต้องใช้ยาในกลุ่ม opioids โดยมีผลข้างการรักษาดีกว่าการใช้ยาในกลุ่ม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(กลไกการเกิดส่วนมากเกิดขึ้นจากการเพิ่มขึ้นของสารสื่อประสาทโดยเฉพาะ GABA และ Glutamine): ข้อนี้ไม่ใช่คำตอบที่ถูกต้องสำหรับภาวะ General Therapeutics เนื่องจากกลไกการออกฤทธิ์, efficacy หรือข้อบ่งใช้ไม่ตรงกับโจทย์ที่กำหนด
• ข้อ ค. (ยาทางเลือกแรกในการรักษาคือ Tramadol + Flunarizine): เป็น weak mu-opioid agonist และ SNRI เป็นเพียง second-line / add-on สำหรับ pain relief ไม่มีฤทธิ์ลดการอักเสบ (no anti-inflammatory efficacy) และเสี่ยงต่อ serotonin syndrome และชัก
• ข้อ ง. (การปวดบริเวณปลายประสาทแล้วจะเกิดจากการเพิ่มการส่งสัญญาณของ Sodium และ Calcium): ข้อนี้ไม่ใช่คำตอบที่ถูกต้องสำหรับภาวะ General Therapeutics เนื่องจากกลไกการออกฤทธิ์, efficacy หรือข้อบ่งใช้ไม่ตรงกับโจทย์ที่กำหนด
• ข้อ จ. (หากจำเป็นต้องใช้ยาในกลุ่ม NSAIDs ในการรักษาอาการปวดปลายประสาทจำเป็นต้องใช้ในขนาดสูงเพื่อเพิ่มประสิทธิภาพของการรักษา):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3" s="18" t="inlineStr"/>
      <c r="L673" s="18" t="inlineStr">
        <is>
          <t>General Therapeutics</t>
        </is>
      </c>
      <c r="M673" s="18" t="inlineStr">
        <is>
          <t>Clinic</t>
        </is>
      </c>
      <c r="N673" s="18" t="inlineStr">
        <is>
          <t>ข้อ 50 (Pharmtutor_2024_Set2.md)</t>
        </is>
      </c>
      <c r="O673" s="18" t="inlineStr">
        <is>
          <t>Mock</t>
        </is>
      </c>
      <c r="P673" s="18" t="inlineStr">
        <is>
          <t>Mock Pharmtutor 2024</t>
        </is>
      </c>
    </row>
    <row r="674">
      <c r="A674" s="15" t="inlineStr">
        <is>
          <t>695</t>
        </is>
      </c>
      <c r="B674" s="18" t="inlineStr">
        <is>
          <t>จากกรณีข้างต้น หากจำเป็นต้องใช้ยาในการรักษา ยาชนิดใดห้ามใช้ในผู้ป่วยรายดังกล่าว</t>
        </is>
      </c>
      <c r="C674" s="18" t="inlineStr"/>
      <c r="D674" s="18" t="inlineStr">
        <is>
          <t>Nortriptyline</t>
        </is>
      </c>
      <c r="E674" s="18" t="inlineStr">
        <is>
          <t>Nicotine gum</t>
        </is>
      </c>
      <c r="F674" s="18" t="inlineStr">
        <is>
          <t>Nicotine patch</t>
        </is>
      </c>
      <c r="G674" s="18" t="inlineStr">
        <is>
          <t>Bupropion</t>
        </is>
      </c>
      <c r="H674" s="18" t="inlineStr">
        <is>
          <t>Varenicline</t>
        </is>
      </c>
      <c r="I674" s="15" t="inlineStr">
        <is>
          <t>1</t>
        </is>
      </c>
      <c r="J674" s="18" t="inlineStr">
        <is>
          <t>✅ คำตอบที่ถูกต้อง: ข้อ ก. Nortriptyline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Nortriptyline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(Nicotine gum): เป็น Nicotine Replacement Therapy (NRT) ช่วยบรรเทา withdrawal symptoms ใน smoking cessation โดยหลีกเลี่ยงสารก่อมะเร็งในควันบุหรี่
• ข้อ ค. (Nicotine patch): เป็น Nicotine Replacement Therapy (NRT) ช่วยบรรเทา withdrawal symptoms ใน smoking cessation โดยหลีกเลี่ยงสารก่อมะเร็งในควันบุหรี่
• ข้อ ง. (Bupropion): เป็น NDRI ใช้ช่วยเลิกบุหรี่และรักษาซึมเศร้า แต่มี contraindication ในผู้ป่วยประวัติชัก (seizure disorder) หรือ anorexia/bulimia nervosa
• ข้อ จ. (Varenicline): เป็น alpha-4 beta-2 nicotinic acetylcholine receptor partial agonist มี efficacy สูงสุดในการช่วยเลิกบุหรี่ แต่ต้องระวัง neuropsychiatric symptoms และ vivid dreams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4" s="18" t="inlineStr"/>
      <c r="L674" s="18" t="inlineStr">
        <is>
          <t>General Therapeutics</t>
        </is>
      </c>
      <c r="M674" s="18" t="inlineStr">
        <is>
          <t>Clinic</t>
        </is>
      </c>
      <c r="N674" s="18" t="inlineStr">
        <is>
          <t>ข้อ 54 (Pharmtutor_2024_Set2.md)</t>
        </is>
      </c>
      <c r="O674" s="18" t="inlineStr">
        <is>
          <t>Mock</t>
        </is>
      </c>
      <c r="P674" s="18" t="inlineStr">
        <is>
          <t>Mock Pharmtutor 2024</t>
        </is>
      </c>
    </row>
    <row r="675">
      <c r="A675" s="15" t="inlineStr">
        <is>
          <t>696</t>
        </is>
      </c>
      <c r="B675" s="18" t="inlineStr">
        <is>
          <t>แพทย์สั่งจ่าย Zolpidem ให้กับผู้ป่วย ข้อใดเป็นกลไกการออกฤทธิ์ของ Zolpidem</t>
        </is>
      </c>
      <c r="C675" s="18" t="inlineStr"/>
      <c r="D675" s="18" t="inlineStr">
        <is>
          <t>จับกับ benzodiazepine binding site บน GABA receptor</t>
        </is>
      </c>
      <c r="E675" s="18" t="inlineStr">
        <is>
          <t>จับกับ barbiturate binding site บน GABA receptor</t>
        </is>
      </c>
      <c r="F675" s="18" t="inlineStr">
        <is>
          <t>กระตุ้นการสร้างสารสื่อประสาท GABA</t>
        </is>
      </c>
      <c r="G675" s="18" t="inlineStr">
        <is>
          <t>ยับยั้งการสร้างสารสื่อประสาท glutamate</t>
        </is>
      </c>
      <c r="H675" s="18" t="inlineStr">
        <is>
          <t>ยับยั้ง voltage-gate Na+ channel</t>
        </is>
      </c>
      <c r="I675" s="15" t="inlineStr">
        <is>
          <t>1</t>
        </is>
      </c>
      <c r="J675" s="18" t="inlineStr">
        <is>
          <t>✅ คำตอบที่ถูกต้อง: ข้อ ก. จับกับ benzodiazepine binding site บน GABA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จับกับ benzodiazepine binding site บน GABA receptor การเลือก จับกับ benzodiazepine binding site บน GABA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(จับกับ barbiturate binding site บน GABA receptor):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(กระตุ้นการสร้างสารสื่อประสาท GABA):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(ยับยั้งการสร้างสารสื่อประสาท glutamate): ข้อนี้ไม่ใช่คำตอบที่ถูกต้องสำหรับภาวะ General Therapeutics เนื่องจากกลไกการออกฤทธิ์, efficacy หรือข้อบ่งใช้ไม่ตรงกับโจทย์ที่กำหนด
• ข้อ จ. (ยับยั้ง voltage-gate Na+ channel):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5" s="18" t="inlineStr"/>
      <c r="L675" s="18" t="inlineStr">
        <is>
          <t>General Therapeutics</t>
        </is>
      </c>
      <c r="M675" s="18" t="inlineStr">
        <is>
          <t>Clinic</t>
        </is>
      </c>
      <c r="N675" s="18" t="inlineStr">
        <is>
          <t>ข้อ 56 (Pharmtutor_2024_Set2.md)</t>
        </is>
      </c>
      <c r="O675" s="18" t="inlineStr">
        <is>
          <t>Mock</t>
        </is>
      </c>
      <c r="P675" s="18" t="inlineStr">
        <is>
          <t>Mock Pharmtutor 2024</t>
        </is>
      </c>
    </row>
    <row r="676">
      <c r="A676" s="15" t="inlineStr">
        <is>
          <t>697</t>
        </is>
      </c>
      <c r="B676" s="18" t="inlineStr">
        <is>
          <t>จากโครงสร้างที่กำหนดให้ต่อไปนี้ ข้อใดกล่าวผิดเกี่ยวกับคุณสมบัติของยา</t>
        </is>
      </c>
      <c r="C676" s="18" t="inlineStr"/>
      <c r="D676" s="18" t="inlineStr">
        <is>
          <t>Diazepam ผ่านกระบวนการ demethylation และ hydroxylation ได้ oxazepam</t>
        </is>
      </c>
      <c r="E676" s="18" t="inlineStr">
        <is>
          <t>Oxazepam มีค่าครึ่งชีวิตต่ำกว่า diazepam</t>
        </is>
      </c>
      <c r="F676" s="18" t="inlineStr">
        <is>
          <t>Diazepam มี active metabolite คือ oxazepam</t>
        </is>
      </c>
      <c r="G676" s="18" t="inlineStr">
        <is>
          <t>ต้องใช้ oxazepam ปริมาณมากกว่า diazepam หากต้องการประสิทธิภาพเท่ากัน</t>
        </is>
      </c>
      <c r="H676" s="18" t="inlineStr">
        <is>
          <t>Onset ของ oxazepam เร็วกว่า diazepam</t>
        </is>
      </c>
      <c r="I676" s="15" t="inlineStr">
        <is>
          <t>1</t>
        </is>
      </c>
      <c r="J676" s="18" t="inlineStr">
        <is>
          <t>✅ คำตอบที่ถูกต้อง: ข้อ ก. Diazepam ผ่านกระบวนการ demethylation และ hydroxylation ได้ oxazepam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Diazepam ผ่านกระบวนการ demethylation และ hydroxylation ได้ oxazepam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long-acting Benzodiazepine มี active metabolites (nordiazepam) สะสมในผู้สูงอายุ ทำให้ง่วงซึม หกล้ม เสี่ยง fracture
🔍 ข้ออื่นผิดเพราะอะไร:
• ข้อ ข. (Oxazepam มีค่าครึ่งชีวิตต่ำกว่า diazepam): เป็น long-acting Benzodiazepine มี active metabolites (nordiazepam) สะสมในผู้สูงอายุ ทำให้ง่วงซึม หกล้ม เสี่ยง fracture
• ข้อ ค. (Diazepam มี active metabolite คือ oxazepam): เป็น long-acting Benzodiazepine มี active metabolites (nordiazepam) สะสมในผู้สูงอายุ ทำให้ง่วงซึม หกล้ม เสี่ยง fracture
• ข้อ ง. (ต้องใช้ oxazepam ปริมาณมากกว่า diazepam หากต้องการประสิทธิภาพเท่ากัน): เป็น long-acting Benzodiazepine มี active metabolites (nordiazepam) สะสมในผู้สูงอายุ ทำให้ง่วงซึม หกล้ม เสี่ยง fracture
• ข้อ จ. (Onset ของ oxazepam เร็วกว่า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6" s="18" t="inlineStr"/>
      <c r="L676" s="18" t="inlineStr">
        <is>
          <t>General Therapeutics</t>
        </is>
      </c>
      <c r="M676" s="18" t="inlineStr">
        <is>
          <t>Clinic</t>
        </is>
      </c>
      <c r="N676" s="18" t="inlineStr">
        <is>
          <t>ข้อ 57 (Pharmtutor_2024_Set2.md)</t>
        </is>
      </c>
      <c r="O676" s="18" t="inlineStr">
        <is>
          <t>Mock</t>
        </is>
      </c>
      <c r="P676" s="18" t="inlineStr">
        <is>
          <t>Mock Pharmtutor 2024</t>
        </is>
      </c>
    </row>
    <row r="677">
      <c r="A677" s="15" t="inlineStr">
        <is>
          <t>698</t>
        </is>
      </c>
      <c r="B677" s="18" t="inlineStr">
        <is>
          <t>ผู้ป่วยชายไทยอายุ 55 ปี ถูกวินิจฉัยว่าเป็นโรคปอกอุดกั้นเรื้อรังตั้งแต่อายุ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รวมถึงมีเสมหะดป็นปริมาณมาก ยาในข้อใดเป็นยาทางเลือกแรกในหารรักษาอาหารผู้ป่วยรายนี้ในขณะเกิดภาวะฉุกเฉิน</t>
        </is>
      </c>
      <c r="C677" s="18" t="inlineStr"/>
      <c r="D677" s="18" t="inlineStr">
        <is>
          <t>LABA</t>
        </is>
      </c>
      <c r="E677" s="18" t="inlineStr">
        <is>
          <t>LAMA</t>
        </is>
      </c>
      <c r="F677" s="18" t="inlineStr">
        <is>
          <t>SABA</t>
        </is>
      </c>
      <c r="G677" s="18" t="inlineStr">
        <is>
          <t>SABA+SAMA</t>
        </is>
      </c>
      <c r="H677" s="18" t="inlineStr">
        <is>
          <t>LABA+LAMA + ICS</t>
        </is>
      </c>
      <c r="I677" s="15" t="inlineStr">
        <is>
          <t>1</t>
        </is>
      </c>
      <c r="J677" s="18" t="inlineStr">
        <is>
          <t>✅ คำตอบที่ถูกต้อง: ข้อ ก. LABA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LABA การเลือก LABA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(LAMA): ข้อนี้ไม่ใช่คำตอบที่ถูกต้องสำหรับภาวะ Pulmonary Diseases เนื่องจากกลไกการออกฤทธิ์, efficacy หรือข้อบ่งใช้ไม่ตรงกับโจทย์ที่กำหนด
• ข้อ ค. (SABA): ข้อนี้ไม่ใช่คำตอบที่ถูกต้องสำหรับภาวะ Pulmonary Diseases เนื่องจากกลไกการออกฤทธิ์, efficacy หรือข้อบ่งใช้ไม่ตรงกับโจทย์ที่กำหนด
• ข้อ ง. (SABA+SAMA): ข้อนี้ไม่ใช่คำตอบที่ถูกต้องสำหรับภาวะ Pulmonary Diseases เนื่องจากกลไกการออกฤทธิ์, efficacy หรือข้อบ่งใช้ไม่ตรงกับโจทย์ที่กำหนด
• ข้อ จ. (LABA+LAMA + ICS):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7" s="18" t="inlineStr"/>
      <c r="L677" s="18" t="inlineStr">
        <is>
          <t>Pulmonary Diseases</t>
        </is>
      </c>
      <c r="M677" s="18" t="inlineStr">
        <is>
          <t>Clinic</t>
        </is>
      </c>
      <c r="N677" s="18" t="inlineStr">
        <is>
          <t>ข้อ 58 (Pharmtutor_2024_Set2.md)</t>
        </is>
      </c>
      <c r="O677" s="18" t="inlineStr">
        <is>
          <t>Mock</t>
        </is>
      </c>
      <c r="P677" s="18" t="inlineStr">
        <is>
          <t>Mock Pharmtutor 2024</t>
        </is>
      </c>
    </row>
    <row r="678">
      <c r="A678" s="15" t="inlineStr">
        <is>
          <t>699</t>
        </is>
      </c>
      <c r="B678" s="18" t="inlineStr">
        <is>
          <t>หากไม่มีข้อห้ามในการใช้ ยาชนิดใดได้ผลดีที่สุดในการรักษาและป้องกันภาวะปวดประจำเดือน (Dysmenorrhea)</t>
        </is>
      </c>
      <c r="C678" s="18" t="inlineStr"/>
      <c r="D678" s="18" t="inlineStr">
        <is>
          <t>Mefenamic acid</t>
        </is>
      </c>
      <c r="E678" s="18" t="inlineStr">
        <is>
          <t>Progestin only pills</t>
        </is>
      </c>
      <c r="F678" s="18" t="inlineStr">
        <is>
          <t>Combined oral contraceptive pill</t>
        </is>
      </c>
      <c r="G678" s="18" t="inlineStr">
        <is>
          <t>Ibuprofen</t>
        </is>
      </c>
      <c r="H678" s="18" t="inlineStr">
        <is>
          <t>Tranadol</t>
        </is>
      </c>
      <c r="I678" s="15" t="inlineStr">
        <is>
          <t>1</t>
        </is>
      </c>
      <c r="J678" s="18" t="inlineStr">
        <is>
          <t>✅ คำตอบที่ถูกต้อง: ข้อ ก. Mefenamic acid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Mefenamic acid การเลือก Mefenamic acid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(Progestin only pills): ข้อนี้ไม่ใช่คำตอบที่ถูกต้องสำหรับภาวะ Gynaecologic &amp; GU เนื่องจากกลไกการออกฤทธิ์, efficacy หรือข้อบ่งใช้ไม่ตรงกับโจทย์ที่กำหนด
• ข้อ ค. (Combined oral contraceptive pill): ข้อนี้ไม่ใช่คำตอบที่ถูกต้องสำหรับภาวะ Gynaecologic &amp; GU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(Tranadol):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78" s="18" t="inlineStr"/>
      <c r="L678" s="18" t="inlineStr">
        <is>
          <t>Gynaecologic &amp; GU</t>
        </is>
      </c>
      <c r="M678" s="18" t="inlineStr">
        <is>
          <t>Clinic</t>
        </is>
      </c>
      <c r="N678" s="18" t="inlineStr">
        <is>
          <t>ข้อ 64 (Pharmtutor_2024_Set2.md)</t>
        </is>
      </c>
      <c r="O678" s="18" t="inlineStr">
        <is>
          <t>Mock</t>
        </is>
      </c>
      <c r="P678" s="18" t="inlineStr">
        <is>
          <t>Mock Pharmtutor 2024</t>
        </is>
      </c>
    </row>
    <row r="679">
      <c r="A679" s="15" t="inlineStr">
        <is>
          <t>700</t>
        </is>
      </c>
      <c r="B679" s="18" t="inlineStr">
        <is>
          <t>จงเรียงลำดับความจำเพาะต่อตัวรับชนิด COX-2 ของยาในกลุ่มลดการอักเสบที่ไม่ใช่สเตรียรอยด์</t>
        </is>
      </c>
      <c r="C679" s="18" t="inlineStr"/>
      <c r="D679" s="18" t="inlineStr">
        <is>
          <t>Diclofenac &gt; Etoricoxib &gt; Aspirin</t>
        </is>
      </c>
      <c r="E679" s="18" t="inlineStr">
        <is>
          <t>Diclofenac &gt; Aspirin &gt; Etoricoxib</t>
        </is>
      </c>
      <c r="F679" s="18" t="inlineStr">
        <is>
          <t>Etoricoxib &gt; Aspirin &gt; Diclofenac</t>
        </is>
      </c>
      <c r="G679" s="18" t="inlineStr">
        <is>
          <t>Etoricoxib &gt; Diclofenac &gt; Aspirin</t>
        </is>
      </c>
      <c r="H679" s="18" t="inlineStr">
        <is>
          <t>Aspirin &gt; Diclofenac &gt; Etoricoxib</t>
        </is>
      </c>
      <c r="I679" s="15" t="inlineStr">
        <is>
          <t>1</t>
        </is>
      </c>
      <c r="J679" s="18" t="inlineStr">
        <is>
          <t>✅ คำตอบที่ถูกต้อง: ข้อ ก. Diclofenac &gt; Etoricoxib &gt;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&gt; Etoricoxib &gt; Aspirin การเลือก Diclofenac &gt; Etoricoxib &gt; Aspirin เป็นคำตอบที่ถูกต้องตามแนวทางการรักษามาตรฐาน เนื่องจาก เป็น selective COX-2 inhibitor ออกฤทธิ์เร็วและยาวนาน (OD) แต่มี contraindication ในผู้ป่วย uncontrolled hypertension (BP &gt; 140/90 mmHg)
🔍 ข้ออื่นผิดเพราะอะไร:
• ข้อ ข. (Diclofenac &gt; Aspirin &gt; Etoricoxib): เป็น selective COX-2 inhibitor ออกฤทธิ์เร็วและยาวนาน (OD) แต่มี contraindication ในผู้ป่วย uncontrolled hypertension (BP &gt; 140/90 mmHg)
• ข้อ ค. (Etoricoxib &gt; Aspirin &gt; Diclofenac): เป็น selective COX-2 inhibitor ออกฤทธิ์เร็วและยาวนาน (OD) แต่มี contraindication ในผู้ป่วย uncontrolled hypertension (BP &gt; 140/90 mmHg)
• ข้อ ง. (Etoricoxib &gt; Diclofenac &gt; Aspirin): เป็น selective COX-2 inhibitor ออกฤทธิ์เร็วและยาวนาน (OD) แต่มี contraindication ในผู้ป่วย uncontrolled hypertension (BP &gt; 140/90 mmHg)
• ข้อ จ. (Aspirin &gt; Diclofenac &gt; Etoricoxib):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679" s="18" t="inlineStr"/>
      <c r="L679" s="18" t="inlineStr">
        <is>
          <t>General Therapeutics</t>
        </is>
      </c>
      <c r="M679" s="18" t="inlineStr">
        <is>
          <t>Clinic</t>
        </is>
      </c>
      <c r="N679" s="18" t="inlineStr">
        <is>
          <t>ข้อ 65 (Pharmtutor_2024_Set2.md)</t>
        </is>
      </c>
      <c r="O679" s="18" t="inlineStr">
        <is>
          <t>Mock</t>
        </is>
      </c>
      <c r="P679" s="18" t="inlineStr">
        <is>
          <t>Mock Pharmtutor 2024</t>
        </is>
      </c>
    </row>
    <row r="680">
      <c r="A680" s="15" t="inlineStr">
        <is>
          <t>701</t>
        </is>
      </c>
      <c r="B680" s="18" t="inlineStr">
        <is>
          <t>โครงสร้างในข้อใดมีความจำเพาะกับ progesterone receptor มากที่สุด</t>
        </is>
      </c>
      <c r="C680" s="18" t="inlineStr"/>
      <c r="D680" s="18" t="inlineStr">
        <is>
          <t>Naloxone 0.4 mg IV stat</t>
        </is>
      </c>
      <c r="E680" s="18" t="inlineStr">
        <is>
          <t>Flumazenil 0.2 mg IV stat</t>
        </is>
      </c>
      <c r="F680" s="18" t="inlineStr">
        <is>
          <t>Vitamin K1 (Phytomenadione) 10 mg IV slow</t>
        </is>
      </c>
      <c r="G680" s="18" t="inlineStr">
        <is>
          <t>Sodium thiosulfate 25% 50 mL IV</t>
        </is>
      </c>
      <c r="H680" s="18" t="inlineStr">
        <is>
          <t>ไม่มีข้อใดถูก</t>
        </is>
      </c>
      <c r="I680" s="15" t="inlineStr">
        <is>
          <t>1</t>
        </is>
      </c>
      <c r="J6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0" s="18" t="inlineStr"/>
      <c r="L680" s="18" t="inlineStr">
        <is>
          <t>General Therapeutics</t>
        </is>
      </c>
      <c r="M680" s="18" t="inlineStr">
        <is>
          <t>Clinic</t>
        </is>
      </c>
      <c r="N680" s="18" t="inlineStr">
        <is>
          <t>ข้อ 68 (Pharmtutor_2024_Set2.md)</t>
        </is>
      </c>
      <c r="O680" s="18" t="inlineStr">
        <is>
          <t>Mock</t>
        </is>
      </c>
      <c r="P680" s="18" t="inlineStr">
        <is>
          <t>Mock Pharmtutor 2024</t>
        </is>
      </c>
    </row>
    <row r="681">
      <c r="A681" s="15" t="inlineStr">
        <is>
          <t>702</t>
        </is>
      </c>
      <c r="B681" s="18" t="inlineStr">
        <is>
          <t>การปฏิบัติตัวในการรักษาภาวะตาแห้ง ข้อใดเหมาะสมที่สุด</t>
        </is>
      </c>
      <c r="C681" s="18" t="inlineStr"/>
      <c r="D681" s="18" t="inlineStr">
        <is>
          <t>ใส่แว่นกันแดดอย่างสม่ำเสมอ</t>
        </is>
      </c>
      <c r="E681" s="18" t="inlineStr">
        <is>
          <t>ใช้ผ้าเช็ดหน้า เช็ดน้ำตาหรือเบ้าตาเวลามีอาการคัน</t>
        </is>
      </c>
      <c r="F681" s="18" t="inlineStr">
        <is>
          <t>ใช้ยาหยอดตาชนิดรายเดือนหยอดทุกวันวันละ 2 ครั้ง</t>
        </is>
      </c>
      <c r="G681" s="18" t="inlineStr">
        <is>
          <t>ควรเก็บยาหยอดตาไว้ที่ประตูตู้เย็นตลอดเวลาเมื่อไม่มีการใช้</t>
        </is>
      </c>
      <c r="H681" s="18" t="inlineStr">
        <is>
          <t>ควรพบจักษุแพทย์อย่างสม่ำเสมออย่างน้อยๆ ทุก 1 เดือน</t>
        </is>
      </c>
      <c r="I681" s="15" t="inlineStr">
        <is>
          <t>1</t>
        </is>
      </c>
      <c r="J681" s="18" t="inlineStr">
        <is>
          <t>✅ คำตอบที่ถูกต้อง: ข้อ ก. ใส่แว่นกันแดดอย่างสม่ำเสมอ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ใส่แว่นกันแดดอย่างสม่ำเสมอ การเลือก ใส่แว่นกันแดดอย่างสม่ำเสมอ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(ใช้ผ้าเช็ดหน้า เช็ดน้ำตาหรือเบ้าตาเวลามีอาการคัน): ข้อนี้ไม่ใช่คำตอบที่ถูกต้องสำหรับภาวะ General Therapeutics เนื่องจากกลไกการออกฤทธิ์, efficacy หรือข้อบ่งใช้ไม่ตรงกับโจทย์ที่กำหนด
• ข้อ ค. (ใช้ยาหยอดตาชนิดรายเดือนหยอดทุกวันวันละ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ง. (ควรเก็บยาหยอดตาไว้ที่ประตูตู้เย็นตลอดเวลาเมื่อไม่มีการใช้): ข้อนี้ไม่ใช่คำตอบที่ถูกต้องสำหรับภาวะ General Therapeutics เนื่องจากกลไกการออกฤทธิ์, efficacy หรือข้อบ่งใช้ไม่ตรงกับโจทย์ที่กำหนด
• ข้อ จ. (ควรพบจักษุแพทย์อย่างสม่ำเสมออย่างน้อยๆ ทุก 1 เดือน):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1" s="18" t="inlineStr"/>
      <c r="L681" s="18" t="inlineStr">
        <is>
          <t>General Therapeutics</t>
        </is>
      </c>
      <c r="M681" s="18" t="inlineStr">
        <is>
          <t>Clinic</t>
        </is>
      </c>
      <c r="N681" s="18" t="inlineStr">
        <is>
          <t>ข้อ 74 (Pharmtutor_2024_Set2.md)</t>
        </is>
      </c>
      <c r="O681" s="18" t="inlineStr">
        <is>
          <t>Mock</t>
        </is>
      </c>
      <c r="P681" s="18" t="inlineStr">
        <is>
          <t>Mock Pharmtutor 2024</t>
        </is>
      </c>
    </row>
    <row r="682">
      <c r="A682" s="15" t="inlineStr">
        <is>
          <t>703</t>
        </is>
      </c>
      <c r="B682" s="18" t="inlineStr">
        <is>
          <t>จากกรณีข้างต้น ยาคัดจมูกช้อใดให้ผลดีที่สุดในผู้ป่วยรายนี้</t>
        </is>
      </c>
      <c r="C682" s="18" t="inlineStr"/>
      <c r="D682" s="18" t="inlineStr">
        <is>
          <t>Fexofenadine</t>
        </is>
      </c>
      <c r="E682" s="18" t="inlineStr">
        <is>
          <t>Pseudoephedrine</t>
        </is>
      </c>
      <c r="F682" s="18" t="inlineStr">
        <is>
          <t>Montek</t>
        </is>
      </c>
      <c r="G682" s="18" t="inlineStr">
        <is>
          <t>Brompheniramine</t>
        </is>
      </c>
      <c r="H682" s="18" t="inlineStr">
        <is>
          <t>Triprolidine</t>
        </is>
      </c>
      <c r="I682" s="15" t="inlineStr">
        <is>
          <t>1</t>
        </is>
      </c>
      <c r="J682" s="18" t="inlineStr">
        <is>
          <t>✅ คำตอบที่ถูกต้อง: ข้อ ก.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การเลือก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(Pseudoephedrine): เป็น oral decongestant กระตุ้น alpha และ beta receptors ระวังในผู้ป่วย hypertension, ischemic heart disease, glaucoma, BPH และเป็นวัตถุออกฤทธิ์ประเภท 2 (ห้ามขายในร้านยา)
• ข้อ ค. (Montek): ข้อนี้ไม่ใช่คำตอบที่ถูกต้องสำหรับภาวะ General Therapeutics เนื่องจากกลไกการออกฤทธิ์, efficacy หรือข้อบ่งใช้ไม่ตรงกับโจทย์ที่กำหนด
• ข้อ ง. (Brompheniramine): ข้อนี้ไม่ใช่คำตอบที่ถูกต้องสำหรับภาวะ General Therapeutics เนื่องจากกลไกการออกฤทธิ์, efficacy หรือข้อบ่งใช้ไม่ตรงกับโจทย์ที่กำหนด
• ข้อ จ. (Triprolidine):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2" s="18" t="inlineStr"/>
      <c r="L682" s="18" t="inlineStr">
        <is>
          <t>General Therapeutics</t>
        </is>
      </c>
      <c r="M682" s="18" t="inlineStr">
        <is>
          <t>Clinic</t>
        </is>
      </c>
      <c r="N682" s="18" t="inlineStr">
        <is>
          <t>ข้อ 77 (Pharmtutor_2024_Set2.md)</t>
        </is>
      </c>
      <c r="O682" s="18" t="inlineStr">
        <is>
          <t>Mock</t>
        </is>
      </c>
      <c r="P682" s="18" t="inlineStr">
        <is>
          <t>Mock Pharmtutor 2024</t>
        </is>
      </c>
    </row>
    <row r="683">
      <c r="A683" s="15" t="inlineStr">
        <is>
          <t>704</t>
        </is>
      </c>
      <c r="B683" s="18" t="inlineStr">
        <is>
          <t>ข้อใดต่อไปนี้ถูกต้อง</t>
        </is>
      </c>
      <c r="C683" s="18" t="inlineStr"/>
      <c r="D683" s="18" t="inlineStr">
        <is>
          <t>Fexofenadine เป็น active metabolite ของ Terfenadine</t>
        </is>
      </c>
      <c r="E683" s="18" t="inlineStr">
        <is>
          <t>Fexofenadine เป็น racemic mixture ของ Terfenadine</t>
        </is>
      </c>
      <c r="F683" s="18" t="inlineStr">
        <is>
          <t>Levocetirizine เป็น active metabolite ของ cetirizine</t>
        </is>
      </c>
      <c r="G683" s="18" t="inlineStr">
        <is>
          <t>Levocetirizine เป็น racemic mixture ของ cetirizine</t>
        </is>
      </c>
      <c r="H683" s="18" t="inlineStr">
        <is>
          <t>ไม่มีข้อใดถูก</t>
        </is>
      </c>
      <c r="I683" s="15" t="inlineStr">
        <is>
          <t>1</t>
        </is>
      </c>
      <c r="J683" s="18" t="inlineStr">
        <is>
          <t>✅ คำตอบที่ถูกต้อง: ข้อ ก. Fexofenadine เป็น active metabolite ของ Terfenadine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เป็น active metabolite ของ Terfenadine การเลือก Fexofenadine เป็น active metabolite ของ Terfenadine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(Fexofenadine เป็น racemic mixture ของ Terfenadine):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ค. (Levocetirizine เป็น active metabolite ของ cetirizine): เป็น 2nd generation H1-antihistamine บรรเทาอาการ allergic rhinitis และ urticaria มี sedating effect ต่ำกว่า 1st gen แต่ยังอาจทำให้ง่วงซึมได้มากกว่า fexofenadine
• ข้อ ง. (Levocetirizine เป็น racemic mixture ของ cetirizine): เป็น 2nd generation H1-antihistamine บรรเทาอาการ allergic rhinitis และ urticaria มี sedating effect ต่ำกว่า 1st gen แต่ยังอาจทำให้ง่วงซึมได้มากกว่า fexofenadine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3" s="18" t="inlineStr"/>
      <c r="L683" s="18" t="inlineStr">
        <is>
          <t>General Therapeutics</t>
        </is>
      </c>
      <c r="M683" s="18" t="inlineStr">
        <is>
          <t>Clinic</t>
        </is>
      </c>
      <c r="N683" s="18" t="inlineStr">
        <is>
          <t>ข้อ 85 (Pharmtutor_2024_Set2.md)</t>
        </is>
      </c>
      <c r="O683" s="18" t="inlineStr">
        <is>
          <t>Mock</t>
        </is>
      </c>
      <c r="P683" s="18" t="inlineStr">
        <is>
          <t>Mock Pharmtutor 2024</t>
        </is>
      </c>
    </row>
    <row r="684">
      <c r="A684" s="15" t="inlineStr">
        <is>
          <t>705</t>
        </is>
      </c>
      <c r="B684" s="18" t="inlineStr">
        <is>
          <t>ข้อความใดต่อไปนี้ที่สามารถใส่ได้ในป้ายร้านยา</t>
        </is>
      </c>
      <c r="C684" s="18" t="inlineStr"/>
      <c r="D684" s="18" t="inlineStr">
        <is>
          <t>เวลาทำการ</t>
        </is>
      </c>
      <c r="E684" s="18" t="inlineStr">
        <is>
          <t>เภสัชศาสตรบัณฑิต เกียรตินิยม</t>
        </is>
      </c>
      <c r="F684" s="18" t="inlineStr">
        <is>
          <t>ยาดี และถูกที่สุด ที่นี่เท่านั้น</t>
        </is>
      </c>
      <c r="G684" s="18" t="inlineStr">
        <is>
          <t>เภสัชมากความสามารถจากสหรัฐอเมริกา</t>
        </is>
      </c>
      <c r="H684" s="18" t="inlineStr">
        <is>
          <t>ทุกข้อความข้างต้นใส่ได้ทั้งหมด</t>
        </is>
      </c>
      <c r="I684" s="15" t="inlineStr">
        <is>
          <t>1</t>
        </is>
      </c>
      <c r="J684" s="18" t="inlineStr">
        <is>
          <t>✅ คำตอบที่ถูกต้อง: ข้อ ก. 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เวลาทำการ 💡 คำอธิบายและข้อกำหนดทางกฎหมาย:
💡 คำอธิบายและข้อกำหนดทางกฎหมาย:
การเลือก เวลาทำการ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(เภสัชศาสตรบัณฑิต เกียรตินิยม): ข้อนี้ไม่ใช่คำตอบที่ถูกต้องสำหรับภาวะ Pharmacy Laws &amp; Ethics เนื่องจากกลไกการออกฤทธิ์, efficacy หรือข้อบ่งใช้ไม่ตรงกับโจทย์ที่กำหนด
• ข้อ ค. (ยาดี และถูกที่สุด ที่นี่เท่านั้น): ข้อนี้ไม่ใช่คำตอบที่ถูกต้องสำหรับภาวะ Pharmacy Laws &amp; Ethics เนื่องจากกลไกการออกฤทธิ์, efficacy หรือข้อบ่งใช้ไม่ตรงกับโจทย์ที่กำหนด
• ข้อ ง. (เภสัชมากความสามารถจากสหรัฐอเมริกา): ข้อนี้ไม่ใช่คำตอบที่ถูกต้องสำหรับภาวะ Pharmacy Laws &amp; Ethics เนื่องจากกลไกการออกฤทธิ์, efficacy หรือข้อบ่งใช้ไม่ตรงกับโจทย์ที่กำหนด
• ข้อ จ. (ทุกข้อความข้างต้นใส่ได้ทั้งหมด):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4" s="18" t="inlineStr"/>
      <c r="L684" s="18" t="inlineStr">
        <is>
          <t>Pharmacy Laws &amp; Ethics</t>
        </is>
      </c>
      <c r="M684" s="18" t="inlineStr">
        <is>
          <t>SAP</t>
        </is>
      </c>
      <c r="N684" s="18" t="inlineStr">
        <is>
          <t>ข้อ 106 (Pharmtutor_2024_Set2.md)</t>
        </is>
      </c>
      <c r="O684" s="18" t="inlineStr">
        <is>
          <t>Mock</t>
        </is>
      </c>
      <c r="P684" s="18" t="inlineStr">
        <is>
          <t>Mock Pharmtutor 2024</t>
        </is>
      </c>
    </row>
    <row r="685">
      <c r="A685" s="15" t="inlineStr">
        <is>
          <t>706</t>
        </is>
      </c>
      <c r="B685" s="18" t="inlineStr">
        <is>
          <t>ยาในข้อในต่อไปนี้ ไม่สามารถอยู่ในพื้นที่ให้บริการตัวเองได้</t>
        </is>
      </c>
      <c r="C685" s="18" t="inlineStr"/>
      <c r="D685" s="18" t="inlineStr">
        <is>
          <t>Niclosamide 500 mg แผง 4 เม็ด</t>
        </is>
      </c>
      <c r="E685" s="18" t="inlineStr">
        <is>
          <t>Vitamin C 100 mg 10 เม็ด</t>
        </is>
      </c>
      <c r="F685" s="18" t="inlineStr">
        <is>
          <t>Acetaminophen 325 mg 100 เม็ด</t>
        </is>
      </c>
      <c r="G685" s="18" t="inlineStr">
        <is>
          <t>CPM 2 mg 10 เม็ด</t>
        </is>
      </c>
      <c r="H685" s="18" t="inlineStr">
        <is>
          <t>ยาแก้ไอน้ำดำ 60 ml</t>
        </is>
      </c>
      <c r="I685" s="15" t="inlineStr">
        <is>
          <t>1</t>
        </is>
      </c>
      <c r="J685" s="18" t="inlineStr">
        <is>
          <t>✅ คำตอบที่ถูกต้อง: ข้อ ก. Niclosamide 500 mg แผง 4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แผง 4 เม็ด การเลือก Niclosamide 500 mg แผง 4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ค. (Acetaminophen 325 mg 100 เม็ด): ข้อนี้ไม่ใช่คำตอบที่ถูกต้องสำหรับภาวะ General Therapeutics เนื่องจากกลไกการออกฤทธิ์, efficacy หรือข้อบ่งใช้ไม่ตรงกับโจทย์ที่กำหนด
• ข้อ ง. (CPM 2 mg 10 เม็ด): ข้อนี้ไม่ใช่คำตอบที่ถูกต้องสำหรับภาวะ General Therapeutics เนื่องจากกลไกการออกฤทธิ์, efficacy หรือข้อบ่งใช้ไม่ตรงกับโจทย์ที่กำหนด
• ข้อ จ. (ยาแก้ไอน้ำดำ 60 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5" s="18" t="inlineStr"/>
      <c r="L685" s="18" t="inlineStr">
        <is>
          <t>General Therapeutics</t>
        </is>
      </c>
      <c r="M685" s="18" t="inlineStr">
        <is>
          <t>Clinic</t>
        </is>
      </c>
      <c r="N685" s="18" t="inlineStr">
        <is>
          <t>ข้อ 107 (Pharmtutor_2024_Set2.md)</t>
        </is>
      </c>
      <c r="O685" s="18" t="inlineStr">
        <is>
          <t>Mock</t>
        </is>
      </c>
      <c r="P685" s="18" t="inlineStr">
        <is>
          <t>Mock Pharmtutor 2024</t>
        </is>
      </c>
    </row>
    <row r="686">
      <c r="A686" s="15" t="inlineStr">
        <is>
          <t>707</t>
        </is>
      </c>
      <c r="B686" s="18" t="inlineStr">
        <is>
          <t>แก้ไขเพิ่มเติมให้มีการต่ออายุใบอนุญาต โดยกำหนดให้ใบอนุญาตมีอายุ 5 ปี นับแต่วันที่ ออกใบอนุญาต</t>
        </is>
      </c>
      <c r="C686" s="18" t="inlineStr"/>
      <c r="D686" s="18" t="inlineStr">
        <is>
          <t>พ.ร.บ. ยาเสพติดให้โทษ พ.ศ. 2522 (ยาเสพติดให้โทษประเภท 2 และ 3)</t>
        </is>
      </c>
      <c r="E686" s="18" t="inlineStr">
        <is>
          <t>พ.ร.บ. วัตถุที่ออกฤทธิ์ต่อจิตและประสาท พ.ศ. 2559 (ประเภท 2 และ 4)</t>
        </is>
      </c>
      <c r="F686" s="18" t="inlineStr">
        <is>
          <t>พ.ร.บ. วิชาชีพเภสัชกรรม พ.ศ. 2537 และข้อบังคับจรรยาบรรณวิชาชีพ</t>
        </is>
      </c>
      <c r="G686" s="18" t="inlineStr">
        <is>
          <t>พ.ร.บ. ผลิตภัณฑ์สมุนไพร พ.ศ. 2562</t>
        </is>
      </c>
      <c r="H686" s="18" t="inlineStr">
        <is>
          <t>พ.ร.บ. เครื่องสำอาง พ.ศ. 2558</t>
        </is>
      </c>
      <c r="I686" s="15" t="inlineStr">
        <is>
          <t>1</t>
        </is>
      </c>
      <c r="J686"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6" s="18" t="inlineStr"/>
      <c r="L686" s="18" t="inlineStr">
        <is>
          <t>Pharmacy Laws &amp; Ethics</t>
        </is>
      </c>
      <c r="M686" s="18" t="inlineStr">
        <is>
          <t>SAP</t>
        </is>
      </c>
      <c r="N686" s="18" t="inlineStr">
        <is>
          <t>ข้อ 1 (LAW-CU-71.md)</t>
        </is>
      </c>
      <c r="O686" s="18" t="inlineStr">
        <is>
          <t>Mock</t>
        </is>
      </c>
      <c r="P686" s="18" t="inlineStr">
        <is>
          <t>Mock กฎหมาย CU71</t>
        </is>
      </c>
    </row>
    <row r="687">
      <c r="A687" s="15" t="inlineStr">
        <is>
          <t>708</t>
        </is>
      </c>
      <c r="B687" s="18" t="inlineStr">
        <is>
          <t>ไม่ประพฤติหรือกระทำการใดๆ อันเป็นเหตุให้เสื่อมเสียเกียรติศักดิ์แห่งวิชาชีพ</t>
        </is>
      </c>
      <c r="C687" s="18" t="inlineStr"/>
      <c r="D687" s="18" t="inlineStr">
        <is>
          <t>N-acetylcysteine (NAC) IV infusion protocol</t>
        </is>
      </c>
      <c r="E687" s="18" t="inlineStr">
        <is>
          <t>Atropine sulfate 2 mg IV Q5-10 min</t>
        </is>
      </c>
      <c r="F687" s="18" t="inlineStr">
        <is>
          <t>Pralidoxime (2-PAM) 1-2 g IV over 30 min</t>
        </is>
      </c>
      <c r="G687" s="18" t="inlineStr">
        <is>
          <t>Naloxone 0.4 mg IV stat</t>
        </is>
      </c>
      <c r="H687" s="18" t="inlineStr">
        <is>
          <t>Flumazenil 0.2 mg IV stat</t>
        </is>
      </c>
      <c r="I687" s="15" t="inlineStr">
        <is>
          <t>1</t>
        </is>
      </c>
      <c r="J6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87" s="18" t="inlineStr"/>
      <c r="L687" s="18" t="inlineStr">
        <is>
          <t>General Therapeutics</t>
        </is>
      </c>
      <c r="M687" s="18" t="inlineStr">
        <is>
          <t>Clinic</t>
        </is>
      </c>
      <c r="N687" s="18" t="inlineStr">
        <is>
          <t>ข้อ 2 (LAW-CU-71.md)</t>
        </is>
      </c>
      <c r="O687" s="18" t="inlineStr">
        <is>
          <t>Mock</t>
        </is>
      </c>
      <c r="P687" s="18" t="inlineStr">
        <is>
          <t>Mock กฎหมาย CU71</t>
        </is>
      </c>
    </row>
    <row r="688">
      <c r="A688" s="15" t="inlineStr">
        <is>
          <t>709</t>
        </is>
      </c>
      <c r="B688" s="18" t="inlineStr">
        <is>
          <t>ประกอบวิชาชีพด้วยเจตนาดี โดยไม่คำนึงถึงฐานะ เชื้อชาติ ศาสนา สังคม หรือลัทธิการเมือง</t>
        </is>
      </c>
      <c r="C688" s="18" t="inlineStr"/>
      <c r="D688" s="18" t="inlineStr">
        <is>
          <t>Naloxone 0.4 mg IV stat</t>
        </is>
      </c>
      <c r="E688" s="18" t="inlineStr">
        <is>
          <t>Flumazenil 0.2 mg IV stat</t>
        </is>
      </c>
      <c r="F688" s="18" t="inlineStr">
        <is>
          <t>Vitamin K1 (Phytomenadione) 10 mg IV slow</t>
        </is>
      </c>
      <c r="G688" s="18" t="inlineStr">
        <is>
          <t>Sodium thiosulfate 25% 50 mL IV</t>
        </is>
      </c>
      <c r="H688" s="18" t="inlineStr">
        <is>
          <t>Calcium disodium EDTA 1 g IV</t>
        </is>
      </c>
      <c r="I688" s="15" t="inlineStr">
        <is>
          <t>1</t>
        </is>
      </c>
      <c r="J6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8" s="18" t="inlineStr"/>
      <c r="L688" s="18" t="inlineStr">
        <is>
          <t>General Therapeutics</t>
        </is>
      </c>
      <c r="M688" s="18" t="inlineStr">
        <is>
          <t>Clinic</t>
        </is>
      </c>
      <c r="N688" s="18" t="inlineStr">
        <is>
          <t>ข้อ 3 (LAW-CU-71.md)</t>
        </is>
      </c>
      <c r="O688" s="18" t="inlineStr">
        <is>
          <t>Mock</t>
        </is>
      </c>
      <c r="P688" s="18" t="inlineStr">
        <is>
          <t>Mock กฎหมาย CU71</t>
        </is>
      </c>
    </row>
    <row r="689">
      <c r="A689" s="15" t="inlineStr">
        <is>
          <t>710</t>
        </is>
      </c>
      <c r="B689" s="18" t="inlineStr">
        <is>
          <t>พึงสร้างทัศนคติและความเข้าใจต่อเพื่อนมนุษย์ และสังคม นำความรู้ด้านสังคมศาสตร์ พฤติกรรมศาสตร์ มาประยุกต์ในการประกอบอาชีพ</t>
        </is>
      </c>
      <c r="C689" s="18" t="inlineStr"/>
      <c r="D689" s="18" t="inlineStr">
        <is>
          <t>Sodium thiosulfate 25% 50 mL IV</t>
        </is>
      </c>
      <c r="E689" s="18" t="inlineStr">
        <is>
          <t>Calcium disodium EDTA 1 g IV</t>
        </is>
      </c>
      <c r="F689" s="18" t="inlineStr">
        <is>
          <t>Desferrioxamine 1 g IM/IV</t>
        </is>
      </c>
      <c r="G689" s="18" t="inlineStr">
        <is>
          <t>Dimercaprol (BAL) 3 mg/kg IM</t>
        </is>
      </c>
      <c r="H689" s="18" t="inlineStr">
        <is>
          <t>Ethanol 10% IV infusion for Methanol poisoning</t>
        </is>
      </c>
      <c r="I689" s="15" t="inlineStr">
        <is>
          <t>1</t>
        </is>
      </c>
      <c r="J6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9" s="18" t="inlineStr"/>
      <c r="L689" s="18" t="inlineStr">
        <is>
          <t>General Therapeutics</t>
        </is>
      </c>
      <c r="M689" s="18" t="inlineStr">
        <is>
          <t>Clinic</t>
        </is>
      </c>
      <c r="N689" s="18" t="inlineStr">
        <is>
          <t>ข้อ 4 (LAW-CU-71.md)</t>
        </is>
      </c>
      <c r="O689" s="18" t="inlineStr">
        <is>
          <t>Mock</t>
        </is>
      </c>
      <c r="P689" s="18" t="inlineStr">
        <is>
          <t>Mock กฎหมาย CU71</t>
        </is>
      </c>
    </row>
    <row r="690">
      <c r="A690" s="15" t="inlineStr">
        <is>
          <t>711</t>
        </is>
      </c>
      <c r="B690" s="18" t="inlineStr">
        <is>
          <t>แสวงหาความรู้ ความก้าวหน้าทางวิชาการ เพื่อการพัฒนาองค์กร และวิชาชีพให้ทันต่อยุคสมัย</t>
        </is>
      </c>
      <c r="C690" s="18" t="inlineStr"/>
      <c r="D690" s="18" t="inlineStr">
        <is>
          <t>Dimercaprol (BAL) 3 mg/kg IM</t>
        </is>
      </c>
      <c r="E690" s="18" t="inlineStr">
        <is>
          <t>Ethanol 10% IV infusion for Methanol poisoning</t>
        </is>
      </c>
      <c r="F690" s="18" t="inlineStr">
        <is>
          <t>Fomepizole 15 mg/kg IV loading</t>
        </is>
      </c>
      <c r="G690" s="18" t="inlineStr">
        <is>
          <t>N-acetylcysteine (NAC) IV infusion protocol</t>
        </is>
      </c>
      <c r="H690" s="18" t="inlineStr">
        <is>
          <t>Atropine sulfate 2 mg IV Q5-10 min</t>
        </is>
      </c>
      <c r="I690" s="15" t="inlineStr">
        <is>
          <t>1</t>
        </is>
      </c>
      <c r="J6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0" s="18" t="inlineStr"/>
      <c r="L690" s="18" t="inlineStr">
        <is>
          <t>General Therapeutics</t>
        </is>
      </c>
      <c r="M690" s="18" t="inlineStr">
        <is>
          <t>Clinic</t>
        </is>
      </c>
      <c r="N690" s="18" t="inlineStr">
        <is>
          <t>ข้อ 5 (LAW-CU-71.md)</t>
        </is>
      </c>
      <c r="O690" s="18" t="inlineStr">
        <is>
          <t>Mock</t>
        </is>
      </c>
      <c r="P690" s="18" t="inlineStr">
        <is>
          <t>Mock กฎหมาย CU71</t>
        </is>
      </c>
    </row>
    <row r="691">
      <c r="A691" s="15" t="inlineStr">
        <is>
          <t>712</t>
        </is>
      </c>
      <c r="B691" s="18" t="inlineStr">
        <is>
          <t>รักษามาตรฐานของการประกอบวิชาชีพเภสัชกรรมในระดับที่ดีที่สุด</t>
        </is>
      </c>
      <c r="C691" s="18" t="inlineStr"/>
      <c r="D691" s="18" t="inlineStr">
        <is>
          <t>N-acetylcysteine (NAC) IV infusion protocol</t>
        </is>
      </c>
      <c r="E691" s="18" t="inlineStr">
        <is>
          <t>Atropine sulfate 2 mg IV Q5-10 min</t>
        </is>
      </c>
      <c r="F691" s="18" t="inlineStr">
        <is>
          <t>Pralidoxime (2-PAM) 1-2 g IV over 30 min</t>
        </is>
      </c>
      <c r="G691" s="18" t="inlineStr">
        <is>
          <t>Naloxone 0.4 mg IV stat</t>
        </is>
      </c>
      <c r="H691" s="18" t="inlineStr">
        <is>
          <t>Flumazenil 0.2 mg IV stat</t>
        </is>
      </c>
      <c r="I691" s="15" t="inlineStr">
        <is>
          <t>1</t>
        </is>
      </c>
      <c r="J6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1" s="18" t="inlineStr"/>
      <c r="L691" s="18" t="inlineStr">
        <is>
          <t>General Therapeutics</t>
        </is>
      </c>
      <c r="M691" s="18" t="inlineStr">
        <is>
          <t>Clinic</t>
        </is>
      </c>
      <c r="N691" s="18" t="inlineStr">
        <is>
          <t>ข้อ 6 (LAW-CU-71.md)</t>
        </is>
      </c>
      <c r="O691" s="18" t="inlineStr">
        <is>
          <t>Mock</t>
        </is>
      </c>
      <c r="P691" s="18" t="inlineStr">
        <is>
          <t>Mock กฎหมาย CU71</t>
        </is>
      </c>
    </row>
    <row r="692">
      <c r="A692" s="15" t="inlineStr">
        <is>
          <t>713</t>
        </is>
      </c>
      <c r="B692" s="18" t="inlineStr">
        <is>
          <t>ไม่จูงใจหรือชักชวนให้มารับบริการทางวิชาชีพเภสัชกรรมเพื่อผลประโยชน์ของตน</t>
        </is>
      </c>
      <c r="C692" s="18" t="inlineStr"/>
      <c r="D692" s="18" t="inlineStr">
        <is>
          <t>Levodopa/Benserazide 100/25 mg TID</t>
        </is>
      </c>
      <c r="E692" s="18" t="inlineStr">
        <is>
          <t>Sumatriptan 50 mg stat</t>
        </is>
      </c>
      <c r="F692" s="18" t="inlineStr">
        <is>
          <t>Propranolol 40 mg BID</t>
        </is>
      </c>
      <c r="G692" s="18" t="inlineStr">
        <is>
          <t>Topiramate 25 mg BID</t>
        </is>
      </c>
      <c r="H692" s="18" t="inlineStr">
        <is>
          <t>Donepezil 5 mg HS</t>
        </is>
      </c>
      <c r="I692" s="15" t="inlineStr">
        <is>
          <t>1</t>
        </is>
      </c>
      <c r="J692" s="18"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2" s="18" t="inlineStr"/>
      <c r="L692" s="18" t="inlineStr">
        <is>
          <t>Neurologic Disorders</t>
        </is>
      </c>
      <c r="M692" s="18" t="inlineStr">
        <is>
          <t>Clinic</t>
        </is>
      </c>
      <c r="N692" s="18" t="inlineStr">
        <is>
          <t>ข้อ 7 (LAW-CU-71.md)</t>
        </is>
      </c>
      <c r="O692" s="18" t="inlineStr">
        <is>
          <t>Mock</t>
        </is>
      </c>
      <c r="P692" s="18" t="inlineStr">
        <is>
          <t>Mock กฎหมาย CU71</t>
        </is>
      </c>
    </row>
    <row r="693">
      <c r="A693" s="15" t="inlineStr">
        <is>
          <t>714</t>
        </is>
      </c>
      <c r="B693" s="18" t="inlineStr">
        <is>
          <t>ไม่หลอกลวงหรือให้คำรับรองอันเป็นเท็จหรือให้ความเห็นโดยไม่สุจริตใน เพื่อประโยชน์ของตน</t>
        </is>
      </c>
      <c r="C693" s="18" t="inlineStr"/>
      <c r="D693" s="18" t="inlineStr">
        <is>
          <t>Sodium thiosulfate 25% 50 mL IV</t>
        </is>
      </c>
      <c r="E693" s="18" t="inlineStr">
        <is>
          <t>Calcium disodium EDTA 1 g IV</t>
        </is>
      </c>
      <c r="F693" s="18" t="inlineStr">
        <is>
          <t>Desferrioxamine 1 g IM/IV</t>
        </is>
      </c>
      <c r="G693" s="18" t="inlineStr">
        <is>
          <t>Dimercaprol (BAL) 3 mg/kg IM</t>
        </is>
      </c>
      <c r="H693" s="18" t="inlineStr">
        <is>
          <t>Ethanol 10% IV infusion for Methanol poisoning</t>
        </is>
      </c>
      <c r="I693" s="15" t="inlineStr">
        <is>
          <t>1</t>
        </is>
      </c>
      <c r="J6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3" s="18" t="inlineStr"/>
      <c r="L693" s="18" t="inlineStr">
        <is>
          <t>General Therapeutics</t>
        </is>
      </c>
      <c r="M693" s="18" t="inlineStr">
        <is>
          <t>Clinic</t>
        </is>
      </c>
      <c r="N693" s="18" t="inlineStr">
        <is>
          <t>ข้อ 9 (LAW-CU-71.md)</t>
        </is>
      </c>
      <c r="O693" s="18" t="inlineStr">
        <is>
          <t>Mock</t>
        </is>
      </c>
      <c r="P693" s="18" t="inlineStr">
        <is>
          <t>Mock กฎหมาย CU71</t>
        </is>
      </c>
    </row>
    <row r="694">
      <c r="A694" s="15" t="inlineStr">
        <is>
          <t>715</t>
        </is>
      </c>
      <c r="B694" s="18" t="inlineStr">
        <is>
          <t>ประกอบวิชาชีพ โดยคำนึงถึงความปลอดภัยและเศรษฐานะของผู้ป่วยหรือผู้มารับบริการ</t>
        </is>
      </c>
      <c r="C694" s="18" t="inlineStr"/>
      <c r="D694" s="18" t="inlineStr">
        <is>
          <t>Dimercaprol (BAL) 3 mg/kg IM</t>
        </is>
      </c>
      <c r="E694" s="18" t="inlineStr">
        <is>
          <t>Ethanol 10% IV infusion for Methanol poisoning</t>
        </is>
      </c>
      <c r="F694" s="18" t="inlineStr">
        <is>
          <t>Fomepizole 15 mg/kg IV loading</t>
        </is>
      </c>
      <c r="G694" s="18" t="inlineStr">
        <is>
          <t>N-acetylcysteine (NAC) IV infusion protocol</t>
        </is>
      </c>
      <c r="H694" s="18" t="inlineStr">
        <is>
          <t>Atropine sulfate 2 mg IV Q5-10 min</t>
        </is>
      </c>
      <c r="I694" s="15" t="inlineStr">
        <is>
          <t>1</t>
        </is>
      </c>
      <c r="J6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4" s="18" t="inlineStr"/>
      <c r="L694" s="18" t="inlineStr">
        <is>
          <t>General Therapeutics</t>
        </is>
      </c>
      <c r="M694" s="18" t="inlineStr">
        <is>
          <t>Clinic</t>
        </is>
      </c>
      <c r="N694" s="18" t="inlineStr">
        <is>
          <t>ข้อ 10 (LAW-CU-71.md)</t>
        </is>
      </c>
      <c r="O694" s="18" t="inlineStr">
        <is>
          <t>Mock</t>
        </is>
      </c>
      <c r="P694" s="18" t="inlineStr">
        <is>
          <t>Mock กฎหมาย CU71</t>
        </is>
      </c>
    </row>
    <row r="695">
      <c r="A695" s="15" t="inlineStr">
        <is>
          <t>716</t>
        </is>
      </c>
      <c r="B695" s="18" t="inlineStr">
        <is>
          <t>ไม่ใช้หรือสนับสนุนการใช้ยาตำรับลับ</t>
        </is>
      </c>
      <c r="C695" s="18" t="inlineStr"/>
      <c r="D695" s="18" t="inlineStr">
        <is>
          <t>N-acetylcysteine (NAC) IV infusion protocol</t>
        </is>
      </c>
      <c r="E695" s="18" t="inlineStr">
        <is>
          <t>Atropine sulfate 2 mg IV Q5-10 min</t>
        </is>
      </c>
      <c r="F695" s="18" t="inlineStr">
        <is>
          <t>Pralidoxime (2-PAM) 1-2 g IV over 30 min</t>
        </is>
      </c>
      <c r="G695" s="18" t="inlineStr">
        <is>
          <t>Naloxone 0.4 mg IV stat</t>
        </is>
      </c>
      <c r="H695" s="18" t="inlineStr">
        <is>
          <t>Flumazenil 0.2 mg IV stat</t>
        </is>
      </c>
      <c r="I695" s="15" t="inlineStr">
        <is>
          <t>1</t>
        </is>
      </c>
      <c r="J6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5" s="18" t="inlineStr"/>
      <c r="L695" s="18" t="inlineStr">
        <is>
          <t>General Therapeutics</t>
        </is>
      </c>
      <c r="M695" s="18" t="inlineStr">
        <is>
          <t>Clinic</t>
        </is>
      </c>
      <c r="N695" s="18" t="inlineStr">
        <is>
          <t>ข้อ 11 (LAW-CU-71.md)</t>
        </is>
      </c>
      <c r="O695" s="18" t="inlineStr">
        <is>
          <t>Mock</t>
        </is>
      </c>
      <c r="P695" s="18" t="inlineStr">
        <is>
          <t>Mock กฎหมาย CU71</t>
        </is>
      </c>
    </row>
    <row r="696">
      <c r="A696" s="15" t="inlineStr">
        <is>
          <t>717</t>
        </is>
      </c>
      <c r="B696" s="18" t="inlineStr">
        <is>
          <t>ไม่เปิดเผยความลับของผู้มารับบริการ</t>
        </is>
      </c>
      <c r="C696" s="18" t="inlineStr"/>
      <c r="D696" s="18" t="inlineStr">
        <is>
          <t>Naloxone 0.4 mg IV stat</t>
        </is>
      </c>
      <c r="E696" s="18" t="inlineStr">
        <is>
          <t>Flumazenil 0.2 mg IV stat</t>
        </is>
      </c>
      <c r="F696" s="18" t="inlineStr">
        <is>
          <t>Vitamin K1 (Phytomenadione) 10 mg IV slow</t>
        </is>
      </c>
      <c r="G696" s="18" t="inlineStr">
        <is>
          <t>Sodium thiosulfate 25% 50 mL IV</t>
        </is>
      </c>
      <c r="H696" s="18" t="inlineStr">
        <is>
          <t>Calcium disodium EDTA 1 g IV</t>
        </is>
      </c>
      <c r="I696" s="15" t="inlineStr">
        <is>
          <t>1</t>
        </is>
      </c>
      <c r="J6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96" s="18" t="inlineStr"/>
      <c r="L696" s="18" t="inlineStr">
        <is>
          <t>General Therapeutics</t>
        </is>
      </c>
      <c r="M696" s="18" t="inlineStr">
        <is>
          <t>Clinic</t>
        </is>
      </c>
      <c r="N696" s="18" t="inlineStr">
        <is>
          <t>ข้อ 12 (LAW-CU-71.md)</t>
        </is>
      </c>
      <c r="O696" s="18" t="inlineStr">
        <is>
          <t>Mock</t>
        </is>
      </c>
      <c r="P696" s="18" t="inlineStr">
        <is>
          <t>Mock กฎหมาย CU71</t>
        </is>
      </c>
    </row>
    <row r="697">
      <c r="A697" s="15" t="inlineStr">
        <is>
          <t>718</t>
        </is>
      </c>
      <c r="B697" s="18" t="inlineStr">
        <is>
          <t>อนุภาคที_x001e_อยู่ใน sieve ข้อใดมีโอกาสเกิด oxidation ได้มาก ที_x001e_สุด</t>
        </is>
      </c>
      <c r="C697" s="18" t="inlineStr"/>
      <c r="D697" s="18" t="inlineStr">
        <is>
          <t>Differential Scanning Calorimetry (DSC) Polymorphism</t>
        </is>
      </c>
      <c r="E697" s="18" t="inlineStr">
        <is>
          <t>Moisture Sorption Isotherm analysis</t>
        </is>
      </c>
      <c r="F697" s="18" t="inlineStr">
        <is>
          <t>Good Manufacturing Practice (GMP PIC/S)</t>
        </is>
      </c>
      <c r="G697" s="18" t="inlineStr">
        <is>
          <t>Standard Operating Procedure (SOP) Validation</t>
        </is>
      </c>
      <c r="H697" s="18" t="inlineStr">
        <is>
          <t>High-Density Polyethylene (HDPE) Container</t>
        </is>
      </c>
      <c r="I697" s="15" t="inlineStr">
        <is>
          <t>1</t>
        </is>
      </c>
      <c r="J697" s="18"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7" s="18" t="inlineStr"/>
      <c r="L697" s="18" t="inlineStr">
        <is>
          <t>Preformulation &amp; Stability</t>
        </is>
      </c>
      <c r="M697" s="18" t="inlineStr">
        <is>
          <t>Product</t>
        </is>
      </c>
      <c r="N697" s="18" t="inlineStr">
        <is>
          <t>ข้อ 45 (PLE_CC1_2557.md)</t>
        </is>
      </c>
      <c r="O697" s="18" t="inlineStr">
        <is>
          <t>ข้อสอบจริง</t>
        </is>
      </c>
      <c r="P697" s="18" t="inlineStr">
        <is>
          <t>ปี 2557</t>
        </is>
      </c>
    </row>
    <row r="698">
      <c r="A698" s="15" t="inlineStr">
        <is>
          <t>719</t>
        </is>
      </c>
      <c r="B698" s="18" t="inlineStr">
        <is>
          <t>ข้อใดถูกต้องเกี_x001e_ยวกับวิธีการใช้ Seretideห Accuhalerห (1) เปิดฝาครอบปากขวดยาพ่นออก ควํ_x0003_าขวดยาพ่นลง เขย่าในแนวตั_x001b_ง 3 - 4 ครั_x001b_ง (2) หายใจออกให้สุดผ่านหลอดพ่นยา (3) ใช้ริมฝีปากอมรอบปากกระบอกให้สนิท (4) สูดลมหายใจเข้าทางปากโดยผ่านเครื_x0003_องมือให้เร็ว แรง และลึกที_x0003_สุด พร้อมกดหลอดยาพ่น 1 ครั_x001b_ง (5) การหายใจต้องสัมพันธ์กับการกดหลอดพ่นยา</t>
        </is>
      </c>
      <c r="C698" s="18" t="inlineStr"/>
      <c r="D698" s="18" t="inlineStr">
        <is>
          <t>Prednisolone 40 mg OD x 5 days</t>
        </is>
      </c>
      <c r="E698" s="18" t="inlineStr">
        <is>
          <t>N-acetylcysteine 600 mg OD</t>
        </is>
      </c>
      <c r="F698" s="18" t="inlineStr">
        <is>
          <t>Beclomethasone MDI 100 mcg BID</t>
        </is>
      </c>
      <c r="G698" s="18" t="inlineStr">
        <is>
          <t>Salbutamol MDI 2 puffs PRN</t>
        </is>
      </c>
      <c r="H698" s="18" t="inlineStr">
        <is>
          <t>Budesonide/Formoterol 160/4.5 mcg DPI BID</t>
        </is>
      </c>
      <c r="I698" s="15" t="inlineStr">
        <is>
          <t>1</t>
        </is>
      </c>
      <c r="J698" s="18"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98" s="18" t="inlineStr"/>
      <c r="L698" s="18" t="inlineStr">
        <is>
          <t>Pulmonary Diseases</t>
        </is>
      </c>
      <c r="M698" s="18" t="inlineStr">
        <is>
          <t>Clinic</t>
        </is>
      </c>
      <c r="N698" s="18" t="inlineStr">
        <is>
          <t>ข้อ 48 (PLE_CC1_2557.md)</t>
        </is>
      </c>
      <c r="O698" s="18" t="inlineStr">
        <is>
          <t>ข้อสอบจริง</t>
        </is>
      </c>
      <c r="P698" s="18" t="inlineStr">
        <is>
          <t>ปี 2557</t>
        </is>
      </c>
    </row>
    <row r="699">
      <c r="A699" s="15" t="inlineStr">
        <is>
          <t>720</t>
        </is>
      </c>
      <c r="B699" s="18" t="inlineStr">
        <is>
          <t>ร้านขายยาแห่งหนึ_x001e_ง ติดป้ายเวลาทำการของเภสัชกรไว้เป็น เวลา 17.00 - 20.00 น. ผู้ป่วยรายหนึ_x001e_งเดินเข้าไปในร้านยา ดังกล่าว เพื_x001e_อขอซื%อยา simethicone 1 แผงเวลา 15.00 น. ซึ_x001e_งในเวลาดังกล่าวไม่มีเภสัชกรปฏิบัติงาน มีเพียงเจ้าของ ร้านผู้รับอนุญาตซึ_x001e_งไม่ใช่เภสัชกร เจ้าของร้านสามารถ จำหน่ายยา simethicone ให้ผู้ป่วยรายนี%ได้หรือไม่ เพราะ เหตุใด (1) ได้ เพราะ เป็นยาสามัญประจำบ้าน (2) ได้ ถึงแม้จะเป็นอันตราย แต่ร้านขายยาดังกล่าวเป็น ร้านที_x0003_ได้รับอนุญาต (3) ไม่ได้ เพราะ เป็นยาอันตราย (4) ไม่ได้ เพราะ ไม่มีเภสัชกรปฏิบัติงาน (5) ไม่ได้ ถึงแม้จะเป็นยาสามัญประจำบ้าน แต่ในช่วง เวลาดังกล่าวไม่มีเภสัชกรปฏิบัติงาน</t>
        </is>
      </c>
      <c r="C699" s="18" t="inlineStr"/>
      <c r="D699" s="18" t="inlineStr">
        <is>
          <t>พ.ร.บ. ยา พ.ศ. 2510 (การจำหน่ายยาอันตรายและยาควบคุมพิเศษ)</t>
        </is>
      </c>
      <c r="E699" s="18" t="inlineStr">
        <is>
          <t>พ.ร.บ. ยาเสพติดให้โทษ พ.ศ. 2522 (ยาเสพติดให้โทษประเภท 2 และ 3)</t>
        </is>
      </c>
      <c r="F699" s="18" t="inlineStr">
        <is>
          <t>พ.ร.บ. วัตถุที่ออกฤทธิ์ต่อจิตและประสาท พ.ศ. 2559 (ประเภท 2 และ 4)</t>
        </is>
      </c>
      <c r="G699" s="18" t="inlineStr">
        <is>
          <t>พ.ร.บ. วิชาชีพเภสัชกรรม พ.ศ. 2537 และข้อบังคับจรรยาบรรณวิชาชีพ</t>
        </is>
      </c>
      <c r="H699" s="18" t="inlineStr">
        <is>
          <t>พ.ร.บ. ผลิตภัณฑ์สมุนไพร พ.ศ. 2562</t>
        </is>
      </c>
      <c r="I699" s="15" t="inlineStr">
        <is>
          <t>1</t>
        </is>
      </c>
      <c r="J699"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9" s="18" t="inlineStr"/>
      <c r="L699" s="18" t="inlineStr">
        <is>
          <t>Pharmacy Laws &amp; Ethics</t>
        </is>
      </c>
      <c r="M699" s="18" t="inlineStr">
        <is>
          <t>SAP</t>
        </is>
      </c>
      <c r="N699" s="18" t="inlineStr">
        <is>
          <t>ข้อ 62 (PLE_CC1_2557.md)</t>
        </is>
      </c>
      <c r="O699" s="18" t="inlineStr">
        <is>
          <t>ข้อสอบจริง</t>
        </is>
      </c>
      <c r="P699" s="18" t="inlineStr">
        <is>
          <t>ปี 2557</t>
        </is>
      </c>
    </row>
    <row r="700">
      <c r="A700" s="15" t="inlineStr">
        <is>
          <t>721</t>
        </is>
      </c>
      <c r="B700" s="18" t="inlineStr">
        <is>
          <t>ผู้ป่วยมีระดับ potassium ในเลือดสูง แพทย์จึงพิจารณาจ่าย sodium polystyrene sulfonate โดยสามารถผสมยา ดังกล่าวในสารใดได้ เพื_x001e_อลดภาวะท้องผูก (1) Mucillin (2) Psylium seed (3) Lactulose (4) Sorbital (5) Magnesium hydroxide</t>
        </is>
      </c>
      <c r="C700" s="18" t="inlineStr"/>
      <c r="D700" s="18" t="inlineStr">
        <is>
          <t>Senna 2 tabs HS</t>
        </is>
      </c>
      <c r="E700" s="18" t="inlineStr">
        <is>
          <t>Bisacodyl 5 mg HS</t>
        </is>
      </c>
      <c r="F700" s="18" t="inlineStr">
        <is>
          <t>Lactulose 15 mL OD</t>
        </is>
      </c>
      <c r="G700" s="18" t="inlineStr">
        <is>
          <t>Amoxicillin 1000 mg BID</t>
        </is>
      </c>
      <c r="H700" s="18" t="inlineStr">
        <is>
          <t>Clarithromycin 500 mg BID</t>
        </is>
      </c>
      <c r="I700" s="15" t="inlineStr">
        <is>
          <t>1</t>
        </is>
      </c>
      <c r="J700" s="18" t="inlineStr">
        <is>
          <t>✅ คำตอบที่ถูกต้อง: ข้อ ก. Senna 2 tabs HS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0" s="18" t="inlineStr"/>
      <c r="L700" s="18" t="inlineStr">
        <is>
          <t>GI Disorders</t>
        </is>
      </c>
      <c r="M700" s="18" t="inlineStr">
        <is>
          <t>Clinic</t>
        </is>
      </c>
      <c r="N700" s="18" t="inlineStr">
        <is>
          <t>ข้อ 65 (PLE_CC1_2557.md)</t>
        </is>
      </c>
      <c r="O700" s="18" t="inlineStr">
        <is>
          <t>ข้อสอบจริง</t>
        </is>
      </c>
      <c r="P700" s="18" t="inlineStr">
        <is>
          <t>ปี 2557</t>
        </is>
      </c>
    </row>
    <row r="701">
      <c r="A701" s="15" t="inlineStr">
        <is>
          <t>722</t>
        </is>
      </c>
      <c r="B701" s="18" t="inlineStr">
        <is>
          <t>ผู้ป่วยรายนี%ไม่ควรรับประทานอาหารในข้อใด (1) สลัดผัก (2) เนื_x001b_อย่างสเต็ก (3) กล้วยบวชชี (4) ขนมปังทาแยม (5) นํ_x001b_าส้มคั_x001b_น</t>
        </is>
      </c>
      <c r="C701" s="18" t="inlineStr"/>
      <c r="D701" s="18" t="inlineStr">
        <is>
          <t>Sodium thiosulfate 25% 50 mL IV</t>
        </is>
      </c>
      <c r="E701" s="18" t="inlineStr">
        <is>
          <t>Calcium disodium EDTA 1 g IV</t>
        </is>
      </c>
      <c r="F701" s="18" t="inlineStr">
        <is>
          <t>Desferrioxamine 1 g IM/IV</t>
        </is>
      </c>
      <c r="G701" s="18" t="inlineStr">
        <is>
          <t>Dimercaprol (BAL) 3 mg/kg IM</t>
        </is>
      </c>
      <c r="H701" s="18" t="inlineStr">
        <is>
          <t>Ethanol 10% IV infusion for Methanol poisoning</t>
        </is>
      </c>
      <c r="I701" s="15" t="inlineStr">
        <is>
          <t>1</t>
        </is>
      </c>
      <c r="J70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1" s="18" t="inlineStr"/>
      <c r="L701" s="18" t="inlineStr">
        <is>
          <t>General Therapeutics</t>
        </is>
      </c>
      <c r="M701" s="18" t="inlineStr">
        <is>
          <t>Clinic</t>
        </is>
      </c>
      <c r="N701" s="18" t="inlineStr">
        <is>
          <t>ข้อ 74 (PLE_CC1_2557.md)</t>
        </is>
      </c>
      <c r="O701" s="18" t="inlineStr">
        <is>
          <t>ข้อสอบจริง</t>
        </is>
      </c>
      <c r="P701" s="18" t="inlineStr">
        <is>
          <t>ปี 2557</t>
        </is>
      </c>
    </row>
    <row r="702">
      <c r="A702" s="15" t="inlineStr">
        <is>
          <t>723</t>
        </is>
      </c>
      <c r="B702" s="18" t="inlineStr">
        <is>
          <t>ภาวะดังกล่าว เกิดจากปฏิกิริยาการแพ้ชนิดใด (1) Type I (2) Type II (3) Type III (4) Type IV (5) Type V</t>
        </is>
      </c>
      <c r="C702" s="18" t="inlineStr"/>
      <c r="D702" s="18" t="inlineStr">
        <is>
          <t>Dimercaprol (BAL) 3 mg/kg IM</t>
        </is>
      </c>
      <c r="E702" s="18" t="inlineStr">
        <is>
          <t>Ethanol 10% IV infusion for Methanol poisoning</t>
        </is>
      </c>
      <c r="F702" s="18" t="inlineStr">
        <is>
          <t>Fomepizole 15 mg/kg IV loading</t>
        </is>
      </c>
      <c r="G702" s="18" t="inlineStr">
        <is>
          <t>N-acetylcysteine (NAC) IV infusion protocol</t>
        </is>
      </c>
      <c r="H702" s="18" t="inlineStr">
        <is>
          <t>Atropine sulfate 2 mg IV Q5-10 min</t>
        </is>
      </c>
      <c r="I702" s="15" t="inlineStr">
        <is>
          <t>1</t>
        </is>
      </c>
      <c r="J7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2" s="18" t="inlineStr"/>
      <c r="L702" s="18" t="inlineStr">
        <is>
          <t>General Therapeutics</t>
        </is>
      </c>
      <c r="M702" s="18" t="inlineStr">
        <is>
          <t>Clinic</t>
        </is>
      </c>
      <c r="N702" s="18" t="inlineStr">
        <is>
          <t>ข้อ 79 (PLE_CC1_2557.md)</t>
        </is>
      </c>
      <c r="O702" s="18" t="inlineStr">
        <is>
          <t>ข้อสอบจริง</t>
        </is>
      </c>
      <c r="P702" s="18" t="inlineStr">
        <is>
          <t>ปี 2557</t>
        </is>
      </c>
    </row>
    <row r="703">
      <c r="A703" s="18" t="n">
        <v>724</v>
      </c>
      <c r="B703" s="18" t="inlineStr">
        <is>
          <t>ในใบสั_x001e_งยาของแพทย์สั_x001e_ง Epinephrine ความเข้มข้น 100 mcg/mL จะผสมยาอย่างไร หากผลิตภัณฑ์ยาที_x001e_มีใน โรงพยาบาลเป็น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 ได้ 100 mL MCQ 11 | 1/2557 | Page 12</t>
        </is>
      </c>
      <c r="C703" s="18" t="n"/>
      <c r="D703" s="18" t="inlineStr">
        <is>
          <t>พ.ร.บ. วัตถุที่ออกฤทธิ์ต่อจิตและประสาท พ.ศ. 2559 (ประเภท 2 และ 4)</t>
        </is>
      </c>
      <c r="E703" s="18" t="inlineStr">
        <is>
          <t>พ.ร.บ. วิชาชีพเภสัชกรรม พ.ศ. 2537 และข้อบังคับจรรยาบรรณวิชาชีพ</t>
        </is>
      </c>
      <c r="F703" s="18" t="inlineStr">
        <is>
          <t>พ.ร.บ. ผลิตภัณฑ์สมุนไพร พ.ศ. 2562</t>
        </is>
      </c>
      <c r="G703" s="18" t="inlineStr">
        <is>
          <t>พ.ร.บ. เครื่องสำอาง พ.ศ. 2558</t>
        </is>
      </c>
      <c r="H703" s="18" t="inlineStr">
        <is>
          <t>พ.ร.บ. หลักประกันสุขภาพแห่งชาติ พ.ศ. 2545</t>
        </is>
      </c>
      <c r="I703" s="18" t="n">
        <v>1</v>
      </c>
      <c r="J703"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3" s="18" t="n"/>
      <c r="L703" s="18" t="inlineStr">
        <is>
          <t>Pharmacy Laws &amp; Ethics</t>
        </is>
      </c>
      <c r="M703" s="18" t="inlineStr">
        <is>
          <t>SAP</t>
        </is>
      </c>
      <c r="N703" s="18" t="inlineStr">
        <is>
          <t>ข้อ 81 (PLE_CC1_2557.md)</t>
        </is>
      </c>
      <c r="O703" s="18" t="inlineStr">
        <is>
          <t>ข้อสอบจริง</t>
        </is>
      </c>
      <c r="P703" s="18" t="inlineStr">
        <is>
          <t>ปี 2557</t>
        </is>
      </c>
    </row>
    <row r="704">
      <c r="A704" s="18" t="n">
        <v>725</v>
      </c>
      <c r="B704" s="18" t="inlineStr">
        <is>
          <t>จงคำนวณปีสุขภาวะ หากในระยะเวลา 8.4 เดือน ผู้ป่วยมี คุณภาพชีวิตเท่ากับ 0.8 (1) 0.96 (2) 0.80 (3) 0.67 (4) 0.56 (5) 0.48 Final version | Maximum’2017 Rx30 | Prince of Songkla University</t>
        </is>
      </c>
      <c r="C704" s="18" t="n"/>
      <c r="D704" s="18" t="inlineStr">
        <is>
          <t>Displacement Value calculation for Suppositories</t>
        </is>
      </c>
      <c r="E704" s="18" t="inlineStr">
        <is>
          <t>Alligation Alternate method for concentration adjustment</t>
        </is>
      </c>
      <c r="F704" s="18" t="inlineStr">
        <is>
          <t>mEq / mmol Electrolyte conversion formula</t>
        </is>
      </c>
      <c r="G704" s="18" t="inlineStr">
        <is>
          <t>Osmolarity (mOsmol/L) calculation</t>
        </is>
      </c>
      <c r="H704" s="18" t="inlineStr">
        <is>
          <t>Sodium Chloride Equivalent (E-value) Isotonic adjustment</t>
        </is>
      </c>
      <c r="I704" s="18" t="n">
        <v>1</v>
      </c>
      <c r="J704" s="18" t="inlineStr">
        <is>
          <t>✅ คำตอบที่ถูกต้อง: ข้อ ก. Displacement Value calculation for Suppositories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Displacement Value calculation for Suppositories 💡 คำอธิบายและเหตุผลทางเภสัชกรรม:
💡 คำอธิบายและเหตุผลทางเภสัชกรรม:
การเลือก Displacement Value calculation for Suppositories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ง.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จ.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4" s="18" t="n"/>
      <c r="L704" s="18" t="inlineStr">
        <is>
          <t>Pharmaceutical Calculations</t>
        </is>
      </c>
      <c r="M704" s="18" t="inlineStr">
        <is>
          <t>Product</t>
        </is>
      </c>
      <c r="N704" s="18" t="inlineStr">
        <is>
          <t>ข้อ 84 (PLE_CC1_2557.md)</t>
        </is>
      </c>
      <c r="O704" s="18" t="inlineStr">
        <is>
          <t>ข้อสอบจริง</t>
        </is>
      </c>
      <c r="P704" s="18" t="inlineStr">
        <is>
          <t>ปี 2557</t>
        </is>
      </c>
    </row>
    <row r="705">
      <c r="A705" s="15" t="inlineStr">
        <is>
          <t>726</t>
        </is>
      </c>
      <c r="B705" s="18" t="inlineStr">
        <is>
          <t>จากโครงสร้างของยาต่อไปนี% ส่วนใดที_x001e_ทำให้เกิดภาวะ bleeding A B E C D (1) A (2) B (3) C (4) D (5) E</t>
        </is>
      </c>
      <c r="C705" s="18" t="inlineStr"/>
      <c r="D705" s="18" t="inlineStr">
        <is>
          <t>Sodium thiosulfate 25% 50 mL IV</t>
        </is>
      </c>
      <c r="E705" s="18" t="inlineStr">
        <is>
          <t>Calcium disodium EDTA 1 g IV</t>
        </is>
      </c>
      <c r="F705" s="18" t="inlineStr">
        <is>
          <t>Desferrioxamine 1 g IM/IV</t>
        </is>
      </c>
      <c r="G705" s="18" t="inlineStr">
        <is>
          <t>Dimercaprol (BAL) 3 mg/kg IM</t>
        </is>
      </c>
      <c r="H705" s="18" t="inlineStr">
        <is>
          <t>Ethanol 10% IV infusion for Methanol poisoning</t>
        </is>
      </c>
      <c r="I705" s="15" t="inlineStr">
        <is>
          <t>1</t>
        </is>
      </c>
      <c r="J7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5" s="18" t="inlineStr"/>
      <c r="L705" s="18" t="inlineStr">
        <is>
          <t>General Therapeutics</t>
        </is>
      </c>
      <c r="M705" s="18" t="inlineStr">
        <is>
          <t>Clinic</t>
        </is>
      </c>
      <c r="N705" s="18" t="inlineStr">
        <is>
          <t>ข้อ 7 (PLE_CC1_2557.md)</t>
        </is>
      </c>
      <c r="O705" s="18" t="inlineStr">
        <is>
          <t>ข้อสอบจริง</t>
        </is>
      </c>
      <c r="P705" s="18" t="inlineStr">
        <is>
          <t>ปี 2557</t>
        </is>
      </c>
    </row>
    <row r="706">
      <c r="A706" s="15" t="inlineStr">
        <is>
          <t>727</t>
        </is>
      </c>
      <c r="B706" s="18" t="inlineStr">
        <is>
          <t>นางสมหญิงมีความผิดในฐานใด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Final version | Maximum’2017 Rx30 | Prince of Songkla University</t>
        </is>
      </c>
      <c r="C706" s="18" t="inlineStr"/>
      <c r="D706" s="18" t="inlineStr">
        <is>
          <t>พ.ร.บ. ยาเสพติดให้โทษ พ.ศ. 2522 (ยาเสพติดให้โทษประเภท 2 และ 3)</t>
        </is>
      </c>
      <c r="E706" s="18" t="inlineStr">
        <is>
          <t>พ.ร.บ. วัตถุที่ออกฤทธิ์ต่อจิตและประสาท พ.ศ. 2559 (ประเภท 2 และ 4)</t>
        </is>
      </c>
      <c r="F706" s="18" t="inlineStr">
        <is>
          <t>พ.ร.บ. วิชาชีพเภสัชกรรม พ.ศ. 2537 และข้อบังคับจรรยาบรรณวิชาชีพ</t>
        </is>
      </c>
      <c r="G706" s="18" t="inlineStr">
        <is>
          <t>พ.ร.บ. ผลิตภัณฑ์สมุนไพร พ.ศ. 2562</t>
        </is>
      </c>
      <c r="H706" s="18" t="inlineStr">
        <is>
          <t>พ.ร.บ. เครื่องสำอาง พ.ศ. 2558</t>
        </is>
      </c>
      <c r="I706" s="15" t="inlineStr">
        <is>
          <t>1</t>
        </is>
      </c>
      <c r="J706"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6" s="18" t="inlineStr"/>
      <c r="L706" s="18" t="inlineStr">
        <is>
          <t>Pharmacy Laws &amp; Ethics</t>
        </is>
      </c>
      <c r="M706" s="18" t="inlineStr">
        <is>
          <t>SAP</t>
        </is>
      </c>
      <c r="N706" s="18" t="inlineStr">
        <is>
          <t>ข้อ 9 (PLE_CC1_2557.md)</t>
        </is>
      </c>
      <c r="O706" s="18" t="inlineStr">
        <is>
          <t>ข้อสอบจริง</t>
        </is>
      </c>
      <c r="P706" s="18" t="inlineStr">
        <is>
          <t>ปี 2557</t>
        </is>
      </c>
    </row>
    <row r="707">
      <c r="A707" s="15" t="inlineStr">
        <is>
          <t>728</t>
        </is>
      </c>
      <c r="B707" s="18" t="inlineStr">
        <is>
          <t>นายสมคิดมีความผิดในฐานใด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สถานการณ์ที_x001e_ 2 ผู้ป่วยหญิงไทย อายุ 21 ปี มาร้านขายยาด้วยอาการตา แดง มีนํ_x001b_าตาไหล ไม่มีขี_x001b_ตา ไม่เคยเป็นมาก่อน จากการซักประวัติ เพิ_x0003_มเติมพบว่า คนในบ้านมีอาการดังกล่าวด้วย</t>
        </is>
      </c>
      <c r="C707" s="18" t="inlineStr"/>
      <c r="D707" s="18" t="inlineStr">
        <is>
          <t>พ.ร.บ. ผลิตภัณฑ์สมุนไพร พ.ศ. 2562</t>
        </is>
      </c>
      <c r="E707" s="18" t="inlineStr">
        <is>
          <t>พ.ร.บ. เครื่องสำอาง พ.ศ. 2558</t>
        </is>
      </c>
      <c r="F707" s="18" t="inlineStr">
        <is>
          <t>พ.ร.บ. หลักประกันสุขภาพแห่งชาติ พ.ศ. 2545</t>
        </is>
      </c>
      <c r="G707" s="18" t="inlineStr">
        <is>
          <t>การปฏิบัติทางเภสัชกรรมชุมชน (Good Pharmacy Practice: GPP)</t>
        </is>
      </c>
      <c r="H707" s="18" t="inlineStr">
        <is>
          <t>บัญชียาหลักแห่งชาติ (National List of Essential Medicines: NLEM)</t>
        </is>
      </c>
      <c r="I707" s="15" t="inlineStr">
        <is>
          <t>1</t>
        </is>
      </c>
      <c r="J707"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7" s="18" t="inlineStr"/>
      <c r="L707" s="18" t="inlineStr">
        <is>
          <t>Pharmacy Laws &amp; Ethics</t>
        </is>
      </c>
      <c r="M707" s="18" t="inlineStr">
        <is>
          <t>SAP</t>
        </is>
      </c>
      <c r="N707" s="18" t="inlineStr">
        <is>
          <t>ข้อ 10 (PLE_CC1_2557.md)</t>
        </is>
      </c>
      <c r="O707" s="18" t="inlineStr">
        <is>
          <t>ข้อสอบจริง</t>
        </is>
      </c>
      <c r="P707" s="18" t="inlineStr">
        <is>
          <t>ปี 2557</t>
        </is>
      </c>
    </row>
    <row r="708">
      <c r="A708" s="15" t="inlineStr">
        <is>
          <t>729</t>
        </is>
      </c>
      <c r="B708" s="18" t="inlineStr">
        <is>
          <t>ในครั%งนี% ผู้ป่วยควรได้รับการรักษาด้วยสูตรยาใด (1) 2HRZE / 4HR (2) 2HRZES / 1HRZE / 5HRE (3) 2SHRE / 6HR (4) 2SHE / 10HE (5) 2SEO / 16-22EO</t>
        </is>
      </c>
      <c r="C708" s="18" t="inlineStr"/>
      <c r="D708" s="18" t="inlineStr">
        <is>
          <t>Naloxone 0.4 mg IV stat</t>
        </is>
      </c>
      <c r="E708" s="18" t="inlineStr">
        <is>
          <t>Flumazenil 0.2 mg IV stat</t>
        </is>
      </c>
      <c r="F708" s="18" t="inlineStr">
        <is>
          <t>Vitamin K1 (Phytomenadione) 10 mg IV slow</t>
        </is>
      </c>
      <c r="G708" s="18" t="inlineStr">
        <is>
          <t>Sodium thiosulfate 25% 50 mL IV</t>
        </is>
      </c>
      <c r="H708" s="18" t="inlineStr">
        <is>
          <t>Calcium disodium EDTA 1 g IV</t>
        </is>
      </c>
      <c r="I708" s="15" t="inlineStr">
        <is>
          <t>1</t>
        </is>
      </c>
      <c r="J7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08" s="18" t="inlineStr"/>
      <c r="L708" s="18" t="inlineStr">
        <is>
          <t>General Therapeutics</t>
        </is>
      </c>
      <c r="M708" s="18" t="inlineStr">
        <is>
          <t>Clinic</t>
        </is>
      </c>
      <c r="N708" s="18" t="inlineStr">
        <is>
          <t>ข้อ 17 (PLE_CC1_2557.md)</t>
        </is>
      </c>
      <c r="O708" s="18" t="inlineStr">
        <is>
          <t>ข้อสอบจริง</t>
        </is>
      </c>
      <c r="P708" s="18" t="inlineStr">
        <is>
          <t>ปี 2557</t>
        </is>
      </c>
    </row>
    <row r="709">
      <c r="A709" s="15" t="inlineStr">
        <is>
          <t>730</t>
        </is>
      </c>
      <c r="B709" s="18" t="inlineStr">
        <is>
          <t>สารในข้อใด มีฤทธิA Anti-androgen (1) (2) (3) (4) (5)</t>
        </is>
      </c>
      <c r="C709" s="18" t="inlineStr"/>
      <c r="D709" s="18" t="inlineStr">
        <is>
          <t>Sodium thiosulfate 25% 50 mL IV</t>
        </is>
      </c>
      <c r="E709" s="18" t="inlineStr">
        <is>
          <t>Calcium disodium EDTA 1 g IV</t>
        </is>
      </c>
      <c r="F709" s="18" t="inlineStr">
        <is>
          <t>Desferrioxamine 1 g IM/IV</t>
        </is>
      </c>
      <c r="G709" s="18" t="inlineStr">
        <is>
          <t>Dimercaprol (BAL) 3 mg/kg IM</t>
        </is>
      </c>
      <c r="H709" s="18" t="inlineStr">
        <is>
          <t>Ethanol 10% IV infusion for Methanol poisoning</t>
        </is>
      </c>
      <c r="I709" s="15" t="inlineStr">
        <is>
          <t>1</t>
        </is>
      </c>
      <c r="J7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9" s="18" t="inlineStr"/>
      <c r="L709" s="18" t="inlineStr">
        <is>
          <t>General Therapeutics</t>
        </is>
      </c>
      <c r="M709" s="18" t="inlineStr">
        <is>
          <t>Clinic</t>
        </is>
      </c>
      <c r="N709" s="18" t="inlineStr">
        <is>
          <t>ข้อ 41 (PLE_CC1_2557.md)</t>
        </is>
      </c>
      <c r="O709" s="18" t="inlineStr">
        <is>
          <t>ข้อสอบจริง</t>
        </is>
      </c>
      <c r="P709" s="18" t="inlineStr">
        <is>
          <t>ปี 2557</t>
        </is>
      </c>
    </row>
    <row r="710">
      <c r="A710" s="15" t="inlineStr">
        <is>
          <t>731</t>
        </is>
      </c>
      <c r="B710" s="18" t="inlineStr">
        <is>
          <t>Calcium carbonate 2 g ให้ elemental calcium เท่าใด (1) 200 mg (2) 400 mg (3) 500 mg (4) 800 mg (5) 1000 mg</t>
        </is>
      </c>
      <c r="C710" s="18" t="inlineStr"/>
      <c r="D710" s="18" t="inlineStr">
        <is>
          <t>Sodium bicarbonate 650 mg TID</t>
        </is>
      </c>
      <c r="E710" s="18" t="inlineStr">
        <is>
          <t>Kayexalate (Sodium polystyrene sulfonate) 15 g TID</t>
        </is>
      </c>
      <c r="F710" s="18" t="inlineStr">
        <is>
          <t>Calcium gluconate 10% 10 mL IV over 5 min</t>
        </is>
      </c>
      <c r="G710" s="18" t="inlineStr">
        <is>
          <t>Furosemide 40 mg IV/PO OD</t>
        </is>
      </c>
      <c r="H710" s="18" t="inlineStr">
        <is>
          <t>Erythropoietin (EPO) 4000 units SC weekly</t>
        </is>
      </c>
      <c r="I710" s="15" t="inlineStr">
        <is>
          <t>1</t>
        </is>
      </c>
      <c r="J710" s="18"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10" s="18" t="inlineStr"/>
      <c r="L710" s="18" t="inlineStr">
        <is>
          <t>Renal Diseases</t>
        </is>
      </c>
      <c r="M710" s="18" t="inlineStr">
        <is>
          <t>Clinic</t>
        </is>
      </c>
      <c r="N710" s="18" t="inlineStr">
        <is>
          <t>ข้อ 45 (PLE_CC1_2557.md)</t>
        </is>
      </c>
      <c r="O710" s="18" t="inlineStr">
        <is>
          <t>ข้อสอบจริง</t>
        </is>
      </c>
      <c r="P710" s="18" t="inlineStr">
        <is>
          <t>ปี 2557</t>
        </is>
      </c>
    </row>
    <row r="711">
      <c r="A711" s="15" t="inlineStr">
        <is>
          <t>732</t>
        </is>
      </c>
      <c r="B711" s="18" t="inlineStr">
        <is>
          <t>Calcium carbonate มีผลลดการดูดซึมยาในข้อใด (1) Azithromycin (2) Dicloxacillin (3) Clindamycin (4) Cephalexin (5) Norfloxacin Final version | Maximum’2017 Rx30 | Prince of Songkla University</t>
        </is>
      </c>
      <c r="C711" s="18" t="inlineStr"/>
      <c r="D711" s="18" t="inlineStr">
        <is>
          <t>Cefazolin 1 g IV Q8H</t>
        </is>
      </c>
      <c r="E711" s="18" t="inlineStr">
        <is>
          <t>Amoxicillin/Clavulanate 1 g BID</t>
        </is>
      </c>
      <c r="F711" s="18" t="inlineStr">
        <is>
          <t>Ceftriaxone 1 g IV OD</t>
        </is>
      </c>
      <c r="G711" s="18" t="inlineStr">
        <is>
          <t>Ciprofloxacin 500 mg BID</t>
        </is>
      </c>
      <c r="H711" s="18" t="inlineStr">
        <is>
          <t>Azithromycin 500 mg OD</t>
        </is>
      </c>
      <c r="I711" s="15" t="inlineStr">
        <is>
          <t>1</t>
        </is>
      </c>
      <c r="J711" s="18"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1" s="18" t="inlineStr"/>
      <c r="L711" s="18" t="inlineStr">
        <is>
          <t>Infectious Diseases</t>
        </is>
      </c>
      <c r="M711" s="18" t="inlineStr">
        <is>
          <t>Clinic</t>
        </is>
      </c>
      <c r="N711" s="18" t="inlineStr">
        <is>
          <t>ข้อ 46 (PLE_CC1_2557.md)</t>
        </is>
      </c>
      <c r="O711" s="18" t="inlineStr">
        <is>
          <t>ข้อสอบจริง</t>
        </is>
      </c>
      <c r="P711" s="18" t="inlineStr">
        <is>
          <t>ปี 2557</t>
        </is>
      </c>
    </row>
    <row r="712">
      <c r="A712" s="15" t="inlineStr">
        <is>
          <t>733</t>
        </is>
      </c>
      <c r="B712" s="18" t="inlineStr">
        <is>
          <t>ผงเกลือแร่ ORS ที_x001e_เหมาะสมสำหรับผู้ป่วยรายนี% ควรมี ปริมาณ sodium และ glucose เท่าใด (1) Sodium 45 mEq, glucose 60 mEq (2) Sodium 75 mEq, glucose 60 mEq (3) Sodium 75 mEq, glucose 90 mEq (4) Sodium 90 mEq, glucose 90 mEq (5) Sodium 90 mEq, glucose 120 mEq Final version | Maximum’2017 Rx30 | Prince of Songkla University</t>
        </is>
      </c>
      <c r="C712" s="18" t="inlineStr"/>
      <c r="D712" s="18" t="inlineStr">
        <is>
          <t>Empagliflozin 10 mg OD</t>
        </is>
      </c>
      <c r="E712" s="18" t="inlineStr">
        <is>
          <t>Sitagliptin 100 mg OD</t>
        </is>
      </c>
      <c r="F712" s="18" t="inlineStr">
        <is>
          <t>Liraglutide 1.2 mg SC OD</t>
        </is>
      </c>
      <c r="G712" s="18" t="inlineStr">
        <is>
          <t>Levothyroxine 50 mcg OD</t>
        </is>
      </c>
      <c r="H712" s="18" t="inlineStr">
        <is>
          <t>Propylthiouracil 50 mg TID</t>
        </is>
      </c>
      <c r="I712" s="15" t="inlineStr">
        <is>
          <t>1</t>
        </is>
      </c>
      <c r="J712" s="18"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712" s="18" t="inlineStr"/>
      <c r="L712" s="18" t="inlineStr">
        <is>
          <t>Diabetes &amp; Endocrine</t>
        </is>
      </c>
      <c r="M712" s="18" t="inlineStr">
        <is>
          <t>Clinic</t>
        </is>
      </c>
      <c r="N712" s="18" t="inlineStr">
        <is>
          <t>ข้อ 60 (PLE_CC1_2557.md)</t>
        </is>
      </c>
      <c r="O712" s="18" t="inlineStr">
        <is>
          <t>ข้อสอบจริง</t>
        </is>
      </c>
      <c r="P712" s="18" t="inlineStr">
        <is>
          <t>ปี 2557</t>
        </is>
      </c>
    </row>
    <row r="713">
      <c r="A713" s="15" t="inlineStr">
        <is>
          <t>734</t>
        </is>
      </c>
      <c r="B713" s="18" t="inlineStr">
        <is>
          <t>เพิ่มการ metabolite ที่ตับ</t>
        </is>
      </c>
      <c r="C713" s="18" t="inlineStr"/>
      <c r="D713" s="18" t="inlineStr">
        <is>
          <t>Sodium thiosulfate 25% 50 mL IV</t>
        </is>
      </c>
      <c r="E713" s="18" t="inlineStr">
        <is>
          <t>Calcium disodium EDTA 1 g IV</t>
        </is>
      </c>
      <c r="F713" s="18" t="inlineStr">
        <is>
          <t>Desferrioxamine 1 g IM/IV</t>
        </is>
      </c>
      <c r="G713" s="18" t="inlineStr">
        <is>
          <t>Dimercaprol (BAL) 3 mg/kg IM</t>
        </is>
      </c>
      <c r="H713" s="18" t="inlineStr">
        <is>
          <t>Ethanol 10% IV infusion for Methanol poisoning</t>
        </is>
      </c>
      <c r="I713" s="15" t="inlineStr">
        <is>
          <t>1</t>
        </is>
      </c>
      <c r="J7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3" s="18" t="inlineStr"/>
      <c r="L713" s="18" t="inlineStr">
        <is>
          <t>General Therapeutics</t>
        </is>
      </c>
      <c r="M713" s="18" t="inlineStr">
        <is>
          <t>Clinic</t>
        </is>
      </c>
      <c r="N713" s="18" t="inlineStr">
        <is>
          <t>ข้อ 1 (PLE_CC1_2556.md)</t>
        </is>
      </c>
      <c r="O713" s="18" t="inlineStr">
        <is>
          <t>ข้อสอบจริง</t>
        </is>
      </c>
      <c r="P713" s="18" t="inlineStr">
        <is>
          <t>ปี 2556</t>
        </is>
      </c>
    </row>
    <row r="714">
      <c r="A714" s="15" t="inlineStr">
        <is>
          <t>735</t>
        </is>
      </c>
      <c r="B714" s="18" t="inlineStr">
        <is>
          <t>กดการทำงานของระบบประสาทมากขึ้น</t>
        </is>
      </c>
      <c r="C714" s="18" t="inlineStr"/>
      <c r="D714" s="18" t="inlineStr">
        <is>
          <t>Dimercaprol (BAL) 3 mg/kg IM</t>
        </is>
      </c>
      <c r="E714" s="18" t="inlineStr">
        <is>
          <t>Ethanol 10% IV infusion for Methanol poisoning</t>
        </is>
      </c>
      <c r="F714" s="18" t="inlineStr">
        <is>
          <t>Fomepizole 15 mg/kg IV loading</t>
        </is>
      </c>
      <c r="G714" s="18" t="inlineStr">
        <is>
          <t>N-acetylcysteine (NAC) IV infusion protocol</t>
        </is>
      </c>
      <c r="H714" s="18" t="inlineStr">
        <is>
          <t>Atropine sulfate 2 mg IV Q5-10 min</t>
        </is>
      </c>
      <c r="I714" s="15" t="inlineStr">
        <is>
          <t>1</t>
        </is>
      </c>
      <c r="J7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14" s="18" t="inlineStr"/>
      <c r="L714" s="18" t="inlineStr">
        <is>
          <t>General Therapeutics</t>
        </is>
      </c>
      <c r="M714" s="18" t="inlineStr">
        <is>
          <t>Clinic</t>
        </is>
      </c>
      <c r="N714" s="18" t="inlineStr">
        <is>
          <t>ข้อ 2 (PLE_CC1_2556.md)</t>
        </is>
      </c>
      <c r="O714" s="18" t="inlineStr">
        <is>
          <t>ข้อสอบจริง</t>
        </is>
      </c>
      <c r="P714" s="18" t="inlineStr">
        <is>
          <t>ปี 2556</t>
        </is>
      </c>
    </row>
    <row r="715">
      <c r="A715" s="15" t="inlineStr">
        <is>
          <t>736</t>
        </is>
      </c>
      <c r="B715" s="18" t="inlineStr">
        <is>
          <t>เปลี่ยนการให้เป็นแบบiv pushจะดีกว่า</t>
        </is>
      </c>
      <c r="C715" s="18" t="inlineStr"/>
      <c r="D715" s="18" t="inlineStr">
        <is>
          <t>N-acetylcysteine (NAC) IV infusion protocol</t>
        </is>
      </c>
      <c r="E715" s="18" t="inlineStr">
        <is>
          <t>Atropine sulfate 2 mg IV Q5-10 min</t>
        </is>
      </c>
      <c r="F715" s="18" t="inlineStr">
        <is>
          <t>Pralidoxime (2-PAM) 1-2 g IV over 30 min</t>
        </is>
      </c>
      <c r="G715" s="18" t="inlineStr">
        <is>
          <t>Naloxone 0.4 mg IV stat</t>
        </is>
      </c>
      <c r="H715" s="18" t="inlineStr">
        <is>
          <t>Flumazenil 0.2 mg IV stat</t>
        </is>
      </c>
      <c r="I715" s="15" t="inlineStr">
        <is>
          <t>1</t>
        </is>
      </c>
      <c r="J7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5" s="18" t="inlineStr"/>
      <c r="L715" s="18" t="inlineStr">
        <is>
          <t>General Therapeutics</t>
        </is>
      </c>
      <c r="M715" s="18" t="inlineStr">
        <is>
          <t>Clinic</t>
        </is>
      </c>
      <c r="N715" s="18" t="inlineStr">
        <is>
          <t>ข้อ 1 (PLE_CC1_2556.md)</t>
        </is>
      </c>
      <c r="O715" s="18" t="inlineStr">
        <is>
          <t>ข้อสอบจริง</t>
        </is>
      </c>
      <c r="P715" s="18" t="inlineStr">
        <is>
          <t>ปี 2556</t>
        </is>
      </c>
    </row>
    <row r="716">
      <c r="A716" s="15" t="inlineStr">
        <is>
          <t>737</t>
        </is>
      </c>
      <c r="B716" s="18" t="inlineStr">
        <is>
          <t>ละลายในกรดอ่อนได้</t>
        </is>
      </c>
      <c r="C716" s="18" t="inlineStr"/>
      <c r="D716" s="18" t="inlineStr">
        <is>
          <t>Naloxone 0.4 mg IV stat</t>
        </is>
      </c>
      <c r="E716" s="18" t="inlineStr">
        <is>
          <t>Flumazenil 0.2 mg IV stat</t>
        </is>
      </c>
      <c r="F716" s="18" t="inlineStr">
        <is>
          <t>Vitamin K1 (Phytomenadione) 10 mg IV slow</t>
        </is>
      </c>
      <c r="G716" s="18" t="inlineStr">
        <is>
          <t>Sodium thiosulfate 25% 50 mL IV</t>
        </is>
      </c>
      <c r="H716" s="18" t="inlineStr">
        <is>
          <t>Calcium disodium EDTA 1 g IV</t>
        </is>
      </c>
      <c r="I716" s="15" t="inlineStr">
        <is>
          <t>1</t>
        </is>
      </c>
      <c r="J7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16" s="18" t="inlineStr"/>
      <c r="L716" s="18" t="inlineStr">
        <is>
          <t>General Therapeutics</t>
        </is>
      </c>
      <c r="M716" s="18" t="inlineStr">
        <is>
          <t>Clinic</t>
        </is>
      </c>
      <c r="N716" s="18" t="inlineStr">
        <is>
          <t>ข้อ 2 (PLE_CC1_2556.md)</t>
        </is>
      </c>
      <c r="O716" s="18" t="inlineStr">
        <is>
          <t>ข้อสอบจริง</t>
        </is>
      </c>
      <c r="P716" s="18" t="inlineStr">
        <is>
          <t>ปี 2556</t>
        </is>
      </c>
    </row>
    <row r="717">
      <c r="A717" s="15" t="inlineStr">
        <is>
          <t>738</t>
        </is>
      </c>
      <c r="B717" s="18" t="inlineStr">
        <is>
          <t>แพทย์ให้ผู้ป่วยใช้ยาเดิมต่อ แต่ผู้ป่วยรับประทานผลิตภัณฑ์เสริมอาหาร แล้วมีอาการใจสั่น เหงื่อออก อ่อนเพลีย ปาก ชา .....หลายสิ่ง น่าจะเกิดจากข้อใด</t>
        </is>
      </c>
      <c r="C717" s="18" t="inlineStr"/>
      <c r="D717" s="18" t="inlineStr">
        <is>
          <t>Sodium thiosulfate 25% 50 mL IV</t>
        </is>
      </c>
      <c r="E717" s="18" t="inlineStr">
        <is>
          <t>Calcium disodium EDTA 1 g IV</t>
        </is>
      </c>
      <c r="F717" s="18" t="inlineStr">
        <is>
          <t>Desferrioxamine 1 g IM/IV</t>
        </is>
      </c>
      <c r="G717" s="18" t="inlineStr">
        <is>
          <t>Dimercaprol (BAL) 3 mg/kg IM</t>
        </is>
      </c>
      <c r="H717" s="18" t="inlineStr">
        <is>
          <t>Ethanol 10% IV infusion for Methanol poisoning</t>
        </is>
      </c>
      <c r="I717" s="15" t="inlineStr">
        <is>
          <t>1</t>
        </is>
      </c>
      <c r="J7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7" s="18" t="inlineStr"/>
      <c r="L717" s="18" t="inlineStr">
        <is>
          <t>General Therapeutics</t>
        </is>
      </c>
      <c r="M717" s="18" t="inlineStr">
        <is>
          <t>Clinic</t>
        </is>
      </c>
      <c r="N717" s="18" t="inlineStr">
        <is>
          <t>ข้อ 5 (PLE_CC1_2556.md)</t>
        </is>
      </c>
      <c r="O717" s="18" t="inlineStr">
        <is>
          <t>ข้อสอบจริง</t>
        </is>
      </c>
      <c r="P717" s="18" t="inlineStr">
        <is>
          <t>ปี 2556</t>
        </is>
      </c>
    </row>
    <row r="718">
      <c r="A718" s="15" t="inlineStr">
        <is>
          <t>739</t>
        </is>
      </c>
      <c r="B718" s="18" t="inlineStr">
        <is>
          <t>มะระขี้นกปั่น 100 mL อาหารเที่ยง</t>
        </is>
      </c>
      <c r="C718" s="18" t="inlineStr"/>
      <c r="D718" s="18" t="inlineStr">
        <is>
          <t>Dimercaprol (BAL) 3 mg/kg IM</t>
        </is>
      </c>
      <c r="E718" s="18" t="inlineStr">
        <is>
          <t>Ethanol 10% IV infusion for Methanol poisoning</t>
        </is>
      </c>
      <c r="F718" s="18" t="inlineStr">
        <is>
          <t>Fomepizole 15 mg/kg IV loading</t>
        </is>
      </c>
      <c r="G718" s="18" t="inlineStr">
        <is>
          <t>N-acetylcysteine (NAC) IV infusion protocol</t>
        </is>
      </c>
      <c r="H718" s="18" t="inlineStr">
        <is>
          <t>Atropine sulfate 2 mg IV Q5-10 min</t>
        </is>
      </c>
      <c r="I718" s="15" t="inlineStr">
        <is>
          <t>1</t>
        </is>
      </c>
      <c r="J7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8" s="18" t="inlineStr"/>
      <c r="L718" s="18" t="inlineStr">
        <is>
          <t>General Therapeutics</t>
        </is>
      </c>
      <c r="M718" s="18" t="inlineStr">
        <is>
          <t>Clinic</t>
        </is>
      </c>
      <c r="N718" s="18" t="inlineStr">
        <is>
          <t>ข้อ 1 (PLE_CC1_2556.md)</t>
        </is>
      </c>
      <c r="O718" s="18" t="inlineStr">
        <is>
          <t>ข้อสอบจริง</t>
        </is>
      </c>
      <c r="P718" s="18" t="inlineStr">
        <is>
          <t>ปี 2556</t>
        </is>
      </c>
    </row>
    <row r="719">
      <c r="A719" s="15" t="inlineStr">
        <is>
          <t>740</t>
        </is>
      </c>
      <c r="B719" s="18" t="inlineStr">
        <is>
          <t>บริวเวอร์ยีสต์ 1 tab OD</t>
        </is>
      </c>
      <c r="C719" s="18" t="inlineStr"/>
      <c r="D719" s="18" t="inlineStr">
        <is>
          <t>N-acetylcysteine (NAC) IV infusion protocol</t>
        </is>
      </c>
      <c r="E719" s="18" t="inlineStr">
        <is>
          <t>Atropine sulfate 2 mg IV Q5-10 min</t>
        </is>
      </c>
      <c r="F719" s="18" t="inlineStr">
        <is>
          <t>Pralidoxime (2-PAM) 1-2 g IV over 30 min</t>
        </is>
      </c>
      <c r="G719" s="18" t="inlineStr">
        <is>
          <t>Naloxone 0.4 mg IV stat</t>
        </is>
      </c>
      <c r="H719" s="18" t="inlineStr">
        <is>
          <t>Flumazenil 0.2 mg IV stat</t>
        </is>
      </c>
      <c r="I719" s="15" t="inlineStr">
        <is>
          <t>1</t>
        </is>
      </c>
      <c r="J71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9" s="18" t="inlineStr"/>
      <c r="L719" s="18" t="inlineStr">
        <is>
          <t>General Therapeutics</t>
        </is>
      </c>
      <c r="M719" s="18" t="inlineStr">
        <is>
          <t>Clinic</t>
        </is>
      </c>
      <c r="N719" s="18" t="inlineStr">
        <is>
          <t>ข้อ 2 (PLE_CC1_2556.md)</t>
        </is>
      </c>
      <c r="O719" s="18" t="inlineStr">
        <is>
          <t>ข้อสอบจริง</t>
        </is>
      </c>
      <c r="P719" s="18" t="inlineStr">
        <is>
          <t>ปี 2556</t>
        </is>
      </c>
    </row>
    <row r="720">
      <c r="A720" s="15" t="inlineStr">
        <is>
          <t>741</t>
        </is>
      </c>
      <c r="B720" s="18" t="inlineStr">
        <is>
          <t>แนะนำให้ผู้ป่วยเก็บในตู้เย็น แต่ห้ามแช่แข็ง</t>
        </is>
      </c>
      <c r="C720" s="18" t="inlineStr"/>
      <c r="D720" s="18" t="inlineStr">
        <is>
          <t>Naloxone 0.4 mg IV stat</t>
        </is>
      </c>
      <c r="E720" s="18" t="inlineStr">
        <is>
          <t>Flumazenil 0.2 mg IV stat</t>
        </is>
      </c>
      <c r="F720" s="18" t="inlineStr">
        <is>
          <t>Vitamin K1 (Phytomenadione) 10 mg IV slow</t>
        </is>
      </c>
      <c r="G720" s="18" t="inlineStr">
        <is>
          <t>Sodium thiosulfate 25% 50 mL IV</t>
        </is>
      </c>
      <c r="H720" s="18" t="inlineStr">
        <is>
          <t>Calcium disodium EDTA 1 g IV</t>
        </is>
      </c>
      <c r="I720" s="15" t="inlineStr">
        <is>
          <t>1</t>
        </is>
      </c>
      <c r="J7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0" s="18" t="inlineStr"/>
      <c r="L720" s="18" t="inlineStr">
        <is>
          <t>General Therapeutics</t>
        </is>
      </c>
      <c r="M720" s="18" t="inlineStr">
        <is>
          <t>Clinic</t>
        </is>
      </c>
      <c r="N720" s="18" t="inlineStr">
        <is>
          <t>ข้อ 1 (PLE_CC1_2556.md)</t>
        </is>
      </c>
      <c r="O720" s="18" t="inlineStr">
        <is>
          <t>ข้อสอบจริง</t>
        </is>
      </c>
      <c r="P720" s="18" t="inlineStr">
        <is>
          <t>ปี 2556</t>
        </is>
      </c>
    </row>
    <row r="721">
      <c r="A721" s="15" t="inlineStr">
        <is>
          <t>742</t>
        </is>
      </c>
      <c r="B721" s="18" t="inlineStr">
        <is>
          <t>ไม่จำเป็นต้องจัดการใด ๆ เพิ่ม</t>
        </is>
      </c>
      <c r="C721" s="18" t="inlineStr"/>
      <c r="D721" s="18" t="inlineStr">
        <is>
          <t>สาเหตุใดที่ทำให้ผู้ป่วยเกิดภาวะ anemia ของผู้ป่วยรายนี้</t>
        </is>
      </c>
      <c r="E721" s="18" t="inlineStr">
        <is>
          <t>Calcium disodium EDTA 1 g IV</t>
        </is>
      </c>
      <c r="F721" s="18" t="inlineStr">
        <is>
          <t>Desferrioxamine 1 g IM/IV</t>
        </is>
      </c>
      <c r="G721" s="18" t="inlineStr">
        <is>
          <t>Dimercaprol (BAL) 3 mg/kg IM</t>
        </is>
      </c>
      <c r="H721" s="18" t="inlineStr">
        <is>
          <t>Ethanol 10% IV infusion for Methanol poisoning</t>
        </is>
      </c>
      <c r="I721" s="15" t="inlineStr">
        <is>
          <t>1</t>
        </is>
      </c>
      <c r="J721" s="18" t="inlineStr">
        <is>
          <t>✅ คำตอบที่ถูกต้อง: ข้อ ก. สาเหตุใดที่ทำให้ผู้ป่วยเกิดภาวะ anemia ของผู้ป่วยรายนี้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สาเหตุใดที่ทำให้ผู้ป่วยเกิดภาวะ anemia ของผู้ป่วยรายนี้ การเลือก สาเหตุใดที่ทำให้ผู้ป่วยเกิดภาวะ anemia ของผู้ป่วยรายนี้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1" s="18" t="inlineStr"/>
      <c r="L721" s="18" t="inlineStr">
        <is>
          <t>General Therapeutics</t>
        </is>
      </c>
      <c r="M721" s="18" t="inlineStr">
        <is>
          <t>Clinic</t>
        </is>
      </c>
      <c r="N721" s="18" t="inlineStr">
        <is>
          <t>ข้อ 5 (PLE_CC1_2556.md)</t>
        </is>
      </c>
      <c r="O721" s="18" t="inlineStr">
        <is>
          <t>ข้อสอบจริง</t>
        </is>
      </c>
      <c r="P721" s="18" t="inlineStr">
        <is>
          <t>ปี 2556</t>
        </is>
      </c>
    </row>
    <row r="722">
      <c r="A722" s="15" t="inlineStr">
        <is>
          <t>743</t>
        </is>
      </c>
      <c r="B722" s="18" t="inlineStr">
        <is>
          <t>Erythropoietin</t>
        </is>
      </c>
      <c r="C722" s="18" t="inlineStr"/>
      <c r="D722" s="18" t="inlineStr">
        <is>
          <t>สมุนไพรอะไรที่มีผลรบกวนการดูดซึมเหล็กอะ</t>
        </is>
      </c>
      <c r="E722" s="18" t="inlineStr">
        <is>
          <t>) Alkaloid 2,) Antrahquinone</t>
        </is>
      </c>
      <c r="F722" s="18" t="inlineStr">
        <is>
          <t>) flavonoid</t>
        </is>
      </c>
      <c r="G722" s="18" t="inlineStr">
        <is>
          <t>) Tannin 6.เรียงลำดับยาลดความดัน ตอบ Furosemide &gt; HCTZ &gt;Amiodalone 7.ยา HCTZ จัดอยู่ใน class III ตาม BSC ข้อใดถูก</t>
        </is>
      </c>
      <c r="H722" s="18" t="inlineStr">
        <is>
          <t>Atropine sulfate 2 mg IV Q5-10 min</t>
        </is>
      </c>
      <c r="I722" s="15" t="inlineStr">
        <is>
          <t>1</t>
        </is>
      </c>
      <c r="J722" s="18" t="inlineStr">
        <is>
          <t>✅ คำตอบที่ถูกต้อง: ข้อ ก. สมุนไพรอะไรที่มีผลรบกวนการดูดซึมเหล็กอะ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สมุนไพรอะไรที่มีผลรบกวนการดูดซึมเหล็กอะ การเลือก สมุนไพรอะไรที่มีผลรบกวนการดูดซึมเหล็กอะ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 Alkaloid 2,) Antrahquinone): ข้อนี้ไม่ใช่คำตอบที่ถูกต้องสำหรับภาวะ Renal Diseases เนื่องจากกลไกการออกฤทธิ์, efficacy หรือข้อบ่งใช้ไม่ตรงกับโจทย์ที่กำหนด
• ข้อ ค. () flavonoid): ข้อนี้ไม่ใช่คำตอบที่ถูกต้องสำหรับภาวะ Renal Diseases เนื่องจากกลไกการออกฤทธิ์, efficacy หรือข้อบ่งใช้ไม่ตรงกับโจทย์ที่กำหนด
• ข้อ ง. () Tannin 6.เรียงลำดับยาลดความดัน ตอบ Furosemide &gt; HCTZ &gt;Amiodalone 7.ยา HCTZ จัดอยู่ใน class III ตาม BSC ข้อใดถูก): เป็น Loop diuretic ยับยั้ง Na+/K+/2Cl- cotransporter ที่ Thick ascending limb ใช้จัดการ volume overload ใน HF หรือ CKD แต่ไม่เหมาะเป็น first-line ลดความดันโลหิตเดี่ยวๆ
• ข้อ จ. (Atropine sulfate 2 mg IV Q5-10 min):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22" s="18" t="inlineStr"/>
      <c r="L722" s="18" t="inlineStr">
        <is>
          <t>Renal Diseases</t>
        </is>
      </c>
      <c r="M722" s="18" t="inlineStr">
        <is>
          <t>Clinic</t>
        </is>
      </c>
      <c r="N722" s="18" t="inlineStr">
        <is>
          <t>ข้อ 5 (PLE_CC1_2556.md)</t>
        </is>
      </c>
      <c r="O722" s="18" t="inlineStr">
        <is>
          <t>ข้อสอบจริง</t>
        </is>
      </c>
      <c r="P722" s="18" t="inlineStr">
        <is>
          <t>ปี 2556</t>
        </is>
      </c>
    </row>
    <row r="723">
      <c r="A723" s="15" t="inlineStr">
        <is>
          <t>744</t>
        </is>
      </c>
      <c r="B723" s="18" t="inlineStr">
        <is>
          <t>ให้สวนล้างช่องคลอดด้วยด่าง เพื่อปรับสมดุล</t>
        </is>
      </c>
      <c r="C723" s="18" t="inlineStr"/>
      <c r="D723" s="18" t="inlineStr">
        <is>
          <t>พ.ร.บ. วัตถุที่ออกฤทธิ์ต่อจิตและประสาท พ.ศ. 2559 (ประเภท 2 และ 4)</t>
        </is>
      </c>
      <c r="E723" s="18" t="inlineStr">
        <is>
          <t>พ.ร.บ. วิชาชีพเภสัชกรรม พ.ศ. 2537 และข้อบังคับจรรยาบรรณวิชาชีพ</t>
        </is>
      </c>
      <c r="F723" s="18" t="inlineStr">
        <is>
          <t>พ.ร.บ. ผลิตภัณฑ์สมุนไพร พ.ศ. 2562</t>
        </is>
      </c>
      <c r="G723" s="18" t="inlineStr">
        <is>
          <t>พ.ร.บ. เครื่องสำอาง พ.ศ. 2558</t>
        </is>
      </c>
      <c r="H723" s="18" t="inlineStr">
        <is>
          <t>พ.ร.บ. หลักประกันสุขภาพแห่งชาติ พ.ศ. 2545</t>
        </is>
      </c>
      <c r="I723" s="15" t="inlineStr">
        <is>
          <t>1</t>
        </is>
      </c>
      <c r="J723"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3" s="18" t="inlineStr"/>
      <c r="L723" s="18" t="inlineStr">
        <is>
          <t>Pharmacy Laws &amp; Ethics</t>
        </is>
      </c>
      <c r="M723" s="18" t="inlineStr">
        <is>
          <t>SAP</t>
        </is>
      </c>
      <c r="N723" s="18" t="inlineStr">
        <is>
          <t>ข้อ 1 (PLE_CC1_2556.md)</t>
        </is>
      </c>
      <c r="O723" s="18" t="inlineStr">
        <is>
          <t>ข้อสอบจริง</t>
        </is>
      </c>
      <c r="P723" s="18" t="inlineStr">
        <is>
          <t>ปี 2556</t>
        </is>
      </c>
    </row>
    <row r="724">
      <c r="A724" s="15" t="inlineStr">
        <is>
          <t>745</t>
        </is>
      </c>
      <c r="B724" s="18" t="inlineStr">
        <is>
          <t>แนะนำให้คู่นอนรักษาด้วย</t>
        </is>
      </c>
      <c r="C724" s="18" t="inlineStr"/>
      <c r="D724" s="18" t="inlineStr">
        <is>
          <t>Naloxone 0.4 mg IV stat</t>
        </is>
      </c>
      <c r="E724" s="18" t="inlineStr">
        <is>
          <t>Flumazenil 0.2 mg IV stat</t>
        </is>
      </c>
      <c r="F724" s="18" t="inlineStr">
        <is>
          <t>Vitamin K1 (Phytomenadione) 10 mg IV slow</t>
        </is>
      </c>
      <c r="G724" s="18" t="inlineStr">
        <is>
          <t>Sodium thiosulfate 25% 50 mL IV</t>
        </is>
      </c>
      <c r="H724" s="18" t="inlineStr">
        <is>
          <t>Calcium disodium EDTA 1 g IV</t>
        </is>
      </c>
      <c r="I724" s="15" t="inlineStr">
        <is>
          <t>1</t>
        </is>
      </c>
      <c r="J72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4" s="18" t="inlineStr"/>
      <c r="L724" s="18" t="inlineStr">
        <is>
          <t>General Therapeutics</t>
        </is>
      </c>
      <c r="M724" s="18" t="inlineStr">
        <is>
          <t>Clinic</t>
        </is>
      </c>
      <c r="N724" s="18" t="inlineStr">
        <is>
          <t>ข้อ 2 (PLE_CC1_2556.md)</t>
        </is>
      </c>
      <c r="O724" s="18" t="inlineStr">
        <is>
          <t>ข้อสอบจริง</t>
        </is>
      </c>
      <c r="P724" s="18" t="inlineStr">
        <is>
          <t>ปี 2556</t>
        </is>
      </c>
    </row>
    <row r="725">
      <c r="A725" s="15" t="inlineStr">
        <is>
          <t>746</t>
        </is>
      </c>
      <c r="B725" s="18" t="inlineStr">
        <is>
          <t>ยาใดทำให้ท้องผูก</t>
        </is>
      </c>
      <c r="C725" s="18" t="inlineStr"/>
      <c r="D725" s="18" t="inlineStr">
        <is>
          <t>Doxorubicin</t>
        </is>
      </c>
      <c r="E725" s="18" t="inlineStr">
        <is>
          <t>Vincristine</t>
        </is>
      </c>
      <c r="F725" s="18" t="inlineStr">
        <is>
          <t>Cyclophosphamide</t>
        </is>
      </c>
      <c r="G725" s="18" t="inlineStr">
        <is>
          <t>Prednisolone</t>
        </is>
      </c>
      <c r="H725" s="18" t="inlineStr">
        <is>
          <t>Ondancetron</t>
        </is>
      </c>
      <c r="I725" s="15" t="inlineStr">
        <is>
          <t>1</t>
        </is>
      </c>
      <c r="J725" s="18" t="inlineStr">
        <is>
          <t>✅ คำตอบที่ถูกต้อง: ข้อ ก. Doxorubicin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Doxorubicin การเลือก Doxorubicin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(Vincristine): ข้อนี้ไม่ใช่คำตอบที่ถูกต้องสำหรับภาวะ GI Disorders เนื่องจากกลไกการออกฤทธิ์, efficacy หรือข้อบ่งใช้ไม่ตรงกับโจทย์ที่กำหนด
• ข้อ ค. (Cyclophosphamide): ข้อนี้ไม่ใช่คำตอบที่ถูกต้องสำหรับภาวะ GI Disorders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(Ondancetron):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5" s="18" t="inlineStr"/>
      <c r="L725" s="18" t="inlineStr">
        <is>
          <t>GI Disorders</t>
        </is>
      </c>
      <c r="M725" s="18" t="inlineStr">
        <is>
          <t>Clinic</t>
        </is>
      </c>
      <c r="N725" s="18" t="inlineStr">
        <is>
          <t>ข้อ 3 (PLE_CC1_2556.md)</t>
        </is>
      </c>
      <c r="O725" s="18" t="inlineStr">
        <is>
          <t>ข้อสอบจริง</t>
        </is>
      </c>
      <c r="P725" s="18" t="inlineStr">
        <is>
          <t>ปี 2556</t>
        </is>
      </c>
    </row>
    <row r="726">
      <c r="A726" s="15" t="inlineStr">
        <is>
          <t>747</t>
        </is>
      </c>
      <c r="B726" s="18" t="inlineStr">
        <is>
          <t>Prednisolone 6.การเตรียมยาเคมีบำบัดแบบใดที่อันตรายต่อผู้เตรียมยามากที่สุด</t>
        </is>
      </c>
      <c r="C726" s="18" t="inlineStr"/>
      <c r="D726" s="18" t="inlineStr">
        <is>
          <t>เตรียมใน laminar air flow แบบ horizontal class 10,000</t>
        </is>
      </c>
      <c r="E726" s="18" t="inlineStr">
        <is>
          <t>เตรียมใน biosafety cabinet type I ใน class 10,000</t>
        </is>
      </c>
      <c r="F726" s="18" t="inlineStr">
        <is>
          <t>เตรียมใน biosafety cabinet type II ใน class 10,000</t>
        </is>
      </c>
      <c r="G726" s="18" t="inlineStr">
        <is>
          <t>เตรียมในตู้ isolator</t>
        </is>
      </c>
      <c r="H726" s="18" t="inlineStr">
        <is>
          <t>Atropine sulfate 2 mg IV Q5-10 min</t>
        </is>
      </c>
      <c r="I726" s="15" t="inlineStr">
        <is>
          <t>1</t>
        </is>
      </c>
      <c r="J726" s="18" t="inlineStr">
        <is>
          <t>✅ คำตอบที่ถูกต้อง: ข้อ ก. เตรียมใน laminar air flow แบบ horizontal class 10,000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เตรียมใน laminar air flow แบบ horizontal class 10,000 การเลือก เตรียมใน laminar air flow แบบ horizontal class 10,000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(เตรียมใน biosafety cabinet type 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ค. (เตรียมใน biosafety cabinet type II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ง. (เตรียมในตู้ isolator): ข้อนี้ไม่ใช่คำตอบที่ถูกต้องสำหรับภาวะ Allergy &amp; Immunology เนื่องจากกลไกการออกฤทธิ์, efficacy หรือข้อบ่งใช้ไม่ตรงกับโจทย์ที่กำหนด
• ข้อ จ. (Atropine sulfate 2 mg IV Q5-10 min):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26" s="18" t="inlineStr"/>
      <c r="L726" s="18" t="inlineStr">
        <is>
          <t>Allergy &amp; Immunology</t>
        </is>
      </c>
      <c r="M726" s="18" t="inlineStr">
        <is>
          <t>Clinic</t>
        </is>
      </c>
      <c r="N726" s="18" t="inlineStr">
        <is>
          <t>ข้อ 5 (PLE_CC1_2556.md)</t>
        </is>
      </c>
      <c r="O726" s="18" t="inlineStr">
        <is>
          <t>ข้อสอบจริง</t>
        </is>
      </c>
      <c r="P726" s="18" t="inlineStr">
        <is>
          <t>ปี 2556</t>
        </is>
      </c>
    </row>
    <row r="727">
      <c r="A727" s="15" t="inlineStr">
        <is>
          <t>748</t>
        </is>
      </c>
      <c r="B727" s="18" t="inlineStr">
        <is>
          <t>ขนาดยาข้อใดผิด</t>
        </is>
      </c>
      <c r="C727" s="18" t="inlineStr"/>
      <c r="D727" s="18" t="inlineStr">
        <is>
          <t>Isoniazid</t>
        </is>
      </c>
      <c r="E727" s="18" t="inlineStr">
        <is>
          <t>Rifampin</t>
        </is>
      </c>
      <c r="F727" s="18" t="inlineStr">
        <is>
          <t>Ethambutol</t>
        </is>
      </c>
      <c r="G727" s="18" t="inlineStr">
        <is>
          <t>Pyrazinamide +ethambutol</t>
        </is>
      </c>
      <c r="H727" s="18" t="inlineStr">
        <is>
          <t>Rifam+isonizid</t>
        </is>
      </c>
      <c r="I727" s="15" t="inlineStr">
        <is>
          <t>1</t>
        </is>
      </c>
      <c r="J727" s="18" t="inlineStr">
        <is>
          <t>✅ คำตอบที่ถูกต้อง: ข้อ ก. Isoniazid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Isoniazid การเลือก Isoniazid เป็นคำตอบที่ถูกต้องตามแนวทางการรักษามาตรฐาน เนื่องจาก เป็นแกนหลักใน Anti-TB regimen (HRZE) ยับยั้ง mycolic acid เสี่ยงต่อ peripheral neuropathy จากการขาด pyridoxine (Vitamin B6) จึงต้องให้วิตามิน B6 เสริม และเสี่ยงต่อ hepatotoxicity
🔍 ข้ออื่นผิดเพราะอะไร:
• ข้อ ข. (Rifampin): ข้อนี้ไม่ใช่คำตอบที่ถูกต้องสำหรับภาวะ General Therapeutics เนื่องจากกลไกการออกฤทธิ์, efficacy หรือข้อบ่งใช้ไม่ตรงกับโจทย์ที่กำหนด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+ethambutol): เป็น Anti-TB agent ที่มี sterilizing effect สูงใน macrophage เสี่ยงต่อ hyperuricemia (ปวดข้อเก๊าท์) และ severe hepatotoxicity สูงสุดในกลุ่มยาวัณโรค
• ข้อ จ. (Rifam+isonizid):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27" s="18" t="inlineStr"/>
      <c r="L727" s="18" t="inlineStr">
        <is>
          <t>General Therapeutics</t>
        </is>
      </c>
      <c r="M727" s="18" t="inlineStr">
        <is>
          <t>Clinic</t>
        </is>
      </c>
      <c r="N727" s="18" t="inlineStr">
        <is>
          <t>ข้อ 1 (PLE_CC1_2556.md)</t>
        </is>
      </c>
      <c r="O727" s="18" t="inlineStr">
        <is>
          <t>ข้อสอบจริง</t>
        </is>
      </c>
      <c r="P727" s="18" t="inlineStr">
        <is>
          <t>ปี 2556</t>
        </is>
      </c>
    </row>
    <row r="728">
      <c r="A728" s="15" t="inlineStr">
        <is>
          <t>749</t>
        </is>
      </c>
      <c r="B728" s="18" t="inlineStr">
        <is>
          <t>Complete Blood Count</t>
        </is>
      </c>
      <c r="C728" s="18" t="inlineStr"/>
      <c r="D728" s="18" t="inlineStr">
        <is>
          <t>Naloxone 0.4 mg IV stat</t>
        </is>
      </c>
      <c r="E728" s="18" t="inlineStr">
        <is>
          <t>Flumazenil 0.2 mg IV stat</t>
        </is>
      </c>
      <c r="F728" s="18" t="inlineStr">
        <is>
          <t>Vitamin K1 (Phytomenadione) 10 mg IV slow</t>
        </is>
      </c>
      <c r="G728" s="18" t="inlineStr">
        <is>
          <t>Sodium thiosulfate 25% 50 mL IV</t>
        </is>
      </c>
      <c r="H728" s="18" t="inlineStr">
        <is>
          <t>Calcium disodium EDTA 1 g IV</t>
        </is>
      </c>
      <c r="I728" s="15" t="inlineStr">
        <is>
          <t>1</t>
        </is>
      </c>
      <c r="J7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8" s="18" t="inlineStr"/>
      <c r="L728" s="18" t="inlineStr">
        <is>
          <t>General Therapeutics</t>
        </is>
      </c>
      <c r="M728" s="18" t="inlineStr">
        <is>
          <t>Clinic</t>
        </is>
      </c>
      <c r="N728" s="18" t="inlineStr">
        <is>
          <t>ข้อ 2 (PLE_CC1_2556.md)</t>
        </is>
      </c>
      <c r="O728" s="18" t="inlineStr">
        <is>
          <t>ข้อสอบจริง</t>
        </is>
      </c>
      <c r="P728" s="18" t="inlineStr">
        <is>
          <t>ปี 2556</t>
        </is>
      </c>
    </row>
    <row r="729">
      <c r="A729" s="15" t="inlineStr">
        <is>
          <t>750</t>
        </is>
      </c>
      <c r="B729" s="18" t="inlineStr">
        <is>
          <t>liver function enzyme</t>
        </is>
      </c>
      <c r="C729" s="18" t="inlineStr"/>
      <c r="D729" s="18" t="inlineStr">
        <is>
          <t>Sodium thiosulfate 25% 50 mL IV</t>
        </is>
      </c>
      <c r="E729" s="18" t="inlineStr">
        <is>
          <t>Calcium disodium EDTA 1 g IV</t>
        </is>
      </c>
      <c r="F729" s="18" t="inlineStr">
        <is>
          <t>Desferrioxamine 1 g IM/IV</t>
        </is>
      </c>
      <c r="G729" s="18" t="inlineStr">
        <is>
          <t>Dimercaprol (BAL) 3 mg/kg IM</t>
        </is>
      </c>
      <c r="H729" s="18" t="inlineStr">
        <is>
          <t>Ethanol 10% IV infusion for Methanol poisoning</t>
        </is>
      </c>
      <c r="I729" s="15" t="inlineStr">
        <is>
          <t>1</t>
        </is>
      </c>
      <c r="J7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9" s="18" t="inlineStr"/>
      <c r="L729" s="18" t="inlineStr">
        <is>
          <t>General Therapeutics</t>
        </is>
      </c>
      <c r="M729" s="18" t="inlineStr">
        <is>
          <t>Clinic</t>
        </is>
      </c>
      <c r="N729" s="18" t="inlineStr">
        <is>
          <t>ข้อ 4 (PLE_CC1_2556.md)</t>
        </is>
      </c>
      <c r="O729" s="18" t="inlineStr">
        <is>
          <t>ข้อสอบจริง</t>
        </is>
      </c>
      <c r="P729" s="18" t="inlineStr">
        <is>
          <t>ปี 2556</t>
        </is>
      </c>
    </row>
    <row r="730">
      <c r="A730" s="15" t="inlineStr">
        <is>
          <t>751</t>
        </is>
      </c>
      <c r="B730" s="18" t="inlineStr">
        <is>
          <t>Quasi – experimental</t>
        </is>
      </c>
      <c r="C730" s="18" t="inlineStr"/>
      <c r="D730" s="18" t="inlineStr">
        <is>
          <t>Dimercaprol (BAL) 3 mg/kg IM</t>
        </is>
      </c>
      <c r="E730" s="18" t="inlineStr">
        <is>
          <t>Ethanol 10% IV infusion for Methanol poisoning</t>
        </is>
      </c>
      <c r="F730" s="18" t="inlineStr">
        <is>
          <t>Fomepizole 15 mg/kg IV loading</t>
        </is>
      </c>
      <c r="G730" s="18" t="inlineStr">
        <is>
          <t>N-acetylcysteine (NAC) IV infusion protocol</t>
        </is>
      </c>
      <c r="H730" s="18" t="inlineStr">
        <is>
          <t>Atropine sulfate 2 mg IV Q5-10 min</t>
        </is>
      </c>
      <c r="I730" s="15" t="inlineStr">
        <is>
          <t>1</t>
        </is>
      </c>
      <c r="J7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0" s="18" t="inlineStr"/>
      <c r="L730" s="18" t="inlineStr">
        <is>
          <t>General Therapeutics</t>
        </is>
      </c>
      <c r="M730" s="18" t="inlineStr">
        <is>
          <t>Clinic</t>
        </is>
      </c>
      <c r="N730" s="18" t="inlineStr">
        <is>
          <t>ข้อ 4 (PLE_CC1_2556.md)</t>
        </is>
      </c>
      <c r="O730" s="18" t="inlineStr">
        <is>
          <t>ข้อสอบจริง</t>
        </is>
      </c>
      <c r="P730" s="18" t="inlineStr">
        <is>
          <t>ปี 2556</t>
        </is>
      </c>
    </row>
    <row r="731">
      <c r="A731" s="15" t="inlineStr">
        <is>
          <t>752</t>
        </is>
      </c>
      <c r="B731" s="18" t="inlineStr">
        <is>
          <t>Hydroxypropyl cellulose</t>
        </is>
      </c>
      <c r="C731" s="18" t="inlineStr"/>
      <c r="D731" s="18" t="inlineStr">
        <is>
          <t>........แต่ละลายน ้าแน่ๆ</t>
        </is>
      </c>
      <c r="E731" s="18" t="inlineStr">
        <is>
          <t>Atropine sulfate 2 mg IV Q5-10 min</t>
        </is>
      </c>
      <c r="F731" s="18" t="inlineStr">
        <is>
          <t>Pralidoxime (2-PAM) 1-2 g IV over 30 min</t>
        </is>
      </c>
      <c r="G731" s="18" t="inlineStr">
        <is>
          <t>Naloxone 0.4 mg IV stat</t>
        </is>
      </c>
      <c r="H731" s="18" t="inlineStr">
        <is>
          <t>Flumazenil 0.2 mg IV stat</t>
        </is>
      </c>
      <c r="I731" s="15" t="inlineStr">
        <is>
          <t>1</t>
        </is>
      </c>
      <c r="J731" s="18" t="inlineStr">
        <is>
          <t>✅ คำตอบที่ถูกต้อง: ข้อ ก. ........แต่ละลายน ้าแน่ๆ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........แต่ละลายน ้าแน่ๆ การเลือก ........แต่ละลายน ้าแน่ๆ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1" s="18" t="inlineStr"/>
      <c r="L731" s="18" t="inlineStr">
        <is>
          <t>General Therapeutics</t>
        </is>
      </c>
      <c r="M731" s="18" t="inlineStr">
        <is>
          <t>Clinic</t>
        </is>
      </c>
      <c r="N731" s="18" t="inlineStr">
        <is>
          <t>ข้อ 3 (PLE_CC1_2556.md)</t>
        </is>
      </c>
      <c r="O731" s="18" t="inlineStr">
        <is>
          <t>ข้อสอบจริง</t>
        </is>
      </c>
      <c r="P731" s="18" t="inlineStr">
        <is>
          <t>ปี 2556</t>
        </is>
      </c>
    </row>
    <row r="732">
      <c r="A732" s="15" t="inlineStr">
        <is>
          <t>753</t>
        </is>
      </c>
      <c r="B732" s="18" t="inlineStr">
        <is>
          <t>ข้อใดคือการแนะนำการใช้ยาในผู้ป่วยรายนี้</t>
        </is>
      </c>
      <c r="C732" s="18" t="inlineStr"/>
      <c r="D732" s="18" t="inlineStr">
        <is>
          <t>Naloxone 0.4 mg IV stat</t>
        </is>
      </c>
      <c r="E732" s="18" t="inlineStr">
        <is>
          <t>Flumazenil 0.2 mg IV stat</t>
        </is>
      </c>
      <c r="F732" s="18" t="inlineStr">
        <is>
          <t>Vitamin K1 (Phytomenadione) 10 mg IV slow</t>
        </is>
      </c>
      <c r="G732" s="18" t="inlineStr">
        <is>
          <t>Sodium thiosulfate 25% 50 mL IV</t>
        </is>
      </c>
      <c r="H732" s="18" t="inlineStr">
        <is>
          <t>Calcium disodium EDTA 1 g IV</t>
        </is>
      </c>
      <c r="I732" s="15" t="inlineStr">
        <is>
          <t>1</t>
        </is>
      </c>
      <c r="J7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2" s="18" t="inlineStr"/>
      <c r="L732" s="18" t="inlineStr">
        <is>
          <t>General Therapeutics</t>
        </is>
      </c>
      <c r="M732" s="18" t="inlineStr">
        <is>
          <t>Clinic</t>
        </is>
      </c>
      <c r="N732" s="18" t="inlineStr">
        <is>
          <t>ข้อ 2 (PLE_CC1_2556.md)</t>
        </is>
      </c>
      <c r="O732" s="18" t="inlineStr">
        <is>
          <t>ข้อสอบจริง</t>
        </is>
      </c>
      <c r="P732" s="18" t="inlineStr">
        <is>
          <t>ปี 2556</t>
        </is>
      </c>
    </row>
    <row r="733">
      <c r="A733" s="15" t="inlineStr">
        <is>
          <t>754</t>
        </is>
      </c>
      <c r="B733" s="18" t="inlineStr">
        <is>
          <t>ควรก้มหน้าเล็กน้อยระหว่างการใช้ยาพ่นจมูก</t>
        </is>
      </c>
      <c r="C733" s="18" t="inlineStr"/>
      <c r="D733" s="18" t="inlineStr">
        <is>
          <t>Sodium thiosulfate 25% 50 mL IV</t>
        </is>
      </c>
      <c r="E733" s="18" t="inlineStr">
        <is>
          <t>Calcium disodium EDTA 1 g IV</t>
        </is>
      </c>
      <c r="F733" s="18" t="inlineStr">
        <is>
          <t>Desferrioxamine 1 g IM/IV</t>
        </is>
      </c>
      <c r="G733" s="18" t="inlineStr">
        <is>
          <t>Dimercaprol (BAL) 3 mg/kg IM</t>
        </is>
      </c>
      <c r="H733" s="18" t="inlineStr">
        <is>
          <t>Ethanol 10% IV infusion for Methanol poisoning</t>
        </is>
      </c>
      <c r="I733" s="15" t="inlineStr">
        <is>
          <t>1</t>
        </is>
      </c>
      <c r="J7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3" s="18" t="inlineStr"/>
      <c r="L733" s="18" t="inlineStr">
        <is>
          <t>General Therapeutics</t>
        </is>
      </c>
      <c r="M733" s="18" t="inlineStr">
        <is>
          <t>Clinic</t>
        </is>
      </c>
      <c r="N733" s="18" t="inlineStr">
        <is>
          <t>ข้อ 1 (PLE_CC1_2556.md)</t>
        </is>
      </c>
      <c r="O733" s="18" t="inlineStr">
        <is>
          <t>ข้อสอบจริง</t>
        </is>
      </c>
      <c r="P733" s="18" t="inlineStr">
        <is>
          <t>ปี 2556</t>
        </is>
      </c>
    </row>
    <row r="734">
      <c r="A734" s="15" t="inlineStr">
        <is>
          <t>755</t>
        </is>
      </c>
      <c r="B734" s="18" t="inlineStr">
        <is>
          <t>ควรใช้น ้าเกลือล้างจมูกทั้งสองข้าง</t>
        </is>
      </c>
      <c r="C734" s="18" t="inlineStr"/>
      <c r="D734" s="18" t="inlineStr">
        <is>
          <t>Dimercaprol (BAL) 3 mg/kg IM</t>
        </is>
      </c>
      <c r="E734" s="18" t="inlineStr">
        <is>
          <t>Ethanol 10% IV infusion for Methanol poisoning</t>
        </is>
      </c>
      <c r="F734" s="18" t="inlineStr">
        <is>
          <t>Fomepizole 15 mg/kg IV loading</t>
        </is>
      </c>
      <c r="G734" s="18" t="inlineStr">
        <is>
          <t>N-acetylcysteine (NAC) IV infusion protocol</t>
        </is>
      </c>
      <c r="H734" s="18" t="inlineStr">
        <is>
          <t>Atropine sulfate 2 mg IV Q5-10 min</t>
        </is>
      </c>
      <c r="I734" s="15" t="inlineStr">
        <is>
          <t>1</t>
        </is>
      </c>
      <c r="J7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4" s="18" t="inlineStr"/>
      <c r="L734" s="18" t="inlineStr">
        <is>
          <t>General Therapeutics</t>
        </is>
      </c>
      <c r="M734" s="18" t="inlineStr">
        <is>
          <t>Clinic</t>
        </is>
      </c>
      <c r="N734" s="18" t="inlineStr">
        <is>
          <t>ข้อ 2 (PLE_CC1_2556.md)</t>
        </is>
      </c>
      <c r="O734" s="18" t="inlineStr">
        <is>
          <t>ข้อสอบจริง</t>
        </is>
      </c>
      <c r="P734" s="18" t="inlineStr">
        <is>
          <t>ปี 2556</t>
        </is>
      </c>
    </row>
    <row r="735">
      <c r="A735" s="15" t="inlineStr">
        <is>
          <t>756</t>
        </is>
      </c>
      <c r="B735" s="18" t="inlineStr">
        <is>
          <t>สมารถใช้ยาพ่นจมูกได้เป็นเวลานานๆ</t>
        </is>
      </c>
      <c r="C735" s="18" t="inlineStr"/>
      <c r="D735" s="18" t="inlineStr">
        <is>
          <t>N-acetylcysteine (NAC) IV infusion protocol</t>
        </is>
      </c>
      <c r="E735" s="18" t="inlineStr">
        <is>
          <t>Atropine sulfate 2 mg IV Q5-10 min</t>
        </is>
      </c>
      <c r="F735" s="18" t="inlineStr">
        <is>
          <t>Pralidoxime (2-PAM) 1-2 g IV over 30 min</t>
        </is>
      </c>
      <c r="G735" s="18" t="inlineStr">
        <is>
          <t>Naloxone 0.4 mg IV stat</t>
        </is>
      </c>
      <c r="H735" s="18" t="inlineStr">
        <is>
          <t>Flumazenil 0.2 mg IV stat</t>
        </is>
      </c>
      <c r="I735" s="15" t="inlineStr">
        <is>
          <t>1</t>
        </is>
      </c>
      <c r="J7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35" s="18" t="inlineStr"/>
      <c r="L735" s="18" t="inlineStr">
        <is>
          <t>General Therapeutics</t>
        </is>
      </c>
      <c r="M735" s="18" t="inlineStr">
        <is>
          <t>Clinic</t>
        </is>
      </c>
      <c r="N735" s="18" t="inlineStr">
        <is>
          <t>ข้อ 3 (PLE_CC1_2556.md)</t>
        </is>
      </c>
      <c r="O735" s="18" t="inlineStr">
        <is>
          <t>ข้อสอบจริง</t>
        </is>
      </c>
      <c r="P735" s="18" t="inlineStr">
        <is>
          <t>ปี 2556</t>
        </is>
      </c>
    </row>
    <row r="736">
      <c r="A736" s="15" t="inlineStr">
        <is>
          <t>757</t>
        </is>
      </c>
      <c r="B736" s="18" t="inlineStr">
        <is>
          <t>คนไข้มีอาการกำเริบจนต้องเข้ารพ.มากกว่า 5 ครั้ง/เดือน ผู้ป่วยจัดอยู่ในระดับใด เมื่อแบ่งเกณฑ์ตาม GINA</t>
        </is>
      </c>
      <c r="C736" s="18" t="inlineStr"/>
      <c r="D736" s="18" t="inlineStr">
        <is>
          <t>Naloxone 0.4 mg IV stat</t>
        </is>
      </c>
      <c r="E736" s="18" t="inlineStr">
        <is>
          <t>Flumazenil 0.2 mg IV stat</t>
        </is>
      </c>
      <c r="F736" s="18" t="inlineStr">
        <is>
          <t>Vitamin K1 (Phytomenadione) 10 mg IV slow</t>
        </is>
      </c>
      <c r="G736" s="18" t="inlineStr">
        <is>
          <t>Sodium thiosulfate 25% 50 mL IV</t>
        </is>
      </c>
      <c r="H736" s="18" t="inlineStr">
        <is>
          <t>Calcium disodium EDTA 1 g IV</t>
        </is>
      </c>
      <c r="I736" s="15" t="inlineStr">
        <is>
          <t>1</t>
        </is>
      </c>
      <c r="J736" s="18" t="inlineStr">
        <is>
          <t>✅ คำตอบที่ถูกต้อง: ข้อ ก. Naloxone 0.4 mg IV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6" s="18" t="inlineStr"/>
      <c r="L736" s="18" t="inlineStr">
        <is>
          <t>General Therapeutics</t>
        </is>
      </c>
      <c r="M736" s="18" t="inlineStr">
        <is>
          <t>Clinic</t>
        </is>
      </c>
      <c r="N736" s="18" t="inlineStr">
        <is>
          <t>ข้อ 3 (PLE_CC1_2556.md)</t>
        </is>
      </c>
      <c r="O736" s="18" t="inlineStr">
        <is>
          <t>ข้อสอบจริง</t>
        </is>
      </c>
      <c r="P736" s="18" t="inlineStr">
        <is>
          <t>ปี 2556</t>
        </is>
      </c>
    </row>
    <row r="737">
      <c r="A737" s="15" t="inlineStr">
        <is>
          <t>758</t>
        </is>
      </c>
      <c r="B737" s="18" t="inlineStr">
        <is>
          <t>Partly controlled</t>
        </is>
      </c>
      <c r="C737" s="18" t="inlineStr"/>
      <c r="D737" s="18" t="inlineStr">
        <is>
          <t>Sodium thiosulfate 25% 50 mL IV</t>
        </is>
      </c>
      <c r="E737" s="18" t="inlineStr">
        <is>
          <t>Calcium disodium EDTA 1 g IV</t>
        </is>
      </c>
      <c r="F737" s="18" t="inlineStr">
        <is>
          <t>Desferrioxamine 1 g IM/IV</t>
        </is>
      </c>
      <c r="G737" s="18" t="inlineStr">
        <is>
          <t>Dimercaprol (BAL) 3 mg/kg IM</t>
        </is>
      </c>
      <c r="H737" s="18" t="inlineStr">
        <is>
          <t>Ethanol 10% IV infusion for Methanol poisoning</t>
        </is>
      </c>
      <c r="I737" s="15" t="inlineStr">
        <is>
          <t>1</t>
        </is>
      </c>
      <c r="J7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7" s="18" t="inlineStr"/>
      <c r="L737" s="18" t="inlineStr">
        <is>
          <t>General Therapeutics</t>
        </is>
      </c>
      <c r="M737" s="18" t="inlineStr">
        <is>
          <t>Clinic</t>
        </is>
      </c>
      <c r="N737" s="18" t="inlineStr">
        <is>
          <t>ข้อ 2 (PLE_CC1_2556.md)</t>
        </is>
      </c>
      <c r="O737" s="18" t="inlineStr">
        <is>
          <t>ข้อสอบจริง</t>
        </is>
      </c>
      <c r="P737" s="18" t="inlineStr">
        <is>
          <t>ปี 2556</t>
        </is>
      </c>
    </row>
    <row r="738">
      <c r="A738" s="15" t="inlineStr">
        <is>
          <t>759</t>
        </is>
      </c>
      <c r="B738" s="18" t="inlineStr">
        <is>
          <t>ถ้าใช้ steroid ทาระยะยาว ผลจะเป็นยังไง</t>
        </is>
      </c>
      <c r="C738" s="18" t="inlineStr"/>
      <c r="D738" s="18" t="inlineStr">
        <is>
          <t>สิว</t>
        </is>
      </c>
      <c r="E738" s="18" t="inlineStr">
        <is>
          <t>folutitis</t>
        </is>
      </c>
      <c r="F738" s="18" t="inlineStr">
        <is>
          <t>osteoporosis</t>
        </is>
      </c>
      <c r="G738" s="18" t="inlineStr">
        <is>
          <t>hyperglycemia</t>
        </is>
      </c>
      <c r="H738" s="18" t="inlineStr">
        <is>
          <t>Cushing syndrome</t>
        </is>
      </c>
      <c r="I738" s="15" t="inlineStr">
        <is>
          <t>1</t>
        </is>
      </c>
      <c r="J738" s="18" t="inlineStr">
        <is>
          <t>✅ คำตอบที่ถูกต้อง: ข้อ ก. สิว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สิว การเลือก สิว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(folutitis):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(hyperglycemia): ข้อนี้ไม่ใช่คำตอบที่ถูกต้องสำหรับภาวะ General Therapeutics เนื่องจากกลไกการออกฤทธิ์, efficacy หรือข้อบ่งใช้ไม่ตรงกับโจทย์ที่กำหนด
• ข้อ จ. (Cushing syndrome):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8" s="18" t="inlineStr"/>
      <c r="L738" s="18" t="inlineStr">
        <is>
          <t>General Therapeutics</t>
        </is>
      </c>
      <c r="M738" s="18" t="inlineStr">
        <is>
          <t>Clinic</t>
        </is>
      </c>
      <c r="N738" s="18" t="inlineStr">
        <is>
          <t>ข้อ 3 (PLE_CC1_2556.md)</t>
        </is>
      </c>
      <c r="O738" s="18" t="inlineStr">
        <is>
          <t>ข้อสอบจริง</t>
        </is>
      </c>
      <c r="P738" s="18" t="inlineStr">
        <is>
          <t>ปี 2556</t>
        </is>
      </c>
    </row>
    <row r="739">
      <c r="A739" s="15" t="inlineStr">
        <is>
          <t>760</t>
        </is>
      </c>
      <c r="B739" s="18" t="inlineStr">
        <is>
          <t>ยาชนิดหนึ่งมีเครื่องหมายสามเหลี่ยมสีแดงบนกล่องยา หมายความว่าอย่างไร</t>
        </is>
      </c>
      <c r="C739" s="18" t="inlineStr"/>
      <c r="D739" s="18" t="inlineStr">
        <is>
          <t>ยาที่มีการใช้เฉพาะในโรงพยาบาล และต้องมีการติดตามการใช้อย่างใกล้ชิด</t>
        </is>
      </c>
      <c r="E739" s="18" t="inlineStr">
        <is>
          <t>ยาที่มีการจำหน่ายในร้านยาที่มีเภสัชกร</t>
        </is>
      </c>
      <c r="F739" s="18" t="inlineStr">
        <is>
          <t>ยาที่มีการจำหน่ายได้ในร้านยา แต่ต้องมีใบสั่งแพทย์</t>
        </is>
      </c>
      <c r="G739" s="18" t="inlineStr">
        <is>
          <t>........</t>
        </is>
      </c>
      <c r="H739" s="18" t="inlineStr">
        <is>
          <t>........ คณะเภสัชศาสตร์ มหาวิทยาลัยเชียงใหม่ Rx 44 CMU (+), viral load pending 21.ข้อใดถูกต้องเกี่ยวกับการตรวจเชื้อ TB</t>
        </is>
      </c>
      <c r="I739" s="15" t="inlineStr">
        <is>
          <t>1</t>
        </is>
      </c>
      <c r="J739" s="18" t="inlineStr">
        <is>
          <t>✅ คำตอบที่ถูกต้อง: ข้อ ก. ยาที่มีการใช้เฉพาะในโรงพยาบาล และต้องมีการติดตามการใช้อย่างใกล้ชิด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ยาที่มีการใช้เฉพาะในโรงพยาบาล และต้องมีการติดตามการใช้อย่างใกล้ชิด สถานการณ์ ผู้ป่วยมาด้วยอาการไข้ ไอเรื้อรัง ท้องเสียหลายเดือน น ้าหนักลด มี CD4 190 cell/mm3, anti HIV
🔍 ข้ออื่นผิดเพราะอะไร:
• ข้อ ข. (ยาที่มีการจำหน่ายในร้านยาที่มีเภสัชกร): ข้อนี้ไม่ใช่คำตอบที่ถูกต้องสำหรับภาวะ General Therapeutics เนื่องจากกลไกการออกฤทธิ์, efficacy หรือข้อบ่งใช้ไม่ตรงกับโจทย์ที่กำหนด
• ข้อ ค. (ยาที่มีการจำหน่ายได้ในร้านยา แต่ต้องมีใบสั่งแพทย์):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 viral load pending 21.ข้อใดถูกต้องเกี่ยวกับการตรวจเชื้อ TB):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9" s="18" t="inlineStr"/>
      <c r="L739" s="18" t="inlineStr">
        <is>
          <t>General Therapeutics</t>
        </is>
      </c>
      <c r="M739" s="18" t="inlineStr">
        <is>
          <t>Clinic</t>
        </is>
      </c>
      <c r="N739" s="18" t="inlineStr">
        <is>
          <t>ข้อ 20 (PLE_CC1_2555 Day 1.md)</t>
        </is>
      </c>
      <c r="O739" s="18" t="inlineStr">
        <is>
          <t>ข้อสอบจริง</t>
        </is>
      </c>
      <c r="P739" s="18" t="inlineStr">
        <is>
          <t>ปี 2555</t>
        </is>
      </c>
    </row>
    <row r="740">
      <c r="A740" s="15" t="inlineStr">
        <is>
          <t>761</t>
        </is>
      </c>
      <c r="B740" s="18" t="inlineStr">
        <is>
          <t>ข้อใดถูกต้องเกี่ยวกับเกณฑ์ในการวินิจฉัยในผู้ป่วยรายนี้</t>
        </is>
      </c>
      <c r="C740" s="18" t="inlineStr"/>
      <c r="D740" s="18" t="inlineStr">
        <is>
          <t>ยังบอกผลไม่ได้ต้องรอผล viral load</t>
        </is>
      </c>
      <c r="E740" s="18" t="inlineStr">
        <is>
          <t>ผู้ป่วยติดเชื้อ HIV แต่ไม่เป็นเอดส์</t>
        </is>
      </c>
      <c r="F740" s="18" t="inlineStr">
        <is>
          <t>ผู้ป่วยจัดว่าเป็นเอดส์แล้ว</t>
        </is>
      </c>
      <c r="G740" s="18" t="inlineStr">
        <is>
          <t>ผู้ป่วยเป็นวัณโรคแต่ยังไม่ติดเชื้อ HIV</t>
        </is>
      </c>
      <c r="H740" s="18" t="inlineStr">
        <is>
          <t>................................</t>
        </is>
      </c>
      <c r="I740" s="15" t="inlineStr">
        <is>
          <t>1</t>
        </is>
      </c>
      <c r="J740" s="18" t="inlineStr">
        <is>
          <t>✅ คำตอบที่ถูกต้อง: ข้อ ก. ยังบอกผลไม่ได้ต้องรอผล viral load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ยังบอกผลไม่ได้ต้องรอผล viral load การเลือก ยังบอกผลไม่ได้ต้องรอผล viral load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(ผู้ป่วยติดเชื้อ HIV แต่ไม่เป็นเอดส์): ข้อนี้ไม่ใช่คำตอบที่ถูกต้องสำหรับภาวะ General Therapeutics เนื่องจากกลไกการออกฤทธิ์, efficacy หรือข้อบ่งใช้ไม่ตรงกับโจทย์ที่กำหนด
• ข้อ ค. (ผู้ป่วยจัดว่าเป็นเอดส์แล้ว): ข้อนี้ไม่ใช่คำตอบที่ถูกต้องสำหรับภาวะ General Therapeutics เนื่องจากกลไกการออกฤทธิ์, efficacy หรือข้อบ่งใช้ไม่ตรงกับโจทย์ที่กำหนด
• ข้อ ง. (ผู้ป่วยเป็นวัณโรคแต่ยังไม่ติดเชื้อ HIV):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0" s="18" t="inlineStr"/>
      <c r="L740" s="18" t="inlineStr">
        <is>
          <t>General Therapeutics</t>
        </is>
      </c>
      <c r="M740" s="18" t="inlineStr">
        <is>
          <t>Clinic</t>
        </is>
      </c>
      <c r="N740" s="18" t="inlineStr">
        <is>
          <t>ข้อ 23 (PLE_CC1_2555 Day 1.md)</t>
        </is>
      </c>
      <c r="O740" s="18" t="inlineStr">
        <is>
          <t>ข้อสอบจริง</t>
        </is>
      </c>
      <c r="P740" s="18" t="inlineStr">
        <is>
          <t>ปี 2555</t>
        </is>
      </c>
    </row>
    <row r="741">
      <c r="A741" s="15" t="inlineStr">
        <is>
          <t>762</t>
        </is>
      </c>
      <c r="B741" s="18" t="inlineStr">
        <is>
          <t>คำว่า Autoinducer ของ NVP หมายความว่าอย่างไร</t>
        </is>
      </c>
      <c r="C741" s="18" t="inlineStr"/>
      <c r="D741" s="18" t="inlineStr">
        <is>
          <t>ยาทำลายตัวเอง</t>
        </is>
      </c>
      <c r="E741" s="18" t="inlineStr">
        <is>
          <t>ยากระตุ้นให้ออกฤทธิ์เร็วขึ้น</t>
        </is>
      </c>
      <c r="F741" s="18" t="inlineStr">
        <is>
          <t>ทำให้ภูมิคุ้มกันดีขึ้น</t>
        </is>
      </c>
      <c r="G741" s="18" t="inlineStr">
        <is>
          <t>ลดความเสี่ยงการเกิดอาการไม่พึงประสงค์ เช่น ผื่น</t>
        </is>
      </c>
      <c r="H741" s="18" t="inlineStr">
        <is>
          <t>.......................</t>
        </is>
      </c>
      <c r="I741" s="15" t="inlineStr">
        <is>
          <t>1</t>
        </is>
      </c>
      <c r="J741" s="18" t="inlineStr">
        <is>
          <t>✅ คำตอบที่ถูกต้อง: ข้อ ก. ยาทำลายตัวเอง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ยาทำลายตัวเอง การเลือก ยาทำลายตัวเอง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(ยากระตุ้นให้ออกฤทธิ์เร็วขึ้น):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(ทำให้ภูมิคุ้มกันดีขึ้น): ข้อนี้ไม่ใช่คำตอบที่ถูกต้องสำหรับภาวะ General Therapeutics เนื่องจากกลไกการออกฤทธิ์, efficacy หรือข้อบ่งใช้ไม่ตรงกับโจทย์ที่กำหนด
• ข้อ ง. (ลดความเสี่ยงการเกิดอาการไม่พึงประสงค์ เช่น ผื่น):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1" s="18" t="inlineStr"/>
      <c r="L741" s="18" t="inlineStr">
        <is>
          <t>General Therapeutics</t>
        </is>
      </c>
      <c r="M741" s="18" t="inlineStr">
        <is>
          <t>Clinic</t>
        </is>
      </c>
      <c r="N741" s="18" t="inlineStr">
        <is>
          <t>ข้อ 24 (PLE_CC1_2555 Day 1.md)</t>
        </is>
      </c>
      <c r="O741" s="18" t="inlineStr">
        <is>
          <t>ข้อสอบจริง</t>
        </is>
      </c>
      <c r="P741" s="18" t="inlineStr">
        <is>
          <t>ปี 2555</t>
        </is>
      </c>
    </row>
    <row r="742">
      <c r="A742" s="15" t="inlineStr">
        <is>
          <t>763</t>
        </is>
      </c>
      <c r="B742" s="18" t="inlineStr">
        <is>
          <t>ข้อใดคือโครงสร้างของยา Stavudine (d4T)</t>
        </is>
      </c>
      <c r="C742" s="18" t="inlineStr"/>
      <c r="D742" s="18" t="inlineStr">
        <is>
          <t>Dimercaprol (BAL) 3 mg/kg IM</t>
        </is>
      </c>
      <c r="E742" s="18" t="inlineStr">
        <is>
          <t>Ethanol 10% IV infusion for Methanol poisoning</t>
        </is>
      </c>
      <c r="F742" s="18" t="inlineStr">
        <is>
          <t>Fomepizole 15 mg/kg IV loading</t>
        </is>
      </c>
      <c r="G742" s="18" t="inlineStr">
        <is>
          <t>N-acetylcysteine (NAC) IV infusion protocol</t>
        </is>
      </c>
      <c r="H742" s="18" t="inlineStr">
        <is>
          <t>27.ข้อใดไม่ใช่วัตถุประสงค์ของการรักษาแบบ DOT</t>
        </is>
      </c>
      <c r="I742" s="15" t="inlineStr">
        <is>
          <t>1</t>
        </is>
      </c>
      <c r="J7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(27.ข้อใดไม่ใช่วัตถุประสงค์ของการรักษาแบบ DOT):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2" s="18" t="inlineStr"/>
      <c r="L742" s="18" t="inlineStr">
        <is>
          <t>General Therapeutics</t>
        </is>
      </c>
      <c r="M742" s="18" t="inlineStr">
        <is>
          <t>Clinic</t>
        </is>
      </c>
      <c r="N742" s="18" t="inlineStr">
        <is>
          <t>ข้อ 26 (PLE_CC1_2555 Day 1.md)</t>
        </is>
      </c>
      <c r="O742" s="18" t="inlineStr">
        <is>
          <t>ข้อสอบจริง</t>
        </is>
      </c>
      <c r="P742" s="18" t="inlineStr">
        <is>
          <t>ปี 2555</t>
        </is>
      </c>
    </row>
    <row r="743">
      <c r="A743" s="15" t="inlineStr">
        <is>
          <t>764</t>
        </is>
      </c>
      <c r="B743" s="18" t="inlineStr">
        <is>
          <t>ข้อใดคืออาการข้างเคียงที่สำคัญของ Stavudine</t>
        </is>
      </c>
      <c r="C743" s="18" t="inlineStr"/>
      <c r="D743" s="18" t="inlineStr">
        <is>
          <t>metabolic alkalosis</t>
        </is>
      </c>
      <c r="E743" s="18" t="inlineStr">
        <is>
          <t>lipodystrophy</t>
        </is>
      </c>
      <c r="F743" s="18" t="inlineStr">
        <is>
          <t>osteoporosis</t>
        </is>
      </c>
      <c r="G743" s="18" t="inlineStr">
        <is>
          <t>.....................</t>
        </is>
      </c>
      <c r="H743" s="18" t="inlineStr">
        <is>
          <t>.....................</t>
        </is>
      </c>
      <c r="I743" s="15" t="inlineStr">
        <is>
          <t>1</t>
        </is>
      </c>
      <c r="J743" s="18" t="inlineStr">
        <is>
          <t>✅ คำตอบที่ถูกต้อง: ข้อ ก. metabolic alkalosis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metabolic alkalosis การเลือก metabolic alkalosis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(lipodystrophy):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3" s="18" t="inlineStr"/>
      <c r="L743" s="18" t="inlineStr">
        <is>
          <t>General Therapeutics</t>
        </is>
      </c>
      <c r="M743" s="18" t="inlineStr">
        <is>
          <t>Clinic</t>
        </is>
      </c>
      <c r="N743" s="18" t="inlineStr">
        <is>
          <t>ข้อ 28 (PLE_CC1_2555 Day 1.md)</t>
        </is>
      </c>
      <c r="O743" s="18" t="inlineStr">
        <is>
          <t>ข้อสอบจริง</t>
        </is>
      </c>
      <c r="P743" s="18" t="inlineStr">
        <is>
          <t>ปี 2555</t>
        </is>
      </c>
    </row>
    <row r="744">
      <c r="A744" s="15" t="inlineStr">
        <is>
          <t>765</t>
        </is>
      </c>
      <c r="B744" s="18" t="inlineStr">
        <is>
          <t>ยา NSAIDs ตัวใดที่ไม่เหมาะสมในการรักษาผู้ป่วยรายนี้</t>
        </is>
      </c>
      <c r="C744" s="18" t="inlineStr"/>
      <c r="D744" s="18" t="inlineStr">
        <is>
          <t>Aspirin</t>
        </is>
      </c>
      <c r="E744" s="18" t="inlineStr">
        <is>
          <t>Diclofenac</t>
        </is>
      </c>
      <c r="F744" s="18" t="inlineStr">
        <is>
          <t>Ibuprofen</t>
        </is>
      </c>
      <c r="G744" s="18" t="inlineStr">
        <is>
          <t>Indomethacin</t>
        </is>
      </c>
      <c r="H744" s="18" t="inlineStr">
        <is>
          <t>Piroxicam</t>
        </is>
      </c>
      <c r="I744" s="15" t="inlineStr">
        <is>
          <t>1</t>
        </is>
      </c>
      <c r="J744" s="18"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(Indomethacin): เป็น potent non-selective NSAID มี anti-inflammatory efficacy สูงมากใน acute gout flare แต่มี ADRs เด่นทาง GI toxicity และ CNS (ปวดศีรษะ มึนงง)
• ข้อ จ. (Piroxicam): เป็น oxicam NSAID ที่มี half-life ยาวนานมาก (~50 ชม.) แต่มีความเสี่ยงต่อ severe GI bleed และ skin reactions สูงที่สุดในกลุ่ม NSAIDs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4" s="18" t="inlineStr"/>
      <c r="L744" s="18" t="inlineStr">
        <is>
          <t>Musculoskeletal &amp; Joint</t>
        </is>
      </c>
      <c r="M744" s="18" t="inlineStr">
        <is>
          <t>Clinic</t>
        </is>
      </c>
      <c r="N744" s="18" t="inlineStr">
        <is>
          <t>ข้อ 34 (PLE_CC1_2555 Day 1.md)</t>
        </is>
      </c>
      <c r="O744" s="18" t="inlineStr">
        <is>
          <t>ข้อสอบจริง</t>
        </is>
      </c>
      <c r="P744" s="18" t="inlineStr">
        <is>
          <t>ปี 2555</t>
        </is>
      </c>
    </row>
    <row r="745">
      <c r="A745" s="15" t="inlineStr">
        <is>
          <t>766</t>
        </is>
      </c>
      <c r="B745" s="18" t="inlineStr">
        <is>
          <t>ตามพระราชบัญญัติยา เภสัชกรสามารถกระทำการใดได้โดยไม่ผิดกฏหมาย</t>
        </is>
      </c>
      <c r="C745" s="18" t="inlineStr"/>
      <c r="D745" s="18" t="inlineStr">
        <is>
          <t>จ่ายยาที่หมดอายุแล้ว 1 วัน ให้กับคนไข้</t>
        </is>
      </c>
      <c r="E745" s="18" t="inlineStr">
        <is>
          <t>จ่ายยาที่ยังไม่หมดอายุ แต่เม็ดยามีลักษณะเป็นสีด่างๆ แต่เลือกจ่ายเม็ดที่มีการเปลี่ยนสีน้อยที่สุด</t>
        </is>
      </c>
      <c r="F745" s="18" t="inlineStr">
        <is>
          <t>นำเอายา 2 ตัวใส่ซองเดียวกันให้คนไข้ โดยให้กินควบคู่กัน หลังอาหาร</t>
        </is>
      </c>
      <c r="G745" s="18" t="inlineStr">
        <is>
          <t>แกะ pack ยา allopurinol ที่แสดงตัวอย่างไว้ มาใส่รวมกับกระปุกยา ซึ่งผลิตกันคนละ lot โดยผลิต ห่างกัน 3 เดือนมาใส่ด้วยกัน</t>
        </is>
      </c>
      <c r="H745" s="18" t="inlineStr">
        <is>
          <t>ซื้อยาเลี่ยงภาษีมาจากสิงคโปร์มาขาย เพราะราคาถูกกว่ามาก</t>
        </is>
      </c>
      <c r="I745" s="15" t="inlineStr">
        <is>
          <t>1</t>
        </is>
      </c>
      <c r="J745" s="18" t="inlineStr">
        <is>
          <t>✅ คำตอบที่ถูกต้อง: ข้อ ก. จ่ายยาที่หมดอายุแล้ว 1 วัน ให้กับคนไข้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จ่ายยาที่หมดอายุแล้ว 1 วัน ให้กับคนไข้ การเลือก จ่ายยาที่หมดอายุแล้ว 1 วัน ให้กับคนไข้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(จ่ายยาที่ยังไม่หมดอายุ แต่เม็ดยามีลักษณะเป็นสีด่างๆ แต่เลือกจ่ายเม็ดที่มีการเปลี่ยนสีน้อยที่สุด):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(นำเอายา 2 ตัวใส่ซองเดียวกันให้คนไข้ โดยให้กินควบคู่กัน หลังอาหาร):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(แกะ pack ยา allopurinol ที่แสดงตัวอย่างไว้ มาใส่รวมกับกระปุกยา ซึ่งผลิตกันคนละ lot โดยผลิต ห่างกัน 3 เดือนมาใส่ด้วยกัน):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(ซื้อยาเลี่ยงภาษีมาจากสิงคโปร์มาขาย เพราะราคาถูกกว่ามาก):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45" s="18" t="inlineStr"/>
      <c r="L745" s="18" t="inlineStr">
        <is>
          <t>General Therapeutics</t>
        </is>
      </c>
      <c r="M745" s="18" t="inlineStr">
        <is>
          <t>Clinic</t>
        </is>
      </c>
      <c r="N745" s="18" t="inlineStr">
        <is>
          <t>ข้อ 39 (PLE_CC1_2555 Day 1.md)</t>
        </is>
      </c>
      <c r="O745" s="18" t="inlineStr">
        <is>
          <t>ข้อสอบจริง</t>
        </is>
      </c>
      <c r="P745" s="18" t="inlineStr">
        <is>
          <t>ปี 2555</t>
        </is>
      </c>
    </row>
    <row r="746">
      <c r="A746" s="15" t="inlineStr">
        <is>
          <t>767</t>
        </is>
      </c>
      <c r="B746" s="18" t="inlineStr">
        <is>
          <t>การแพ้ยาในผู้ป่วยรายนี้ควรเปลี่ยนการรักษาแบบใด</t>
        </is>
      </c>
      <c r="C746" s="18" t="inlineStr"/>
      <c r="D746" s="18" t="inlineStr">
        <is>
          <t>เปลี่ยนยา amoxicillin เป็นยา ciprofloxacin</t>
        </is>
      </c>
      <c r="E746" s="18" t="inlineStr">
        <is>
          <t>เปลี่ยนยา amoxicillin เป็นยา azithromycin</t>
        </is>
      </c>
      <c r="F746" s="18" t="inlineStr">
        <is>
          <t>เปลี่ยนยา amoxicillin เป็นยา metronidazole</t>
        </is>
      </c>
      <c r="G746" s="18" t="inlineStr">
        <is>
          <t>เปลี่ยนยา chloramphenicol เป็นยา tobramycin</t>
        </is>
      </c>
      <c r="H746" s="18" t="inlineStr">
        <is>
          <t>เปลี่ยนยา chloramphenicol เป็นยา ciprofloxacin</t>
        </is>
      </c>
      <c r="I746" s="15" t="inlineStr">
        <is>
          <t>1</t>
        </is>
      </c>
      <c r="J746" s="18" t="inlineStr">
        <is>
          <t>✅ คำตอบที่ถูกต้อง: ข้อ ก. เปลี่ยนยา amoxicillin เป็นยา ciprofloxacin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เปลี่ยนยา amoxicillin เป็นยา ciprofloxacin การเลือก เปลี่ยนยา amoxicillin เป็นยา ciprofloxacin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(เปลี่ยนยา amoxicillin เป็นยา azithromycin): เป็น Aminopenicillin ยับยั้ง bacterial cell wall synthesis เป็น first-line สำหรับ uncomplicated bacterial infections (เช่น Strep pharyngitis, AOM, sinusitis)
• ข้อ ค. (เปลี่ยนยา amoxicillin เป็นยา metronidazole): เป็น Aminopenicillin ยับยั้ง bacterial cell wall synthesis เป็น first-line สำหรับ uncomplicated bacterial infections (เช่น Strep pharyngitis, AOM, sinusitis)
• ข้อ ง. (เปลี่ยนยา chloramphenicol เป็นยา tobramycin): ข้อนี้ไม่ใช่คำตอบที่ถูกต้องสำหรับภาวะ Allergy &amp; Immunology เนื่องจากกลไกการออกฤทธิ์, efficacy หรือข้อบ่งใช้ไม่ตรงกับโจทย์ที่กำหนด
• ข้อ จ. (เปลี่ยนยา chloramphenicol เป็นยา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46" s="18" t="inlineStr"/>
      <c r="L746" s="18" t="inlineStr">
        <is>
          <t>Allergy &amp; Immunology</t>
        </is>
      </c>
      <c r="M746" s="18" t="inlineStr">
        <is>
          <t>Clinic</t>
        </is>
      </c>
      <c r="N746" s="18" t="inlineStr">
        <is>
          <t>ข้อ 41 (PLE_CC1_2555 Day 1.md)</t>
        </is>
      </c>
      <c r="O746" s="18" t="inlineStr">
        <is>
          <t>ข้อสอบจริง</t>
        </is>
      </c>
      <c r="P746" s="18" t="inlineStr">
        <is>
          <t>ปี 2555</t>
        </is>
      </c>
    </row>
    <row r="747">
      <c r="A747" s="15" t="inlineStr">
        <is>
          <t>768</t>
        </is>
      </c>
      <c r="B747" s="18" t="inlineStr">
        <is>
          <t>สาเหตุของอาการที่ผู้ป่วยเป็นอยู่คือข้อใด</t>
        </is>
      </c>
      <c r="C747" s="18" t="inlineStr"/>
      <c r="D747" s="18" t="inlineStr">
        <is>
          <t>Bacterial conjunctivitis</t>
        </is>
      </c>
      <c r="E747" s="18" t="inlineStr">
        <is>
          <t>Viral conjunctivitis</t>
        </is>
      </c>
      <c r="F747" s="18" t="inlineStr">
        <is>
          <t>Allergic conjunctivitis</t>
        </is>
      </c>
      <c r="G747" s="18" t="inlineStr">
        <is>
          <t>ติดเชื้อ virus จากไข้หวัด คณะเภสัชศาสตร์ มหาวิทยาลัยเชียงใหม่ Rx 44 CMU</t>
        </is>
      </c>
      <c r="H747" s="18" t="inlineStr">
        <is>
          <t>Flumazenil 0.2 mg IV stat</t>
        </is>
      </c>
      <c r="I747" s="15" t="inlineStr">
        <is>
          <t>1</t>
        </is>
      </c>
      <c r="J747" s="18"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(ติดเชื้อ virus จากไข้หวัด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7" s="18" t="inlineStr"/>
      <c r="L747" s="18" t="inlineStr">
        <is>
          <t>General Therapeutics</t>
        </is>
      </c>
      <c r="M747" s="18" t="inlineStr">
        <is>
          <t>Clinic</t>
        </is>
      </c>
      <c r="N747" s="18" t="inlineStr">
        <is>
          <t>ข้อ 45 (PLE_CC1_2555 Day 1.md)</t>
        </is>
      </c>
      <c r="O747" s="18" t="inlineStr">
        <is>
          <t>ข้อสอบจริง</t>
        </is>
      </c>
      <c r="P747" s="18" t="inlineStr">
        <is>
          <t>ปี 2555</t>
        </is>
      </c>
    </row>
    <row r="748">
      <c r="A748" s="15" t="inlineStr">
        <is>
          <t>769</t>
        </is>
      </c>
      <c r="B748" s="18" t="inlineStr">
        <is>
          <t>ข้อใดคือข้อแนะนำที่ถูกต้องเมื่อผู้ป่วยได้รับยาลดกรดร่วมด้วย</t>
        </is>
      </c>
      <c r="C748" s="18" t="inlineStr"/>
      <c r="D748" s="18" t="inlineStr">
        <is>
          <t>กินพร้อมกันได้</t>
        </is>
      </c>
      <c r="E748" s="18" t="inlineStr">
        <is>
          <t>กินยา omeprazole ก่อนอาหาร 30 นาที และกินยาลดกรดหลังอาหาร 1 ชั่วโมง</t>
        </is>
      </c>
      <c r="F748" s="18" t="inlineStr">
        <is>
          <t>กินยา omeprazole ก่อนยาลดกรด 15 นาที ก่อนกินอาหาร</t>
        </is>
      </c>
      <c r="G748" s="18" t="inlineStr">
        <is>
          <t>...............</t>
        </is>
      </c>
      <c r="H748" s="18" t="inlineStr">
        <is>
          <t>กินยาลดกรดห่างจากยา omeprazole อย่างน้อย 2 ชั่วโมง</t>
        </is>
      </c>
      <c r="I748" s="15" t="inlineStr">
        <is>
          <t>1</t>
        </is>
      </c>
      <c r="J748" s="18" t="inlineStr">
        <is>
          <t>✅ คำตอบที่ถูกต้อง: ข้อ ก. กินพร้อมกันได้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กินพร้อมกันได้ การเลือก กินพร้อมกันได้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(กินยา omeprazole ก่อนอาหาร 30 นาที และกินยาลดกรดหลังอาหาร 1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(กินยา omeprazole ก่อนยาลดกรด 15 นาที ก่อนกินอาหาร):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 ข้อนี้ไม่ใช่คำตอบที่ถูกต้องสำหรับภาวะ GI Disorders เนื่องจากกลไกการออกฤทธิ์, efficacy หรือข้อบ่งใช้ไม่ตรงกับโจทย์ที่กำหนด
• ข้อ จ. (กินยาลดกรดห่างจากยา omeprazole อย่างน้อย 2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8" s="18" t="inlineStr"/>
      <c r="L748" s="18" t="inlineStr">
        <is>
          <t>GI Disorders</t>
        </is>
      </c>
      <c r="M748" s="18" t="inlineStr">
        <is>
          <t>Clinic</t>
        </is>
      </c>
      <c r="N748" s="18" t="inlineStr">
        <is>
          <t>ข้อ 52 (PLE_CC1_2555 Day 1.md)</t>
        </is>
      </c>
      <c r="O748" s="18" t="inlineStr">
        <is>
          <t>ข้อสอบจริง</t>
        </is>
      </c>
      <c r="P748" s="18" t="inlineStr">
        <is>
          <t>ปี 2555</t>
        </is>
      </c>
    </row>
    <row r="749">
      <c r="A749" s="15" t="inlineStr">
        <is>
          <t>770</t>
        </is>
      </c>
      <c r="B749" s="18" t="inlineStr">
        <is>
          <t>ในการทำยาแบบ Matrix ต้องมีการใช้สารใดเพื่อควบคุมการปลดปล่อยของตัวยา</t>
        </is>
      </c>
      <c r="C749" s="18" t="inlineStr"/>
      <c r="D749" s="18" t="inlineStr">
        <is>
          <t>Hydroxypropyl methyl cellulose</t>
        </is>
      </c>
      <c r="E749" s="18" t="inlineStr">
        <is>
          <t>Colloidal silicon dioxide</t>
        </is>
      </c>
      <c r="F749" s="18" t="inlineStr">
        <is>
          <t>Magnesium stearate</t>
        </is>
      </c>
      <c r="G749" s="18" t="inlineStr">
        <is>
          <t>Shallac</t>
        </is>
      </c>
      <c r="H749" s="18" t="inlineStr">
        <is>
          <t>PEG คณะเภสัชศาสตร์ มหาวิทยาลัยเชียงใหม่ Rx 44 CMU</t>
        </is>
      </c>
      <c r="I749" s="15" t="inlineStr">
        <is>
          <t>1</t>
        </is>
      </c>
      <c r="J749" s="18" t="inlineStr">
        <is>
          <t>✅ คำตอบที่ถูกต้อง: ข้อ ก. Hydroxypropyl methyl cellulose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Hydroxypropyl methyl cellulose การเลือก Hydroxypropyl methyl cellulose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(Shallac): ข้อนี้ไม่ใช่คำตอบที่ถูกต้องสำหรับภาวะ General Therapeutics เนื่องจากกลไกการออกฤทธิ์, efficacy หรือข้อบ่งใช้ไม่ตรงกับโจทย์ที่กำหนด
• ข้อ จ. (PEG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9" s="18" t="inlineStr"/>
      <c r="L749" s="18" t="inlineStr">
        <is>
          <t>General Therapeutics</t>
        </is>
      </c>
      <c r="M749" s="18" t="inlineStr">
        <is>
          <t>Clinic</t>
        </is>
      </c>
      <c r="N749" s="18" t="inlineStr">
        <is>
          <t>ข้อ 58 (PLE_CC1_2555 Day 1.md)</t>
        </is>
      </c>
      <c r="O749" s="18" t="inlineStr">
        <is>
          <t>ข้อสอบจริง</t>
        </is>
      </c>
      <c r="P749" s="18" t="inlineStr">
        <is>
          <t>ปี 2555</t>
        </is>
      </c>
    </row>
    <row r="750">
      <c r="A750" s="15" t="inlineStr">
        <is>
          <t>771</t>
        </is>
      </c>
      <c r="B750" s="18" t="inlineStr">
        <is>
          <t>ผู้ป่วยมีอาการคันมาก มาขอซื้อยา hydroxyzine ข้อใดผิดเกี่ยวกับยา hydroxyzine</t>
        </is>
      </c>
      <c r="C750" s="18" t="inlineStr"/>
      <c r="D750" s="18" t="inlineStr">
        <is>
          <t>hydroxyzine ในขนาดสูงสามารถใช้เป็นยากันชักได้</t>
        </is>
      </c>
      <c r="E750" s="18" t="inlineStr">
        <is>
          <t>อาการข้างเคียงเมื่อใช้ hydroxyzine สูงๆ คือชัก และ ง่วงนอน</t>
        </is>
      </c>
      <c r="F750" s="18" t="inlineStr">
        <is>
          <t>..... คณะเภสัชศาสตร์ มหาวิทยาลัยเชียงใหม่ Rx 44 CMU</t>
        </is>
      </c>
      <c r="G750" s="18" t="inlineStr">
        <is>
          <t>N-acetylcysteine (NAC) IV infusion protocol</t>
        </is>
      </c>
      <c r="H750" s="18" t="inlineStr">
        <is>
          <t>Atropine sulfate 2 mg IV Q5-10 min</t>
        </is>
      </c>
      <c r="I750" s="15" t="inlineStr">
        <is>
          <t>1</t>
        </is>
      </c>
      <c r="J750" s="18" t="inlineStr">
        <is>
          <t>✅ คำตอบที่ถูกต้อง: ข้อ ก. hydroxyzine ในขนาดสูงสามารถใช้เป็นยากันชักได้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hydroxyzine ในขนาดสูงสามารถใช้เป็นยากันชักได้ การเลือก hydroxyzine ในขนาดสูงสามารถใช้เป็นยากันชักได้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(อาการข้างเคียงเมื่อใช้ hydroxyzine สูงๆ คือชัก และ ง่วงนอน): ข้อนี้ไม่ใช่คำตอบที่ถูกต้องสำหรับภาวะ General Therapeutics เนื่องจากกลไกการออกฤทธิ์, efficacy หรือข้อบ่งใช้ไม่ตรงกับโจทย์ที่กำหนด
• ข้อ ค.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0" s="18" t="inlineStr"/>
      <c r="L750" s="18" t="inlineStr">
        <is>
          <t>General Therapeutics</t>
        </is>
      </c>
      <c r="M750" s="18" t="inlineStr">
        <is>
          <t>Clinic</t>
        </is>
      </c>
      <c r="N750" s="18" t="inlineStr">
        <is>
          <t>ข้อ 63 (PLE_CC1_2555 Day 1.md)</t>
        </is>
      </c>
      <c r="O750" s="18" t="inlineStr">
        <is>
          <t>ข้อสอบจริง</t>
        </is>
      </c>
      <c r="P750" s="18" t="inlineStr">
        <is>
          <t>ปี 2555</t>
        </is>
      </c>
    </row>
    <row r="751">
      <c r="A751" s="15" t="inlineStr">
        <is>
          <t>772</t>
        </is>
      </c>
      <c r="B751" s="18" t="inlineStr">
        <is>
          <t>Hydroxyzine ทำให้อาการของผู้ป่วยในข้อใดแย่ลง</t>
        </is>
      </c>
      <c r="C751" s="18" t="inlineStr"/>
      <c r="D751" s="18" t="inlineStr">
        <is>
          <t>Hypertension</t>
        </is>
      </c>
      <c r="E751" s="18" t="inlineStr">
        <is>
          <t>DM</t>
        </is>
      </c>
      <c r="F751" s="18" t="inlineStr">
        <is>
          <t>BPH</t>
        </is>
      </c>
      <c r="G751" s="18" t="inlineStr">
        <is>
          <t>Naloxone 0.4 mg IV stat</t>
        </is>
      </c>
      <c r="H751" s="18" t="inlineStr">
        <is>
          <t>Flumazenil 0.2 mg IV stat</t>
        </is>
      </c>
      <c r="I751" s="15" t="inlineStr">
        <is>
          <t>1</t>
        </is>
      </c>
      <c r="J751" s="18" t="inlineStr">
        <is>
          <t>✅ คำตอบที่ถูกต้อง: ข้อ ก.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Hypertension การเลือก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(DM): ข้อนี้ไม่ใช่คำตอบที่ถูกต้องสำหรับภาวะ General Therapeutics เนื่องจากกลไกการออกฤทธิ์, efficacy หรือข้อบ่งใช้ไม่ตรงกับโจทย์ที่กำหนด
• ข้อ ค. (BPH):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1" s="18" t="inlineStr"/>
      <c r="L751" s="18" t="inlineStr">
        <is>
          <t>General Therapeutics</t>
        </is>
      </c>
      <c r="M751" s="18" t="inlineStr">
        <is>
          <t>Clinic</t>
        </is>
      </c>
      <c r="N751" s="18" t="inlineStr">
        <is>
          <t>ข้อ 65 (PLE_CC1_2555 Day 1.md)</t>
        </is>
      </c>
      <c r="O751" s="18" t="inlineStr">
        <is>
          <t>ข้อสอบจริง</t>
        </is>
      </c>
      <c r="P751" s="18" t="inlineStr">
        <is>
          <t>ปี 2555</t>
        </is>
      </c>
    </row>
    <row r="752">
      <c r="A752" s="15" t="inlineStr">
        <is>
          <t>773</t>
        </is>
      </c>
      <c r="B752" s="18" t="inlineStr">
        <is>
          <t>โครงสร้างของยา hydroxyzine จัดเป็นโครงสร้างแบบใด</t>
        </is>
      </c>
      <c r="C752" s="18" t="inlineStr"/>
      <c r="D752" s="18" t="inlineStr">
        <is>
          <t>Ethanolamine ether derivative</t>
        </is>
      </c>
      <c r="E752" s="18" t="inlineStr">
        <is>
          <t>Ethylenediamine derivative</t>
        </is>
      </c>
      <c r="F752" s="18" t="inlineStr">
        <is>
          <t>Phenothiazine derivative</t>
        </is>
      </c>
      <c r="G752" s="18" t="inlineStr">
        <is>
          <t>Piperazine derivative</t>
        </is>
      </c>
      <c r="H752" s="18" t="inlineStr">
        <is>
          <t>Propylamine derivative</t>
        </is>
      </c>
      <c r="I752" s="15" t="inlineStr">
        <is>
          <t>1</t>
        </is>
      </c>
      <c r="J752" s="18" t="inlineStr">
        <is>
          <t>✅ คำตอบที่ถูกต้อง: ข้อ ก. Ethanolamine ether derivative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Ethanolamine ether derivative การเลือก Ethanolamine ether derivative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(Ethylenediamine derivative): ข้อนี้ไม่ใช่คำตอบที่ถูกต้องสำหรับภาวะ General Therapeutics เนื่องจากกลไกการออกฤทธิ์, efficacy หรือข้อบ่งใช้ไม่ตรงกับโจทย์ที่กำหนด
• ข้อ ค. (Phenothiazine derivative): ข้อนี้ไม่ใช่คำตอบที่ถูกต้องสำหรับภาวะ General Therapeutics เนื่องจากกลไกการออกฤทธิ์, efficacy หรือข้อบ่งใช้ไม่ตรงกับโจทย์ที่กำหนด
• ข้อ ง. (Piperazine derivative): ข้อนี้ไม่ใช่คำตอบที่ถูกต้องสำหรับภาวะ General Therapeutics เนื่องจากกลไกการออกฤทธิ์, efficacy หรือข้อบ่งใช้ไม่ตรงกับโจทย์ที่กำหนด
• ข้อ จ. (Propylamine derivative):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2" s="18" t="inlineStr"/>
      <c r="L752" s="18" t="inlineStr">
        <is>
          <t>General Therapeutics</t>
        </is>
      </c>
      <c r="M752" s="18" t="inlineStr">
        <is>
          <t>Clinic</t>
        </is>
      </c>
      <c r="N752" s="18" t="inlineStr">
        <is>
          <t>ข้อ 66 (PLE_CC1_2555 Day 1.md)</t>
        </is>
      </c>
      <c r="O752" s="18" t="inlineStr">
        <is>
          <t>ข้อสอบจริง</t>
        </is>
      </c>
      <c r="P752" s="18" t="inlineStr">
        <is>
          <t>ปี 2555</t>
        </is>
      </c>
    </row>
    <row r="753">
      <c r="A753" s="15" t="inlineStr">
        <is>
          <t>774</t>
        </is>
      </c>
      <c r="B753" s="18" t="inlineStr">
        <is>
          <t>ยาในข้อใดที่ทำให้เกิด rhinitis medicamentosa</t>
        </is>
      </c>
      <c r="C753" s="18" t="inlineStr"/>
      <c r="D753" s="18" t="inlineStr">
        <is>
          <t>Pseudoephridrine</t>
        </is>
      </c>
      <c r="E753" s="18" t="inlineStr">
        <is>
          <t>Phenylephrine + Tripolidine</t>
        </is>
      </c>
      <c r="F753" s="18" t="inlineStr">
        <is>
          <t>Mometasone</t>
        </is>
      </c>
      <c r="G753" s="18" t="inlineStr">
        <is>
          <t>Budesonide</t>
        </is>
      </c>
      <c r="H753" s="18" t="inlineStr">
        <is>
          <t>Oxymetazoline สถานการณ์ หญิงเพิ่งคลอดบุตรได้ 3 เดือน ตอนนี้กำลังให้นมบุตร มาขอซื้อยาคุมกำเนิดที่ร้านยา</t>
        </is>
      </c>
      <c r="I753" s="15" t="inlineStr">
        <is>
          <t>1</t>
        </is>
      </c>
      <c r="J753" s="18" t="inlineStr">
        <is>
          <t>✅ คำตอบที่ถูกต้อง: ข้อ ก. Pseudoephridrine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Pseudoephridrine การเลือก Pseudoephridrine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(Phenylephrine + Tripolidine): ข้อนี้ไม่ใช่คำตอบที่ถูกต้องสำหรับภาวะ General Therapeutics เนื่องจากกลไกการออกฤทธิ์, efficacy หรือข้อบ่งใช้ไม่ตรงกับโจทย์ที่กำหนด
• ข้อ ค. (Mometasone): ข้อนี้ไม่ใช่คำตอบที่ถูกต้องสำหรับภาวะ General Therapeutics เนื่องจากกลไกการออกฤทธิ์, efficacy หรือข้อบ่งใช้ไม่ตรงกับโจทย์ที่กำหนด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(Oxymetazoline สถานการณ์ หญิงเพิ่งคลอดบุตรได้ 3 เดือน ตอนนี้กำลังให้นมบุตร มาขอซื้อยาคุมกำเนิดที่ร้านยา):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3" s="18" t="inlineStr"/>
      <c r="L753" s="18" t="inlineStr">
        <is>
          <t>General Therapeutics</t>
        </is>
      </c>
      <c r="M753" s="18" t="inlineStr">
        <is>
          <t>Clinic</t>
        </is>
      </c>
      <c r="N753" s="18" t="inlineStr">
        <is>
          <t>ข้อ 70 (PLE_CC1_2555 Day 1.md)</t>
        </is>
      </c>
      <c r="O753" s="18" t="inlineStr">
        <is>
          <t>ข้อสอบจริง</t>
        </is>
      </c>
      <c r="P753" s="18" t="inlineStr">
        <is>
          <t>ปี 2555</t>
        </is>
      </c>
    </row>
    <row r="754">
      <c r="A754" s="15" t="inlineStr">
        <is>
          <t>775</t>
        </is>
      </c>
      <c r="B754" s="18" t="inlineStr">
        <is>
          <t>แผ่นแปะดังแสดงในรูป เรียกว่าอะไร</t>
        </is>
      </c>
      <c r="C754" s="18" t="inlineStr"/>
      <c r="D754" s="18" t="inlineStr">
        <is>
          <t>Single layer drug in adhesive</t>
        </is>
      </c>
      <c r="E754" s="18" t="inlineStr">
        <is>
          <t>Multiple layer drug n adhesive</t>
        </is>
      </c>
      <c r="F754" s="18" t="inlineStr">
        <is>
          <t>Drug reservoir system</t>
        </is>
      </c>
      <c r="G754" s="18" t="inlineStr">
        <is>
          <t>Matrix system</t>
        </is>
      </c>
      <c r="H754" s="18" t="inlineStr">
        <is>
          <t>…. คณะเภสัชศาสตร์ มหาวิทยาลัยเชียงใหม่ Rx 44 CMU</t>
        </is>
      </c>
      <c r="I754" s="15" t="inlineStr">
        <is>
          <t>1</t>
        </is>
      </c>
      <c r="J754" s="18" t="inlineStr">
        <is>
          <t>✅ คำตอบที่ถูกต้อง: ข้อ ก. Single layer drug in adhesive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Single layer drug in adhesive การเลือก Single layer drug in adhesive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(Multiple layer drug n adhesive): ข้อนี้ไม่ใช่คำตอบที่ถูกต้องสำหรับภาวะ General Therapeutics เนื่องจากกลไกการออกฤทธิ์, efficacy หรือข้อบ่งใช้ไม่ตรงกับโจทย์ที่กำหนด
• ข้อ ค. (Drug reservoir system): ข้อนี้ไม่ใช่คำตอบที่ถูกต้องสำหรับภาวะ General Therapeutics เนื่องจากกลไกการออกฤทธิ์, efficacy หรือข้อบ่งใช้ไม่ตรงกับโจทย์ที่กำหนด
• ข้อ ง. (Matrix system):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4" s="18" t="inlineStr"/>
      <c r="L754" s="18" t="inlineStr">
        <is>
          <t>General Therapeutics</t>
        </is>
      </c>
      <c r="M754" s="18" t="inlineStr">
        <is>
          <t>Clinic</t>
        </is>
      </c>
      <c r="N754" s="18" t="inlineStr">
        <is>
          <t>ข้อ 76 (PLE_CC1_2555 Day 1.md)</t>
        </is>
      </c>
      <c r="O754" s="18" t="inlineStr">
        <is>
          <t>ข้อสอบจริง</t>
        </is>
      </c>
      <c r="P754" s="18" t="inlineStr">
        <is>
          <t>ปี 2555</t>
        </is>
      </c>
    </row>
    <row r="755">
      <c r="A755" s="15" t="inlineStr">
        <is>
          <t>776</t>
        </is>
      </c>
      <c r="B755" s="18" t="inlineStr">
        <is>
          <t>การดู bioequivalent ดูจากค่าอะไร</t>
        </is>
      </c>
      <c r="C755" s="18" t="inlineStr"/>
      <c r="D755" s="18" t="inlineStr">
        <is>
          <t>AUC , Tmax</t>
        </is>
      </c>
      <c r="E755" s="18" t="inlineStr">
        <is>
          <t>AUC , Cmax</t>
        </is>
      </c>
      <c r="F755" s="18" t="inlineStr">
        <is>
          <t>AUC , half life</t>
        </is>
      </c>
      <c r="G755" s="18" t="inlineStr">
        <is>
          <t>Tmax , half life</t>
        </is>
      </c>
      <c r="H755" s="18" t="inlineStr">
        <is>
          <t>Cmax , half life</t>
        </is>
      </c>
      <c r="I755" s="15" t="inlineStr">
        <is>
          <t>1</t>
        </is>
      </c>
      <c r="J755" s="18" t="inlineStr">
        <is>
          <t>✅ คำตอบที่ถูกต้อง: ข้อ ก. AUC , Tmax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AUC , Tmax การเลือก AUC , Tmax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(AUC , Cmax): ข้อนี้ไม่ใช่คำตอบที่ถูกต้องสำหรับภาวะ General Therapeutics เนื่องจากกลไกการออกฤทธิ์, efficacy หรือข้อบ่งใช้ไม่ตรงกับโจทย์ที่กำหนด
• ข้อ ค. (AUC , half life): ข้อนี้ไม่ใช่คำตอบที่ถูกต้องสำหรับภาวะ General Therapeutics เนื่องจากกลไกการออกฤทธิ์, efficacy หรือข้อบ่งใช้ไม่ตรงกับโจทย์ที่กำหนด
• ข้อ ง. (Tmax , half life): ข้อนี้ไม่ใช่คำตอบที่ถูกต้องสำหรับภาวะ General Therapeutics เนื่องจากกลไกการออกฤทธิ์, efficacy หรือข้อบ่งใช้ไม่ตรงกับโจทย์ที่กำหนด
• ข้อ จ. (Cmax , half life):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5" s="18" t="inlineStr"/>
      <c r="L755" s="18" t="inlineStr">
        <is>
          <t>General Therapeutics</t>
        </is>
      </c>
      <c r="M755" s="18" t="inlineStr">
        <is>
          <t>Clinic</t>
        </is>
      </c>
      <c r="N755" s="18" t="inlineStr">
        <is>
          <t>ข้อ 79 (PLE_CC1_2555 Day 1.md)</t>
        </is>
      </c>
      <c r="O755" s="18" t="inlineStr">
        <is>
          <t>ข้อสอบจริง</t>
        </is>
      </c>
      <c r="P755" s="18" t="inlineStr">
        <is>
          <t>ปี 2555</t>
        </is>
      </c>
    </row>
    <row r="756">
      <c r="A756" s="15" t="inlineStr">
        <is>
          <t>777</t>
        </is>
      </c>
      <c r="B756" s="18" t="inlineStr">
        <is>
          <t>ข้อใดถูกต้อง คณะเภสัชศาสตร์ มหาวิทยาลัยเชียงใหม่ Rx 44 CMU</t>
        </is>
      </c>
      <c r="C756" s="18" t="inlineStr"/>
      <c r="D756" s="18" t="inlineStr">
        <is>
          <t>เป็นการศึกษาการปลดปล่อยตัวยาออกจากแคปซูล</t>
        </is>
      </c>
      <c r="E756" s="18" t="inlineStr">
        <is>
          <t>อุณหภูมิมีหน่วยเป็นองศาเซลเซียส</t>
        </is>
      </c>
      <c r="F756" s="18" t="inlineStr">
        <is>
          <t>เพิ่มอุณหภูมิจะทำให้ค่า k ลดลง</t>
        </is>
      </c>
      <c r="G756" s="18" t="inlineStr">
        <is>
          <t>เป็นการทำ accerelated stability</t>
        </is>
      </c>
      <c r="H756" s="18" t="inlineStr">
        <is>
          <t>เป็นไปตาม Stoke’s equation สถานการณ์ ผู้ป่วยมีอาการชักแบบ tonic clonic ได้รับ carbamazepine BID</t>
        </is>
      </c>
      <c r="I756" s="15" t="inlineStr">
        <is>
          <t>1</t>
        </is>
      </c>
      <c r="J756" s="18" t="inlineStr">
        <is>
          <t>✅ คำตอบที่ถูกต้อง: ข้อ ก. เป็นการศึกษาการปลดปล่อยตัวยาออกจากแคปซูล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เป็นการศึกษาการปลดปล่อยตัวยาออกจากแคปซูล การเลือก เป็นการศึกษาการปลดปล่อยตัวยาออกจากแคปซูล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(อุณหภูมิมีหน่วยเป็นองศาเซลเซียส):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ค. (เพิ่มอุณหภูมิจะทำให้ค่า k 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(เป็นการทำ accerelated stability): ข้อนี้ไม่ใช่คำตอบที่ถูกต้องสำหรับภาวะ General Therapeutics เนื่องจากกลไกการออกฤทธิ์, efficacy หรือข้อบ่งใช้ไม่ตรงกับโจทย์ที่กำหนด
• ข้อ จ. (เป็นไปตาม Stoke’s equation สถานการณ์ ผู้ป่วยมีอาการชักแบบ tonic clonic ได้รับ carbamazepine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6" s="18" t="inlineStr"/>
      <c r="L756" s="18" t="inlineStr">
        <is>
          <t>General Therapeutics</t>
        </is>
      </c>
      <c r="M756" s="18" t="inlineStr">
        <is>
          <t>Clinic</t>
        </is>
      </c>
      <c r="N756" s="18" t="inlineStr">
        <is>
          <t>ข้อ 80 (PLE_CC1_2555 Day 1.md)</t>
        </is>
      </c>
      <c r="O756" s="18" t="inlineStr">
        <is>
          <t>ข้อสอบจริง</t>
        </is>
      </c>
      <c r="P756" s="18" t="inlineStr">
        <is>
          <t>ปี 2555</t>
        </is>
      </c>
    </row>
    <row r="757">
      <c r="A757" s="15" t="inlineStr">
        <is>
          <t>778</t>
        </is>
      </c>
      <c r="B757" s="18" t="inlineStr">
        <is>
          <t>ข้อใดไม่ใช่ปัจจัยกระตุ้นการชัก</t>
        </is>
      </c>
      <c r="C757" s="18" t="inlineStr"/>
      <c r="D757" s="18" t="inlineStr">
        <is>
          <t>Trauma</t>
        </is>
      </c>
      <c r="E757" s="18" t="inlineStr">
        <is>
          <t>Brain tumor</t>
        </is>
      </c>
      <c r="F757" s="18" t="inlineStr">
        <is>
          <t>Otitis media</t>
        </is>
      </c>
      <c r="G757" s="18" t="inlineStr">
        <is>
          <t>Hypoglycemia</t>
        </is>
      </c>
      <c r="H757" s="18" t="inlineStr">
        <is>
          <t>ไข้สูง</t>
        </is>
      </c>
      <c r="I757" s="15" t="inlineStr">
        <is>
          <t>1</t>
        </is>
      </c>
      <c r="J757" s="18" t="inlineStr">
        <is>
          <t>✅ คำตอบที่ถูกต้อง: ข้อ ก. Trauma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Trauma การเลือก Trauma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(Brain tumor): ข้อนี้ไม่ใช่คำตอบที่ถูกต้องสำหรับภาวะ Neurologic Disorders เนื่องจากกลไกการออกฤทธิ์, efficacy หรือข้อบ่งใช้ไม่ตรงกับโจทย์ที่กำหนด
• ข้อ ค. (Otitis media): ข้อนี้ไม่ใช่คำตอบที่ถูกต้องสำหรับภาวะ Neurologic Disorders เนื่องจากกลไกการออกฤทธิ์, efficacy หรือข้อบ่งใช้ไม่ตรงกับโจทย์ที่กำหนด
• ข้อ ง. (Hypoglycemia): ข้อนี้ไม่ใช่คำตอบที่ถูกต้องสำหรับภาวะ Neurologic Disorders เนื่องจากกลไกการออกฤทธิ์, efficacy หรือข้อบ่งใช้ไม่ตรงกับโจทย์ที่กำหนด
• ข้อ จ. (ไข้สูง):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7" s="18" t="inlineStr"/>
      <c r="L757" s="18" t="inlineStr">
        <is>
          <t>Neurologic Disorders</t>
        </is>
      </c>
      <c r="M757" s="18" t="inlineStr">
        <is>
          <t>Clinic</t>
        </is>
      </c>
      <c r="N757" s="18" t="inlineStr">
        <is>
          <t>ข้อ 82 (PLE_CC1_2555 Day 1.md)</t>
        </is>
      </c>
      <c r="O757" s="18" t="inlineStr">
        <is>
          <t>ข้อสอบจริง</t>
        </is>
      </c>
      <c r="P757" s="18" t="inlineStr">
        <is>
          <t>ปี 2555</t>
        </is>
      </c>
    </row>
    <row r="758">
      <c r="A758" s="15" t="inlineStr">
        <is>
          <t>779</t>
        </is>
      </c>
      <c r="B758" s="18" t="inlineStr">
        <is>
          <t>คำจำกัดความของคำว่า อุบัติการณ์ หมายความว่าอย่างไร</t>
        </is>
      </c>
      <c r="C758" s="18" t="inlineStr"/>
      <c r="D758" s="18" t="inlineStr">
        <is>
          <t>จำนวนผู้ป่วยใหม่ต่อจำนวนผู้ป่วยทั้งหมดที่มีความเสี่ยงในช่วงเวลาใดเวลาหนึ่ง</t>
        </is>
      </c>
      <c r="E758" s="18" t="inlineStr">
        <is>
          <t>....................</t>
        </is>
      </c>
      <c r="F758" s="18" t="inlineStr">
        <is>
          <t>....................</t>
        </is>
      </c>
      <c r="G758" s="18" t="inlineStr">
        <is>
          <t>..................</t>
        </is>
      </c>
      <c r="H758" s="18" t="inlineStr">
        <is>
          <t>....................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t>
        </is>
      </c>
      <c r="I758" s="15" t="inlineStr">
        <is>
          <t>1</t>
        </is>
      </c>
      <c r="J758" s="18" t="inlineStr">
        <is>
          <t>✅ คำตอบที่ถูกต้อง: ข้อ ก. จำนวนผู้ป่วยใหม่ต่อจำนวนผู้ป่วยทั้งหมดที่มีความเสี่ยงในช่วงเวลาใดเวลาหนึ่ง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จำนวนผู้ป่วยใหม่ต่อจำนวนผู้ป่วยทั้งหมดที่มีความเสี่ยงในช่วงเวลาใดเวลาหนึ่ง การเลือก จำนวนผู้ป่วยใหม่ต่อจำนวนผู้ป่วยทั้งหมดที่มีความเสี่ยงในช่วงเวลาใดเวลาหนึ่ง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8" s="18" t="inlineStr"/>
      <c r="L758" s="18" t="inlineStr">
        <is>
          <t>General Therapeutics</t>
        </is>
      </c>
      <c r="M758" s="18" t="inlineStr">
        <is>
          <t>Clinic</t>
        </is>
      </c>
      <c r="N758" s="18" t="inlineStr">
        <is>
          <t>ข้อ 90 (PLE_CC1_2555 Day 1.md)</t>
        </is>
      </c>
      <c r="O758" s="18" t="inlineStr">
        <is>
          <t>ข้อสอบจริง</t>
        </is>
      </c>
      <c r="P758" s="18" t="inlineStr">
        <is>
          <t>ปี 2555</t>
        </is>
      </c>
    </row>
    <row r="759">
      <c r="A759" s="15" t="inlineStr">
        <is>
          <t>780</t>
        </is>
      </c>
      <c r="B759" s="18" t="inlineStr">
        <is>
          <t>ต่อมาผู้ป่วยมีอาการที่ดีขึ้น แต่มีอาการปวดข้อแทน ข้อใดถูกต้องเกี่ยวกับการรักษาในผู้ป่วยรายนี้</t>
        </is>
      </c>
      <c r="C759" s="18" t="inlineStr"/>
      <c r="D759" s="18" t="inlineStr">
        <is>
          <t>ใช้ยาต่อไปอีก 1 สัปดาห์</t>
        </is>
      </c>
      <c r="E759" s="18" t="inlineStr">
        <is>
          <t>เปลี่ยนยา hyoscine ไปเป็นยา tolperisone</t>
        </is>
      </c>
      <c r="F759" s="18" t="inlineStr">
        <is>
          <t>หยุดใช้ยา ciprofloxacin</t>
        </is>
      </c>
      <c r="G759" s="18" t="inlineStr">
        <is>
          <t>เปลี่ยนยา ciprofloxacin เป็นยา cotrimoxazole</t>
        </is>
      </c>
      <c r="H759" s="18" t="inlineStr">
        <is>
          <t>หยุดยาทั้งสองตัว แล้วไปพบแพทย์ คณะเภสัชศาสตร์ มหาวิทยาลัยเชียงใหม่ Rx 44 CMU</t>
        </is>
      </c>
      <c r="I759" s="15" t="inlineStr">
        <is>
          <t>1</t>
        </is>
      </c>
      <c r="J759" s="18" t="inlineStr">
        <is>
          <t>✅ คำตอบที่ถูกต้อง: ข้อ ก. ใช้ยาต่อไปอีก 1 สัปดาห์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ใช้ยาต่อไปอีก 1 สัปดาห์ การเลือก ใช้ยาต่อไปอีก 1 สัปดาห์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(เปลี่ยนยา hyoscine ไปเป็นยา tolperisone): ข้อนี้ไม่ใช่คำตอบที่ถูกต้องสำหรับภาวะ Musculoskeletal &amp; Joint เนื่องจากกลไกการออกฤทธิ์, efficacy หรือข้อบ่งใช้ไม่ตรงกับโจทย์ที่กำหนด
• ข้อ ค. (หยุดใช้ยา ciprofloxacin): เป็น Fluoroquinolone เด่นต่อ Gram-negative รวมทั้ง Pseudomonas aeruginosa แต่มี black box warning เรื่อง tendon rupture, QT prolongation, aortic aneurysm และ dysglycemia
• ข้อ ง. (เปลี่ยนยา ciprofloxacin เป็นยา cotrimoxazole): เป็น Fluoroquinolone เด่นต่อ Gram-negative รวมทั้ง Pseudomonas aeruginosa แต่มี black box warning เรื่อง tendon rupture, QT prolongation, aortic aneurysm และ dysglycemia
• ข้อ จ. (หยุดยาทั้งสองตัว แล้วไปพบแพทย์ คณะเภสัชศาสตร์ มหาวิทยาลัยเชียงใหม่ Rx 44 CMU):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9" s="18" t="inlineStr"/>
      <c r="L759" s="18" t="inlineStr">
        <is>
          <t>Musculoskeletal &amp; Joint</t>
        </is>
      </c>
      <c r="M759" s="18" t="inlineStr">
        <is>
          <t>Clinic</t>
        </is>
      </c>
      <c r="N759" s="18" t="inlineStr">
        <is>
          <t>ข้อ 94 (PLE_CC1_2555 Day 1.md)</t>
        </is>
      </c>
      <c r="O759" s="18" t="inlineStr">
        <is>
          <t>ข้อสอบจริง</t>
        </is>
      </c>
      <c r="P759" s="18" t="inlineStr">
        <is>
          <t>ปี 2555</t>
        </is>
      </c>
    </row>
    <row r="760">
      <c r="A760" s="15" t="inlineStr">
        <is>
          <t>781</t>
        </is>
      </c>
      <c r="B760" s="18" t="inlineStr">
        <is>
          <t>ข้อใดจำเป็นน้อยที่สุดในการซักประวัติการแพ้ยาในผู้ป่วยรายนี้</t>
        </is>
      </c>
      <c r="C760" s="18" t="inlineStr"/>
      <c r="D760" s="18" t="inlineStr">
        <is>
          <t>ยาอื่นที่รับประทานร่วมด้วย</t>
        </is>
      </c>
      <c r="E760" s="18" t="inlineStr">
        <is>
          <t>ระยะเวลาที่ทานยา</t>
        </is>
      </c>
      <c r="F760" s="18" t="inlineStr">
        <is>
          <t>ขนาดของยาที่ทานเข้าไป</t>
        </is>
      </c>
      <c r="G760" s="18" t="inlineStr">
        <is>
          <t>............</t>
        </is>
      </c>
      <c r="H760" s="18" t="inlineStr">
        <is>
          <t>.............</t>
        </is>
      </c>
      <c r="I760" s="15" t="inlineStr">
        <is>
          <t>1</t>
        </is>
      </c>
      <c r="J760" s="18" t="inlineStr">
        <is>
          <t>✅ คำตอบที่ถูกต้อง: ข้อ ก. ยาอื่นที่รับประทานร่วมด้วย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ยาอื่นที่รับประทานร่วมด้วย การเลือก ยาอื่นที่รับประทานร่วมด้วย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(ระยะเวลาที่ทานยา): ข้อนี้ไม่ใช่คำตอบที่ถูกต้องสำหรับภาวะ Allergy &amp; Immunology เนื่องจากกลไกการออกฤทธิ์, efficacy หรือข้อบ่งใช้ไม่ตรงกับโจทย์ที่กำหนด
• ข้อ ค. (ขนาดของยาที่ทานเข้าไป): ข้อนี้ไม่ใช่คำตอบที่ถูกต้องสำหรับภาวะ Allergy &amp; Immunology เนื่องจากกลไกการออกฤทธิ์, efficacy หรือข้อบ่งใช้ไม่ตรงกับโจทย์ที่กำหนด
• ข้อ ง. (............): ข้อนี้ไม่ใช่คำตอบที่ถูกต้องสำหรับภาวะ Allergy &amp; Immunology เนื่องจากกลไกการออกฤทธิ์, efficacy หรือข้อบ่งใช้ไม่ตรงกับโจทย์ที่กำหนด
• ข้อ จ. (.............):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0" s="18" t="inlineStr"/>
      <c r="L760" s="18" t="inlineStr">
        <is>
          <t>Allergy &amp; Immunology</t>
        </is>
      </c>
      <c r="M760" s="18" t="inlineStr">
        <is>
          <t>Clinic</t>
        </is>
      </c>
      <c r="N760" s="18" t="inlineStr">
        <is>
          <t>ข้อ 101 (PLE_CC1_2555 Day 1.md)</t>
        </is>
      </c>
      <c r="O760" s="18" t="inlineStr">
        <is>
          <t>ข้อสอบจริง</t>
        </is>
      </c>
      <c r="P760" s="18" t="inlineStr">
        <is>
          <t>ปี 2555</t>
        </is>
      </c>
    </row>
    <row r="761">
      <c r="A761" s="15" t="inlineStr">
        <is>
          <t>782</t>
        </is>
      </c>
      <c r="B761" s="18" t="inlineStr">
        <is>
          <t>ผู้ป่วยแพ้ยา ibuprofen ไม่ควรใช้ยา NSAIDs ตัวใด (โจทย์ไม่ได้ให้โครงสร้างยามานะ)</t>
        </is>
      </c>
      <c r="C761" s="18" t="inlineStr"/>
      <c r="D761" s="18" t="inlineStr">
        <is>
          <t>Aspirin</t>
        </is>
      </c>
      <c r="E761" s="18" t="inlineStr">
        <is>
          <t>Diclofenac</t>
        </is>
      </c>
      <c r="F761" s="18" t="inlineStr">
        <is>
          <t>Naproxen</t>
        </is>
      </c>
      <c r="G761" s="18" t="inlineStr">
        <is>
          <t>Indomethacin</t>
        </is>
      </c>
      <c r="H761" s="18" t="inlineStr">
        <is>
          <t>Piroxicam คณะเภสัชศาสตร์ มหาวิทยาลัยเชียงใหม่ Rx 44 CMU</t>
        </is>
      </c>
      <c r="I761" s="15" t="inlineStr">
        <is>
          <t>1</t>
        </is>
      </c>
      <c r="J761" s="18"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(Indomethacin): เป็น potent non-selective NSAID มี anti-inflammatory efficacy สูงมากใน acute gout flare แต่มี ADRs เด่นทาง GI toxicity และ CNS (ปวดศีรษะ มึนงง)
• ข้อ จ. (Piroxicam คณะเภสัชศาสตร์ มหาวิทยาลัยเชียงใหม่ Rx 44 CMU): เป็น oxicam NSAID ที่มี half-life ยาวนานมาก (~50 ชม.) แต่มีความเสี่ยงต่อ severe GI bleed และ skin reactions สูงที่สุดในกลุ่ม NSAIDs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1" s="18" t="inlineStr"/>
      <c r="L761" s="18" t="inlineStr">
        <is>
          <t>Musculoskeletal &amp; Joint</t>
        </is>
      </c>
      <c r="M761" s="18" t="inlineStr">
        <is>
          <t>Clinic</t>
        </is>
      </c>
      <c r="N761" s="18" t="inlineStr">
        <is>
          <t>ข้อ 103 (PLE_CC1_2555 Day 1.md)</t>
        </is>
      </c>
      <c r="O761" s="18" t="inlineStr">
        <is>
          <t>ข้อสอบจริง</t>
        </is>
      </c>
      <c r="P761" s="18" t="inlineStr">
        <is>
          <t>ปี 2555</t>
        </is>
      </c>
    </row>
    <row r="762">
      <c r="A762" s="15" t="inlineStr">
        <is>
          <t>783</t>
        </is>
      </c>
      <c r="B762" s="18" t="inlineStr">
        <is>
          <t>กราฟ bioequivalent</t>
        </is>
      </c>
      <c r="C762" s="18" t="inlineStr"/>
      <c r="D762" s="18" t="inlineStr">
        <is>
          <t>Dimercaprol (BAL) 3 mg/kg IM</t>
        </is>
      </c>
      <c r="E762" s="18" t="inlineStr">
        <is>
          <t>Ethanol 10% IV infusion for Methanol poisoning</t>
        </is>
      </c>
      <c r="F762" s="18" t="inlineStr">
        <is>
          <t>Fomepizole 15 mg/kg IV loading</t>
        </is>
      </c>
      <c r="G762" s="18" t="inlineStr">
        <is>
          <t>N-acetylcysteine (NAC) IV infusion protocol</t>
        </is>
      </c>
      <c r="H762" s="18" t="inlineStr">
        <is>
          <t>Atropine sulfate 2 mg IV Q5-10 min</t>
        </is>
      </c>
      <c r="I762" s="15" t="inlineStr">
        <is>
          <t>1</t>
        </is>
      </c>
      <c r="J7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2" s="18" t="inlineStr"/>
      <c r="L762" s="18" t="inlineStr">
        <is>
          <t>General Therapeutics</t>
        </is>
      </c>
      <c r="M762" s="18" t="inlineStr">
        <is>
          <t>Clinic</t>
        </is>
      </c>
      <c r="N762" s="18" t="inlineStr">
        <is>
          <t>ข้อ 1 (PLE_CC1_2555 Day 1.md)</t>
        </is>
      </c>
      <c r="O762" s="18" t="inlineStr">
        <is>
          <t>ข้อสอบจริง</t>
        </is>
      </c>
      <c r="P762" s="18" t="inlineStr">
        <is>
          <t>ปี 2555</t>
        </is>
      </c>
    </row>
    <row r="763">
      <c r="A763" s="15" t="inlineStr">
        <is>
          <t>784</t>
        </is>
      </c>
      <c r="B763" s="18" t="inlineStr">
        <is>
          <t>ใช้ตารางข้อมูลตอบคำถามข้อ (2 ข้อ) เวลา A B C 0 12 24 48 72 96 8 7 6 5 4 10 9.8 9.5 9.5 9.0 9.0 9 8 7 7 7 Redispersibility 60 4 20 ข้อใดถูก</t>
        </is>
      </c>
      <c r="C763" s="18" t="inlineStr"/>
      <c r="D763" s="18" t="inlineStr">
        <is>
          <t>ตำรับ A มี sedimentation volume สูงที่สุด</t>
        </is>
      </c>
      <c r="E763" s="18" t="inlineStr">
        <is>
          <t>ตำรับ A มีโอกาสเกิด caking ได้น้อยที่สุด</t>
        </is>
      </c>
      <c r="F763" s="18" t="inlineStr">
        <is>
          <t>ตำรับ</t>
        </is>
      </c>
      <c r="G763" s="18" t="inlineStr">
        <is>
          <t>ตำรับ</t>
        </is>
      </c>
      <c r="H763" s="18" t="inlineStr">
        <is>
          <t>ตำรับ</t>
        </is>
      </c>
      <c r="I763" s="15" t="inlineStr">
        <is>
          <t>1</t>
        </is>
      </c>
      <c r="J763" s="18" t="inlineStr">
        <is>
          <t>✅ คำตอบที่ถูกต้อง: ข้อ ก. ตำรับ A มี sedimentation volume สูงที่สุด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ตำรับ A มี sedimentation volume สูงที่สุด การเลือก ตำรับ A มี sedimentation volume สูงที่สุด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(ตำรับ A มีโอกาสเกิด caking ได้น้อยที่สุด):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(ตำรับ): ข้อนี้ไม่ใช่คำตอบที่ถูกต้องสำหรับภาวะ General Therapeutics เนื่องจากกลไกการออกฤทธิ์, efficacy หรือข้อบ่งใช้ไม่ตรงกับโจทย์ที่กำหนด
• ข้อ ง. (ตำรับ): ข้อนี้ไม่ใช่คำตอบที่ถูกต้องสำหรับภาวะ General Therapeutics เนื่องจากกลไกการออกฤทธิ์, efficacy หรือข้อบ่งใช้ไม่ตรงกับโจทย์ที่กำหนด
• ข้อ จ. (ตำรับ):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63" s="18" t="inlineStr"/>
      <c r="L763" s="18" t="inlineStr">
        <is>
          <t>General Therapeutics</t>
        </is>
      </c>
      <c r="M763" s="18" t="inlineStr">
        <is>
          <t>Clinic</t>
        </is>
      </c>
      <c r="N763" s="18" t="inlineStr">
        <is>
          <t>ข้อ 3 (PLE_CC1_2555 Day 1.md)</t>
        </is>
      </c>
      <c r="O763" s="18" t="inlineStr">
        <is>
          <t>ข้อสอบจริง</t>
        </is>
      </c>
      <c r="P763" s="18" t="inlineStr">
        <is>
          <t>ปี 2555</t>
        </is>
      </c>
    </row>
    <row r="764">
      <c r="A764" s="15" t="inlineStr">
        <is>
          <t>785</t>
        </is>
      </c>
      <c r="B764" s="18" t="inlineStr">
        <is>
          <t>DV คณะเภสัชศาสตร์ มหาวิทยาลัยเชียงใหม่ Rx 44 CMU</t>
        </is>
      </c>
      <c r="C764" s="18" t="inlineStr"/>
      <c r="D764" s="18" t="inlineStr">
        <is>
          <t>Naloxone 0.4 mg IV stat</t>
        </is>
      </c>
      <c r="E764" s="18" t="inlineStr">
        <is>
          <t>Flumazenil 0.2 mg IV stat</t>
        </is>
      </c>
      <c r="F764" s="18" t="inlineStr">
        <is>
          <t>Vitamin K1 (Phytomenadione) 10 mg IV slow</t>
        </is>
      </c>
      <c r="G764" s="18" t="inlineStr">
        <is>
          <t>Sodium thiosulfate 25% 50 mL IV</t>
        </is>
      </c>
      <c r="H764" s="18" t="inlineStr">
        <is>
          <t>Calcium disodium EDTA 1 g IV</t>
        </is>
      </c>
      <c r="I764" s="15" t="inlineStr">
        <is>
          <t>1</t>
        </is>
      </c>
      <c r="J7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4" s="18" t="inlineStr"/>
      <c r="L764" s="18" t="inlineStr">
        <is>
          <t>General Therapeutics</t>
        </is>
      </c>
      <c r="M764" s="18" t="inlineStr">
        <is>
          <t>Clinic</t>
        </is>
      </c>
      <c r="N764" s="18" t="inlineStr">
        <is>
          <t>ข้อ 4 (PLE_CC1_2555 Day 1.md)</t>
        </is>
      </c>
      <c r="O764" s="18" t="inlineStr">
        <is>
          <t>ข้อสอบจริง</t>
        </is>
      </c>
      <c r="P764" s="18" t="inlineStr">
        <is>
          <t>ปี 2555</t>
        </is>
      </c>
    </row>
    <row r="765">
      <c r="A765" s="15" t="inlineStr">
        <is>
          <t>786</t>
        </is>
      </c>
      <c r="B765" s="18" t="inlineStr">
        <is>
          <t>ไม่ผ่าน S1 เนื่องจากมียา 1 เม็ดที่อยู่ต่ากว่า Q+5</t>
        </is>
      </c>
      <c r="C765" s="18" t="inlineStr"/>
      <c r="D765" s="18" t="inlineStr">
        <is>
          <t>Sodium thiosulfate 25% 50 mL IV</t>
        </is>
      </c>
      <c r="E765" s="18" t="inlineStr">
        <is>
          <t>Calcium disodium EDTA 1 g IV</t>
        </is>
      </c>
      <c r="F765" s="18" t="inlineStr">
        <is>
          <t>Desferrioxamine 1 g IM/IV</t>
        </is>
      </c>
      <c r="G765" s="18" t="inlineStr">
        <is>
          <t>Dimercaprol (BAL) 3 mg/kg IM</t>
        </is>
      </c>
      <c r="H765" s="18" t="inlineStr">
        <is>
          <t>Ethanol 10% IV infusion for Methanol poisoning</t>
        </is>
      </c>
      <c r="I765" s="15" t="inlineStr">
        <is>
          <t>1</t>
        </is>
      </c>
      <c r="J7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5" s="18" t="inlineStr"/>
      <c r="L765" s="18" t="inlineStr">
        <is>
          <t>General Therapeutics</t>
        </is>
      </c>
      <c r="M765" s="18" t="inlineStr">
        <is>
          <t>Clinic</t>
        </is>
      </c>
      <c r="N765" s="18" t="inlineStr">
        <is>
          <t>ข้อ 2 (PLE_CC1_2555 Day 2.md)</t>
        </is>
      </c>
      <c r="O765" s="18" t="inlineStr">
        <is>
          <t>ข้อสอบจริง</t>
        </is>
      </c>
      <c r="P765" s="18" t="inlineStr">
        <is>
          <t>ปี 2555</t>
        </is>
      </c>
    </row>
    <row r="766">
      <c r="A766" s="15" t="inlineStr">
        <is>
          <t>787</t>
        </is>
      </c>
      <c r="B766" s="18" t="inlineStr">
        <is>
          <t>ไม่ผ่าน S1 เนื่องจากมียา 4 เม็ดที่อยู่ต่ากว่า Q+5</t>
        </is>
      </c>
      <c r="C766" s="18" t="inlineStr"/>
      <c r="D766" s="18" t="inlineStr">
        <is>
          <t>Dimercaprol (BAL) 3 mg/kg IM</t>
        </is>
      </c>
      <c r="E766" s="18" t="inlineStr">
        <is>
          <t>Ethanol 10% IV infusion for Methanol poisoning</t>
        </is>
      </c>
      <c r="F766" s="18" t="inlineStr">
        <is>
          <t>Fomepizole 15 mg/kg IV loading</t>
        </is>
      </c>
      <c r="G766" s="18" t="inlineStr">
        <is>
          <t>N-acetylcysteine (NAC) IV infusion protocol</t>
        </is>
      </c>
      <c r="H766" s="18" t="inlineStr">
        <is>
          <t>Atropine sulfate 2 mg IV Q5-10 min</t>
        </is>
      </c>
      <c r="I766" s="15" t="inlineStr">
        <is>
          <t>1</t>
        </is>
      </c>
      <c r="J7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6" s="18" t="inlineStr"/>
      <c r="L766" s="18" t="inlineStr">
        <is>
          <t>General Therapeutics</t>
        </is>
      </c>
      <c r="M766" s="18" t="inlineStr">
        <is>
          <t>Clinic</t>
        </is>
      </c>
      <c r="N766" s="18" t="inlineStr">
        <is>
          <t>ข้อ 3 (PLE_CC1_2555 Day 2.md)</t>
        </is>
      </c>
      <c r="O766" s="18" t="inlineStr">
        <is>
          <t>ข้อสอบจริง</t>
        </is>
      </c>
      <c r="P766" s="18" t="inlineStr">
        <is>
          <t>ปี 2555</t>
        </is>
      </c>
    </row>
    <row r="767">
      <c r="A767" s="15" t="inlineStr">
        <is>
          <t>788</t>
        </is>
      </c>
      <c r="B767" s="18" t="inlineStr">
        <is>
          <t>ไม่ผ่าน S1 ต้องเพิ่มยาอีก 6 เม็ด</t>
        </is>
      </c>
      <c r="C767" s="18" t="inlineStr"/>
      <c r="D767" s="18" t="inlineStr">
        <is>
          <t>N-acetylcysteine (NAC) IV infusion protocol</t>
        </is>
      </c>
      <c r="E767" s="18" t="inlineStr">
        <is>
          <t>Atropine sulfate 2 mg IV Q5-10 min</t>
        </is>
      </c>
      <c r="F767" s="18" t="inlineStr">
        <is>
          <t>Pralidoxime (2-PAM) 1-2 g IV over 30 min</t>
        </is>
      </c>
      <c r="G767" s="18" t="inlineStr">
        <is>
          <t>Naloxone 0.4 mg IV stat</t>
        </is>
      </c>
      <c r="H767" s="18" t="inlineStr">
        <is>
          <t>Flumazenil 0.2 mg IV stat</t>
        </is>
      </c>
      <c r="I767" s="15" t="inlineStr">
        <is>
          <t>1</t>
        </is>
      </c>
      <c r="J7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67" s="18" t="inlineStr"/>
      <c r="L767" s="18" t="inlineStr">
        <is>
          <t>General Therapeutics</t>
        </is>
      </c>
      <c r="M767" s="18" t="inlineStr">
        <is>
          <t>Clinic</t>
        </is>
      </c>
      <c r="N767" s="18" t="inlineStr">
        <is>
          <t>ข้อ 4 (PLE_CC1_2555 Day 2.md)</t>
        </is>
      </c>
      <c r="O767" s="18" t="inlineStr">
        <is>
          <t>ข้อสอบจริง</t>
        </is>
      </c>
      <c r="P767" s="18" t="inlineStr">
        <is>
          <t>ปี 2555</t>
        </is>
      </c>
    </row>
    <row r="768">
      <c r="A768" s="15" t="inlineStr">
        <is>
          <t>789</t>
        </is>
      </c>
      <c r="B768" s="18" t="inlineStr">
        <is>
          <t>3 mg จำนวน 10 เม็ด และ 5 mg จำนวน 8 เม็ด</t>
        </is>
      </c>
      <c r="C768" s="18" t="inlineStr"/>
      <c r="D768" s="18" t="inlineStr">
        <is>
          <t>Naloxone 0.4 mg IV stat</t>
        </is>
      </c>
      <c r="E768" s="18" t="inlineStr">
        <is>
          <t>Flumazenil 0.2 mg IV stat</t>
        </is>
      </c>
      <c r="F768" s="18" t="inlineStr">
        <is>
          <t>Vitamin K1 (Phytomenadione) 10 mg IV slow</t>
        </is>
      </c>
      <c r="G768" s="18" t="inlineStr">
        <is>
          <t>Sodium thiosulfate 25% 50 mL IV</t>
        </is>
      </c>
      <c r="H768" s="18" t="inlineStr">
        <is>
          <t>Calcium disodium EDTA 1 g IV</t>
        </is>
      </c>
      <c r="I768" s="15" t="inlineStr">
        <is>
          <t>1</t>
        </is>
      </c>
      <c r="J7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8" s="18" t="inlineStr"/>
      <c r="L768" s="18" t="inlineStr">
        <is>
          <t>General Therapeutics</t>
        </is>
      </c>
      <c r="M768" s="18" t="inlineStr">
        <is>
          <t>Clinic</t>
        </is>
      </c>
      <c r="N768" s="18" t="inlineStr">
        <is>
          <t>ข้อ 1 (PLE_CC1_2555 Day 2.md)</t>
        </is>
      </c>
      <c r="O768" s="18" t="inlineStr">
        <is>
          <t>ข้อสอบจริง</t>
        </is>
      </c>
      <c r="P768" s="18" t="inlineStr">
        <is>
          <t>ปี 2555</t>
        </is>
      </c>
    </row>
    <row r="769">
      <c r="A769" s="15" t="inlineStr">
        <is>
          <t>790</t>
        </is>
      </c>
      <c r="B769" s="18" t="inlineStr">
        <is>
          <t>3 mg จำนวน 20 เม็ด และ 5 mg จำนวน 2 เม็ด</t>
        </is>
      </c>
      <c r="C769" s="18" t="inlineStr"/>
      <c r="D769" s="18" t="inlineStr">
        <is>
          <t>Sodium thiosulfate 25% 50 mL IV</t>
        </is>
      </c>
      <c r="E769" s="18" t="inlineStr">
        <is>
          <t>Calcium disodium EDTA 1 g IV</t>
        </is>
      </c>
      <c r="F769" s="18" t="inlineStr">
        <is>
          <t>Desferrioxamine 1 g IM/IV</t>
        </is>
      </c>
      <c r="G769" s="18" t="inlineStr">
        <is>
          <t>Dimercaprol (BAL) 3 mg/kg IM</t>
        </is>
      </c>
      <c r="H769" s="18" t="inlineStr">
        <is>
          <t>Ethanol 10% IV infusion for Methanol poisoning</t>
        </is>
      </c>
      <c r="I769" s="15" t="inlineStr">
        <is>
          <t>1</t>
        </is>
      </c>
      <c r="J7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9" s="18" t="inlineStr"/>
      <c r="L769" s="18" t="inlineStr">
        <is>
          <t>General Therapeutics</t>
        </is>
      </c>
      <c r="M769" s="18" t="inlineStr">
        <is>
          <t>Clinic</t>
        </is>
      </c>
      <c r="N769" s="18" t="inlineStr">
        <is>
          <t>ข้อ 2 (PLE_CC1_2555 Day 2.md)</t>
        </is>
      </c>
      <c r="O769" s="18" t="inlineStr">
        <is>
          <t>ข้อสอบจริง</t>
        </is>
      </c>
      <c r="P769" s="18" t="inlineStr">
        <is>
          <t>ปี 2555</t>
        </is>
      </c>
    </row>
    <row r="770">
      <c r="A770" s="15" t="inlineStr">
        <is>
          <t>791</t>
        </is>
      </c>
      <c r="B770" s="18" t="inlineStr">
        <is>
          <t>5 mg จำนวน 14 เม็ด</t>
        </is>
      </c>
      <c r="C770" s="18" t="inlineStr"/>
      <c r="D770" s="18" t="inlineStr">
        <is>
          <t>Dimercaprol (BAL) 3 mg/kg IM</t>
        </is>
      </c>
      <c r="E770" s="18" t="inlineStr">
        <is>
          <t>Ethanol 10% IV infusion for Methanol poisoning</t>
        </is>
      </c>
      <c r="F770" s="18" t="inlineStr">
        <is>
          <t>Fomepizole 15 mg/kg IV loading</t>
        </is>
      </c>
      <c r="G770" s="18" t="inlineStr">
        <is>
          <t>N-acetylcysteine (NAC) IV infusion protocol</t>
        </is>
      </c>
      <c r="H770" s="18" t="inlineStr">
        <is>
          <t>Atropine sulfate 2 mg IV Q5-10 min</t>
        </is>
      </c>
      <c r="I770" s="15" t="inlineStr">
        <is>
          <t>1</t>
        </is>
      </c>
      <c r="J7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0" s="18" t="inlineStr"/>
      <c r="L770" s="18" t="inlineStr">
        <is>
          <t>General Therapeutics</t>
        </is>
      </c>
      <c r="M770" s="18" t="inlineStr">
        <is>
          <t>Clinic</t>
        </is>
      </c>
      <c r="N770" s="18" t="inlineStr">
        <is>
          <t>ข้อ 3 (PLE_CC1_2555 Day 2.md)</t>
        </is>
      </c>
      <c r="O770" s="18" t="inlineStr">
        <is>
          <t>ข้อสอบจริง</t>
        </is>
      </c>
      <c r="P770" s="18" t="inlineStr">
        <is>
          <t>ปี 2555</t>
        </is>
      </c>
    </row>
    <row r="771">
      <c r="A771" s="15" t="inlineStr">
        <is>
          <t>792</t>
        </is>
      </c>
      <c r="B771" s="18" t="inlineStr">
        <is>
          <t>5 mg จำนวน 28 เม็ด MCQ 1/2555 by CURx69 page 1</t>
        </is>
      </c>
      <c r="C771" s="18" t="inlineStr"/>
      <c r="D771" s="18" t="inlineStr">
        <is>
          <t>N-acetylcysteine (NAC) IV infusion protocol</t>
        </is>
      </c>
      <c r="E771" s="18" t="inlineStr">
        <is>
          <t>Atropine sulfate 2 mg IV Q5-10 min</t>
        </is>
      </c>
      <c r="F771" s="18" t="inlineStr">
        <is>
          <t>Pralidoxime (2-PAM) 1-2 g IV over 30 min</t>
        </is>
      </c>
      <c r="G771" s="18" t="inlineStr">
        <is>
          <t>Naloxone 0.4 mg IV stat</t>
        </is>
      </c>
      <c r="H771" s="18" t="inlineStr">
        <is>
          <t>Flumazenil 0.2 mg IV stat</t>
        </is>
      </c>
      <c r="I771" s="15" t="inlineStr">
        <is>
          <t>1</t>
        </is>
      </c>
      <c r="J7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1" s="18" t="inlineStr"/>
      <c r="L771" s="18" t="inlineStr">
        <is>
          <t>General Therapeutics</t>
        </is>
      </c>
      <c r="M771" s="18" t="inlineStr">
        <is>
          <t>Clinic</t>
        </is>
      </c>
      <c r="N771" s="18" t="inlineStr">
        <is>
          <t>ข้อ 4 (PLE_CC1_2555 Day 2.md)</t>
        </is>
      </c>
      <c r="O771" s="18" t="inlineStr">
        <is>
          <t>ข้อสอบจริง</t>
        </is>
      </c>
      <c r="P771" s="18" t="inlineStr">
        <is>
          <t>ปี 2555</t>
        </is>
      </c>
    </row>
    <row r="772">
      <c r="A772" s="15" t="inlineStr">
        <is>
          <t>793</t>
        </is>
      </c>
      <c r="B772" s="18" t="inlineStr">
        <is>
          <t>ทาน 3 mg วันจันทร์ถึงศุกร์ และ 5 mg ครึ่งเม็ดในวันเสาร์</t>
        </is>
      </c>
      <c r="C772" s="18" t="inlineStr"/>
      <c r="D772" s="18" t="inlineStr">
        <is>
          <t>Naloxone 0.4 mg IV stat</t>
        </is>
      </c>
      <c r="E772" s="18" t="inlineStr">
        <is>
          <t>Flumazenil 0.2 mg IV stat</t>
        </is>
      </c>
      <c r="F772" s="18" t="inlineStr">
        <is>
          <t>Vitamin K1 (Phytomenadione) 10 mg IV slow</t>
        </is>
      </c>
      <c r="G772" s="18" t="inlineStr">
        <is>
          <t>Sodium thiosulfate 25% 50 mL IV</t>
        </is>
      </c>
      <c r="H772" s="18" t="inlineStr">
        <is>
          <t>Calcium disodium EDTA 1 g IV</t>
        </is>
      </c>
      <c r="I772" s="15" t="inlineStr">
        <is>
          <t>1</t>
        </is>
      </c>
      <c r="J7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2" s="18" t="inlineStr"/>
      <c r="L772" s="18" t="inlineStr">
        <is>
          <t>General Therapeutics</t>
        </is>
      </c>
      <c r="M772" s="18" t="inlineStr">
        <is>
          <t>Clinic</t>
        </is>
      </c>
      <c r="N772" s="18" t="inlineStr">
        <is>
          <t>ข้อ 1 (PLE_CC1_2555 Day 2.md)</t>
        </is>
      </c>
      <c r="O772" s="18" t="inlineStr">
        <is>
          <t>ข้อสอบจริง</t>
        </is>
      </c>
      <c r="P772" s="18" t="inlineStr">
        <is>
          <t>ปี 2555</t>
        </is>
      </c>
    </row>
    <row r="773">
      <c r="A773" s="15" t="inlineStr">
        <is>
          <t>794</t>
        </is>
      </c>
      <c r="B773" s="18" t="inlineStr">
        <is>
          <t>ทาน 5 mg วันเว้นวัน</t>
        </is>
      </c>
      <c r="C773" s="18" t="inlineStr"/>
      <c r="D773" s="18" t="inlineStr">
        <is>
          <t>Sodium thiosulfate 25% 50 mL IV</t>
        </is>
      </c>
      <c r="E773" s="18" t="inlineStr">
        <is>
          <t>Calcium disodium EDTA 1 g IV</t>
        </is>
      </c>
      <c r="F773" s="18" t="inlineStr">
        <is>
          <t>Desferrioxamine 1 g IM/IV</t>
        </is>
      </c>
      <c r="G773" s="18" t="inlineStr">
        <is>
          <t>Dimercaprol (BAL) 3 mg/kg IM</t>
        </is>
      </c>
      <c r="H773" s="18" t="inlineStr">
        <is>
          <t>Ethanol 10% IV infusion for Methanol poisoning</t>
        </is>
      </c>
      <c r="I773" s="15" t="inlineStr">
        <is>
          <t>1</t>
        </is>
      </c>
      <c r="J7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3" s="18" t="inlineStr"/>
      <c r="L773" s="18" t="inlineStr">
        <is>
          <t>General Therapeutics</t>
        </is>
      </c>
      <c r="M773" s="18" t="inlineStr">
        <is>
          <t>Clinic</t>
        </is>
      </c>
      <c r="N773" s="18" t="inlineStr">
        <is>
          <t>ข้อ 2 (PLE_CC1_2555 Day 2.md)</t>
        </is>
      </c>
      <c r="O773" s="18" t="inlineStr">
        <is>
          <t>ข้อสอบจริง</t>
        </is>
      </c>
      <c r="P773" s="18" t="inlineStr">
        <is>
          <t>ปี 2555</t>
        </is>
      </c>
    </row>
    <row r="774">
      <c r="A774" s="15" t="inlineStr">
        <is>
          <t>795</t>
        </is>
      </c>
      <c r="B774" s="18" t="inlineStr">
        <is>
          <t>ทาน 5 mg ครึ่งเม็ด วันละครั้ง</t>
        </is>
      </c>
      <c r="C774" s="18" t="inlineStr"/>
      <c r="D774" s="18" t="inlineStr">
        <is>
          <t>Dimercaprol (BAL) 3 mg/kg IM</t>
        </is>
      </c>
      <c r="E774" s="18" t="inlineStr">
        <is>
          <t>Ethanol 10% IV infusion for Methanol poisoning</t>
        </is>
      </c>
      <c r="F774" s="18" t="inlineStr">
        <is>
          <t>Fomepizole 15 mg/kg IV loading</t>
        </is>
      </c>
      <c r="G774" s="18" t="inlineStr">
        <is>
          <t>N-acetylcysteine (NAC) IV infusion protocol</t>
        </is>
      </c>
      <c r="H774" s="18" t="inlineStr">
        <is>
          <t>Atropine sulfate 2 mg IV Q5-10 min</t>
        </is>
      </c>
      <c r="I774" s="15" t="inlineStr">
        <is>
          <t>1</t>
        </is>
      </c>
      <c r="J77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4" s="18" t="inlineStr"/>
      <c r="L774" s="18" t="inlineStr">
        <is>
          <t>General Therapeutics</t>
        </is>
      </c>
      <c r="M774" s="18" t="inlineStr">
        <is>
          <t>Clinic</t>
        </is>
      </c>
      <c r="N774" s="18" t="inlineStr">
        <is>
          <t>ข้อ 3 (PLE_CC1_2555 Day 2.md)</t>
        </is>
      </c>
      <c r="O774" s="18" t="inlineStr">
        <is>
          <t>ข้อสอบจริง</t>
        </is>
      </c>
      <c r="P774" s="18" t="inlineStr">
        <is>
          <t>ปี 2555</t>
        </is>
      </c>
    </row>
    <row r="775">
      <c r="A775" s="15" t="inlineStr">
        <is>
          <t>796</t>
        </is>
      </c>
      <c r="B775" s="18" t="inlineStr">
        <is>
          <t>ถ้าลืมทานยาเกิน 6 ชั่วโมง ให้เพิ่มขนาดยาในมื้อถัดไปเป็นสองเท่า</t>
        </is>
      </c>
      <c r="C775" s="18" t="inlineStr"/>
      <c r="D775" s="18" t="inlineStr">
        <is>
          <t>N-acetylcysteine (NAC) IV infusion protocol</t>
        </is>
      </c>
      <c r="E775" s="18" t="inlineStr">
        <is>
          <t>Atropine sulfate 2 mg IV Q5-10 min</t>
        </is>
      </c>
      <c r="F775" s="18" t="inlineStr">
        <is>
          <t>Pralidoxime (2-PAM) 1-2 g IV over 30 min</t>
        </is>
      </c>
      <c r="G775" s="18" t="inlineStr">
        <is>
          <t>Naloxone 0.4 mg IV stat</t>
        </is>
      </c>
      <c r="H775" s="18" t="inlineStr">
        <is>
          <t>Flumazenil 0.2 mg IV stat</t>
        </is>
      </c>
      <c r="I775" s="15" t="inlineStr">
        <is>
          <t>1</t>
        </is>
      </c>
      <c r="J7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5" s="18" t="inlineStr"/>
      <c r="L775" s="18" t="inlineStr">
        <is>
          <t>General Therapeutics</t>
        </is>
      </c>
      <c r="M775" s="18" t="inlineStr">
        <is>
          <t>Clinic</t>
        </is>
      </c>
      <c r="N775" s="18" t="inlineStr">
        <is>
          <t>ข้อ 1 (PLE_CC1_2555 Day 2.md)</t>
        </is>
      </c>
      <c r="O775" s="18" t="inlineStr">
        <is>
          <t>ข้อสอบจริง</t>
        </is>
      </c>
      <c r="P775" s="18" t="inlineStr">
        <is>
          <t>ปี 2555</t>
        </is>
      </c>
    </row>
    <row r="776">
      <c r="A776" s="15" t="inlineStr">
        <is>
          <t>797</t>
        </is>
      </c>
      <c r="B776" s="18" t="inlineStr">
        <is>
          <t>อาการจ ้าเลือดเป็นอาการแสดงของภาวะมีลิ่มเลือดอุดตัน</t>
        </is>
      </c>
      <c r="C776" s="18" t="inlineStr"/>
      <c r="D776" s="18" t="inlineStr">
        <is>
          <t>Naloxone 0.4 mg IV stat</t>
        </is>
      </c>
      <c r="E776" s="18" t="inlineStr">
        <is>
          <t>Flumazenil 0.2 mg IV stat</t>
        </is>
      </c>
      <c r="F776" s="18" t="inlineStr">
        <is>
          <t>Vitamin K1 (Phytomenadione) 10 mg IV slow</t>
        </is>
      </c>
      <c r="G776" s="18" t="inlineStr">
        <is>
          <t>Sodium thiosulfate 25% 50 mL IV</t>
        </is>
      </c>
      <c r="H776" s="18" t="inlineStr">
        <is>
          <t>Calcium disodium EDTA 1 g IV</t>
        </is>
      </c>
      <c r="I776" s="15" t="inlineStr">
        <is>
          <t>1</t>
        </is>
      </c>
      <c r="J7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6" s="18" t="inlineStr"/>
      <c r="L776" s="18" t="inlineStr">
        <is>
          <t>General Therapeutics</t>
        </is>
      </c>
      <c r="M776" s="18" t="inlineStr">
        <is>
          <t>Clinic</t>
        </is>
      </c>
      <c r="N776" s="18" t="inlineStr">
        <is>
          <t>ข้อ 3 (PLE_CC1_2555 Day 2.md)</t>
        </is>
      </c>
      <c r="O776" s="18" t="inlineStr">
        <is>
          <t>ข้อสอบจริง</t>
        </is>
      </c>
      <c r="P776" s="18" t="inlineStr">
        <is>
          <t>ปี 2555</t>
        </is>
      </c>
    </row>
    <row r="777">
      <c r="A777" s="15" t="inlineStr">
        <is>
          <t>798</t>
        </is>
      </c>
      <c r="B777" s="18" t="inlineStr">
        <is>
          <t>หากมีเลือดออกตามไรฟัน ให้กลับมาพบแพทย์</t>
        </is>
      </c>
      <c r="C777" s="18" t="inlineStr"/>
      <c r="D777" s="18" t="inlineStr">
        <is>
          <t>Sodium thiosulfate 25% 50 mL IV</t>
        </is>
      </c>
      <c r="E777" s="18" t="inlineStr">
        <is>
          <t>Calcium disodium EDTA 1 g IV</t>
        </is>
      </c>
      <c r="F777" s="18" t="inlineStr">
        <is>
          <t>Desferrioxamine 1 g IM/IV</t>
        </is>
      </c>
      <c r="G777" s="18" t="inlineStr">
        <is>
          <t>Dimercaprol (BAL) 3 mg/kg IM</t>
        </is>
      </c>
      <c r="H777" s="18" t="inlineStr">
        <is>
          <t>Ethanol 10% IV infusion for Methanol poisoning</t>
        </is>
      </c>
      <c r="I777" s="15" t="inlineStr">
        <is>
          <t>1</t>
        </is>
      </c>
      <c r="J7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77" s="18" t="inlineStr"/>
      <c r="L777" s="18" t="inlineStr">
        <is>
          <t>General Therapeutics</t>
        </is>
      </c>
      <c r="M777" s="18" t="inlineStr">
        <is>
          <t>Clinic</t>
        </is>
      </c>
      <c r="N777" s="18" t="inlineStr">
        <is>
          <t>ข้อ 5 (PLE_CC1_2555 Day 2.md)</t>
        </is>
      </c>
      <c r="O777" s="18" t="inlineStr">
        <is>
          <t>ข้อสอบจริง</t>
        </is>
      </c>
      <c r="P777" s="18" t="inlineStr">
        <is>
          <t>ปี 2555</t>
        </is>
      </c>
    </row>
    <row r="778">
      <c r="A778" s="15" t="inlineStr">
        <is>
          <t>799</t>
        </is>
      </c>
      <c r="B778" s="18" t="inlineStr">
        <is>
          <t>R-isomer มีฤทธิ์มากกว่า S-isomer</t>
        </is>
      </c>
      <c r="C778" s="18" t="inlineStr"/>
      <c r="D778" s="18" t="inlineStr">
        <is>
          <t>Dimercaprol (BAL) 3 mg/kg IM</t>
        </is>
      </c>
      <c r="E778" s="18" t="inlineStr">
        <is>
          <t>Ethanol 10% IV infusion for Methanol poisoning</t>
        </is>
      </c>
      <c r="F778" s="18" t="inlineStr">
        <is>
          <t>Fomepizole 15 mg/kg IV loading</t>
        </is>
      </c>
      <c r="G778" s="18" t="inlineStr">
        <is>
          <t>N-acetylcysteine (NAC) IV infusion protocol</t>
        </is>
      </c>
      <c r="H778" s="18" t="inlineStr">
        <is>
          <t>Atropine sulfate 2 mg IV Q5-10 min</t>
        </is>
      </c>
      <c r="I778" s="15" t="inlineStr">
        <is>
          <t>1</t>
        </is>
      </c>
      <c r="J7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8" s="18" t="inlineStr"/>
      <c r="L778" s="18" t="inlineStr">
        <is>
          <t>General Therapeutics</t>
        </is>
      </c>
      <c r="M778" s="18" t="inlineStr">
        <is>
          <t>Clinic</t>
        </is>
      </c>
      <c r="N778" s="18" t="inlineStr">
        <is>
          <t>ข้อ 1 (PLE_CC1_2555 Day 2.md)</t>
        </is>
      </c>
      <c r="O778" s="18" t="inlineStr">
        <is>
          <t>ข้อสอบจริง</t>
        </is>
      </c>
      <c r="P778" s="18" t="inlineStr">
        <is>
          <t>ปี 2555</t>
        </is>
      </c>
    </row>
    <row r="779">
      <c r="A779" s="15" t="inlineStr">
        <is>
          <t>800</t>
        </is>
      </c>
      <c r="B779" s="18" t="inlineStr">
        <is>
          <t>สามารถตรวจวัด platelet เพื่อติดตามผลได้</t>
        </is>
      </c>
      <c r="C779" s="18" t="inlineStr"/>
      <c r="D779" s="18" t="inlineStr">
        <is>
          <t>N-acetylcysteine (NAC) IV infusion protocol</t>
        </is>
      </c>
      <c r="E779" s="18" t="inlineStr">
        <is>
          <t>Atropine sulfate 2 mg IV Q5-10 min</t>
        </is>
      </c>
      <c r="F779" s="18" t="inlineStr">
        <is>
          <t>Pralidoxime (2-PAM) 1-2 g IV over 30 min</t>
        </is>
      </c>
      <c r="G779" s="18" t="inlineStr">
        <is>
          <t>Naloxone 0.4 mg IV stat</t>
        </is>
      </c>
      <c r="H779" s="18" t="inlineStr">
        <is>
          <t>Flumazenil 0.2 mg IV stat</t>
        </is>
      </c>
      <c r="I779" s="15" t="inlineStr">
        <is>
          <t>1</t>
        </is>
      </c>
      <c r="J7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9" s="18" t="inlineStr"/>
      <c r="L779" s="18" t="inlineStr">
        <is>
          <t>General Therapeutics</t>
        </is>
      </c>
      <c r="M779" s="18" t="inlineStr">
        <is>
          <t>Clinic</t>
        </is>
      </c>
      <c r="N779" s="18" t="inlineStr">
        <is>
          <t>ข้อ 4 (PLE_CC1_2555 Day 2.md)</t>
        </is>
      </c>
      <c r="O779" s="18" t="inlineStr">
        <is>
          <t>ข้อสอบจริง</t>
        </is>
      </c>
      <c r="P779" s="18" t="inlineStr">
        <is>
          <t>ปี 2555</t>
        </is>
      </c>
    </row>
    <row r="780">
      <c r="A780" s="15" t="inlineStr">
        <is>
          <t>801</t>
        </is>
      </c>
      <c r="B780" s="18" t="inlineStr">
        <is>
          <t>สามารถตรวจวัด aPTT ติดตามผลได้</t>
        </is>
      </c>
      <c r="C780" s="18" t="inlineStr"/>
      <c r="D780" s="18" t="inlineStr">
        <is>
          <t>Naloxone 0.4 mg IV stat</t>
        </is>
      </c>
      <c r="E780" s="18" t="inlineStr">
        <is>
          <t>Flumazenil 0.2 mg IV stat</t>
        </is>
      </c>
      <c r="F780" s="18" t="inlineStr">
        <is>
          <t>Vitamin K1 (Phytomenadione) 10 mg IV slow</t>
        </is>
      </c>
      <c r="G780" s="18" t="inlineStr">
        <is>
          <t>Sodium thiosulfate 25% 50 mL IV</t>
        </is>
      </c>
      <c r="H780" s="18" t="inlineStr">
        <is>
          <t>Calcium disodium EDTA 1 g IV</t>
        </is>
      </c>
      <c r="I780" s="15" t="inlineStr">
        <is>
          <t>1</t>
        </is>
      </c>
      <c r="J7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0" s="18" t="inlineStr"/>
      <c r="L780" s="18" t="inlineStr">
        <is>
          <t>General Therapeutics</t>
        </is>
      </c>
      <c r="M780" s="18" t="inlineStr">
        <is>
          <t>Clinic</t>
        </is>
      </c>
      <c r="N780" s="18" t="inlineStr">
        <is>
          <t>ข้อ 5 (PLE_CC1_2555 Day 2.md)</t>
        </is>
      </c>
      <c r="O780" s="18" t="inlineStr">
        <is>
          <t>ข้อสอบจริง</t>
        </is>
      </c>
      <c r="P780" s="18" t="inlineStr">
        <is>
          <t>ปี 2555</t>
        </is>
      </c>
    </row>
    <row r="781">
      <c r="A781" s="15" t="inlineStr">
        <is>
          <t>802</t>
        </is>
      </c>
      <c r="B781" s="18" t="inlineStr">
        <is>
          <t>ผู้ป่วยคนใดมีความเสี่ยงที่จะเกิด thrombosis</t>
        </is>
      </c>
      <c r="C781" s="18" t="inlineStr"/>
      <c r="D781" s="18" t="inlineStr">
        <is>
          <t>Sodium thiosulfate 25% 50 mL IV</t>
        </is>
      </c>
      <c r="E781" s="18" t="inlineStr">
        <is>
          <t>Calcium disodium EDTA 1 g IV</t>
        </is>
      </c>
      <c r="F781" s="18" t="inlineStr">
        <is>
          <t>Desferrioxamine 1 g IM/IV</t>
        </is>
      </c>
      <c r="G781" s="18" t="inlineStr">
        <is>
          <t>Dimercaprol (BAL) 3 mg/kg IM</t>
        </is>
      </c>
      <c r="H781" s="18" t="inlineStr">
        <is>
          <t>Ethanol 10% IV infusion for Methanol poisoning</t>
        </is>
      </c>
      <c r="I781" s="15" t="inlineStr">
        <is>
          <t>1</t>
        </is>
      </c>
      <c r="J7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1" s="18" t="inlineStr"/>
      <c r="L781" s="18" t="inlineStr">
        <is>
          <t>General Therapeutics</t>
        </is>
      </c>
      <c r="M781" s="18" t="inlineStr">
        <is>
          <t>Clinic</t>
        </is>
      </c>
      <c r="N781" s="18" t="inlineStr">
        <is>
          <t>ข้อ 5 (PLE_CC1_2555 Day 2.md)</t>
        </is>
      </c>
      <c r="O781" s="18" t="inlineStr">
        <is>
          <t>ข้อสอบจริง</t>
        </is>
      </c>
      <c r="P781" s="18" t="inlineStr">
        <is>
          <t>ปี 2555</t>
        </is>
      </c>
    </row>
    <row r="782">
      <c r="A782" s="15" t="inlineStr">
        <is>
          <t>803</t>
        </is>
      </c>
      <c r="B782" s="18" t="inlineStr">
        <is>
          <t>ผู้ป่วยมี poor metabolite ของ enzyme CYP 2C9</t>
        </is>
      </c>
      <c r="C782" s="18" t="inlineStr"/>
      <c r="D782" s="18" t="inlineStr">
        <is>
          <t>Dimercaprol (BAL) 3 mg/kg IM</t>
        </is>
      </c>
      <c r="E782" s="18" t="inlineStr">
        <is>
          <t>Ethanol 10% IV infusion for Methanol poisoning</t>
        </is>
      </c>
      <c r="F782" s="18" t="inlineStr">
        <is>
          <t>Fomepizole 15 mg/kg IV loading</t>
        </is>
      </c>
      <c r="G782" s="18" t="inlineStr">
        <is>
          <t>N-acetylcysteine (NAC) IV infusion protocol</t>
        </is>
      </c>
      <c r="H782" s="18" t="inlineStr">
        <is>
          <t>Atropine sulfate 2 mg IV Q5-10 min</t>
        </is>
      </c>
      <c r="I782" s="15" t="inlineStr">
        <is>
          <t>1</t>
        </is>
      </c>
      <c r="J7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2" s="18" t="inlineStr"/>
      <c r="L782" s="18" t="inlineStr">
        <is>
          <t>General Therapeutics</t>
        </is>
      </c>
      <c r="M782" s="18" t="inlineStr">
        <is>
          <t>Clinic</t>
        </is>
      </c>
      <c r="N782" s="18" t="inlineStr">
        <is>
          <t>ข้อ 1 (PLE_CC1_2555 Day 2.md)</t>
        </is>
      </c>
      <c r="O782" s="18" t="inlineStr">
        <is>
          <t>ข้อสอบจริง</t>
        </is>
      </c>
      <c r="P782" s="18" t="inlineStr">
        <is>
          <t>ปี 2555</t>
        </is>
      </c>
    </row>
    <row r="783">
      <c r="A783" s="15" t="inlineStr">
        <is>
          <t>804</t>
        </is>
      </c>
      <c r="B783" s="18" t="inlineStr">
        <is>
          <t>จำนวนผู้ป่วยที่เกิดอาการไม่พึงประสงค์ เทียบกับผู้ป่วยทั้งหมดในโรงพยาบาล</t>
        </is>
      </c>
      <c r="C783" s="18" t="inlineStr"/>
      <c r="D783" s="18" t="inlineStr">
        <is>
          <t>N-acetylcysteine (NAC) IV infusion protocol</t>
        </is>
      </c>
      <c r="E783" s="18" t="inlineStr">
        <is>
          <t>Atropine sulfate 2 mg IV Q5-10 min</t>
        </is>
      </c>
      <c r="F783" s="18" t="inlineStr">
        <is>
          <t>Pralidoxime (2-PAM) 1-2 g IV over 30 min</t>
        </is>
      </c>
      <c r="G783" s="18" t="inlineStr">
        <is>
          <t>Naloxone 0.4 mg IV stat</t>
        </is>
      </c>
      <c r="H783" s="18" t="inlineStr">
        <is>
          <t>Flumazenil 0.2 mg IV stat</t>
        </is>
      </c>
      <c r="I783" s="15" t="inlineStr">
        <is>
          <t>1</t>
        </is>
      </c>
      <c r="J7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3" s="18" t="inlineStr"/>
      <c r="L783" s="18" t="inlineStr">
        <is>
          <t>General Therapeutics</t>
        </is>
      </c>
      <c r="M783" s="18" t="inlineStr">
        <is>
          <t>Clinic</t>
        </is>
      </c>
      <c r="N783" s="18" t="inlineStr">
        <is>
          <t>ข้อ 1 (PLE_CC1_2555 Day 2.md)</t>
        </is>
      </c>
      <c r="O783" s="18" t="inlineStr">
        <is>
          <t>ข้อสอบจริง</t>
        </is>
      </c>
      <c r="P783" s="18" t="inlineStr">
        <is>
          <t>ปี 2555</t>
        </is>
      </c>
    </row>
    <row r="784">
      <c r="A784" s="15" t="inlineStr">
        <is>
          <t>805</t>
        </is>
      </c>
      <c r="B784" s="18" t="inlineStr">
        <is>
          <t>ยาไม่ได้ขึ้นทะเบียนตำรับ</t>
        </is>
      </c>
      <c r="C784" s="18" t="inlineStr"/>
      <c r="D784" s="18" t="inlineStr">
        <is>
          <t>Naloxone 0.4 mg IV stat</t>
        </is>
      </c>
      <c r="E784" s="18" t="inlineStr">
        <is>
          <t>Flumazenil 0.2 mg IV stat</t>
        </is>
      </c>
      <c r="F784" s="18" t="inlineStr">
        <is>
          <t>Vitamin K1 (Phytomenadione) 10 mg IV slow</t>
        </is>
      </c>
      <c r="G784" s="18" t="inlineStr">
        <is>
          <t>Sodium thiosulfate 25% 50 mL IV</t>
        </is>
      </c>
      <c r="H784" s="18" t="inlineStr">
        <is>
          <t>Calcium disodium EDTA 1 g IV</t>
        </is>
      </c>
      <c r="I784" s="15" t="inlineStr">
        <is>
          <t>1</t>
        </is>
      </c>
      <c r="J7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4" s="18" t="inlineStr"/>
      <c r="L784" s="18" t="inlineStr">
        <is>
          <t>General Therapeutics</t>
        </is>
      </c>
      <c r="M784" s="18" t="inlineStr">
        <is>
          <t>Clinic</t>
        </is>
      </c>
      <c r="N784" s="18" t="inlineStr">
        <is>
          <t>ข้อ 4 (PLE_CC1_2555 Day 2.md)</t>
        </is>
      </c>
      <c r="O784" s="18" t="inlineStr">
        <is>
          <t>ข้อสอบจริง</t>
        </is>
      </c>
      <c r="P784" s="18" t="inlineStr">
        <is>
          <t>ปี 2555</t>
        </is>
      </c>
    </row>
    <row r="785">
      <c r="A785" s="15" t="inlineStr">
        <is>
          <t>806</t>
        </is>
      </c>
      <c r="B785" s="18" t="inlineStr">
        <is>
          <t>ควรเลือกใช้ยาแก้แพ้ใดในผู้ป่วยต่อไปนี้</t>
        </is>
      </c>
      <c r="C785" s="18" t="inlineStr"/>
      <c r="D785" s="18" t="inlineStr">
        <is>
          <t>Sodium thiosulfate 25% 50 mL IV</t>
        </is>
      </c>
      <c r="E785" s="18" t="inlineStr">
        <is>
          <t>Calcium disodium EDTA 1 g IV</t>
        </is>
      </c>
      <c r="F785" s="18" t="inlineStr">
        <is>
          <t>Desferrioxamine 1 g IM/IV</t>
        </is>
      </c>
      <c r="G785" s="18" t="inlineStr">
        <is>
          <t>Dimercaprol (BAL) 3 mg/kg IM</t>
        </is>
      </c>
      <c r="H785" s="18" t="inlineStr">
        <is>
          <t>Ethanol 10% IV infusion for Methanol poisoning</t>
        </is>
      </c>
      <c r="I785" s="15" t="inlineStr">
        <is>
          <t>1</t>
        </is>
      </c>
      <c r="J7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5" s="18" t="inlineStr"/>
      <c r="L785" s="18" t="inlineStr">
        <is>
          <t>General Therapeutics</t>
        </is>
      </c>
      <c r="M785" s="18" t="inlineStr">
        <is>
          <t>Clinic</t>
        </is>
      </c>
      <c r="N785" s="18" t="inlineStr">
        <is>
          <t>ข้อ 1 (PLE_CC1_2555 Day 2.md)</t>
        </is>
      </c>
      <c r="O785" s="18" t="inlineStr">
        <is>
          <t>ข้อสอบจริง</t>
        </is>
      </c>
      <c r="P785" s="18" t="inlineStr">
        <is>
          <t>ปี 2555</t>
        </is>
      </c>
    </row>
    <row r="786">
      <c r="A786" s="15" t="inlineStr">
        <is>
          <t>807</t>
        </is>
      </c>
      <c r="B786" s="18" t="inlineStr">
        <is>
          <t>พ่นให้ปลายชี้ไปทางผนังกั้นจมูก</t>
        </is>
      </c>
      <c r="C786" s="18" t="inlineStr"/>
      <c r="D786" s="18" t="inlineStr">
        <is>
          <t>Dimercaprol (BAL) 3 mg/kg IM</t>
        </is>
      </c>
      <c r="E786" s="18" t="inlineStr">
        <is>
          <t>Ethanol 10% IV infusion for Methanol poisoning</t>
        </is>
      </c>
      <c r="F786" s="18" t="inlineStr">
        <is>
          <t>Fomepizole 15 mg/kg IV loading</t>
        </is>
      </c>
      <c r="G786" s="18" t="inlineStr">
        <is>
          <t>N-acetylcysteine (NAC) IV infusion protocol</t>
        </is>
      </c>
      <c r="H786" s="18" t="inlineStr">
        <is>
          <t>Atropine sulfate 2 mg IV Q5-10 min</t>
        </is>
      </c>
      <c r="I786" s="15" t="inlineStr">
        <is>
          <t>1</t>
        </is>
      </c>
      <c r="J7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6" s="18" t="inlineStr"/>
      <c r="L786" s="18" t="inlineStr">
        <is>
          <t>General Therapeutics</t>
        </is>
      </c>
      <c r="M786" s="18" t="inlineStr">
        <is>
          <t>Clinic</t>
        </is>
      </c>
      <c r="N786" s="18" t="inlineStr">
        <is>
          <t>ข้อ 2 (PLE_CC1_2555 Day 2.md)</t>
        </is>
      </c>
      <c r="O786" s="18" t="inlineStr">
        <is>
          <t>ข้อสอบจริง</t>
        </is>
      </c>
      <c r="P786" s="18" t="inlineStr">
        <is>
          <t>ปี 2555</t>
        </is>
      </c>
    </row>
    <row r="787">
      <c r="A787" s="15" t="inlineStr">
        <is>
          <t>808</t>
        </is>
      </c>
      <c r="B787" s="18" t="inlineStr">
        <is>
          <t>พ่นให้ปลายชี้ไปทางผนังด้านข้างจมูก</t>
        </is>
      </c>
      <c r="C787" s="18" t="inlineStr"/>
      <c r="D787" s="18" t="inlineStr">
        <is>
          <t>N-acetylcysteine (NAC) IV infusion protocol</t>
        </is>
      </c>
      <c r="E787" s="18" t="inlineStr">
        <is>
          <t>Atropine sulfate 2 mg IV Q5-10 min</t>
        </is>
      </c>
      <c r="F787" s="18" t="inlineStr">
        <is>
          <t>Pralidoxime (2-PAM) 1-2 g IV over 30 min</t>
        </is>
      </c>
      <c r="G787" s="18" t="inlineStr">
        <is>
          <t>Naloxone 0.4 mg IV stat</t>
        </is>
      </c>
      <c r="H787" s="18" t="inlineStr">
        <is>
          <t>Flumazenil 0.2 mg IV stat</t>
        </is>
      </c>
      <c r="I787" s="15" t="inlineStr">
        <is>
          <t>1</t>
        </is>
      </c>
      <c r="J7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7" s="18" t="inlineStr"/>
      <c r="L787" s="18" t="inlineStr">
        <is>
          <t>General Therapeutics</t>
        </is>
      </c>
      <c r="M787" s="18" t="inlineStr">
        <is>
          <t>Clinic</t>
        </is>
      </c>
      <c r="N787" s="18" t="inlineStr">
        <is>
          <t>ข้อ 3 (PLE_CC1_2555 Day 2.md)</t>
        </is>
      </c>
      <c r="O787" s="18" t="inlineStr">
        <is>
          <t>ข้อสอบจริง</t>
        </is>
      </c>
      <c r="P787" s="18" t="inlineStr">
        <is>
          <t>ปี 2555</t>
        </is>
      </c>
    </row>
    <row r="788">
      <c r="A788" s="15" t="inlineStr">
        <is>
          <t>809</t>
        </is>
      </c>
      <c r="B788" s="18" t="inlineStr">
        <is>
          <t>พ่นยังไงก็ได้ แล้วแต่ชนิดของยา</t>
        </is>
      </c>
      <c r="C788" s="18" t="inlineStr"/>
      <c r="D788" s="18" t="inlineStr">
        <is>
          <t>Naloxone 0.4 mg IV stat</t>
        </is>
      </c>
      <c r="E788" s="18" t="inlineStr">
        <is>
          <t>Flumazenil 0.2 mg IV stat</t>
        </is>
      </c>
      <c r="F788" s="18" t="inlineStr">
        <is>
          <t>Vitamin K1 (Phytomenadione) 10 mg IV slow</t>
        </is>
      </c>
      <c r="G788" s="18" t="inlineStr">
        <is>
          <t>Sodium thiosulfate 25% 50 mL IV</t>
        </is>
      </c>
      <c r="H788" s="18" t="inlineStr">
        <is>
          <t>Calcium disodium EDTA 1 g IV</t>
        </is>
      </c>
      <c r="I788" s="15" t="inlineStr">
        <is>
          <t>1</t>
        </is>
      </c>
      <c r="J7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8" s="18" t="inlineStr"/>
      <c r="L788" s="18" t="inlineStr">
        <is>
          <t>General Therapeutics</t>
        </is>
      </c>
      <c r="M788" s="18" t="inlineStr">
        <is>
          <t>Clinic</t>
        </is>
      </c>
      <c r="N788" s="18" t="inlineStr">
        <is>
          <t>ข้อ 5 (PLE_CC1_2555 Day 2.md)</t>
        </is>
      </c>
      <c r="O788" s="18" t="inlineStr">
        <is>
          <t>ข้อสอบจริง</t>
        </is>
      </c>
      <c r="P788" s="18" t="inlineStr">
        <is>
          <t>ปี 2555</t>
        </is>
      </c>
    </row>
    <row r="789">
      <c r="A789" s="15" t="inlineStr">
        <is>
          <t>810</t>
        </is>
      </c>
      <c r="B789" s="18" t="inlineStr">
        <is>
          <t>ถ้าพ่นไม่ถูกตามวิธีข้างต้น จะเกิด ADR อะไรขึ้น MCQ 1/2555 by CURx69 page 3</t>
        </is>
      </c>
      <c r="C789" s="18" t="inlineStr"/>
      <c r="D789" s="18" t="inlineStr">
        <is>
          <t>Epinephrine 0.3 mg IM stat</t>
        </is>
      </c>
      <c r="E789" s="18" t="inlineStr">
        <is>
          <t>Dexamethasone 4 mg IV</t>
        </is>
      </c>
      <c r="F789" s="18" t="inlineStr">
        <is>
          <t>Prednisolone 20 mg OD</t>
        </is>
      </c>
      <c r="G789" s="18" t="inlineStr">
        <is>
          <t>Montelukast 10 mg HS</t>
        </is>
      </c>
      <c r="H789" s="18" t="inlineStr">
        <is>
          <t>Hydroxyzine 25 mg HS</t>
        </is>
      </c>
      <c r="I789" s="15" t="inlineStr">
        <is>
          <t>1</t>
        </is>
      </c>
      <c r="J789" s="18"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89" s="18" t="inlineStr"/>
      <c r="L789" s="18" t="inlineStr">
        <is>
          <t>Allergy &amp; Immunology</t>
        </is>
      </c>
      <c r="M789" s="18" t="inlineStr">
        <is>
          <t>Clinic</t>
        </is>
      </c>
      <c r="N789" s="18" t="inlineStr">
        <is>
          <t>ข้อ 3 (PLE_CC1_2555 Day 2.md)</t>
        </is>
      </c>
      <c r="O789" s="18" t="inlineStr">
        <is>
          <t>ข้อสอบจริง</t>
        </is>
      </c>
      <c r="P789" s="18" t="inlineStr">
        <is>
          <t>ปี 2555</t>
        </is>
      </c>
    </row>
    <row r="790">
      <c r="A790" s="15" t="inlineStr">
        <is>
          <t>811</t>
        </is>
      </c>
      <c r="B790" s="18" t="inlineStr">
        <is>
          <t>แสบผนังกั้นจมูก</t>
        </is>
      </c>
      <c r="C790" s="18" t="inlineStr"/>
      <c r="D790" s="18" t="inlineStr">
        <is>
          <t>Dimercaprol (BAL) 3 mg/kg IM</t>
        </is>
      </c>
      <c r="E790" s="18" t="inlineStr">
        <is>
          <t>Ethanol 10% IV infusion for Methanol poisoning</t>
        </is>
      </c>
      <c r="F790" s="18" t="inlineStr">
        <is>
          <t>Fomepizole 15 mg/kg IV loading</t>
        </is>
      </c>
      <c r="G790" s="18" t="inlineStr">
        <is>
          <t>N-acetylcysteine (NAC) IV infusion protocol</t>
        </is>
      </c>
      <c r="H790" s="18" t="inlineStr">
        <is>
          <t>Atropine sulfate 2 mg IV Q5-10 min</t>
        </is>
      </c>
      <c r="I790" s="15" t="inlineStr">
        <is>
          <t>1</t>
        </is>
      </c>
      <c r="J7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0" s="18" t="inlineStr"/>
      <c r="L790" s="18" t="inlineStr">
        <is>
          <t>General Therapeutics</t>
        </is>
      </c>
      <c r="M790" s="18" t="inlineStr">
        <is>
          <t>Clinic</t>
        </is>
      </c>
      <c r="N790" s="18" t="inlineStr">
        <is>
          <t>ข้อ 1 (PLE_CC1_2555 Day 2.md)</t>
        </is>
      </c>
      <c r="O790" s="18" t="inlineStr">
        <is>
          <t>ข้อสอบจริง</t>
        </is>
      </c>
      <c r="P790" s="18" t="inlineStr">
        <is>
          <t>ปี 2555</t>
        </is>
      </c>
    </row>
    <row r="791">
      <c r="A791" s="15" t="inlineStr">
        <is>
          <t>812</t>
        </is>
      </c>
      <c r="B791" s="18" t="inlineStr">
        <is>
          <t>Oxymethazoline ห้ามใช้ในผู้ป่วยกลุ่มต่อไปนี้ ยกเว้น</t>
        </is>
      </c>
      <c r="C791" s="18" t="inlineStr"/>
      <c r="D791" s="18" t="inlineStr">
        <is>
          <t>N-acetylcysteine (NAC) IV infusion protocol</t>
        </is>
      </c>
      <c r="E791" s="18" t="inlineStr">
        <is>
          <t>Atropine sulfate 2 mg IV Q5-10 min</t>
        </is>
      </c>
      <c r="F791" s="18" t="inlineStr">
        <is>
          <t>Pralidoxime (2-PAM) 1-2 g IV over 30 min</t>
        </is>
      </c>
      <c r="G791" s="18" t="inlineStr">
        <is>
          <t>Naloxone 0.4 mg IV stat</t>
        </is>
      </c>
      <c r="H791" s="18" t="inlineStr">
        <is>
          <t>Flumazenil 0.2 mg IV stat</t>
        </is>
      </c>
      <c r="I791" s="15" t="inlineStr">
        <is>
          <t>1</t>
        </is>
      </c>
      <c r="J7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1" s="18" t="inlineStr"/>
      <c r="L791" s="18" t="inlineStr">
        <is>
          <t>General Therapeutics</t>
        </is>
      </c>
      <c r="M791" s="18" t="inlineStr">
        <is>
          <t>Clinic</t>
        </is>
      </c>
      <c r="N791" s="18" t="inlineStr">
        <is>
          <t>ข้อ 4 (PLE_CC1_2555 Day 2.md)</t>
        </is>
      </c>
      <c r="O791" s="18" t="inlineStr">
        <is>
          <t>ข้อสอบจริง</t>
        </is>
      </c>
      <c r="P791" s="18" t="inlineStr">
        <is>
          <t>ปี 2555</t>
        </is>
      </c>
    </row>
    <row r="792">
      <c r="A792" s="15" t="inlineStr">
        <is>
          <t>813</t>
        </is>
      </c>
      <c r="B792" s="18" t="inlineStr">
        <is>
          <t>Postatic hypertrophy</t>
        </is>
      </c>
      <c r="C792" s="18" t="inlineStr"/>
      <c r="D792" s="18" t="inlineStr">
        <is>
          <t>Naloxone 0.4 mg IV stat</t>
        </is>
      </c>
      <c r="E792" s="18" t="inlineStr">
        <is>
          <t>Flumazenil 0.2 mg IV stat</t>
        </is>
      </c>
      <c r="F792" s="18" t="inlineStr">
        <is>
          <t>Vitamin K1 (Phytomenadione) 10 mg IV slow</t>
        </is>
      </c>
      <c r="G792" s="18" t="inlineStr">
        <is>
          <t>Sodium thiosulfate 25% 50 mL IV</t>
        </is>
      </c>
      <c r="H792" s="18" t="inlineStr">
        <is>
          <t>Calcium disodium EDTA 1 g IV</t>
        </is>
      </c>
      <c r="I792" s="15" t="inlineStr">
        <is>
          <t>1</t>
        </is>
      </c>
      <c r="J7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92" s="18" t="inlineStr"/>
      <c r="L792" s="18" t="inlineStr">
        <is>
          <t>General Therapeutics</t>
        </is>
      </c>
      <c r="M792" s="18" t="inlineStr">
        <is>
          <t>Clinic</t>
        </is>
      </c>
      <c r="N792" s="18" t="inlineStr">
        <is>
          <t>ข้อ 5 (PLE_CC1_2555 Day 2.md)</t>
        </is>
      </c>
      <c r="O792" s="18" t="inlineStr">
        <is>
          <t>ข้อสอบจริง</t>
        </is>
      </c>
      <c r="P792" s="18" t="inlineStr">
        <is>
          <t>ปี 2555</t>
        </is>
      </c>
    </row>
    <row r="793">
      <c r="A793" s="15" t="inlineStr">
        <is>
          <t>814</t>
        </is>
      </c>
      <c r="B793" s="18" t="inlineStr">
        <is>
          <t>ตำรับ Oxymethazoline (E=0.30) 0.1 % NaCl qs Purified water 100 ml จะปรับให้สูตรตำรับ Isotonic ต้องใช้ NaCl เท่าไร</t>
        </is>
      </c>
      <c r="C793" s="18" t="inlineStr"/>
      <c r="D793" s="18" t="inlineStr">
        <is>
          <t>พ.ร.บ. วัตถุที่ออกฤทธิ์ต่อจิตและประสาท พ.ศ. 2559 (ประเภท 2 และ 4)</t>
        </is>
      </c>
      <c r="E793" s="18" t="inlineStr">
        <is>
          <t>พ.ร.บ. วิชาชีพเภสัชกรรม พ.ศ. 2537 และข้อบังคับจรรยาบรรณวิชาชีพ</t>
        </is>
      </c>
      <c r="F793" s="18" t="inlineStr">
        <is>
          <t>พ.ร.บ. ผลิตภัณฑ์สมุนไพร พ.ศ. 2562</t>
        </is>
      </c>
      <c r="G793" s="18" t="inlineStr">
        <is>
          <t>พ.ร.บ. เครื่องสำอาง พ.ศ. 2558</t>
        </is>
      </c>
      <c r="H793" s="18" t="inlineStr">
        <is>
          <t>พ.ร.บ. หลักประกันสุขภาพแห่งชาติ พ.ศ. 2545</t>
        </is>
      </c>
      <c r="I793" s="15" t="inlineStr">
        <is>
          <t>1</t>
        </is>
      </c>
      <c r="J793"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3" s="18" t="inlineStr"/>
      <c r="L793" s="18" t="inlineStr">
        <is>
          <t>Pharmacy Laws &amp; Ethics</t>
        </is>
      </c>
      <c r="M793" s="18" t="inlineStr">
        <is>
          <t>SAP</t>
        </is>
      </c>
      <c r="N793" s="18" t="inlineStr">
        <is>
          <t>ข้อ 5 (PLE_CC1_2555 Day 2.md)</t>
        </is>
      </c>
      <c r="O793" s="18" t="inlineStr">
        <is>
          <t>ข้อสอบจริง</t>
        </is>
      </c>
      <c r="P793" s="18" t="inlineStr">
        <is>
          <t>ปี 2555</t>
        </is>
      </c>
    </row>
    <row r="794">
      <c r="A794" s="15" t="inlineStr">
        <is>
          <t>815</t>
        </is>
      </c>
      <c r="B794" s="18" t="inlineStr">
        <is>
          <t>เป็นยาควบคุมพิเศษ เภสัชกรไม่สามารถจ่ายได้</t>
        </is>
      </c>
      <c r="C794" s="18" t="inlineStr"/>
      <c r="D794" s="18" t="inlineStr">
        <is>
          <t>พ.ร.บ. เครื่องสำอาง พ.ศ. 2558</t>
        </is>
      </c>
      <c r="E794" s="18" t="inlineStr">
        <is>
          <t>พ.ร.บ. หลักประกันสุขภาพแห่งชาติ พ.ศ. 2545</t>
        </is>
      </c>
      <c r="F794" s="18" t="inlineStr">
        <is>
          <t>การปฏิบัติทางเภสัชกรรมชุมชน (Good Pharmacy Practice: GPP)</t>
        </is>
      </c>
      <c r="G794" s="18" t="inlineStr">
        <is>
          <t>บัญชียาหลักแห่งชาติ (National List of Essential Medicines: NLEM)</t>
        </is>
      </c>
      <c r="H794" s="18" t="inlineStr">
        <is>
          <t>เกณฑ์จริยธรรมว่าด้วยการส่งเสริมการขายยาของกระทรวงสาธารณสุข</t>
        </is>
      </c>
      <c r="I794" s="15" t="inlineStr">
        <is>
          <t>1</t>
        </is>
      </c>
      <c r="J794"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4" s="18" t="inlineStr"/>
      <c r="L794" s="18" t="inlineStr">
        <is>
          <t>Pharmacy Laws &amp; Ethics</t>
        </is>
      </c>
      <c r="M794" s="18" t="inlineStr">
        <is>
          <t>SAP</t>
        </is>
      </c>
      <c r="N794" s="18" t="inlineStr">
        <is>
          <t>ข้อ 1 (PLE_CC1_2555 Day 2.md)</t>
        </is>
      </c>
      <c r="O794" s="18" t="inlineStr">
        <is>
          <t>ข้อสอบจริง</t>
        </is>
      </c>
      <c r="P794" s="18" t="inlineStr">
        <is>
          <t>ปี 2555</t>
        </is>
      </c>
    </row>
    <row r="795">
      <c r="A795" s="15" t="inlineStr">
        <is>
          <t>816</t>
        </is>
      </c>
      <c r="B795" s="18" t="inlineStr">
        <is>
          <t>ใช้ในสถานพยาบาลเท่านั้น</t>
        </is>
      </c>
      <c r="C795" s="18" t="inlineStr"/>
      <c r="D795" s="18" t="inlineStr">
        <is>
          <t>N-acetylcysteine (NAC) IV infusion protocol</t>
        </is>
      </c>
      <c r="E795" s="18" t="inlineStr">
        <is>
          <t>Atropine sulfate 2 mg IV Q5-10 min</t>
        </is>
      </c>
      <c r="F795" s="18" t="inlineStr">
        <is>
          <t>Pralidoxime (2-PAM) 1-2 g IV over 30 min</t>
        </is>
      </c>
      <c r="G795" s="18" t="inlineStr">
        <is>
          <t>Naloxone 0.4 mg IV stat</t>
        </is>
      </c>
      <c r="H795" s="18" t="inlineStr">
        <is>
          <t>Flumazenil 0.2 mg IV stat</t>
        </is>
      </c>
      <c r="I795" s="15" t="inlineStr">
        <is>
          <t>1</t>
        </is>
      </c>
      <c r="J7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5" s="18" t="inlineStr"/>
      <c r="L795" s="18" t="inlineStr">
        <is>
          <t>General Therapeutics</t>
        </is>
      </c>
      <c r="M795" s="18" t="inlineStr">
        <is>
          <t>Clinic</t>
        </is>
      </c>
      <c r="N795" s="18" t="inlineStr">
        <is>
          <t>ข้อ 2 (PLE_CC1_2555 Day 2.md)</t>
        </is>
      </c>
      <c r="O795" s="18" t="inlineStr">
        <is>
          <t>ข้อสอบจริง</t>
        </is>
      </c>
      <c r="P795" s="18" t="inlineStr">
        <is>
          <t>ปี 2555</t>
        </is>
      </c>
    </row>
    <row r="796">
      <c r="A796" s="15" t="inlineStr">
        <is>
          <t>817</t>
        </is>
      </c>
      <c r="B796" s="18" t="inlineStr">
        <is>
          <t>เป็นยาควบคุมพิเศษ จ่ายได้ตามใบสั่งแพทย์</t>
        </is>
      </c>
      <c r="C796" s="18" t="inlineStr"/>
      <c r="D796" s="18" t="inlineStr">
        <is>
          <t>พ.ร.บ. ยาเสพติดให้โทษ พ.ศ. 2522 (ยาเสพติดให้โทษประเภท 2 และ 3)</t>
        </is>
      </c>
      <c r="E796" s="18" t="inlineStr">
        <is>
          <t>พ.ร.บ. วัตถุที่ออกฤทธิ์ต่อจิตและประสาท พ.ศ. 2559 (ประเภท 2 และ 4)</t>
        </is>
      </c>
      <c r="F796" s="18" t="inlineStr">
        <is>
          <t>พ.ร.บ. วิชาชีพเภสัชกรรม พ.ศ. 2537 และข้อบังคับจรรยาบรรณวิชาชีพ</t>
        </is>
      </c>
      <c r="G796" s="18" t="inlineStr">
        <is>
          <t>พ.ร.บ. ผลิตภัณฑ์สมุนไพร พ.ศ. 2562</t>
        </is>
      </c>
      <c r="H796" s="18" t="inlineStr">
        <is>
          <t>พ.ร.บ. เครื่องสำอาง พ.ศ. 2558</t>
        </is>
      </c>
      <c r="I796" s="15" t="inlineStr">
        <is>
          <t>1</t>
        </is>
      </c>
      <c r="J796"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6" s="18" t="inlineStr"/>
      <c r="L796" s="18" t="inlineStr">
        <is>
          <t>Pharmacy Laws &amp; Ethics</t>
        </is>
      </c>
      <c r="M796" s="18" t="inlineStr">
        <is>
          <t>SAP</t>
        </is>
      </c>
      <c r="N796" s="18" t="inlineStr">
        <is>
          <t>ข้อ 3 (PLE_CC1_2555 Day 2.md)</t>
        </is>
      </c>
      <c r="O796" s="18" t="inlineStr">
        <is>
          <t>ข้อสอบจริง</t>
        </is>
      </c>
      <c r="P796" s="18" t="inlineStr">
        <is>
          <t>ปี 2555</t>
        </is>
      </c>
    </row>
    <row r="797">
      <c r="A797" s="15" t="inlineStr">
        <is>
          <t>818</t>
        </is>
      </c>
      <c r="B797" s="18" t="inlineStr">
        <is>
          <t>ปวดจุก รู้สึกแสบท้อง</t>
        </is>
      </c>
      <c r="C797" s="18" t="inlineStr"/>
      <c r="D797" s="18" t="inlineStr">
        <is>
          <t>Sodium thiosulfate 25% 50 mL IV</t>
        </is>
      </c>
      <c r="E797" s="18" t="inlineStr">
        <is>
          <t>Calcium disodium EDTA 1 g IV</t>
        </is>
      </c>
      <c r="F797" s="18" t="inlineStr">
        <is>
          <t>Desferrioxamine 1 g IM/IV</t>
        </is>
      </c>
      <c r="G797" s="18" t="inlineStr">
        <is>
          <t>Dimercaprol (BAL) 3 mg/kg IM</t>
        </is>
      </c>
      <c r="H797" s="18" t="inlineStr">
        <is>
          <t>Ethanol 10% IV infusion for Methanol poisoning</t>
        </is>
      </c>
      <c r="I797" s="15" t="inlineStr">
        <is>
          <t>1</t>
        </is>
      </c>
      <c r="J7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7" s="18" t="inlineStr"/>
      <c r="L797" s="18" t="inlineStr">
        <is>
          <t>General Therapeutics</t>
        </is>
      </c>
      <c r="M797" s="18" t="inlineStr">
        <is>
          <t>Clinic</t>
        </is>
      </c>
      <c r="N797" s="18" t="inlineStr">
        <is>
          <t>ข้อ 1 (PLE_CC1_2555 Day 2.md)</t>
        </is>
      </c>
      <c r="O797" s="18" t="inlineStr">
        <is>
          <t>ข้อสอบจริง</t>
        </is>
      </c>
      <c r="P797" s="18" t="inlineStr">
        <is>
          <t>ปี 2555</t>
        </is>
      </c>
    </row>
    <row r="798">
      <c r="A798" s="15" t="inlineStr">
        <is>
          <t>819</t>
        </is>
      </c>
      <c r="B798" s="18" t="inlineStr">
        <is>
          <t>เจ็บบริเวณลิ้นปี่</t>
        </is>
      </c>
      <c r="C798" s="18" t="inlineStr"/>
      <c r="D798" s="18" t="inlineStr">
        <is>
          <t>Dimercaprol (BAL) 3 mg/kg IM</t>
        </is>
      </c>
      <c r="E798" s="18" t="inlineStr">
        <is>
          <t>Ethanol 10% IV infusion for Methanol poisoning</t>
        </is>
      </c>
      <c r="F798" s="18" t="inlineStr">
        <is>
          <t>Fomepizole 15 mg/kg IV loading</t>
        </is>
      </c>
      <c r="G798" s="18" t="inlineStr">
        <is>
          <t>N-acetylcysteine (NAC) IV infusion protocol</t>
        </is>
      </c>
      <c r="H798" s="18" t="inlineStr">
        <is>
          <t>Atropine sulfate 2 mg IV Q5-10 min</t>
        </is>
      </c>
      <c r="I798" s="15" t="inlineStr">
        <is>
          <t>1</t>
        </is>
      </c>
      <c r="J79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8" s="18" t="inlineStr"/>
      <c r="L798" s="18" t="inlineStr">
        <is>
          <t>General Therapeutics</t>
        </is>
      </c>
      <c r="M798" s="18" t="inlineStr">
        <is>
          <t>Clinic</t>
        </is>
      </c>
      <c r="N798" s="18" t="inlineStr">
        <is>
          <t>ข้อ 2 (PLE_CC1_2555 Day 2.md)</t>
        </is>
      </c>
      <c r="O798" s="18" t="inlineStr">
        <is>
          <t>ข้อสอบจริง</t>
        </is>
      </c>
      <c r="P798" s="18" t="inlineStr">
        <is>
          <t>ปี 2555</t>
        </is>
      </c>
    </row>
    <row r="799">
      <c r="A799" s="15" t="inlineStr">
        <is>
          <t>820</t>
        </is>
      </c>
      <c r="B799" s="18" t="inlineStr">
        <is>
          <t>อุจจาระเป็นเลือดสด</t>
        </is>
      </c>
      <c r="C799" s="18" t="inlineStr"/>
      <c r="D799" s="18" t="inlineStr">
        <is>
          <t>N-acetylcysteine (NAC) IV infusion protocol</t>
        </is>
      </c>
      <c r="E799" s="18" t="inlineStr">
        <is>
          <t>Atropine sulfate 2 mg IV Q5-10 min</t>
        </is>
      </c>
      <c r="F799" s="18" t="inlineStr">
        <is>
          <t>Pralidoxime (2-PAM) 1-2 g IV over 30 min</t>
        </is>
      </c>
      <c r="G799" s="18" t="inlineStr">
        <is>
          <t>Naloxone 0.4 mg IV stat</t>
        </is>
      </c>
      <c r="H799" s="18" t="inlineStr">
        <is>
          <t>Flumazenil 0.2 mg IV stat</t>
        </is>
      </c>
      <c r="I799" s="15" t="inlineStr">
        <is>
          <t>1</t>
        </is>
      </c>
      <c r="J79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9" s="18" t="inlineStr"/>
      <c r="L799" s="18" t="inlineStr">
        <is>
          <t>General Therapeutics</t>
        </is>
      </c>
      <c r="M799" s="18" t="inlineStr">
        <is>
          <t>Clinic</t>
        </is>
      </c>
      <c r="N799" s="18" t="inlineStr">
        <is>
          <t>ข้อ 3 (PLE_CC1_2555 Day 2.md)</t>
        </is>
      </c>
      <c r="O799" s="18" t="inlineStr">
        <is>
          <t>ข้อสอบจริง</t>
        </is>
      </c>
      <c r="P799" s="18" t="inlineStr">
        <is>
          <t>ปี 2555</t>
        </is>
      </c>
    </row>
    <row r="800">
      <c r="A800" s="15" t="inlineStr">
        <is>
          <t>821</t>
        </is>
      </c>
      <c r="B800" s="18" t="inlineStr">
        <is>
          <t>อาการปวดเป็นมากขึ้นตอนท้องว่าง</t>
        </is>
      </c>
      <c r="C800" s="18" t="inlineStr"/>
      <c r="D800" s="18" t="inlineStr">
        <is>
          <t>Naloxone 0.4 mg IV stat</t>
        </is>
      </c>
      <c r="E800" s="18" t="inlineStr">
        <is>
          <t>Flumazenil 0.2 mg IV stat</t>
        </is>
      </c>
      <c r="F800" s="18" t="inlineStr">
        <is>
          <t>Vitamin K1 (Phytomenadione) 10 mg IV slow</t>
        </is>
      </c>
      <c r="G800" s="18" t="inlineStr">
        <is>
          <t>Sodium thiosulfate 25% 50 mL IV</t>
        </is>
      </c>
      <c r="H800" s="18" t="inlineStr">
        <is>
          <t>Calcium disodium EDTA 1 g IV</t>
        </is>
      </c>
      <c r="I800" s="15" t="inlineStr">
        <is>
          <t>1</t>
        </is>
      </c>
      <c r="J8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0" s="18" t="inlineStr"/>
      <c r="L800" s="18" t="inlineStr">
        <is>
          <t>General Therapeutics</t>
        </is>
      </c>
      <c r="M800" s="18" t="inlineStr">
        <is>
          <t>Clinic</t>
        </is>
      </c>
      <c r="N800" s="18" t="inlineStr">
        <is>
          <t>ข้อ 4 (PLE_CC1_2555 Day 2.md)</t>
        </is>
      </c>
      <c r="O800" s="18" t="inlineStr">
        <is>
          <t>ข้อสอบจริง</t>
        </is>
      </c>
      <c r="P800" s="18" t="inlineStr">
        <is>
          <t>ปี 2555</t>
        </is>
      </c>
    </row>
    <row r="801">
      <c r="A801" s="15" t="inlineStr">
        <is>
          <t>822</t>
        </is>
      </c>
      <c r="B801" s="18" t="inlineStr">
        <is>
          <t>อาการดีขึ้นตอนกินยาลดกรด</t>
        </is>
      </c>
      <c r="C801" s="18" t="inlineStr"/>
      <c r="D801" s="18" t="inlineStr">
        <is>
          <t>Clarithromycin 500 mg BID</t>
        </is>
      </c>
      <c r="E801" s="18" t="inlineStr">
        <is>
          <t>Hyoscine butylbromide 10 mg TID</t>
        </is>
      </c>
      <c r="F801" s="18" t="inlineStr">
        <is>
          <t>Aluminium hydroxide/Magnesium hydroxide suspension</t>
        </is>
      </c>
      <c r="G801" s="18" t="inlineStr">
        <is>
          <t>Metoclopramide 10 mg TID before meals</t>
        </is>
      </c>
      <c r="H801" s="18" t="inlineStr">
        <is>
          <t>Omeprazole 20 mg OD</t>
        </is>
      </c>
      <c r="I801" s="15" t="inlineStr">
        <is>
          <t>1</t>
        </is>
      </c>
      <c r="J801" s="18" t="inlineStr">
        <is>
          <t>✅ คำตอบที่ถูกต้อง: ข้อ ก. Clarithromycin 500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Clarithromycin 500 mg BID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1" s="18" t="inlineStr"/>
      <c r="L801" s="18" t="inlineStr">
        <is>
          <t>GI Disorders</t>
        </is>
      </c>
      <c r="M801" s="18" t="inlineStr">
        <is>
          <t>Clinic</t>
        </is>
      </c>
      <c r="N801" s="18" t="inlineStr">
        <is>
          <t>ข้อ 5 (PLE_CC1_2555 Day 2.md)</t>
        </is>
      </c>
      <c r="O801" s="18" t="inlineStr">
        <is>
          <t>ข้อสอบจริง</t>
        </is>
      </c>
      <c r="P801" s="18" t="inlineStr">
        <is>
          <t>ปี 2555</t>
        </is>
      </c>
    </row>
    <row r="802">
      <c r="A802" s="15" t="inlineStr">
        <is>
          <t>823</t>
        </is>
      </c>
      <c r="B802" s="18" t="inlineStr">
        <is>
          <t>H+/K+ ATPase inhibitor</t>
        </is>
      </c>
      <c r="C802" s="18" t="inlineStr"/>
      <c r="D802" s="18" t="inlineStr">
        <is>
          <t>Dimercaprol (BAL) 3 mg/kg IM</t>
        </is>
      </c>
      <c r="E802" s="18" t="inlineStr">
        <is>
          <t>Ethanol 10% IV infusion for Methanol poisoning</t>
        </is>
      </c>
      <c r="F802" s="18" t="inlineStr">
        <is>
          <t>Fomepizole 15 mg/kg IV loading</t>
        </is>
      </c>
      <c r="G802" s="18" t="inlineStr">
        <is>
          <t>N-acetylcysteine (NAC) IV infusion protocol</t>
        </is>
      </c>
      <c r="H802" s="18" t="inlineStr">
        <is>
          <t>Atropine sulfate 2 mg IV Q5-10 min</t>
        </is>
      </c>
      <c r="I802" s="15" t="inlineStr">
        <is>
          <t>1</t>
        </is>
      </c>
      <c r="J8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2" s="18" t="inlineStr"/>
      <c r="L802" s="18" t="inlineStr">
        <is>
          <t>General Therapeutics</t>
        </is>
      </c>
      <c r="M802" s="18" t="inlineStr">
        <is>
          <t>Clinic</t>
        </is>
      </c>
      <c r="N802" s="18" t="inlineStr">
        <is>
          <t>ข้อ 4 (PLE_CC1_2555 Day 2.md)</t>
        </is>
      </c>
      <c r="O802" s="18" t="inlineStr">
        <is>
          <t>ข้อสอบจริง</t>
        </is>
      </c>
      <c r="P802" s="18" t="inlineStr">
        <is>
          <t>ปี 2555</t>
        </is>
      </c>
    </row>
    <row r="803">
      <c r="A803" s="15" t="inlineStr">
        <is>
          <t>824</t>
        </is>
      </c>
      <c r="B803" s="18" t="inlineStr">
        <is>
          <t>ถ้าผู้ป่วยได้รับ antacid น ้า ร่วมด้วย ควรทำยังไง</t>
        </is>
      </c>
      <c r="C803" s="18" t="inlineStr"/>
      <c r="D803" s="18" t="inlineStr">
        <is>
          <t>Domperidone 10 mg TID</t>
        </is>
      </c>
      <c r="E803" s="18" t="inlineStr">
        <is>
          <t>Dimenhydrinate 50 mg TID</t>
        </is>
      </c>
      <c r="F803" s="18" t="inlineStr">
        <is>
          <t>Loperamide 2 mg PRN</t>
        </is>
      </c>
      <c r="G803" s="18" t="inlineStr">
        <is>
          <t>Senna 2 tabs HS</t>
        </is>
      </c>
      <c r="H803" s="18" t="inlineStr">
        <is>
          <t>Bisacodyl 5 mg HS</t>
        </is>
      </c>
      <c r="I803" s="15" t="inlineStr">
        <is>
          <t>1</t>
        </is>
      </c>
      <c r="J803" s="18"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3" s="18" t="inlineStr"/>
      <c r="L803" s="18" t="inlineStr">
        <is>
          <t>GI Disorders</t>
        </is>
      </c>
      <c r="M803" s="18" t="inlineStr">
        <is>
          <t>Clinic</t>
        </is>
      </c>
      <c r="N803" s="18" t="inlineStr">
        <is>
          <t>ข้อ 5 (PLE_CC1_2555 Day 2.md)</t>
        </is>
      </c>
      <c r="O803" s="18" t="inlineStr">
        <is>
          <t>ข้อสอบจริง</t>
        </is>
      </c>
      <c r="P803" s="18" t="inlineStr">
        <is>
          <t>ปี 2555</t>
        </is>
      </c>
    </row>
    <row r="804">
      <c r="A804" s="15" t="inlineStr">
        <is>
          <t>825</t>
        </is>
      </c>
      <c r="B804" s="18" t="inlineStr">
        <is>
          <t>กินร่วมกันได้เลย</t>
        </is>
      </c>
      <c r="C804" s="18" t="inlineStr"/>
      <c r="D804" s="18" t="inlineStr">
        <is>
          <t>Naloxone 0.4 mg IV stat</t>
        </is>
      </c>
      <c r="E804" s="18" t="inlineStr">
        <is>
          <t>Flumazenil 0.2 mg IV stat</t>
        </is>
      </c>
      <c r="F804" s="18" t="inlineStr">
        <is>
          <t>Vitamin K1 (Phytomenadione) 10 mg IV slow</t>
        </is>
      </c>
      <c r="G804" s="18" t="inlineStr">
        <is>
          <t>Sodium thiosulfate 25% 50 mL IV</t>
        </is>
      </c>
      <c r="H804" s="18" t="inlineStr">
        <is>
          <t>Calcium disodium EDTA 1 g IV</t>
        </is>
      </c>
      <c r="I804" s="15" t="inlineStr">
        <is>
          <t>1</t>
        </is>
      </c>
      <c r="J8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4" s="18" t="inlineStr"/>
      <c r="L804" s="18" t="inlineStr">
        <is>
          <t>General Therapeutics</t>
        </is>
      </c>
      <c r="M804" s="18" t="inlineStr">
        <is>
          <t>Clinic</t>
        </is>
      </c>
      <c r="N804" s="18" t="inlineStr">
        <is>
          <t>ข้อ 1 (PLE_CC1_2555 Day 2.md)</t>
        </is>
      </c>
      <c r="O804" s="18" t="inlineStr">
        <is>
          <t>ข้อสอบจริง</t>
        </is>
      </c>
      <c r="P804" s="18" t="inlineStr">
        <is>
          <t>ปี 2555</t>
        </is>
      </c>
    </row>
    <row r="805">
      <c r="A805" s="15" t="inlineStr">
        <is>
          <t>826</t>
        </is>
      </c>
      <c r="B805" s="18" t="inlineStr">
        <is>
          <t>ถ้าผู้ป่วยได้รับ Ketoconazole ร่วมด้วย จะเกิดอะไรขึ้น</t>
        </is>
      </c>
      <c r="C805" s="18" t="inlineStr"/>
      <c r="D805" s="18" t="inlineStr">
        <is>
          <t>Clotrimazole 1% cream</t>
        </is>
      </c>
      <c r="E805" s="18" t="inlineStr">
        <is>
          <t>Hydrocortisone 1% cream</t>
        </is>
      </c>
      <c r="F805" s="18" t="inlineStr">
        <is>
          <t>Triamcinolone acetonide 0.1% cream</t>
        </is>
      </c>
      <c r="G805" s="18" t="inlineStr">
        <is>
          <t>Clobetasol propionate 0.05% cream</t>
        </is>
      </c>
      <c r="H805" s="18" t="inlineStr">
        <is>
          <t>Ketoconazole 2% shampoo</t>
        </is>
      </c>
      <c r="I805" s="15" t="inlineStr">
        <is>
          <t>1</t>
        </is>
      </c>
      <c r="J805" s="18"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5" s="18" t="inlineStr"/>
      <c r="L805" s="18" t="inlineStr">
        <is>
          <t>Dermatologic Disorders</t>
        </is>
      </c>
      <c r="M805" s="18" t="inlineStr">
        <is>
          <t>Clinic</t>
        </is>
      </c>
      <c r="N805" s="18" t="inlineStr">
        <is>
          <t>ข้อ 4 (PLE_CC1_2555 Day 2.md)</t>
        </is>
      </c>
      <c r="O805" s="18" t="inlineStr">
        <is>
          <t>ข้อสอบจริง</t>
        </is>
      </c>
      <c r="P805" s="18" t="inlineStr">
        <is>
          <t>ปี 2555</t>
        </is>
      </c>
    </row>
    <row r="806">
      <c r="A806" s="15" t="inlineStr">
        <is>
          <t>827</t>
        </is>
      </c>
      <c r="B806" s="18" t="inlineStr">
        <is>
          <t>ลดระดับยา Ketoconazole ในเลือด</t>
        </is>
      </c>
      <c r="C806" s="18" t="inlineStr"/>
      <c r="D806" s="18" t="inlineStr">
        <is>
          <t>Clobetasol propionate 0.05% cream</t>
        </is>
      </c>
      <c r="E806" s="18" t="inlineStr">
        <is>
          <t>Ketoconazole 2% shampoo</t>
        </is>
      </c>
      <c r="F806" s="18" t="inlineStr">
        <is>
          <t>Benzoyl peroxide 2.5% gel</t>
        </is>
      </c>
      <c r="G806" s="18" t="inlineStr">
        <is>
          <t>Acyclovir 5% cream</t>
        </is>
      </c>
      <c r="H806" s="18" t="inlineStr">
        <is>
          <t>Silver sulfadiazine 1% cream</t>
        </is>
      </c>
      <c r="I806" s="15" t="inlineStr">
        <is>
          <t>1</t>
        </is>
      </c>
      <c r="J806" s="18"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6" s="18" t="inlineStr"/>
      <c r="L806" s="18" t="inlineStr">
        <is>
          <t>Dermatologic Disorders</t>
        </is>
      </c>
      <c r="M806" s="18" t="inlineStr">
        <is>
          <t>Clinic</t>
        </is>
      </c>
      <c r="N806" s="18" t="inlineStr">
        <is>
          <t>ข้อ 1 (PLE_CC1_2555 Day 2.md)</t>
        </is>
      </c>
      <c r="O806" s="18" t="inlineStr">
        <is>
          <t>ข้อสอบจริง</t>
        </is>
      </c>
      <c r="P806" s="18" t="inlineStr">
        <is>
          <t>ปี 2555</t>
        </is>
      </c>
    </row>
    <row r="807">
      <c r="A807" s="15" t="inlineStr">
        <is>
          <t>828</t>
        </is>
      </c>
      <c r="B807" s="18" t="inlineStr">
        <is>
          <t>เพิ่มระดับยา Ketoconazole ในเลือด</t>
        </is>
      </c>
      <c r="C807" s="18" t="inlineStr"/>
      <c r="D807" s="18" t="inlineStr">
        <is>
          <t>Acyclovir 5% cream</t>
        </is>
      </c>
      <c r="E807" s="18" t="inlineStr">
        <is>
          <t>Silver sulfadiazine 1% cream</t>
        </is>
      </c>
      <c r="F807" s="18" t="inlineStr">
        <is>
          <t>Cetirizine 10 mg OD</t>
        </is>
      </c>
      <c r="G807" s="18" t="inlineStr">
        <is>
          <t>Isotretinoin 10 mg OD</t>
        </is>
      </c>
      <c r="H807" s="18" t="inlineStr">
        <is>
          <t>Terbinafine 1% cream</t>
        </is>
      </c>
      <c r="I807" s="15" t="inlineStr">
        <is>
          <t>1</t>
        </is>
      </c>
      <c r="J807" s="18"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7" s="18" t="inlineStr"/>
      <c r="L807" s="18" t="inlineStr">
        <is>
          <t>Dermatologic Disorders</t>
        </is>
      </c>
      <c r="M807" s="18" t="inlineStr">
        <is>
          <t>Clinic</t>
        </is>
      </c>
      <c r="N807" s="18" t="inlineStr">
        <is>
          <t>ข้อ 2 (PLE_CC1_2555 Day 2.md)</t>
        </is>
      </c>
      <c r="O807" s="18" t="inlineStr">
        <is>
          <t>ข้อสอบจริง</t>
        </is>
      </c>
      <c r="P807" s="18" t="inlineStr">
        <is>
          <t>ปี 2555</t>
        </is>
      </c>
    </row>
    <row r="808">
      <c r="A808" s="15" t="inlineStr">
        <is>
          <t>829</t>
        </is>
      </c>
      <c r="B808" s="18" t="inlineStr">
        <is>
          <t>ควรจะแก้ปัญหานี้อย่างไร</t>
        </is>
      </c>
      <c r="C808" s="18" t="inlineStr"/>
      <c r="D808" s="18" t="inlineStr">
        <is>
          <t>Naloxone 0.4 mg IV stat</t>
        </is>
      </c>
      <c r="E808" s="18" t="inlineStr">
        <is>
          <t>Flumazenil 0.2 mg IV stat</t>
        </is>
      </c>
      <c r="F808" s="18" t="inlineStr">
        <is>
          <t>Vitamin K1 (Phytomenadione) 10 mg IV slow</t>
        </is>
      </c>
      <c r="G808" s="18" t="inlineStr">
        <is>
          <t>Sodium thiosulfate 25% 50 mL IV</t>
        </is>
      </c>
      <c r="H808" s="18" t="inlineStr">
        <is>
          <t>Calcium disodium EDTA 1 g IV</t>
        </is>
      </c>
      <c r="I808" s="15" t="inlineStr">
        <is>
          <t>1</t>
        </is>
      </c>
      <c r="J8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8" s="18" t="inlineStr"/>
      <c r="L808" s="18" t="inlineStr">
        <is>
          <t>General Therapeutics</t>
        </is>
      </c>
      <c r="M808" s="18" t="inlineStr">
        <is>
          <t>Clinic</t>
        </is>
      </c>
      <c r="N808" s="18" t="inlineStr">
        <is>
          <t>ข้อ 5 (PLE_CC1_2555 Day 2.md)</t>
        </is>
      </c>
      <c r="O808" s="18" t="inlineStr">
        <is>
          <t>ข้อสอบจริง</t>
        </is>
      </c>
      <c r="P808" s="18" t="inlineStr">
        <is>
          <t>ปี 2555</t>
        </is>
      </c>
    </row>
    <row r="809">
      <c r="A809" s="15" t="inlineStr">
        <is>
          <t>830</t>
        </is>
      </c>
      <c r="B809" s="18" t="inlineStr">
        <is>
          <t>เปลี่ยน Ketoconazole เป็น fluconazole</t>
        </is>
      </c>
      <c r="C809" s="18" t="inlineStr"/>
      <c r="D809" s="18" t="inlineStr">
        <is>
          <t>Nitrofurantoin 100 mg BID</t>
        </is>
      </c>
      <c r="E809" s="18" t="inlineStr">
        <is>
          <t>Tenofovir/Emtricitabine 300/200 mg OD</t>
        </is>
      </c>
      <c r="F809" s="18" t="inlineStr">
        <is>
          <t>Dolutegravir 50 mg OD</t>
        </is>
      </c>
      <c r="G809" s="18" t="inlineStr">
        <is>
          <t>Vancomycin 1 g IV Q12H</t>
        </is>
      </c>
      <c r="H809" s="18" t="inlineStr">
        <is>
          <t>Meropenem 1 g IV Q8H</t>
        </is>
      </c>
      <c r="I809" s="15" t="inlineStr">
        <is>
          <t>1</t>
        </is>
      </c>
      <c r="J809" s="18"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9" s="18" t="inlineStr"/>
      <c r="L809" s="18" t="inlineStr">
        <is>
          <t>Infectious Diseases</t>
        </is>
      </c>
      <c r="M809" s="18" t="inlineStr">
        <is>
          <t>Clinic</t>
        </is>
      </c>
      <c r="N809" s="18" t="inlineStr">
        <is>
          <t>ข้อ 4 (PLE_CC1_2555 Day 2.md)</t>
        </is>
      </c>
      <c r="O809" s="18" t="inlineStr">
        <is>
          <t>ข้อสอบจริง</t>
        </is>
      </c>
      <c r="P809" s="18" t="inlineStr">
        <is>
          <t>ปี 2555</t>
        </is>
      </c>
    </row>
    <row r="810">
      <c r="A810" s="15" t="inlineStr">
        <is>
          <t>831</t>
        </is>
      </c>
      <c r="B810" s="18" t="inlineStr">
        <is>
          <t>ทำให้ยาออกฤทธิ์นานขึ้น</t>
        </is>
      </c>
      <c r="C810" s="18" t="inlineStr"/>
      <c r="D810" s="18" t="inlineStr">
        <is>
          <t>Dimercaprol (BAL) 3 mg/kg IM</t>
        </is>
      </c>
      <c r="E810" s="18" t="inlineStr">
        <is>
          <t>Ethanol 10% IV infusion for Methanol poisoning</t>
        </is>
      </c>
      <c r="F810" s="18" t="inlineStr">
        <is>
          <t>Fomepizole 15 mg/kg IV loading</t>
        </is>
      </c>
      <c r="G810" s="18" t="inlineStr">
        <is>
          <t>N-acetylcysteine (NAC) IV infusion protocol</t>
        </is>
      </c>
      <c r="H810" s="18" t="inlineStr">
        <is>
          <t>Atropine sulfate 2 mg IV Q5-10 min</t>
        </is>
      </c>
      <c r="I810" s="15" t="inlineStr">
        <is>
          <t>1</t>
        </is>
      </c>
      <c r="J8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0" s="18" t="inlineStr"/>
      <c r="L810" s="18" t="inlineStr">
        <is>
          <t>General Therapeutics</t>
        </is>
      </c>
      <c r="M810" s="18" t="inlineStr">
        <is>
          <t>Clinic</t>
        </is>
      </c>
      <c r="N810" s="18" t="inlineStr">
        <is>
          <t>ข้อ 1 (PLE_CC1_2555 Day 2.md)</t>
        </is>
      </c>
      <c r="O810" s="18" t="inlineStr">
        <is>
          <t>ข้อสอบจริง</t>
        </is>
      </c>
      <c r="P810" s="18" t="inlineStr">
        <is>
          <t>ปี 2555</t>
        </is>
      </c>
    </row>
    <row r="811">
      <c r="A811" s="15" t="inlineStr">
        <is>
          <t>832</t>
        </is>
      </c>
      <c r="B811" s="18" t="inlineStr">
        <is>
          <t>ยาดูดซึมดีที่ลำไส้เล็ก</t>
        </is>
      </c>
      <c r="C811" s="18" t="inlineStr"/>
      <c r="D811" s="18" t="inlineStr">
        <is>
          <t>N-acetylcysteine (NAC) IV infusion protocol</t>
        </is>
      </c>
      <c r="E811" s="18" t="inlineStr">
        <is>
          <t>Atropine sulfate 2 mg IV Q5-10 min</t>
        </is>
      </c>
      <c r="F811" s="18" t="inlineStr">
        <is>
          <t>Pralidoxime (2-PAM) 1-2 g IV over 30 min</t>
        </is>
      </c>
      <c r="G811" s="18" t="inlineStr">
        <is>
          <t>Naloxone 0.4 mg IV stat</t>
        </is>
      </c>
      <c r="H811" s="18" t="inlineStr">
        <is>
          <t>Flumazenil 0.2 mg IV stat</t>
        </is>
      </c>
      <c r="I811" s="15" t="inlineStr">
        <is>
          <t>1</t>
        </is>
      </c>
      <c r="J8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1" s="18" t="inlineStr"/>
      <c r="L811" s="18" t="inlineStr">
        <is>
          <t>General Therapeutics</t>
        </is>
      </c>
      <c r="M811" s="18" t="inlineStr">
        <is>
          <t>Clinic</t>
        </is>
      </c>
      <c r="N811" s="18" t="inlineStr">
        <is>
          <t>ข้อ 2 (PLE_CC1_2555 Day 2.md)</t>
        </is>
      </c>
      <c r="O811" s="18" t="inlineStr">
        <is>
          <t>ข้อสอบจริง</t>
        </is>
      </c>
      <c r="P811" s="18" t="inlineStr">
        <is>
          <t>ปี 2555</t>
        </is>
      </c>
    </row>
    <row r="812">
      <c r="A812" s="15" t="inlineStr">
        <is>
          <t>833</t>
        </is>
      </c>
      <c r="B812" s="18" t="inlineStr">
        <is>
          <t>ยาดูดซึมได้ดีขึ้น</t>
        </is>
      </c>
      <c r="C812" s="18" t="inlineStr"/>
      <c r="D812" s="18" t="inlineStr">
        <is>
          <t>Naloxone 0.4 mg IV stat</t>
        </is>
      </c>
      <c r="E812" s="18" t="inlineStr">
        <is>
          <t>Flumazenil 0.2 mg IV stat</t>
        </is>
      </c>
      <c r="F812" s="18" t="inlineStr">
        <is>
          <t>Vitamin K1 (Phytomenadione) 10 mg IV slow</t>
        </is>
      </c>
      <c r="G812" s="18" t="inlineStr">
        <is>
          <t>Sodium thiosulfate 25% 50 mL IV</t>
        </is>
      </c>
      <c r="H812" s="18" t="inlineStr">
        <is>
          <t>Calcium disodium EDTA 1 g IV</t>
        </is>
      </c>
      <c r="I812" s="15" t="inlineStr">
        <is>
          <t>1</t>
        </is>
      </c>
      <c r="J8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2" s="18" t="inlineStr"/>
      <c r="L812" s="18" t="inlineStr">
        <is>
          <t>General Therapeutics</t>
        </is>
      </c>
      <c r="M812" s="18" t="inlineStr">
        <is>
          <t>Clinic</t>
        </is>
      </c>
      <c r="N812" s="18" t="inlineStr">
        <is>
          <t>ข้อ 3 (PLE_CC1_2555 Day 2.md)</t>
        </is>
      </c>
      <c r="O812" s="18" t="inlineStr">
        <is>
          <t>ข้อสอบจริง</t>
        </is>
      </c>
      <c r="P812" s="18" t="inlineStr">
        <is>
          <t>ปี 2555</t>
        </is>
      </c>
    </row>
    <row r="813">
      <c r="A813" s="15" t="inlineStr">
        <is>
          <t>834</t>
        </is>
      </c>
      <c r="B813" s="18" t="inlineStr">
        <is>
          <t>ยาเป็น acid labile</t>
        </is>
      </c>
      <c r="C813" s="18" t="inlineStr"/>
      <c r="D813" s="18" t="inlineStr">
        <is>
          <t>Sodium thiosulfate 25% 50 mL IV</t>
        </is>
      </c>
      <c r="E813" s="18" t="inlineStr">
        <is>
          <t>Calcium disodium EDTA 1 g IV</t>
        </is>
      </c>
      <c r="F813" s="18" t="inlineStr">
        <is>
          <t>Desferrioxamine 1 g IM/IV</t>
        </is>
      </c>
      <c r="G813" s="18" t="inlineStr">
        <is>
          <t>Dimercaprol (BAL) 3 mg/kg IM</t>
        </is>
      </c>
      <c r="H813" s="18" t="inlineStr">
        <is>
          <t>Ethanol 10% IV infusion for Methanol poisoning</t>
        </is>
      </c>
      <c r="I813" s="15" t="inlineStr">
        <is>
          <t>1</t>
        </is>
      </c>
      <c r="J8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3" s="18" t="inlineStr"/>
      <c r="L813" s="18" t="inlineStr">
        <is>
          <t>General Therapeutics</t>
        </is>
      </c>
      <c r="M813" s="18" t="inlineStr">
        <is>
          <t>Clinic</t>
        </is>
      </c>
      <c r="N813" s="18" t="inlineStr">
        <is>
          <t>ข้อ 4 (PLE_CC1_2555 Day 2.md)</t>
        </is>
      </c>
      <c r="O813" s="18" t="inlineStr">
        <is>
          <t>ข้อสอบจริง</t>
        </is>
      </c>
      <c r="P813" s="18" t="inlineStr">
        <is>
          <t>ปี 2555</t>
        </is>
      </c>
    </row>
    <row r="814">
      <c r="A814" s="15" t="inlineStr">
        <is>
          <t>835</t>
        </is>
      </c>
      <c r="B814" s="18" t="inlineStr">
        <is>
          <t>Percent labeled amount</t>
        </is>
      </c>
      <c r="C814" s="18" t="inlineStr"/>
      <c r="D814" s="18" t="inlineStr">
        <is>
          <t>Dimercaprol (BAL) 3 mg/kg IM</t>
        </is>
      </c>
      <c r="E814" s="18" t="inlineStr">
        <is>
          <t>Ethanol 10% IV infusion for Methanol poisoning</t>
        </is>
      </c>
      <c r="F814" s="18" t="inlineStr">
        <is>
          <t>Fomepizole 15 mg/kg IV loading</t>
        </is>
      </c>
      <c r="G814" s="18" t="inlineStr">
        <is>
          <t>N-acetylcysteine (NAC) IV infusion protocol</t>
        </is>
      </c>
      <c r="H814" s="18" t="inlineStr">
        <is>
          <t>Atropine sulfate 2 mg IV Q5-10 min</t>
        </is>
      </c>
      <c r="I814" s="15" t="inlineStr">
        <is>
          <t>1</t>
        </is>
      </c>
      <c r="J8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4" s="18" t="inlineStr"/>
      <c r="L814" s="18" t="inlineStr">
        <is>
          <t>General Therapeutics</t>
        </is>
      </c>
      <c r="M814" s="18" t="inlineStr">
        <is>
          <t>Clinic</t>
        </is>
      </c>
      <c r="N814" s="18" t="inlineStr">
        <is>
          <t>ข้อ 5 (PLE_CC1_2555 Day 2.md)</t>
        </is>
      </c>
      <c r="O814" s="18" t="inlineStr">
        <is>
          <t>ข้อสอบจริง</t>
        </is>
      </c>
      <c r="P814" s="18" t="inlineStr">
        <is>
          <t>ปี 2555</t>
        </is>
      </c>
    </row>
    <row r="815">
      <c r="A815" s="15" t="inlineStr">
        <is>
          <t>836</t>
        </is>
      </c>
      <c r="B815" s="18" t="inlineStr">
        <is>
          <t>อาการแพ้ MCQ 1/2555 by CURx69 page 6</t>
        </is>
      </c>
      <c r="C815" s="18" t="inlineStr"/>
      <c r="D815" s="18" t="inlineStr">
        <is>
          <t>N-acetylcysteine (NAC) IV infusion protocol</t>
        </is>
      </c>
      <c r="E815" s="18" t="inlineStr">
        <is>
          <t>Atropine sulfate 2 mg IV Q5-10 min</t>
        </is>
      </c>
      <c r="F815" s="18" t="inlineStr">
        <is>
          <t>Pralidoxime (2-PAM) 1-2 g IV over 30 min</t>
        </is>
      </c>
      <c r="G815" s="18" t="inlineStr">
        <is>
          <t>Naloxone 0.4 mg IV stat</t>
        </is>
      </c>
      <c r="H815" s="18" t="inlineStr">
        <is>
          <t>Flumazenil 0.2 mg IV stat</t>
        </is>
      </c>
      <c r="I815" s="15" t="inlineStr">
        <is>
          <t>1</t>
        </is>
      </c>
      <c r="J8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5" s="18" t="inlineStr"/>
      <c r="L815" s="18" t="inlineStr">
        <is>
          <t>General Therapeutics</t>
        </is>
      </c>
      <c r="M815" s="18" t="inlineStr">
        <is>
          <t>Clinic</t>
        </is>
      </c>
      <c r="N815" s="18" t="inlineStr">
        <is>
          <t>ข้อ 3 (PLE_CC1_2555 Day 2.md)</t>
        </is>
      </c>
      <c r="O815" s="18" t="inlineStr">
        <is>
          <t>ข้อสอบจริง</t>
        </is>
      </c>
      <c r="P815" s="18" t="inlineStr">
        <is>
          <t>ปี 2555</t>
        </is>
      </c>
    </row>
    <row r="816">
      <c r="A816" s="15" t="inlineStr">
        <is>
          <t>837</t>
        </is>
      </c>
      <c r="B816" s="18" t="inlineStr">
        <is>
          <t>เก็บผลิตภัณฑ์เอาไว้ใช้ในครั้งต่อไปได้อีกในคราวหน้า หากใช้ไม่หมด</t>
        </is>
      </c>
      <c r="C816" s="18" t="inlineStr"/>
      <c r="D816" s="18" t="inlineStr">
        <is>
          <t>Naloxone 0.4 mg IV stat</t>
        </is>
      </c>
      <c r="E816" s="18" t="inlineStr">
        <is>
          <t>Flumazenil 0.2 mg IV stat</t>
        </is>
      </c>
      <c r="F816" s="18" t="inlineStr">
        <is>
          <t>Vitamin K1 (Phytomenadione) 10 mg IV slow</t>
        </is>
      </c>
      <c r="G816" s="18" t="inlineStr">
        <is>
          <t>Sodium thiosulfate 25% 50 mL IV</t>
        </is>
      </c>
      <c r="H816" s="18" t="inlineStr">
        <is>
          <t>Calcium disodium EDTA 1 g IV</t>
        </is>
      </c>
      <c r="I816" s="15" t="inlineStr">
        <is>
          <t>1</t>
        </is>
      </c>
      <c r="J8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6" s="18" t="inlineStr"/>
      <c r="L816" s="18" t="inlineStr">
        <is>
          <t>General Therapeutics</t>
        </is>
      </c>
      <c r="M816" s="18" t="inlineStr">
        <is>
          <t>Clinic</t>
        </is>
      </c>
      <c r="N816" s="18" t="inlineStr">
        <is>
          <t>ข้อ 3 (PLE_CC1_2555 Day 2.md)</t>
        </is>
      </c>
      <c r="O816" s="18" t="inlineStr">
        <is>
          <t>ข้อสอบจริง</t>
        </is>
      </c>
      <c r="P816" s="18" t="inlineStr">
        <is>
          <t>ปี 2555</t>
        </is>
      </c>
    </row>
    <row r="817">
      <c r="A817" s="15" t="inlineStr">
        <is>
          <t>838</t>
        </is>
      </c>
      <c r="B817" s="18" t="inlineStr">
        <is>
          <t>เมื่อใช้ผลิตภัณฑ์หมดแล้ว ให้เก็บตัวอย่างไว้เพื่อขอซื้อเพื่อแบ่งยาในครั้งต่อไป</t>
        </is>
      </c>
      <c r="C817" s="18" t="inlineStr"/>
      <c r="D817" s="18" t="inlineStr">
        <is>
          <t>Sodium thiosulfate 25% 50 mL IV</t>
        </is>
      </c>
      <c r="E817" s="18" t="inlineStr">
        <is>
          <t>Calcium disodium EDTA 1 g IV</t>
        </is>
      </c>
      <c r="F817" s="18" t="inlineStr">
        <is>
          <t>Desferrioxamine 1 g IM/IV</t>
        </is>
      </c>
      <c r="G817" s="18" t="inlineStr">
        <is>
          <t>Dimercaprol (BAL) 3 mg/kg IM</t>
        </is>
      </c>
      <c r="H817" s="18" t="inlineStr">
        <is>
          <t>Ethanol 10% IV infusion for Methanol poisoning</t>
        </is>
      </c>
      <c r="I817" s="15" t="inlineStr">
        <is>
          <t>1</t>
        </is>
      </c>
      <c r="J8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7" s="18" t="inlineStr"/>
      <c r="L817" s="18" t="inlineStr">
        <is>
          <t>General Therapeutics</t>
        </is>
      </c>
      <c r="M817" s="18" t="inlineStr">
        <is>
          <t>Clinic</t>
        </is>
      </c>
      <c r="N817" s="18" t="inlineStr">
        <is>
          <t>ข้อ 5 (PLE_CC1_2555 Day 2.md)</t>
        </is>
      </c>
      <c r="O817" s="18" t="inlineStr">
        <is>
          <t>ข้อสอบจริง</t>
        </is>
      </c>
      <c r="P817" s="18" t="inlineStr">
        <is>
          <t>ปี 2555</t>
        </is>
      </c>
    </row>
    <row r="818">
      <c r="A818" s="15" t="inlineStr">
        <is>
          <t>839</t>
        </is>
      </c>
      <c r="B818" s="18" t="inlineStr">
        <is>
          <t>ต่อมาผู้ป่วยรายนี้ ตายังไม่หายแดง แต่มีขี้ตาสีขาวใส น ้าตาไหลมาก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818" s="18" t="inlineStr"/>
      <c r="D818" s="18" t="inlineStr">
        <is>
          <t>Dimercaprol (BAL) 3 mg/kg IM</t>
        </is>
      </c>
      <c r="E818" s="18" t="inlineStr">
        <is>
          <t>Ethanol 10% IV infusion for Methanol poisoning</t>
        </is>
      </c>
      <c r="F818" s="18" t="inlineStr">
        <is>
          <t>Fomepizole 15 mg/kg IV loading</t>
        </is>
      </c>
      <c r="G818" s="18" t="inlineStr">
        <is>
          <t>N-acetylcysteine (NAC) IV infusion protocol</t>
        </is>
      </c>
      <c r="H818" s="18" t="inlineStr">
        <is>
          <t>Atropine sulfate 2 mg IV Q5-10 min</t>
        </is>
      </c>
      <c r="I818" s="15" t="inlineStr">
        <is>
          <t>1</t>
        </is>
      </c>
      <c r="J8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18" s="18" t="inlineStr"/>
      <c r="L818" s="18" t="inlineStr">
        <is>
          <t>General Therapeutics</t>
        </is>
      </c>
      <c r="M818" s="18" t="inlineStr">
        <is>
          <t>Clinic</t>
        </is>
      </c>
      <c r="N818" s="18" t="inlineStr">
        <is>
          <t>ข้อ 4 (PLE_CC1_2555 Day 2.md)</t>
        </is>
      </c>
      <c r="O818" s="18" t="inlineStr">
        <is>
          <t>ข้อสอบจริง</t>
        </is>
      </c>
      <c r="P818" s="18" t="inlineStr">
        <is>
          <t>ปี 2555</t>
        </is>
      </c>
    </row>
    <row r="819">
      <c r="A819" s="15" t="inlineStr">
        <is>
          <t>840</t>
        </is>
      </c>
      <c r="B819" s="18" t="inlineStr">
        <is>
          <t>จากอาการข้างต้น ยาใดที่ไม่ควรจ่ายให้กับผู้ป่วยรายนี้</t>
        </is>
      </c>
      <c r="C819" s="18" t="inlineStr"/>
      <c r="D819" s="18" t="inlineStr">
        <is>
          <t>N-acetylcysteine (NAC) IV infusion protocol</t>
        </is>
      </c>
      <c r="E819" s="18" t="inlineStr">
        <is>
          <t>Atropine sulfate 2 mg IV Q5-10 min</t>
        </is>
      </c>
      <c r="F819" s="18" t="inlineStr">
        <is>
          <t>Pralidoxime (2-PAM) 1-2 g IV over 30 min</t>
        </is>
      </c>
      <c r="G819" s="18" t="inlineStr">
        <is>
          <t>Naloxone 0.4 mg IV stat</t>
        </is>
      </c>
      <c r="H819" s="18" t="inlineStr">
        <is>
          <t>Flumazenil 0.2 mg IV stat</t>
        </is>
      </c>
      <c r="I819" s="15" t="inlineStr">
        <is>
          <t>1</t>
        </is>
      </c>
      <c r="J81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9" s="18" t="inlineStr"/>
      <c r="L819" s="18" t="inlineStr">
        <is>
          <t>General Therapeutics</t>
        </is>
      </c>
      <c r="M819" s="18" t="inlineStr">
        <is>
          <t>Clinic</t>
        </is>
      </c>
      <c r="N819" s="18" t="inlineStr">
        <is>
          <t>ข้อ 5 (PLE_CC1_2555 Day 2.md)</t>
        </is>
      </c>
      <c r="O819" s="18" t="inlineStr">
        <is>
          <t>ข้อสอบจริง</t>
        </is>
      </c>
      <c r="P819" s="18" t="inlineStr">
        <is>
          <t>ปี 2555</t>
        </is>
      </c>
    </row>
    <row r="820">
      <c r="A820" s="15" t="inlineStr">
        <is>
          <t>841</t>
        </is>
      </c>
      <c r="B820" s="18" t="inlineStr">
        <is>
          <t>Artificial tear</t>
        </is>
      </c>
      <c r="C820" s="18" t="inlineStr"/>
      <c r="D820" s="18" t="inlineStr">
        <is>
          <t>Naloxone 0.4 mg IV stat</t>
        </is>
      </c>
      <c r="E820" s="18" t="inlineStr">
        <is>
          <t>Flumazenil 0.2 mg IV stat</t>
        </is>
      </c>
      <c r="F820" s="18" t="inlineStr">
        <is>
          <t>Vitamin K1 (Phytomenadione) 10 mg IV slow</t>
        </is>
      </c>
      <c r="G820" s="18" t="inlineStr">
        <is>
          <t>Sodium thiosulfate 25% 50 mL IV</t>
        </is>
      </c>
      <c r="H820" s="18" t="inlineStr">
        <is>
          <t>Calcium disodium EDTA 1 g IV</t>
        </is>
      </c>
      <c r="I820" s="15" t="inlineStr">
        <is>
          <t>1</t>
        </is>
      </c>
      <c r="J8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0" s="18" t="inlineStr"/>
      <c r="L820" s="18" t="inlineStr">
        <is>
          <t>General Therapeutics</t>
        </is>
      </c>
      <c r="M820" s="18" t="inlineStr">
        <is>
          <t>Clinic</t>
        </is>
      </c>
      <c r="N820" s="18" t="inlineStr">
        <is>
          <t>ข้อ 1 (PLE_CC1_2555 Day 2.md)</t>
        </is>
      </c>
      <c r="O820" s="18" t="inlineStr">
        <is>
          <t>ข้อสอบจริง</t>
        </is>
      </c>
      <c r="P820" s="18" t="inlineStr">
        <is>
          <t>ปี 2555</t>
        </is>
      </c>
    </row>
    <row r="821">
      <c r="A821" s="15" t="inlineStr">
        <is>
          <t>842</t>
        </is>
      </c>
      <c r="B821" s="18" t="inlineStr">
        <is>
          <t>Dexamethasone eyedrop</t>
        </is>
      </c>
      <c r="C821" s="18" t="inlineStr"/>
      <c r="D821" s="18" t="inlineStr">
        <is>
          <t>Epinephrine 0.3 mg IM stat</t>
        </is>
      </c>
      <c r="E821" s="18" t="inlineStr">
        <is>
          <t>Dexamethasone 4 mg IV</t>
        </is>
      </c>
      <c r="F821" s="18" t="inlineStr">
        <is>
          <t>Prednisolone 20 mg OD</t>
        </is>
      </c>
      <c r="G821" s="18" t="inlineStr">
        <is>
          <t>Montelukast 10 mg HS</t>
        </is>
      </c>
      <c r="H821" s="18" t="inlineStr">
        <is>
          <t>Hydroxyzine 25 mg HS</t>
        </is>
      </c>
      <c r="I821" s="15" t="inlineStr">
        <is>
          <t>1</t>
        </is>
      </c>
      <c r="J821" s="18"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21" s="18" t="inlineStr"/>
      <c r="L821" s="18" t="inlineStr">
        <is>
          <t>Allergy &amp; Immunology</t>
        </is>
      </c>
      <c r="M821" s="18" t="inlineStr">
        <is>
          <t>Clinic</t>
        </is>
      </c>
      <c r="N821" s="18" t="inlineStr">
        <is>
          <t>ข้อ 3 (PLE_CC1_2555 Day 2.md)</t>
        </is>
      </c>
      <c r="O821" s="18" t="inlineStr">
        <is>
          <t>ข้อสอบจริง</t>
        </is>
      </c>
      <c r="P821" s="18" t="inlineStr">
        <is>
          <t>ปี 2555</t>
        </is>
      </c>
    </row>
    <row r="822">
      <c r="A822" s="15" t="inlineStr">
        <is>
          <t>843</t>
        </is>
      </c>
      <c r="B822" s="18" t="inlineStr">
        <is>
          <t>ยาใดที่สามารถทำให้เกิด rhinitis medicamentosa</t>
        </is>
      </c>
      <c r="C822" s="18" t="inlineStr"/>
      <c r="D822" s="18" t="inlineStr">
        <is>
          <t>Dimercaprol (BAL) 3 mg/kg IM</t>
        </is>
      </c>
      <c r="E822" s="18" t="inlineStr">
        <is>
          <t>Ethanol 10% IV infusion for Methanol poisoning</t>
        </is>
      </c>
      <c r="F822" s="18" t="inlineStr">
        <is>
          <t>Fomepizole 15 mg/kg IV loading</t>
        </is>
      </c>
      <c r="G822" s="18" t="inlineStr">
        <is>
          <t>N-acetylcysteine (NAC) IV infusion protocol</t>
        </is>
      </c>
      <c r="H822" s="18" t="inlineStr">
        <is>
          <t>Atropine sulfate 2 mg IV Q5-10 min</t>
        </is>
      </c>
      <c r="I822" s="15" t="inlineStr">
        <is>
          <t>1</t>
        </is>
      </c>
      <c r="J8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2" s="18" t="inlineStr"/>
      <c r="L822" s="18" t="inlineStr">
        <is>
          <t>General Therapeutics</t>
        </is>
      </c>
      <c r="M822" s="18" t="inlineStr">
        <is>
          <t>Clinic</t>
        </is>
      </c>
      <c r="N822" s="18" t="inlineStr">
        <is>
          <t>ข้อ 6 (PLE_CC1_2555 Day 2.md)</t>
        </is>
      </c>
      <c r="O822" s="18" t="inlineStr">
        <is>
          <t>ข้อสอบจริง</t>
        </is>
      </c>
      <c r="P822" s="18" t="inlineStr">
        <is>
          <t>ปี 2555</t>
        </is>
      </c>
    </row>
    <row r="823">
      <c r="A823" s="15" t="inlineStr">
        <is>
          <t>844</t>
        </is>
      </c>
      <c r="B823" s="18" t="inlineStr">
        <is>
          <t>Phenylephrine + …</t>
        </is>
      </c>
      <c r="C823" s="18" t="inlineStr"/>
      <c r="D823" s="18" t="inlineStr">
        <is>
          <t>N-acetylcysteine (NAC) IV infusion protocol</t>
        </is>
      </c>
      <c r="E823" s="18" t="inlineStr">
        <is>
          <t>Atropine sulfate 2 mg IV Q5-10 min</t>
        </is>
      </c>
      <c r="F823" s="18" t="inlineStr">
        <is>
          <t>Pralidoxime (2-PAM) 1-2 g IV over 30 min</t>
        </is>
      </c>
      <c r="G823" s="18" t="inlineStr">
        <is>
          <t>Naloxone 0.4 mg IV stat</t>
        </is>
      </c>
      <c r="H823" s="18" t="inlineStr">
        <is>
          <t>Flumazenil 0.2 mg IV stat</t>
        </is>
      </c>
      <c r="I823" s="15" t="inlineStr">
        <is>
          <t>1</t>
        </is>
      </c>
      <c r="J8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3" s="18" t="inlineStr"/>
      <c r="L823" s="18" t="inlineStr">
        <is>
          <t>General Therapeutics</t>
        </is>
      </c>
      <c r="M823" s="18" t="inlineStr">
        <is>
          <t>Clinic</t>
        </is>
      </c>
      <c r="N823" s="18" t="inlineStr">
        <is>
          <t>ข้อ 2 (PLE_CC1_2555 Day 2.md)</t>
        </is>
      </c>
      <c r="O823" s="18" t="inlineStr">
        <is>
          <t>ข้อสอบจริง</t>
        </is>
      </c>
      <c r="P823" s="18" t="inlineStr">
        <is>
          <t>ปี 2555</t>
        </is>
      </c>
    </row>
    <row r="824">
      <c r="A824" s="15" t="inlineStr">
        <is>
          <t>845</t>
        </is>
      </c>
      <c r="B824" s="18" t="inlineStr">
        <is>
          <t>... MCQ 1/2555 by CURx69 page 7</t>
        </is>
      </c>
      <c r="C824" s="18" t="inlineStr"/>
      <c r="D824" s="18" t="inlineStr">
        <is>
          <t>Naloxone 0.4 mg IV stat</t>
        </is>
      </c>
      <c r="E824" s="18" t="inlineStr">
        <is>
          <t>Flumazenil 0.2 mg IV stat</t>
        </is>
      </c>
      <c r="F824" s="18" t="inlineStr">
        <is>
          <t>Vitamin K1 (Phytomenadione) 10 mg IV slow</t>
        </is>
      </c>
      <c r="G824" s="18" t="inlineStr">
        <is>
          <t>Sodium thiosulfate 25% 50 mL IV</t>
        </is>
      </c>
      <c r="H824" s="18" t="inlineStr">
        <is>
          <t>Calcium disodium EDTA 1 g IV</t>
        </is>
      </c>
      <c r="I824" s="15" t="inlineStr">
        <is>
          <t>1</t>
        </is>
      </c>
      <c r="J82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4" s="18" t="inlineStr"/>
      <c r="L824" s="18" t="inlineStr">
        <is>
          <t>General Therapeutics</t>
        </is>
      </c>
      <c r="M824" s="18" t="inlineStr">
        <is>
          <t>Clinic</t>
        </is>
      </c>
      <c r="N824" s="18" t="inlineStr">
        <is>
          <t>ข้อ 5 (PLE_CC1_2555 Day 2.md)</t>
        </is>
      </c>
      <c r="O824" s="18" t="inlineStr">
        <is>
          <t>ข้อสอบจริง</t>
        </is>
      </c>
      <c r="P824" s="18" t="inlineStr">
        <is>
          <t>ปี 2555</t>
        </is>
      </c>
    </row>
    <row r="825">
      <c r="A825" s="15" t="inlineStr">
        <is>
          <t>846</t>
        </is>
      </c>
      <c r="B825" s="18" t="inlineStr">
        <is>
          <t>วันเดือนปี ที่ทำการวิเคราะห์ lot นี้</t>
        </is>
      </c>
      <c r="C825" s="18" t="inlineStr"/>
      <c r="D825" s="18" t="inlineStr">
        <is>
          <t>Sodium thiosulfate 25% 50 mL IV</t>
        </is>
      </c>
      <c r="E825" s="18" t="inlineStr">
        <is>
          <t>Calcium disodium EDTA 1 g IV</t>
        </is>
      </c>
      <c r="F825" s="18" t="inlineStr">
        <is>
          <t>Desferrioxamine 1 g IM/IV</t>
        </is>
      </c>
      <c r="G825" s="18" t="inlineStr">
        <is>
          <t>Dimercaprol (BAL) 3 mg/kg IM</t>
        </is>
      </c>
      <c r="H825" s="18" t="inlineStr">
        <is>
          <t>Ethanol 10% IV infusion for Methanol poisoning</t>
        </is>
      </c>
      <c r="I825" s="15" t="inlineStr">
        <is>
          <t>1</t>
        </is>
      </c>
      <c r="J82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5" s="18" t="inlineStr"/>
      <c r="L825" s="18" t="inlineStr">
        <is>
          <t>General Therapeutics</t>
        </is>
      </c>
      <c r="M825" s="18" t="inlineStr">
        <is>
          <t>Clinic</t>
        </is>
      </c>
      <c r="N825" s="18" t="inlineStr">
        <is>
          <t>ข้อ 3 (PLE_CC1_2555 Day 2.md)</t>
        </is>
      </c>
      <c r="O825" s="18" t="inlineStr">
        <is>
          <t>ข้อสอบจริง</t>
        </is>
      </c>
      <c r="P825" s="18" t="inlineStr">
        <is>
          <t>ปี 2555</t>
        </is>
      </c>
    </row>
    <row r="826">
      <c r="A826" s="15" t="inlineStr">
        <is>
          <t>847</t>
        </is>
      </c>
      <c r="B826" s="18" t="inlineStr">
        <is>
          <t>วันเดือนปี หรืออักษรแสดงวันที่วิเคราะห์หรือผลิต</t>
        </is>
      </c>
      <c r="C826" s="18" t="inlineStr"/>
      <c r="D826" s="18" t="inlineStr">
        <is>
          <t>Dimercaprol (BAL) 3 mg/kg IM</t>
        </is>
      </c>
      <c r="E826" s="18" t="inlineStr">
        <is>
          <t>Ethanol 10% IV infusion for Methanol poisoning</t>
        </is>
      </c>
      <c r="F826" s="18" t="inlineStr">
        <is>
          <t>Fomepizole 15 mg/kg IV loading</t>
        </is>
      </c>
      <c r="G826" s="18" t="inlineStr">
        <is>
          <t>N-acetylcysteine (NAC) IV infusion protocol</t>
        </is>
      </c>
      <c r="H826" s="18" t="inlineStr">
        <is>
          <t>Atropine sulfate 2 mg IV Q5-10 min</t>
        </is>
      </c>
      <c r="I826" s="15" t="inlineStr">
        <is>
          <t>1</t>
        </is>
      </c>
      <c r="J8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6" s="18" t="inlineStr"/>
      <c r="L826" s="18" t="inlineStr">
        <is>
          <t>General Therapeutics</t>
        </is>
      </c>
      <c r="M826" s="18" t="inlineStr">
        <is>
          <t>Clinic</t>
        </is>
      </c>
      <c r="N826" s="18" t="inlineStr">
        <is>
          <t>ข้อ 4 (PLE_CC1_2555 Day 2.md)</t>
        </is>
      </c>
      <c r="O826" s="18" t="inlineStr">
        <is>
          <t>ข้อสอบจริง</t>
        </is>
      </c>
      <c r="P826" s="18" t="inlineStr">
        <is>
          <t>ปี 2555</t>
        </is>
      </c>
    </row>
    <row r="827">
      <c r="A827" s="15" t="inlineStr">
        <is>
          <t>848</t>
        </is>
      </c>
      <c r="B827" s="18" t="inlineStr">
        <is>
          <t>เก็บไว้ในอุณหภูมิห้อง หลีกเลี่ยงแสงแดด</t>
        </is>
      </c>
      <c r="C827" s="18" t="inlineStr"/>
      <c r="D827" s="18" t="inlineStr">
        <is>
          <t>N-acetylcysteine (NAC) IV infusion protocol</t>
        </is>
      </c>
      <c r="E827" s="18" t="inlineStr">
        <is>
          <t>Atropine sulfate 2 mg IV Q5-10 min</t>
        </is>
      </c>
      <c r="F827" s="18" t="inlineStr">
        <is>
          <t>Pralidoxime (2-PAM) 1-2 g IV over 30 min</t>
        </is>
      </c>
      <c r="G827" s="18" t="inlineStr">
        <is>
          <t>Naloxone 0.4 mg IV stat</t>
        </is>
      </c>
      <c r="H827" s="18" t="inlineStr">
        <is>
          <t>Flumazenil 0.2 mg IV stat</t>
        </is>
      </c>
      <c r="I827" s="15" t="inlineStr">
        <is>
          <t>1</t>
        </is>
      </c>
      <c r="J8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7" s="18" t="inlineStr"/>
      <c r="L827" s="18" t="inlineStr">
        <is>
          <t>General Therapeutics</t>
        </is>
      </c>
      <c r="M827" s="18" t="inlineStr">
        <is>
          <t>Clinic</t>
        </is>
      </c>
      <c r="N827" s="18" t="inlineStr">
        <is>
          <t>ข้อ 1 (PLE_CC1_2555 Day 2.md)</t>
        </is>
      </c>
      <c r="O827" s="18" t="inlineStr">
        <is>
          <t>ข้อสอบจริง</t>
        </is>
      </c>
      <c r="P827" s="18" t="inlineStr">
        <is>
          <t>ปี 2555</t>
        </is>
      </c>
    </row>
    <row r="828">
      <c r="A828" s="15" t="inlineStr">
        <is>
          <t>849</t>
        </is>
      </c>
      <c r="B828" s="18" t="inlineStr">
        <is>
          <t>แช่เย็นไว้ โดยเก็บไว้ตรงฝาเปิดตู้เย็น</t>
        </is>
      </c>
      <c r="C828" s="18" t="inlineStr"/>
      <c r="D828" s="18" t="inlineStr">
        <is>
          <t>Naloxone 0.4 mg IV stat</t>
        </is>
      </c>
      <c r="E828" s="18" t="inlineStr">
        <is>
          <t>Flumazenil 0.2 mg IV stat</t>
        </is>
      </c>
      <c r="F828" s="18" t="inlineStr">
        <is>
          <t>Vitamin K1 (Phytomenadione) 10 mg IV slow</t>
        </is>
      </c>
      <c r="G828" s="18" t="inlineStr">
        <is>
          <t>Sodium thiosulfate 25% 50 mL IV</t>
        </is>
      </c>
      <c r="H828" s="18" t="inlineStr">
        <is>
          <t>Calcium disodium EDTA 1 g IV</t>
        </is>
      </c>
      <c r="I828" s="15" t="inlineStr">
        <is>
          <t>1</t>
        </is>
      </c>
      <c r="J8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8" s="18" t="inlineStr"/>
      <c r="L828" s="18" t="inlineStr">
        <is>
          <t>General Therapeutics</t>
        </is>
      </c>
      <c r="M828" s="18" t="inlineStr">
        <is>
          <t>Clinic</t>
        </is>
      </c>
      <c r="N828" s="18" t="inlineStr">
        <is>
          <t>ข้อ 2 (PLE_CC1_2555 Day 2.md)</t>
        </is>
      </c>
      <c r="O828" s="18" t="inlineStr">
        <is>
          <t>ข้อสอบจริง</t>
        </is>
      </c>
      <c r="P828" s="18" t="inlineStr">
        <is>
          <t>ปี 2555</t>
        </is>
      </c>
    </row>
    <row r="829">
      <c r="A829" s="15" t="inlineStr">
        <is>
          <t>850</t>
        </is>
      </c>
      <c r="B829" s="18" t="inlineStr">
        <is>
          <t>แช่ตู้เย็น โดยเก็บไว้ตรงช่องปกติ</t>
        </is>
      </c>
      <c r="C829" s="18" t="inlineStr"/>
      <c r="D829" s="18" t="inlineStr">
        <is>
          <t>Sodium thiosulfate 25% 50 mL IV</t>
        </is>
      </c>
      <c r="E829" s="18" t="inlineStr">
        <is>
          <t>Calcium disodium EDTA 1 g IV</t>
        </is>
      </c>
      <c r="F829" s="18" t="inlineStr">
        <is>
          <t>Desferrioxamine 1 g IM/IV</t>
        </is>
      </c>
      <c r="G829" s="18" t="inlineStr">
        <is>
          <t>Dimercaprol (BAL) 3 mg/kg IM</t>
        </is>
      </c>
      <c r="H829" s="18" t="inlineStr">
        <is>
          <t>Ethanol 10% IV infusion for Methanol poisoning</t>
        </is>
      </c>
      <c r="I829" s="15" t="inlineStr">
        <is>
          <t>1</t>
        </is>
      </c>
      <c r="J8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9" s="18" t="inlineStr"/>
      <c r="L829" s="18" t="inlineStr">
        <is>
          <t>General Therapeutics</t>
        </is>
      </c>
      <c r="M829" s="18" t="inlineStr">
        <is>
          <t>Clinic</t>
        </is>
      </c>
      <c r="N829" s="18" t="inlineStr">
        <is>
          <t>ข้อ 3 (PLE_CC1_2555 Day 2.md)</t>
        </is>
      </c>
      <c r="O829" s="18" t="inlineStr">
        <is>
          <t>ข้อสอบจริง</t>
        </is>
      </c>
      <c r="P829" s="18" t="inlineStr">
        <is>
          <t>ปี 2555</t>
        </is>
      </c>
    </row>
    <row r="830">
      <c r="A830" s="15" t="inlineStr">
        <is>
          <t>851</t>
        </is>
      </c>
      <c r="B830" s="18" t="inlineStr">
        <is>
          <t>ระหว่างที่กินยานี้หลีกเลี่ยงรังสี UV</t>
        </is>
      </c>
      <c r="C830" s="18" t="inlineStr"/>
      <c r="D830" s="18" t="inlineStr">
        <is>
          <t>Dimercaprol (BAL) 3 mg/kg IM</t>
        </is>
      </c>
      <c r="E830" s="18" t="inlineStr">
        <is>
          <t>Ethanol 10% IV infusion for Methanol poisoning</t>
        </is>
      </c>
      <c r="F830" s="18" t="inlineStr">
        <is>
          <t>Fomepizole 15 mg/kg IV loading</t>
        </is>
      </c>
      <c r="G830" s="18" t="inlineStr">
        <is>
          <t>N-acetylcysteine (NAC) IV infusion protocol</t>
        </is>
      </c>
      <c r="H830" s="18" t="inlineStr">
        <is>
          <t>Atropine sulfate 2 mg IV Q5-10 min</t>
        </is>
      </c>
      <c r="I830" s="15" t="inlineStr">
        <is>
          <t>1</t>
        </is>
      </c>
      <c r="J8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0" s="18" t="inlineStr"/>
      <c r="L830" s="18" t="inlineStr">
        <is>
          <t>General Therapeutics</t>
        </is>
      </c>
      <c r="M830" s="18" t="inlineStr">
        <is>
          <t>Clinic</t>
        </is>
      </c>
      <c r="N830" s="18" t="inlineStr">
        <is>
          <t>ข้อ 2 (PLE_CC1_2555 Day 2.md)</t>
        </is>
      </c>
      <c r="O830" s="18" t="inlineStr">
        <is>
          <t>ข้อสอบจริง</t>
        </is>
      </c>
      <c r="P830" s="18" t="inlineStr">
        <is>
          <t>ปี 2555</t>
        </is>
      </c>
    </row>
    <row r="831">
      <c r="A831" s="15" t="inlineStr">
        <is>
          <t>852</t>
        </is>
      </c>
      <c r="B831" s="18" t="inlineStr">
        <is>
          <t>ควรกินยาก่อนอาหารเช้า-ก่อนนอน</t>
        </is>
      </c>
      <c r="C831" s="18" t="inlineStr"/>
      <c r="D831" s="18" t="inlineStr">
        <is>
          <t>N-acetylcysteine (NAC) IV infusion protocol</t>
        </is>
      </c>
      <c r="E831" s="18" t="inlineStr">
        <is>
          <t>Atropine sulfate 2 mg IV Q5-10 min</t>
        </is>
      </c>
      <c r="F831" s="18" t="inlineStr">
        <is>
          <t>Pralidoxime (2-PAM) 1-2 g IV over 30 min</t>
        </is>
      </c>
      <c r="G831" s="18" t="inlineStr">
        <is>
          <t>Naloxone 0.4 mg IV stat</t>
        </is>
      </c>
      <c r="H831" s="18" t="inlineStr">
        <is>
          <t>Flumazenil 0.2 mg IV stat</t>
        </is>
      </c>
      <c r="I831" s="15" t="inlineStr">
        <is>
          <t>1</t>
        </is>
      </c>
      <c r="J8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1" s="18" t="inlineStr"/>
      <c r="L831" s="18" t="inlineStr">
        <is>
          <t>General Therapeutics</t>
        </is>
      </c>
      <c r="M831" s="18" t="inlineStr">
        <is>
          <t>Clinic</t>
        </is>
      </c>
      <c r="N831" s="18" t="inlineStr">
        <is>
          <t>ข้อ 3 (PLE_CC1_2555 Day 2.md)</t>
        </is>
      </c>
      <c r="O831" s="18" t="inlineStr">
        <is>
          <t>ข้อสอบจริง</t>
        </is>
      </c>
      <c r="P831" s="18" t="inlineStr">
        <is>
          <t>ปี 2555</t>
        </is>
      </c>
    </row>
    <row r="832">
      <c r="A832" s="15" t="inlineStr">
        <is>
          <t>853</t>
        </is>
      </c>
      <c r="B832" s="18" t="inlineStr">
        <is>
          <t>สาเหตุของอาการชัก ยกเว้น</t>
        </is>
      </c>
      <c r="C832" s="18" t="inlineStr"/>
      <c r="D832" s="18" t="inlineStr">
        <is>
          <t>Donepezil 5 mg HS</t>
        </is>
      </c>
      <c r="E832" s="18" t="inlineStr">
        <is>
          <t>Alteplase (rtPA) 0.9 mg/kg IV</t>
        </is>
      </c>
      <c r="F832" s="18" t="inlineStr">
        <is>
          <t>Phenytoin 100 mg TID</t>
        </is>
      </c>
      <c r="G832" s="18" t="inlineStr">
        <is>
          <t>Sodium valproate 200 mg TID</t>
        </is>
      </c>
      <c r="H832" s="18" t="inlineStr">
        <is>
          <t>Carbamazepine 200 mg BID</t>
        </is>
      </c>
      <c r="I832" s="15" t="inlineStr">
        <is>
          <t>1</t>
        </is>
      </c>
      <c r="J832" s="18"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2" s="18" t="inlineStr"/>
      <c r="L832" s="18" t="inlineStr">
        <is>
          <t>Neurologic Disorders</t>
        </is>
      </c>
      <c r="M832" s="18" t="inlineStr">
        <is>
          <t>Clinic</t>
        </is>
      </c>
      <c r="N832" s="18" t="inlineStr">
        <is>
          <t>ข้อ 2 (PLE_CC1_2555 Day 2.md)</t>
        </is>
      </c>
      <c r="O832" s="18" t="inlineStr">
        <is>
          <t>ข้อสอบจริง</t>
        </is>
      </c>
      <c r="P832" s="18" t="inlineStr">
        <is>
          <t>ปี 2555</t>
        </is>
      </c>
    </row>
    <row r="833">
      <c r="A833" s="15" t="inlineStr">
        <is>
          <t>854</t>
        </is>
      </c>
      <c r="B833" s="18" t="inlineStr">
        <is>
          <t>ไข้สูงในเด็กเล็ก</t>
        </is>
      </c>
      <c r="C833" s="18" t="inlineStr"/>
      <c r="D833" s="18" t="inlineStr">
        <is>
          <t>Sodium thiosulfate 25% 50 mL IV</t>
        </is>
      </c>
      <c r="E833" s="18" t="inlineStr">
        <is>
          <t>Calcium disodium EDTA 1 g IV</t>
        </is>
      </c>
      <c r="F833" s="18" t="inlineStr">
        <is>
          <t>Desferrioxamine 1 g IM/IV</t>
        </is>
      </c>
      <c r="G833" s="18" t="inlineStr">
        <is>
          <t>Dimercaprol (BAL) 3 mg/kg IM</t>
        </is>
      </c>
      <c r="H833" s="18" t="inlineStr">
        <is>
          <t>Ethanol 10% IV infusion for Methanol poisoning</t>
        </is>
      </c>
      <c r="I833" s="15" t="inlineStr">
        <is>
          <t>1</t>
        </is>
      </c>
      <c r="J8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3" s="18" t="inlineStr"/>
      <c r="L833" s="18" t="inlineStr">
        <is>
          <t>General Therapeutics</t>
        </is>
      </c>
      <c r="M833" s="18" t="inlineStr">
        <is>
          <t>Clinic</t>
        </is>
      </c>
      <c r="N833" s="18" t="inlineStr">
        <is>
          <t>ข้อ 5 (PLE_CC1_2555 Day 2.md)</t>
        </is>
      </c>
      <c r="O833" s="18" t="inlineStr">
        <is>
          <t>ข้อสอบจริง</t>
        </is>
      </c>
      <c r="P833" s="18" t="inlineStr">
        <is>
          <t>ปี 2555</t>
        </is>
      </c>
    </row>
    <row r="834">
      <c r="A834" s="15" t="inlineStr">
        <is>
          <t>855</t>
        </is>
      </c>
      <c r="B834" s="18" t="inlineStr">
        <is>
          <t>จับกับ Na Channel ใน inactivated state</t>
        </is>
      </c>
      <c r="C834" s="18" t="inlineStr"/>
      <c r="D834" s="18" t="inlineStr">
        <is>
          <t>Dimercaprol (BAL) 3 mg/kg IM</t>
        </is>
      </c>
      <c r="E834" s="18" t="inlineStr">
        <is>
          <t>Ethanol 10% IV infusion for Methanol poisoning</t>
        </is>
      </c>
      <c r="F834" s="18" t="inlineStr">
        <is>
          <t>Fomepizole 15 mg/kg IV loading</t>
        </is>
      </c>
      <c r="G834" s="18" t="inlineStr">
        <is>
          <t>N-acetylcysteine (NAC) IV infusion protocol</t>
        </is>
      </c>
      <c r="H834" s="18" t="inlineStr">
        <is>
          <t>Atropine sulfate 2 mg IV Q5-10 min</t>
        </is>
      </c>
      <c r="I834" s="15" t="inlineStr">
        <is>
          <t>1</t>
        </is>
      </c>
      <c r="J8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4" s="18" t="inlineStr"/>
      <c r="L834" s="18" t="inlineStr">
        <is>
          <t>General Therapeutics</t>
        </is>
      </c>
      <c r="M834" s="18" t="inlineStr">
        <is>
          <t>Clinic</t>
        </is>
      </c>
      <c r="N834" s="18" t="inlineStr">
        <is>
          <t>ข้อ 1 (PLE_CC1_2555 Day 2.md)</t>
        </is>
      </c>
      <c r="O834" s="18" t="inlineStr">
        <is>
          <t>ข้อสอบจริง</t>
        </is>
      </c>
      <c r="P834" s="18" t="inlineStr">
        <is>
          <t>ปี 2555</t>
        </is>
      </c>
    </row>
    <row r="835">
      <c r="A835" s="15" t="inlineStr">
        <is>
          <t>856</t>
        </is>
      </c>
      <c r="B835" s="18" t="inlineStr">
        <is>
          <t>จับกับ T-type Calcium Channel</t>
        </is>
      </c>
      <c r="C835" s="18" t="inlineStr"/>
      <c r="D835" s="18" t="inlineStr">
        <is>
          <t>N-acetylcysteine (NAC) IV infusion protocol</t>
        </is>
      </c>
      <c r="E835" s="18" t="inlineStr">
        <is>
          <t>Atropine sulfate 2 mg IV Q5-10 min</t>
        </is>
      </c>
      <c r="F835" s="18" t="inlineStr">
        <is>
          <t>Pralidoxime (2-PAM) 1-2 g IV over 30 min</t>
        </is>
      </c>
      <c r="G835" s="18" t="inlineStr">
        <is>
          <t>Naloxone 0.4 mg IV stat</t>
        </is>
      </c>
      <c r="H835" s="18" t="inlineStr">
        <is>
          <t>Flumazenil 0.2 mg IV stat</t>
        </is>
      </c>
      <c r="I835" s="15" t="inlineStr">
        <is>
          <t>1</t>
        </is>
      </c>
      <c r="J8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5" s="18" t="inlineStr"/>
      <c r="L835" s="18" t="inlineStr">
        <is>
          <t>General Therapeutics</t>
        </is>
      </c>
      <c r="M835" s="18" t="inlineStr">
        <is>
          <t>Clinic</t>
        </is>
      </c>
      <c r="N835" s="18" t="inlineStr">
        <is>
          <t>ข้อ 2 (PLE_CC1_2555 Day 2.md)</t>
        </is>
      </c>
      <c r="O835" s="18" t="inlineStr">
        <is>
          <t>ข้อสอบจริง</t>
        </is>
      </c>
      <c r="P835" s="18" t="inlineStr">
        <is>
          <t>ปี 2555</t>
        </is>
      </c>
    </row>
    <row r="836">
      <c r="A836" s="15" t="inlineStr">
        <is>
          <t>857</t>
        </is>
      </c>
      <c r="B836" s="18" t="inlineStr">
        <is>
          <t>ยับยั้ง 2nd messenger</t>
        </is>
      </c>
      <c r="C836" s="18" t="inlineStr"/>
      <c r="D836" s="18" t="inlineStr">
        <is>
          <t>Naloxone 0.4 mg IV stat</t>
        </is>
      </c>
      <c r="E836" s="18" t="inlineStr">
        <is>
          <t>Flumazenil 0.2 mg IV stat</t>
        </is>
      </c>
      <c r="F836" s="18" t="inlineStr">
        <is>
          <t>Vitamin K1 (Phytomenadione) 10 mg IV slow</t>
        </is>
      </c>
      <c r="G836" s="18" t="inlineStr">
        <is>
          <t>Sodium thiosulfate 25% 50 mL IV</t>
        </is>
      </c>
      <c r="H836" s="18" t="inlineStr">
        <is>
          <t>Calcium disodium EDTA 1 g IV</t>
        </is>
      </c>
      <c r="I836" s="15" t="inlineStr">
        <is>
          <t>1</t>
        </is>
      </c>
      <c r="J8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36" s="18" t="inlineStr"/>
      <c r="L836" s="18" t="inlineStr">
        <is>
          <t>General Therapeutics</t>
        </is>
      </c>
      <c r="M836" s="18" t="inlineStr">
        <is>
          <t>Clinic</t>
        </is>
      </c>
      <c r="N836" s="18" t="inlineStr">
        <is>
          <t>ข้อ 5 (PLE_CC1_2555 Day 2.md)</t>
        </is>
      </c>
      <c r="O836" s="18" t="inlineStr">
        <is>
          <t>ข้อสอบจริง</t>
        </is>
      </c>
      <c r="P836" s="18" t="inlineStr">
        <is>
          <t>ปี 2555</t>
        </is>
      </c>
    </row>
    <row r="837">
      <c r="A837" s="15" t="inlineStr">
        <is>
          <t>858</t>
        </is>
      </c>
      <c r="B837" s="18" t="inlineStr">
        <is>
          <t>Febrile convulsion</t>
        </is>
      </c>
      <c r="C837" s="18" t="inlineStr"/>
      <c r="D837" s="18" t="inlineStr">
        <is>
          <t>Sodium thiosulfate 25% 50 mL IV</t>
        </is>
      </c>
      <c r="E837" s="18" t="inlineStr">
        <is>
          <t>Calcium disodium EDTA 1 g IV</t>
        </is>
      </c>
      <c r="F837" s="18" t="inlineStr">
        <is>
          <t>Desferrioxamine 1 g IM/IV</t>
        </is>
      </c>
      <c r="G837" s="18" t="inlineStr">
        <is>
          <t>Dimercaprol (BAL) 3 mg/kg IM</t>
        </is>
      </c>
      <c r="H837" s="18" t="inlineStr">
        <is>
          <t>Ethanol 10% IV infusion for Methanol poisoning</t>
        </is>
      </c>
      <c r="I837" s="15" t="inlineStr">
        <is>
          <t>1</t>
        </is>
      </c>
      <c r="J8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7" s="18" t="inlineStr"/>
      <c r="L837" s="18" t="inlineStr">
        <is>
          <t>General Therapeutics</t>
        </is>
      </c>
      <c r="M837" s="18" t="inlineStr">
        <is>
          <t>Clinic</t>
        </is>
      </c>
      <c r="N837" s="18" t="inlineStr">
        <is>
          <t>ข้อ 5 (PLE_CC1_2555 Day 2.md)</t>
        </is>
      </c>
      <c r="O837" s="18" t="inlineStr">
        <is>
          <t>ข้อสอบจริง</t>
        </is>
      </c>
      <c r="P837" s="18" t="inlineStr">
        <is>
          <t>ปี 2555</t>
        </is>
      </c>
    </row>
    <row r="838">
      <c r="A838" s="15" t="inlineStr">
        <is>
          <t>859</t>
        </is>
      </c>
      <c r="B838" s="18" t="inlineStr">
        <is>
          <t>ความคงตัวทางเคมี</t>
        </is>
      </c>
      <c r="C838" s="18" t="inlineStr"/>
      <c r="D838" s="18" t="inlineStr">
        <is>
          <t>Long-term Stability Testing (30 C / 65% RH)</t>
        </is>
      </c>
      <c r="E838" s="18" t="inlineStr">
        <is>
          <t>Differential Scanning Calorimetry (DSC) Polymorphism</t>
        </is>
      </c>
      <c r="F838" s="18" t="inlineStr">
        <is>
          <t>Moisture Sorption Isotherm analysis</t>
        </is>
      </c>
      <c r="G838" s="18" t="inlineStr">
        <is>
          <t>Good Manufacturing Practice (GMP PIC/S)</t>
        </is>
      </c>
      <c r="H838" s="18" t="inlineStr">
        <is>
          <t>Standard Operating Procedure (SOP) Validation</t>
        </is>
      </c>
      <c r="I838" s="15" t="inlineStr">
        <is>
          <t>1</t>
        </is>
      </c>
      <c r="J838" s="18" t="inlineStr">
        <is>
          <t>✅ คำตอบที่ถูกต้อง: ข้อ ก. Long-term Stability Testing (30 C / 65%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Long-term Stability Testing (30 C / 65% RH)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ค.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ง.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จ.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8" s="18" t="inlineStr"/>
      <c r="L838" s="18" t="inlineStr">
        <is>
          <t>Preformulation &amp; Stability</t>
        </is>
      </c>
      <c r="M838" s="18" t="inlineStr">
        <is>
          <t>Product</t>
        </is>
      </c>
      <c r="N838" s="18" t="inlineStr">
        <is>
          <t>ข้อ 2 (PLE_CC1_2555 Day 2.md)</t>
        </is>
      </c>
      <c r="O838" s="18" t="inlineStr">
        <is>
          <t>ข้อสอบจริง</t>
        </is>
      </c>
      <c r="P838" s="18" t="inlineStr">
        <is>
          <t>ปี 2555</t>
        </is>
      </c>
    </row>
    <row r="839">
      <c r="A839" s="15" t="inlineStr">
        <is>
          <t>860</t>
        </is>
      </c>
      <c r="B839" s="18" t="inlineStr">
        <is>
          <t>ค่าคงที่การดูดกลืนแสง MCQ 1/2555 by CURx69 page 9</t>
        </is>
      </c>
      <c r="C839" s="18" t="inlineStr"/>
      <c r="D839" s="18" t="inlineStr">
        <is>
          <t>N-acetylcysteine (NAC) IV infusion protocol</t>
        </is>
      </c>
      <c r="E839" s="18" t="inlineStr">
        <is>
          <t>Atropine sulfate 2 mg IV Q5-10 min</t>
        </is>
      </c>
      <c r="F839" s="18" t="inlineStr">
        <is>
          <t>Pralidoxime (2-PAM) 1-2 g IV over 30 min</t>
        </is>
      </c>
      <c r="G839" s="18" t="inlineStr">
        <is>
          <t>Naloxone 0.4 mg IV stat</t>
        </is>
      </c>
      <c r="H839" s="18" t="inlineStr">
        <is>
          <t>Flumazenil 0.2 mg IV stat</t>
        </is>
      </c>
      <c r="I839" s="15" t="inlineStr">
        <is>
          <t>1</t>
        </is>
      </c>
      <c r="J8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9" s="18" t="inlineStr"/>
      <c r="L839" s="18" t="inlineStr">
        <is>
          <t>General Therapeutics</t>
        </is>
      </c>
      <c r="M839" s="18" t="inlineStr">
        <is>
          <t>Clinic</t>
        </is>
      </c>
      <c r="N839" s="18" t="inlineStr">
        <is>
          <t>ข้อ 5 (PLE_CC1_2555 Day 2.md)</t>
        </is>
      </c>
      <c r="O839" s="18" t="inlineStr">
        <is>
          <t>ข้อสอบจริง</t>
        </is>
      </c>
      <c r="P839" s="18" t="inlineStr">
        <is>
          <t>ปี 2555</t>
        </is>
      </c>
    </row>
    <row r="840">
      <c r="A840" s="15" t="inlineStr">
        <is>
          <t>861</t>
        </is>
      </c>
      <c r="B840" s="18" t="inlineStr">
        <is>
          <t>Pseudoplastic flow</t>
        </is>
      </c>
      <c r="C840" s="18" t="inlineStr"/>
      <c r="D840" s="18" t="inlineStr">
        <is>
          <t>Naloxone 0.4 mg IV stat</t>
        </is>
      </c>
      <c r="E840" s="18" t="inlineStr">
        <is>
          <t>Flumazenil 0.2 mg IV stat</t>
        </is>
      </c>
      <c r="F840" s="18" t="inlineStr">
        <is>
          <t>Vitamin K1 (Phytomenadione) 10 mg IV slow</t>
        </is>
      </c>
      <c r="G840" s="18" t="inlineStr">
        <is>
          <t>Sodium thiosulfate 25% 50 mL IV</t>
        </is>
      </c>
      <c r="H840" s="18" t="inlineStr">
        <is>
          <t>Calcium disodium EDTA 1 g IV</t>
        </is>
      </c>
      <c r="I840" s="15" t="inlineStr">
        <is>
          <t>1</t>
        </is>
      </c>
      <c r="J8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0" s="18" t="inlineStr"/>
      <c r="L840" s="18" t="inlineStr">
        <is>
          <t>General Therapeutics</t>
        </is>
      </c>
      <c r="M840" s="18" t="inlineStr">
        <is>
          <t>Clinic</t>
        </is>
      </c>
      <c r="N840" s="18" t="inlineStr">
        <is>
          <t>ข้อ 3 (PLE_CC1_2555 Day 2.md)</t>
        </is>
      </c>
      <c r="O840" s="18" t="inlineStr">
        <is>
          <t>ข้อสอบจริง</t>
        </is>
      </c>
      <c r="P840" s="18" t="inlineStr">
        <is>
          <t>ปี 2555</t>
        </is>
      </c>
    </row>
    <row r="841">
      <c r="A841" s="15" t="inlineStr">
        <is>
          <t>862</t>
        </is>
      </c>
      <c r="B841" s="18" t="inlineStr">
        <is>
          <t>Viscoplastic flow</t>
        </is>
      </c>
      <c r="C841" s="18" t="inlineStr"/>
      <c r="D841" s="18" t="inlineStr">
        <is>
          <t>Sodium thiosulfate 25% 50 mL IV</t>
        </is>
      </c>
      <c r="E841" s="18" t="inlineStr">
        <is>
          <t>Calcium disodium EDTA 1 g IV</t>
        </is>
      </c>
      <c r="F841" s="18" t="inlineStr">
        <is>
          <t>Desferrioxamine 1 g IM/IV</t>
        </is>
      </c>
      <c r="G841" s="18" t="inlineStr">
        <is>
          <t>Dimercaprol (BAL) 3 mg/kg IM</t>
        </is>
      </c>
      <c r="H841" s="18" t="inlineStr">
        <is>
          <t>Ethanol 10% IV infusion for Methanol poisoning</t>
        </is>
      </c>
      <c r="I841" s="15" t="inlineStr">
        <is>
          <t>1</t>
        </is>
      </c>
      <c r="J8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1" s="18" t="inlineStr"/>
      <c r="L841" s="18" t="inlineStr">
        <is>
          <t>General Therapeutics</t>
        </is>
      </c>
      <c r="M841" s="18" t="inlineStr">
        <is>
          <t>Clinic</t>
        </is>
      </c>
      <c r="N841" s="18" t="inlineStr">
        <is>
          <t>ข้อ 4 (PLE_CC1_2555 Day 2.md)</t>
        </is>
      </c>
      <c r="O841" s="18" t="inlineStr">
        <is>
          <t>ข้อสอบจริง</t>
        </is>
      </c>
      <c r="P841" s="18" t="inlineStr">
        <is>
          <t>ปี 2555</t>
        </is>
      </c>
    </row>
    <row r="842">
      <c r="A842" s="15" t="inlineStr">
        <is>
          <t>863</t>
        </is>
      </c>
      <c r="B842" s="18" t="inlineStr">
        <is>
          <t>MC disperse ให้ใส ทำอย่างไร</t>
        </is>
      </c>
      <c r="C842" s="18" t="inlineStr"/>
      <c r="D842" s="18" t="inlineStr">
        <is>
          <t>Dimercaprol (BAL) 3 mg/kg IM</t>
        </is>
      </c>
      <c r="E842" s="18" t="inlineStr">
        <is>
          <t>Ethanol 10% IV infusion for Methanol poisoning</t>
        </is>
      </c>
      <c r="F842" s="18" t="inlineStr">
        <is>
          <t>Fomepizole 15 mg/kg IV loading</t>
        </is>
      </c>
      <c r="G842" s="18" t="inlineStr">
        <is>
          <t>N-acetylcysteine (NAC) IV infusion protocol</t>
        </is>
      </c>
      <c r="H842" s="18" t="inlineStr">
        <is>
          <t>Atropine sulfate 2 mg IV Q5-10 min</t>
        </is>
      </c>
      <c r="I842" s="15" t="inlineStr">
        <is>
          <t>1</t>
        </is>
      </c>
      <c r="J8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2" s="18" t="inlineStr"/>
      <c r="L842" s="18" t="inlineStr">
        <is>
          <t>General Therapeutics</t>
        </is>
      </c>
      <c r="M842" s="18" t="inlineStr">
        <is>
          <t>Clinic</t>
        </is>
      </c>
      <c r="N842" s="18" t="inlineStr">
        <is>
          <t>ข้อ 6 (PLE_CC1_2555 Day 2.md)</t>
        </is>
      </c>
      <c r="O842" s="18" t="inlineStr">
        <is>
          <t>ข้อสอบจริง</t>
        </is>
      </c>
      <c r="P842" s="18" t="inlineStr">
        <is>
          <t>ปี 2555</t>
        </is>
      </c>
    </row>
    <row r="843">
      <c r="A843" s="15" t="inlineStr">
        <is>
          <t>864</t>
        </is>
      </c>
      <c r="B843" s="18" t="inlineStr">
        <is>
          <t>บดกับ Sucrose คนผสมน ้า</t>
        </is>
      </c>
      <c r="C843" s="18" t="inlineStr"/>
      <c r="D843" s="18" t="inlineStr">
        <is>
          <t>N-acetylcysteine (NAC) IV infusion protocol</t>
        </is>
      </c>
      <c r="E843" s="18" t="inlineStr">
        <is>
          <t>Atropine sulfate 2 mg IV Q5-10 min</t>
        </is>
      </c>
      <c r="F843" s="18" t="inlineStr">
        <is>
          <t>Pralidoxime (2-PAM) 1-2 g IV over 30 min</t>
        </is>
      </c>
      <c r="G843" s="18" t="inlineStr">
        <is>
          <t>Naloxone 0.4 mg IV stat</t>
        </is>
      </c>
      <c r="H843" s="18" t="inlineStr">
        <is>
          <t>Flumazenil 0.2 mg IV stat</t>
        </is>
      </c>
      <c r="I843" s="15" t="inlineStr">
        <is>
          <t>1</t>
        </is>
      </c>
      <c r="J8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3" s="18" t="inlineStr"/>
      <c r="L843" s="18" t="inlineStr">
        <is>
          <t>General Therapeutics</t>
        </is>
      </c>
      <c r="M843" s="18" t="inlineStr">
        <is>
          <t>Clinic</t>
        </is>
      </c>
      <c r="N843" s="18" t="inlineStr">
        <is>
          <t>ข้อ 1 (PLE_CC1_2555 Day 2.md)</t>
        </is>
      </c>
      <c r="O843" s="18" t="inlineStr">
        <is>
          <t>ข้อสอบจริง</t>
        </is>
      </c>
      <c r="P843" s="18" t="inlineStr">
        <is>
          <t>ปี 2555</t>
        </is>
      </c>
    </row>
    <row r="844">
      <c r="A844" s="15" t="inlineStr">
        <is>
          <t>865</t>
        </is>
      </c>
      <c r="B844" s="18" t="inlineStr">
        <is>
          <t>โปรยในน ้าเย็น คนให้เข้ากัน แล้วเติมกรดเพื่อปรับ pH</t>
        </is>
      </c>
      <c r="C844" s="18" t="inlineStr"/>
      <c r="D844" s="18" t="inlineStr">
        <is>
          <t>พ.ร.บ. เครื่องสำอาง พ.ศ. 2558</t>
        </is>
      </c>
      <c r="E844" s="18" t="inlineStr">
        <is>
          <t>พ.ร.บ. หลักประกันสุขภาพแห่งชาติ พ.ศ. 2545</t>
        </is>
      </c>
      <c r="F844" s="18" t="inlineStr">
        <is>
          <t>การปฏิบัติทางเภสัชกรรมชุมชน (Good Pharmacy Practice: GPP)</t>
        </is>
      </c>
      <c r="G844" s="18" t="inlineStr">
        <is>
          <t>บัญชียาหลักแห่งชาติ (National List of Essential Medicines: NLEM)</t>
        </is>
      </c>
      <c r="H844" s="18" t="inlineStr">
        <is>
          <t>เกณฑ์จริยธรรมว่าด้วยการส่งเสริมการขายยาของกระทรวงสาธารณสุข</t>
        </is>
      </c>
      <c r="I844" s="15" t="inlineStr">
        <is>
          <t>1</t>
        </is>
      </c>
      <c r="J844"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4" s="18" t="inlineStr"/>
      <c r="L844" s="18" t="inlineStr">
        <is>
          <t>Pharmacy Laws &amp; Ethics</t>
        </is>
      </c>
      <c r="M844" s="18" t="inlineStr">
        <is>
          <t>SAP</t>
        </is>
      </c>
      <c r="N844" s="18" t="inlineStr">
        <is>
          <t>ข้อ 2 (PLE_CC1_2555 Day 2.md)</t>
        </is>
      </c>
      <c r="O844" s="18" t="inlineStr">
        <is>
          <t>ข้อสอบจริง</t>
        </is>
      </c>
      <c r="P844" s="18" t="inlineStr">
        <is>
          <t>ปี 2555</t>
        </is>
      </c>
    </row>
    <row r="845">
      <c r="A845" s="15" t="inlineStr">
        <is>
          <t>866</t>
        </is>
      </c>
      <c r="B845" s="18" t="inlineStr">
        <is>
          <t>บดในน ้าเย็น เติมด่างเพื่อปรับ pH</t>
        </is>
      </c>
      <c r="C845" s="18" t="inlineStr"/>
      <c r="D845" s="18" t="inlineStr">
        <is>
          <t>บัญชียาหลักแห่งชาติ (National List of Essential Medicines: NLEM)</t>
        </is>
      </c>
      <c r="E845" s="18" t="inlineStr">
        <is>
          <t>เกณฑ์จริยธรรมว่าด้วยการส่งเสริมการขายยาของกระทรวงสาธารณสุข</t>
        </is>
      </c>
      <c r="F845" s="18" t="inlineStr">
        <is>
          <t>พ.ร.บ. ยา พ.ศ. 2510 (การจำหน่ายยาอันตรายและยาควบคุมพิเศษ)</t>
        </is>
      </c>
      <c r="G845" s="18" t="inlineStr">
        <is>
          <t>พ.ร.บ. ยาเสพติดให้โทษ พ.ศ. 2522 (ยาเสพติดให้โทษประเภท 2 และ 3)</t>
        </is>
      </c>
      <c r="H845" s="18" t="inlineStr">
        <is>
          <t>พ.ร.บ. วัตถุที่ออกฤทธิ์ต่อจิตและประสาท พ.ศ. 2559 (ประเภท 2 และ 4)</t>
        </is>
      </c>
      <c r="I845" s="15" t="inlineStr">
        <is>
          <t>1</t>
        </is>
      </c>
      <c r="J845"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5" s="18" t="inlineStr"/>
      <c r="L845" s="18" t="inlineStr">
        <is>
          <t>Pharmacy Laws &amp; Ethics</t>
        </is>
      </c>
      <c r="M845" s="18" t="inlineStr">
        <is>
          <t>SAP</t>
        </is>
      </c>
      <c r="N845" s="18" t="inlineStr">
        <is>
          <t>ข้อ 3 (PLE_CC1_2555 Day 2.md)</t>
        </is>
      </c>
      <c r="O845" s="18" t="inlineStr">
        <is>
          <t>ข้อสอบจริง</t>
        </is>
      </c>
      <c r="P845" s="18" t="inlineStr">
        <is>
          <t>ปี 2555</t>
        </is>
      </c>
    </row>
    <row r="846">
      <c r="A846" s="15" t="inlineStr">
        <is>
          <t>867</t>
        </is>
      </c>
      <c r="B846" s="18" t="inlineStr">
        <is>
          <t>โปรยให้กระจายตัวในน ้าเย็น แล้วเติมน ้าร้อน</t>
        </is>
      </c>
      <c r="C846" s="18" t="inlineStr"/>
      <c r="D846" s="18" t="inlineStr">
        <is>
          <t>Dimercaprol (BAL) 3 mg/kg IM</t>
        </is>
      </c>
      <c r="E846" s="18" t="inlineStr">
        <is>
          <t>Ethanol 10% IV infusion for Methanol poisoning</t>
        </is>
      </c>
      <c r="F846" s="18" t="inlineStr">
        <is>
          <t>Fomepizole 15 mg/kg IV loading</t>
        </is>
      </c>
      <c r="G846" s="18" t="inlineStr">
        <is>
          <t>N-acetylcysteine (NAC) IV infusion protocol</t>
        </is>
      </c>
      <c r="H846" s="18" t="inlineStr">
        <is>
          <t>Atropine sulfate 2 mg IV Q5-10 min</t>
        </is>
      </c>
      <c r="I846" s="15" t="inlineStr">
        <is>
          <t>1</t>
        </is>
      </c>
      <c r="J84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6" s="18" t="inlineStr"/>
      <c r="L846" s="18" t="inlineStr">
        <is>
          <t>General Therapeutics</t>
        </is>
      </c>
      <c r="M846" s="18" t="inlineStr">
        <is>
          <t>Clinic</t>
        </is>
      </c>
      <c r="N846" s="18" t="inlineStr">
        <is>
          <t>ข้อ 4 (PLE_CC1_2555 Day 2.md)</t>
        </is>
      </c>
      <c r="O846" s="18" t="inlineStr">
        <is>
          <t>ข้อสอบจริง</t>
        </is>
      </c>
      <c r="P846" s="18" t="inlineStr">
        <is>
          <t>ปี 2555</t>
        </is>
      </c>
    </row>
    <row r="847">
      <c r="A847" s="15" t="inlineStr">
        <is>
          <t>868</t>
        </is>
      </c>
      <c r="B847" s="18" t="inlineStr">
        <is>
          <t>โปรยให้กระจายตัวในน ้าร้อน แล้วเติมน ้าเย็น</t>
        </is>
      </c>
      <c r="C847" s="18" t="inlineStr"/>
      <c r="D847" s="18" t="inlineStr">
        <is>
          <t>N-acetylcysteine (NAC) IV infusion protocol</t>
        </is>
      </c>
      <c r="E847" s="18" t="inlineStr">
        <is>
          <t>Atropine sulfate 2 mg IV Q5-10 min</t>
        </is>
      </c>
      <c r="F847" s="18" t="inlineStr">
        <is>
          <t>Pralidoxime (2-PAM) 1-2 g IV over 30 min</t>
        </is>
      </c>
      <c r="G847" s="18" t="inlineStr">
        <is>
          <t>Naloxone 0.4 mg IV stat</t>
        </is>
      </c>
      <c r="H847" s="18" t="inlineStr">
        <is>
          <t>Flumazenil 0.2 mg IV stat</t>
        </is>
      </c>
      <c r="I847" s="15" t="inlineStr">
        <is>
          <t>1</t>
        </is>
      </c>
      <c r="J8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7" s="18" t="inlineStr"/>
      <c r="L847" s="18" t="inlineStr">
        <is>
          <t>General Therapeutics</t>
        </is>
      </c>
      <c r="M847" s="18" t="inlineStr">
        <is>
          <t>Clinic</t>
        </is>
      </c>
      <c r="N847" s="18" t="inlineStr">
        <is>
          <t>ข้อ 5 (PLE_CC1_2555 Day 2.md)</t>
        </is>
      </c>
      <c r="O847" s="18" t="inlineStr">
        <is>
          <t>ข้อสอบจริง</t>
        </is>
      </c>
      <c r="P847" s="18" t="inlineStr">
        <is>
          <t>ปี 2555</t>
        </is>
      </c>
    </row>
    <row r="848">
      <c r="A848" s="15" t="inlineStr">
        <is>
          <t>869</t>
        </is>
      </c>
      <c r="B848" s="18" t="inlineStr">
        <is>
          <t>เนื่องจากยาสามารถผ่านน ้านมได้และอาจมีผลต่อตับของทารก</t>
        </is>
      </c>
      <c r="C848" s="18" t="inlineStr"/>
      <c r="D848" s="18" t="inlineStr">
        <is>
          <t>Naloxone 0.4 mg IV stat</t>
        </is>
      </c>
      <c r="E848" s="18" t="inlineStr">
        <is>
          <t>Flumazenil 0.2 mg IV stat</t>
        </is>
      </c>
      <c r="F848" s="18" t="inlineStr">
        <is>
          <t>Vitamin K1 (Phytomenadione) 10 mg IV slow</t>
        </is>
      </c>
      <c r="G848" s="18" t="inlineStr">
        <is>
          <t>Sodium thiosulfate 25% 50 mL IV</t>
        </is>
      </c>
      <c r="H848" s="18" t="inlineStr">
        <is>
          <t>Calcium disodium EDTA 1 g IV</t>
        </is>
      </c>
      <c r="I848" s="15" t="inlineStr">
        <is>
          <t>1</t>
        </is>
      </c>
      <c r="J8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8" s="18" t="inlineStr"/>
      <c r="L848" s="18" t="inlineStr">
        <is>
          <t>General Therapeutics</t>
        </is>
      </c>
      <c r="M848" s="18" t="inlineStr">
        <is>
          <t>Clinic</t>
        </is>
      </c>
      <c r="N848" s="18" t="inlineStr">
        <is>
          <t>ข้อ 2 (PLE_CC1_2555 Day 2.md)</t>
        </is>
      </c>
      <c r="O848" s="18" t="inlineStr">
        <is>
          <t>ข้อสอบจริง</t>
        </is>
      </c>
      <c r="P848" s="18" t="inlineStr">
        <is>
          <t>ปี 2555</t>
        </is>
      </c>
    </row>
    <row r="849">
      <c r="A849" s="15" t="inlineStr">
        <is>
          <t>870</t>
        </is>
      </c>
      <c r="B849" s="18" t="inlineStr">
        <is>
          <t>มีภาวะลิ่มเลือดอุดตัน</t>
        </is>
      </c>
      <c r="C849" s="18" t="inlineStr"/>
      <c r="D849" s="18" t="inlineStr">
        <is>
          <t>Sodium thiosulfate 25% 50 mL IV</t>
        </is>
      </c>
      <c r="E849" s="18" t="inlineStr">
        <is>
          <t>Calcium disodium EDTA 1 g IV</t>
        </is>
      </c>
      <c r="F849" s="18" t="inlineStr">
        <is>
          <t>Desferrioxamine 1 g IM/IV</t>
        </is>
      </c>
      <c r="G849" s="18" t="inlineStr">
        <is>
          <t>Dimercaprol (BAL) 3 mg/kg IM</t>
        </is>
      </c>
      <c r="H849" s="18" t="inlineStr">
        <is>
          <t>Ethanol 10% IV infusion for Methanol poisoning</t>
        </is>
      </c>
      <c r="I849" s="15" t="inlineStr">
        <is>
          <t>1</t>
        </is>
      </c>
      <c r="J8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9" s="18" t="inlineStr"/>
      <c r="L849" s="18" t="inlineStr">
        <is>
          <t>General Therapeutics</t>
        </is>
      </c>
      <c r="M849" s="18" t="inlineStr">
        <is>
          <t>Clinic</t>
        </is>
      </c>
      <c r="N849" s="18" t="inlineStr">
        <is>
          <t>ข้อ 4 (PLE_CC1_2555 Day 2.md)</t>
        </is>
      </c>
      <c r="O849" s="18" t="inlineStr">
        <is>
          <t>ข้อสอบจริง</t>
        </is>
      </c>
      <c r="P849" s="18" t="inlineStr">
        <is>
          <t>ปี 2555</t>
        </is>
      </c>
    </row>
    <row r="850">
      <c r="A850" s="15" t="inlineStr">
        <is>
          <t>871</t>
        </is>
      </c>
      <c r="B850" s="18" t="inlineStr">
        <is>
          <t>MCQ 1/2555 by CURx69 page 11</t>
        </is>
      </c>
      <c r="C850" s="18" t="inlineStr"/>
      <c r="D850" s="18" t="inlineStr">
        <is>
          <t>Dimercaprol (BAL) 3 mg/kg IM</t>
        </is>
      </c>
      <c r="E850" s="18" t="inlineStr">
        <is>
          <t>Ethanol 10% IV infusion for Methanol poisoning</t>
        </is>
      </c>
      <c r="F850" s="18" t="inlineStr">
        <is>
          <t>Fomepizole 15 mg/kg IV loading</t>
        </is>
      </c>
      <c r="G850" s="18" t="inlineStr">
        <is>
          <t>N-acetylcysteine (NAC) IV infusion protocol</t>
        </is>
      </c>
      <c r="H850" s="18" t="inlineStr">
        <is>
          <t>Atropine sulfate 2 mg IV Q5-10 min</t>
        </is>
      </c>
      <c r="I850" s="15" t="inlineStr">
        <is>
          <t>1</t>
        </is>
      </c>
      <c r="J85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0" s="18" t="inlineStr"/>
      <c r="L850" s="18" t="inlineStr">
        <is>
          <t>General Therapeutics</t>
        </is>
      </c>
      <c r="M850" s="18" t="inlineStr">
        <is>
          <t>Clinic</t>
        </is>
      </c>
      <c r="N850" s="18" t="inlineStr">
        <is>
          <t>ข้อ 5 (PLE_CC1_2555 Day 2.md)</t>
        </is>
      </c>
      <c r="O850" s="18" t="inlineStr">
        <is>
          <t>ข้อสอบจริง</t>
        </is>
      </c>
      <c r="P850" s="18" t="inlineStr">
        <is>
          <t>ปี 2555</t>
        </is>
      </c>
    </row>
    <row r="851">
      <c r="A851" s="15" t="inlineStr">
        <is>
          <t>872</t>
        </is>
      </c>
      <c r="B851" s="18" t="inlineStr">
        <is>
          <t>ยาที่ไม่ใช่ยาอันตราย</t>
        </is>
      </c>
      <c r="C851" s="18" t="inlineStr"/>
      <c r="D851" s="18" t="inlineStr">
        <is>
          <t>พ.ร.บ. หลักประกันสุขภาพแห่งชาติ พ.ศ. 2545</t>
        </is>
      </c>
      <c r="E851" s="18" t="inlineStr">
        <is>
          <t>การปฏิบัติทางเภสัชกรรมชุมชน (Good Pharmacy Practice: GPP)</t>
        </is>
      </c>
      <c r="F851" s="18" t="inlineStr">
        <is>
          <t>บัญชียาหลักแห่งชาติ (National List of Essential Medicines: NLEM)</t>
        </is>
      </c>
      <c r="G851" s="18" t="inlineStr">
        <is>
          <t>เกณฑ์จริยธรรมว่าด้วยการส่งเสริมการขายยาของกระทรวงสาธารณสุข</t>
        </is>
      </c>
      <c r="H851" s="18" t="inlineStr">
        <is>
          <t>พ.ร.บ. ยา พ.ศ. 2510 (การจำหน่ายยาอันตรายและยาควบคุมพิเศษ)</t>
        </is>
      </c>
      <c r="I851" s="15" t="inlineStr">
        <is>
          <t>1</t>
        </is>
      </c>
      <c r="J85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1" s="18" t="inlineStr"/>
      <c r="L851" s="18" t="inlineStr">
        <is>
          <t>Pharmacy Laws &amp; Ethics</t>
        </is>
      </c>
      <c r="M851" s="18" t="inlineStr">
        <is>
          <t>SAP</t>
        </is>
      </c>
      <c r="N851" s="18" t="inlineStr">
        <is>
          <t>ข้อ 2 (PLE_CC1_2555 Day 2.md)</t>
        </is>
      </c>
      <c r="O851" s="18" t="inlineStr">
        <is>
          <t>ข้อสอบจริง</t>
        </is>
      </c>
      <c r="P851" s="18" t="inlineStr">
        <is>
          <t>ปี 2555</t>
        </is>
      </c>
    </row>
    <row r="852">
      <c r="A852" s="15" t="inlineStr">
        <is>
          <t>873</t>
        </is>
      </c>
      <c r="B852" s="18" t="inlineStr">
        <is>
          <t>จากภาพ เป็นระบบนำส่งยาที่เรียกว่าอะไร</t>
        </is>
      </c>
      <c r="C852" s="18" t="inlineStr"/>
      <c r="D852" s="18" t="inlineStr">
        <is>
          <t>Naloxone 0.4 mg IV stat</t>
        </is>
      </c>
      <c r="E852" s="18" t="inlineStr">
        <is>
          <t>Flumazenil 0.2 mg IV stat</t>
        </is>
      </c>
      <c r="F852" s="18" t="inlineStr">
        <is>
          <t>Vitamin K1 (Phytomenadione) 10 mg IV slow</t>
        </is>
      </c>
      <c r="G852" s="18" t="inlineStr">
        <is>
          <t>Sodium thiosulfate 25% 50 mL IV</t>
        </is>
      </c>
      <c r="H852" s="18" t="inlineStr">
        <is>
          <t>Calcium disodium EDTA 1 g IV</t>
        </is>
      </c>
      <c r="I852" s="15" t="inlineStr">
        <is>
          <t>1</t>
        </is>
      </c>
      <c r="J85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52" s="18" t="inlineStr"/>
      <c r="L852" s="18" t="inlineStr">
        <is>
          <t>General Therapeutics</t>
        </is>
      </c>
      <c r="M852" s="18" t="inlineStr">
        <is>
          <t>Clinic</t>
        </is>
      </c>
      <c r="N852" s="18" t="inlineStr">
        <is>
          <t>ข้อ 8 (PLE_CC1_2555 Day 2.md)</t>
        </is>
      </c>
      <c r="O852" s="18" t="inlineStr">
        <is>
          <t>ข้อสอบจริง</t>
        </is>
      </c>
      <c r="P852" s="18" t="inlineStr">
        <is>
          <t>ปี 2555</t>
        </is>
      </c>
    </row>
    <row r="853">
      <c r="A853" s="15" t="inlineStr">
        <is>
          <t>874</t>
        </is>
      </c>
      <c r="B853" s="18" t="inlineStr">
        <is>
          <t>Single-layer Drug-in-Adhesive</t>
        </is>
      </c>
      <c r="C853" s="18" t="inlineStr"/>
      <c r="D853" s="18" t="inlineStr">
        <is>
          <t>Sodium thiosulfate 25% 50 mL IV</t>
        </is>
      </c>
      <c r="E853" s="18" t="inlineStr">
        <is>
          <t>Calcium disodium EDTA 1 g IV</t>
        </is>
      </c>
      <c r="F853" s="18" t="inlineStr">
        <is>
          <t>Desferrioxamine 1 g IM/IV</t>
        </is>
      </c>
      <c r="G853" s="18" t="inlineStr">
        <is>
          <t>Dimercaprol (BAL) 3 mg/kg IM</t>
        </is>
      </c>
      <c r="H853" s="18" t="inlineStr">
        <is>
          <t>Ethanol 10% IV infusion for Methanol poisoning</t>
        </is>
      </c>
      <c r="I853" s="15" t="inlineStr">
        <is>
          <t>1</t>
        </is>
      </c>
      <c r="J8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3" s="18" t="inlineStr"/>
      <c r="L853" s="18" t="inlineStr">
        <is>
          <t>General Therapeutics</t>
        </is>
      </c>
      <c r="M853" s="18" t="inlineStr">
        <is>
          <t>Clinic</t>
        </is>
      </c>
      <c r="N853" s="18" t="inlineStr">
        <is>
          <t>ข้อ 1 (PLE_CC1_2555 Day 2.md)</t>
        </is>
      </c>
      <c r="O853" s="18" t="inlineStr">
        <is>
          <t>ข้อสอบจริง</t>
        </is>
      </c>
      <c r="P853" s="18" t="inlineStr">
        <is>
          <t>ปี 2555</t>
        </is>
      </c>
    </row>
    <row r="854">
      <c r="A854" s="15" t="inlineStr">
        <is>
          <t>875</t>
        </is>
      </c>
      <c r="B854" s="18" t="inlineStr">
        <is>
          <t>Multi-layer Drug-in-Adhesive</t>
        </is>
      </c>
      <c r="C854" s="18" t="inlineStr"/>
      <c r="D854" s="18" t="inlineStr">
        <is>
          <t>Dimercaprol (BAL) 3 mg/kg IM</t>
        </is>
      </c>
      <c r="E854" s="18" t="inlineStr">
        <is>
          <t>Ethanol 10% IV infusion for Methanol poisoning</t>
        </is>
      </c>
      <c r="F854" s="18" t="inlineStr">
        <is>
          <t>Fomepizole 15 mg/kg IV loading</t>
        </is>
      </c>
      <c r="G854" s="18" t="inlineStr">
        <is>
          <t>N-acetylcysteine (NAC) IV infusion protocol</t>
        </is>
      </c>
      <c r="H854" s="18" t="inlineStr">
        <is>
          <t>Atropine sulfate 2 mg IV Q5-10 min</t>
        </is>
      </c>
      <c r="I854" s="15" t="inlineStr">
        <is>
          <t>1</t>
        </is>
      </c>
      <c r="J8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4" s="18" t="inlineStr"/>
      <c r="L854" s="18" t="inlineStr">
        <is>
          <t>General Therapeutics</t>
        </is>
      </c>
      <c r="M854" s="18" t="inlineStr">
        <is>
          <t>Clinic</t>
        </is>
      </c>
      <c r="N854" s="18" t="inlineStr">
        <is>
          <t>ข้อ 2 (PLE_CC1_2555 Day 2.md)</t>
        </is>
      </c>
      <c r="O854" s="18" t="inlineStr">
        <is>
          <t>ข้อสอบจริง</t>
        </is>
      </c>
      <c r="P854" s="18" t="inlineStr">
        <is>
          <t>ปี 2555</t>
        </is>
      </c>
    </row>
    <row r="855">
      <c r="A855" s="15" t="inlineStr">
        <is>
          <t>876</t>
        </is>
      </c>
      <c r="B855" s="18" t="inlineStr">
        <is>
          <t>MCQ 1/2555 by CURx69 page 12</t>
        </is>
      </c>
      <c r="C855" s="18" t="inlineStr"/>
      <c r="D855" s="18" t="inlineStr">
        <is>
          <t>N-acetylcysteine (NAC) IV infusion protocol</t>
        </is>
      </c>
      <c r="E855" s="18" t="inlineStr">
        <is>
          <t>Atropine sulfate 2 mg IV Q5-10 min</t>
        </is>
      </c>
      <c r="F855" s="18" t="inlineStr">
        <is>
          <t>Pralidoxime (2-PAM) 1-2 g IV over 30 min</t>
        </is>
      </c>
      <c r="G855" s="18" t="inlineStr">
        <is>
          <t>Naloxone 0.4 mg IV stat</t>
        </is>
      </c>
      <c r="H855" s="18" t="inlineStr">
        <is>
          <t>Flumazenil 0.2 mg IV stat</t>
        </is>
      </c>
      <c r="I855" s="15" t="inlineStr">
        <is>
          <t>1</t>
        </is>
      </c>
      <c r="J85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5" s="18" t="inlineStr"/>
      <c r="L855" s="18" t="inlineStr">
        <is>
          <t>General Therapeutics</t>
        </is>
      </c>
      <c r="M855" s="18" t="inlineStr">
        <is>
          <t>Clinic</t>
        </is>
      </c>
      <c r="N855" s="18" t="inlineStr">
        <is>
          <t>ข้อ 5 (PLE_CC1_2555 Day 2.md)</t>
        </is>
      </c>
      <c r="O855" s="18" t="inlineStr">
        <is>
          <t>ข้อสอบจริง</t>
        </is>
      </c>
      <c r="P855" s="18" t="inlineStr">
        <is>
          <t>ปี 2555</t>
        </is>
      </c>
    </row>
    <row r="856">
      <c r="A856" s="15" t="inlineStr">
        <is>
          <t>877</t>
        </is>
      </c>
      <c r="B856" s="18" t="inlineStr">
        <is>
          <t>Fingerprint จาก FTIR</t>
        </is>
      </c>
      <c r="C856" s="18" t="inlineStr"/>
      <c r="D856" s="18" t="inlineStr">
        <is>
          <t>FTIR Spectroscopy (Attenuated Total Reflection)</t>
        </is>
      </c>
      <c r="E856" s="18" t="inlineStr">
        <is>
          <t>Proton NMR (1H-NMR) Spectroscopy</t>
        </is>
      </c>
      <c r="F856" s="18" t="inlineStr">
        <is>
          <t>Carbon-13 NMR (13C-NMR) Spectroscopy</t>
        </is>
      </c>
      <c r="G856" s="18" t="inlineStr">
        <is>
          <t>Electrospray Ionization Mass Spectrometry (ESI-MS)</t>
        </is>
      </c>
      <c r="H856" s="18" t="inlineStr">
        <is>
          <t>Optical Rotation via Polarimeter</t>
        </is>
      </c>
      <c r="I856" s="15" t="inlineStr">
        <is>
          <t>1</t>
        </is>
      </c>
      <c r="J856" s="18"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6" s="18" t="inlineStr"/>
      <c r="L856" s="18" t="inlineStr">
        <is>
          <t>Spectroscopy &amp; Optics</t>
        </is>
      </c>
      <c r="M856" s="18" t="inlineStr">
        <is>
          <t>Product</t>
        </is>
      </c>
      <c r="N856" s="18" t="inlineStr">
        <is>
          <t>ข้อ 1 (PLE_CC1_2555 Day 2.md)</t>
        </is>
      </c>
      <c r="O856" s="18" t="inlineStr">
        <is>
          <t>ข้อสอบจริง</t>
        </is>
      </c>
      <c r="P856" s="18" t="inlineStr">
        <is>
          <t>ปี 2555</t>
        </is>
      </c>
    </row>
    <row r="857">
      <c r="A857" s="15" t="inlineStr">
        <is>
          <t>878</t>
        </is>
      </c>
      <c r="B857" s="18" t="inlineStr">
        <is>
          <t>อาหารที่ผู้ป่วยรายนี้ไม่ควรรับประทาน</t>
        </is>
      </c>
      <c r="C857" s="18" t="inlineStr"/>
      <c r="D857" s="18" t="inlineStr">
        <is>
          <t>Sodium thiosulfate 25% 50 mL IV</t>
        </is>
      </c>
      <c r="E857" s="18" t="inlineStr">
        <is>
          <t>Calcium disodium EDTA 1 g IV</t>
        </is>
      </c>
      <c r="F857" s="18" t="inlineStr">
        <is>
          <t>Desferrioxamine 1 g IM/IV</t>
        </is>
      </c>
      <c r="G857" s="18" t="inlineStr">
        <is>
          <t>Dimercaprol (BAL) 3 mg/kg IM</t>
        </is>
      </c>
      <c r="H857" s="18" t="inlineStr">
        <is>
          <t>Ethanol 10% IV infusion for Methanol poisoning</t>
        </is>
      </c>
      <c r="I857" s="15" t="inlineStr">
        <is>
          <t>1</t>
        </is>
      </c>
      <c r="J8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7" s="18" t="inlineStr"/>
      <c r="L857" s="18" t="inlineStr">
        <is>
          <t>General Therapeutics</t>
        </is>
      </c>
      <c r="M857" s="18" t="inlineStr">
        <is>
          <t>Clinic</t>
        </is>
      </c>
      <c r="N857" s="18" t="inlineStr">
        <is>
          <t>ข้อ 3 (PLE_CC1_2555 Day 2.md)</t>
        </is>
      </c>
      <c r="O857" s="18" t="inlineStr">
        <is>
          <t>ข้อสอบจริง</t>
        </is>
      </c>
      <c r="P857" s="18" t="inlineStr">
        <is>
          <t>ปี 2555</t>
        </is>
      </c>
    </row>
    <row r="858">
      <c r="A858" s="15" t="inlineStr">
        <is>
          <t>879</t>
        </is>
      </c>
      <c r="B858" s="18" t="inlineStr">
        <is>
          <t>ห้ามใช้ในคนท้อง</t>
        </is>
      </c>
      <c r="C858" s="18" t="inlineStr"/>
      <c r="D858" s="18" t="inlineStr">
        <is>
          <t>Dimercaprol (BAL) 3 mg/kg IM</t>
        </is>
      </c>
      <c r="E858" s="18" t="inlineStr">
        <is>
          <t>Ethanol 10% IV infusion for Methanol poisoning</t>
        </is>
      </c>
      <c r="F858" s="18" t="inlineStr">
        <is>
          <t>Fomepizole 15 mg/kg IV loading</t>
        </is>
      </c>
      <c r="G858" s="18" t="inlineStr">
        <is>
          <t>N-acetylcysteine (NAC) IV infusion protocol</t>
        </is>
      </c>
      <c r="H858" s="18" t="inlineStr">
        <is>
          <t>Atropine sulfate 2 mg IV Q5-10 min</t>
        </is>
      </c>
      <c r="I858" s="15" t="inlineStr">
        <is>
          <t>1</t>
        </is>
      </c>
      <c r="J8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8" s="18" t="inlineStr"/>
      <c r="L858" s="18" t="inlineStr">
        <is>
          <t>General Therapeutics</t>
        </is>
      </c>
      <c r="M858" s="18" t="inlineStr">
        <is>
          <t>Clinic</t>
        </is>
      </c>
      <c r="N858" s="18" t="inlineStr">
        <is>
          <t>ข้อ 2 (PLE_CC1_2555 Day 2.md)</t>
        </is>
      </c>
      <c r="O858" s="18" t="inlineStr">
        <is>
          <t>ข้อสอบจริง</t>
        </is>
      </c>
      <c r="P858" s="18" t="inlineStr">
        <is>
          <t>ปี 2555</t>
        </is>
      </c>
    </row>
    <row r="859">
      <c r="A859" s="15" t="inlineStr">
        <is>
          <t>880</t>
        </is>
      </c>
      <c r="B859" s="18" t="inlineStr">
        <is>
          <t>มีอันตรกิริยากับยากลุ่ม Macrorides</t>
        </is>
      </c>
      <c r="C859" s="18" t="inlineStr"/>
      <c r="D859" s="18" t="inlineStr">
        <is>
          <t>N-acetylcysteine (NAC) IV infusion protocol</t>
        </is>
      </c>
      <c r="E859" s="18" t="inlineStr">
        <is>
          <t>Atropine sulfate 2 mg IV Q5-10 min</t>
        </is>
      </c>
      <c r="F859" s="18" t="inlineStr">
        <is>
          <t>Pralidoxime (2-PAM) 1-2 g IV over 30 min</t>
        </is>
      </c>
      <c r="G859" s="18" t="inlineStr">
        <is>
          <t>Naloxone 0.4 mg IV stat</t>
        </is>
      </c>
      <c r="H859" s="18" t="inlineStr">
        <is>
          <t>Flumazenil 0.2 mg IV stat</t>
        </is>
      </c>
      <c r="I859" s="15" t="inlineStr">
        <is>
          <t>1</t>
        </is>
      </c>
      <c r="J8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9" s="18" t="inlineStr"/>
      <c r="L859" s="18" t="inlineStr">
        <is>
          <t>General Therapeutics</t>
        </is>
      </c>
      <c r="M859" s="18" t="inlineStr">
        <is>
          <t>Clinic</t>
        </is>
      </c>
      <c r="N859" s="18" t="inlineStr">
        <is>
          <t>ข้อ 3 (PLE_CC1_2555 Day 2.md)</t>
        </is>
      </c>
      <c r="O859" s="18" t="inlineStr">
        <is>
          <t>ข้อสอบจริง</t>
        </is>
      </c>
      <c r="P859" s="18" t="inlineStr">
        <is>
          <t>ปี 2555</t>
        </is>
      </c>
    </row>
    <row r="860">
      <c r="A860" s="15" t="inlineStr">
        <is>
          <t>881</t>
        </is>
      </c>
      <c r="B860" s="18" t="inlineStr">
        <is>
          <t>ยาต้านอักเสบตัวใดที่ไม่ควรใช้ในโรคเกาต์</t>
        </is>
      </c>
      <c r="C860" s="18" t="inlineStr"/>
      <c r="D860" s="18" t="inlineStr">
        <is>
          <t>Febuxostat 40 mg OD</t>
        </is>
      </c>
      <c r="E860" s="18" t="inlineStr">
        <is>
          <t>Celecoxib 200 mg OD</t>
        </is>
      </c>
      <c r="F860" s="18" t="inlineStr">
        <is>
          <t>Methotrexate 10 mg weekly</t>
        </is>
      </c>
      <c r="G860" s="18" t="inlineStr">
        <is>
          <t>Alendronate 70 mg weekly</t>
        </is>
      </c>
      <c r="H860" s="18" t="inlineStr">
        <is>
          <t>Glucosamine sulfate 1500 mg OD</t>
        </is>
      </c>
      <c r="I860" s="15" t="inlineStr">
        <is>
          <t>1</t>
        </is>
      </c>
      <c r="J860" s="18" t="inlineStr">
        <is>
          <t>✅ คำตอบที่ถูกต้อง: ข้อ ก. Febuxostat 40 mg OD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860" s="18" t="inlineStr"/>
      <c r="L860" s="18" t="inlineStr">
        <is>
          <t>Musculoskeletal &amp; Joint</t>
        </is>
      </c>
      <c r="M860" s="18" t="inlineStr">
        <is>
          <t>Clinic</t>
        </is>
      </c>
      <c r="N860" s="18" t="inlineStr">
        <is>
          <t>ข้อ 7 (PLE_CC1_2555 Day 2.md)</t>
        </is>
      </c>
      <c r="O860" s="18" t="inlineStr">
        <is>
          <t>ข้อสอบจริง</t>
        </is>
      </c>
      <c r="P860" s="18" t="inlineStr">
        <is>
          <t>ปี 2555</t>
        </is>
      </c>
    </row>
    <row r="861">
      <c r="A861" s="15" t="inlineStr">
        <is>
          <t>882</t>
        </is>
      </c>
      <c r="B861" s="18" t="inlineStr">
        <is>
          <t>Piroxicam MCQ 1/2555 by CURx69 page 14</t>
        </is>
      </c>
      <c r="C861" s="18" t="inlineStr"/>
      <c r="D861" s="18" t="inlineStr">
        <is>
          <t>Sodium thiosulfate 25% 50 mL IV</t>
        </is>
      </c>
      <c r="E861" s="18" t="inlineStr">
        <is>
          <t>Calcium disodium EDTA 1 g IV</t>
        </is>
      </c>
      <c r="F861" s="18" t="inlineStr">
        <is>
          <t>Desferrioxamine 1 g IM/IV</t>
        </is>
      </c>
      <c r="G861" s="18" t="inlineStr">
        <is>
          <t>Dimercaprol (BAL) 3 mg/kg IM</t>
        </is>
      </c>
      <c r="H861" s="18" t="inlineStr">
        <is>
          <t>Ethanol 10% IV infusion for Methanol poisoning</t>
        </is>
      </c>
      <c r="I861" s="15" t="inlineStr">
        <is>
          <t>1</t>
        </is>
      </c>
      <c r="J8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861" s="18" t="inlineStr"/>
      <c r="L861" s="18" t="inlineStr">
        <is>
          <t>General Therapeutics</t>
        </is>
      </c>
      <c r="M861" s="18" t="inlineStr">
        <is>
          <t>Clinic</t>
        </is>
      </c>
      <c r="N861" s="18" t="inlineStr">
        <is>
          <t>ข้อ 4 (PLE_CC1_2555 Day 2.md)</t>
        </is>
      </c>
      <c r="O861" s="18" t="inlineStr">
        <is>
          <t>ข้อสอบจริง</t>
        </is>
      </c>
      <c r="P861" s="18" t="inlineStr">
        <is>
          <t>ปี 2555</t>
        </is>
      </c>
    </row>
    <row r="862">
      <c r="A862" s="15" t="inlineStr">
        <is>
          <t>883</t>
        </is>
      </c>
      <c r="B862" s="18" t="inlineStr">
        <is>
          <t>ยา B ละลายดีกว่ายา A เพราะสูตรมี SLS เป็น wetting agent</t>
        </is>
      </c>
      <c r="C862" s="18" t="inlineStr"/>
      <c r="D862" s="18" t="inlineStr">
        <is>
          <t>Dimercaprol (BAL) 3 mg/kg IM</t>
        </is>
      </c>
      <c r="E862" s="18" t="inlineStr">
        <is>
          <t>Ethanol 10% IV infusion for Methanol poisoning</t>
        </is>
      </c>
      <c r="F862" s="18" t="inlineStr">
        <is>
          <t>Fomepizole 15 mg/kg IV loading</t>
        </is>
      </c>
      <c r="G862" s="18" t="inlineStr">
        <is>
          <t>N-acetylcysteine (NAC) IV infusion protocol</t>
        </is>
      </c>
      <c r="H862" s="18" t="inlineStr">
        <is>
          <t>Atropine sulfate 2 mg IV Q5-10 min</t>
        </is>
      </c>
      <c r="I862" s="15" t="inlineStr">
        <is>
          <t>1</t>
        </is>
      </c>
      <c r="J8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2" s="18" t="inlineStr"/>
      <c r="L862" s="18" t="inlineStr">
        <is>
          <t>General Therapeutics</t>
        </is>
      </c>
      <c r="M862" s="18" t="inlineStr">
        <is>
          <t>Clinic</t>
        </is>
      </c>
      <c r="N862" s="18" t="inlineStr">
        <is>
          <t>ข้อ 4 (PLE_CC1_2555 Day 2.md)</t>
        </is>
      </c>
      <c r="O862" s="18" t="inlineStr">
        <is>
          <t>ข้อสอบจริง</t>
        </is>
      </c>
      <c r="P862" s="18" t="inlineStr">
        <is>
          <t>ปี 2555</t>
        </is>
      </c>
    </row>
    <row r="863">
      <c r="A863" s="15" t="inlineStr">
        <is>
          <t>884</t>
        </is>
      </c>
      <c r="B863" s="18" t="inlineStr">
        <is>
          <t>อาบน ้าวันละ 2 ครั้ง</t>
        </is>
      </c>
      <c r="C863" s="18" t="inlineStr"/>
      <c r="D863" s="18" t="inlineStr">
        <is>
          <t>N-acetylcysteine (NAC) IV infusion protocol</t>
        </is>
      </c>
      <c r="E863" s="18" t="inlineStr">
        <is>
          <t>Atropine sulfate 2 mg IV Q5-10 min</t>
        </is>
      </c>
      <c r="F863" s="18" t="inlineStr">
        <is>
          <t>Pralidoxime (2-PAM) 1-2 g IV over 30 min</t>
        </is>
      </c>
      <c r="G863" s="18" t="inlineStr">
        <is>
          <t>Naloxone 0.4 mg IV stat</t>
        </is>
      </c>
      <c r="H863" s="18" t="inlineStr">
        <is>
          <t>Flumazenil 0.2 mg IV stat</t>
        </is>
      </c>
      <c r="I863" s="15" t="inlineStr">
        <is>
          <t>1</t>
        </is>
      </c>
      <c r="J8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3" s="18" t="inlineStr"/>
      <c r="L863" s="18" t="inlineStr">
        <is>
          <t>General Therapeutics</t>
        </is>
      </c>
      <c r="M863" s="18" t="inlineStr">
        <is>
          <t>Clinic</t>
        </is>
      </c>
      <c r="N863" s="18" t="inlineStr">
        <is>
          <t>ข้อ 1 (PLE_CC1_2555 Day 2.md)</t>
        </is>
      </c>
      <c r="O863" s="18" t="inlineStr">
        <is>
          <t>ข้อสอบจริง</t>
        </is>
      </c>
      <c r="P863" s="18" t="inlineStr">
        <is>
          <t>ปี 2555</t>
        </is>
      </c>
    </row>
    <row r="864">
      <c r="A864" s="15" t="inlineStr">
        <is>
          <t>885</t>
        </is>
      </c>
      <c r="B864" s="18" t="inlineStr">
        <is>
          <t>ทาโลชั่นบ่อยๆ เพื่อให้ผิวชุ่มชื้น</t>
        </is>
      </c>
      <c r="C864" s="18" t="inlineStr"/>
      <c r="D864" s="18" t="inlineStr">
        <is>
          <t>Naloxone 0.4 mg IV stat</t>
        </is>
      </c>
      <c r="E864" s="18" t="inlineStr">
        <is>
          <t>Flumazenil 0.2 mg IV stat</t>
        </is>
      </c>
      <c r="F864" s="18" t="inlineStr">
        <is>
          <t>Vitamin K1 (Phytomenadione) 10 mg IV slow</t>
        </is>
      </c>
      <c r="G864" s="18" t="inlineStr">
        <is>
          <t>Sodium thiosulfate 25% 50 mL IV</t>
        </is>
      </c>
      <c r="H864" s="18" t="inlineStr">
        <is>
          <t>Calcium disodium EDTA 1 g IV</t>
        </is>
      </c>
      <c r="I864" s="15" t="inlineStr">
        <is>
          <t>1</t>
        </is>
      </c>
      <c r="J8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64" s="18" t="inlineStr"/>
      <c r="L864" s="18" t="inlineStr">
        <is>
          <t>General Therapeutics</t>
        </is>
      </c>
      <c r="M864" s="18" t="inlineStr">
        <is>
          <t>Clinic</t>
        </is>
      </c>
      <c r="N864" s="18" t="inlineStr">
        <is>
          <t>ข้อ 2 (PLE_CC1_2555 Day 2.md)</t>
        </is>
      </c>
      <c r="O864" s="18" t="inlineStr">
        <is>
          <t>ข้อสอบจริง</t>
        </is>
      </c>
      <c r="P864" s="18" t="inlineStr">
        <is>
          <t>ปี 2555</t>
        </is>
      </c>
    </row>
    <row r="865">
      <c r="A865" s="15" t="inlineStr">
        <is>
          <t>886</t>
        </is>
      </c>
      <c r="B865" s="18" t="inlineStr">
        <is>
          <t>ทายาบางๆบริเวณที่เป็น</t>
        </is>
      </c>
      <c r="C865" s="18" t="inlineStr"/>
      <c r="D865" s="18" t="inlineStr">
        <is>
          <t>Sodium thiosulfate 25% 50 mL IV</t>
        </is>
      </c>
      <c r="E865" s="18" t="inlineStr">
        <is>
          <t>Calcium disodium EDTA 1 g IV</t>
        </is>
      </c>
      <c r="F865" s="18" t="inlineStr">
        <is>
          <t>Desferrioxamine 1 g IM/IV</t>
        </is>
      </c>
      <c r="G865" s="18" t="inlineStr">
        <is>
          <t>Dimercaprol (BAL) 3 mg/kg IM</t>
        </is>
      </c>
      <c r="H865" s="18" t="inlineStr">
        <is>
          <t>Ethanol 10% IV infusion for Methanol poisoning</t>
        </is>
      </c>
      <c r="I865" s="15" t="inlineStr">
        <is>
          <t>1</t>
        </is>
      </c>
      <c r="J8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5" s="18" t="inlineStr"/>
      <c r="L865" s="18" t="inlineStr">
        <is>
          <t>General Therapeutics</t>
        </is>
      </c>
      <c r="M865" s="18" t="inlineStr">
        <is>
          <t>Clinic</t>
        </is>
      </c>
      <c r="N865" s="18" t="inlineStr">
        <is>
          <t>ข้อ 3 (PLE_CC1_2555 Day 2.md)</t>
        </is>
      </c>
      <c r="O865" s="18" t="inlineStr">
        <is>
          <t>ข้อสอบจริง</t>
        </is>
      </c>
      <c r="P865" s="18" t="inlineStr">
        <is>
          <t>ปี 2555</t>
        </is>
      </c>
    </row>
    <row r="866">
      <c r="A866" s="15" t="inlineStr">
        <is>
          <t>887</t>
        </is>
      </c>
      <c r="B866" s="18" t="inlineStr">
        <is>
          <t>ล้างมือบ่อยๆด้วยClohexidine scrub เพื่อฆ่าเชื้อ</t>
        </is>
      </c>
      <c r="C866" s="18" t="inlineStr"/>
      <c r="D866" s="18" t="inlineStr">
        <is>
          <t>ควรใช้ยาใดในการรักษา</t>
        </is>
      </c>
      <c r="E866" s="18" t="inlineStr">
        <is>
          <t>Ethanol 10% IV infusion for Methanol poisoning</t>
        </is>
      </c>
      <c r="F866" s="18" t="inlineStr">
        <is>
          <t>Fomepizole 15 mg/kg IV loading</t>
        </is>
      </c>
      <c r="G866" s="18" t="inlineStr">
        <is>
          <t>N-acetylcysteine (NAC) IV infusion protocol</t>
        </is>
      </c>
      <c r="H866" s="18" t="inlineStr">
        <is>
          <t>Atropine sulfate 2 mg IV Q5-10 min</t>
        </is>
      </c>
      <c r="I866" s="15" t="inlineStr">
        <is>
          <t>1</t>
        </is>
      </c>
      <c r="J866" s="18" t="inlineStr">
        <is>
          <t>✅ คำตอบที่ถูกต้อง: ข้อ ก. ควรใช้ยาใดในการรักษา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ควรใช้ยาใดในการรักษา การเลือก ควรใช้ยาใดในการรักษา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6" s="18" t="inlineStr"/>
      <c r="L866" s="18" t="inlineStr">
        <is>
          <t>General Therapeutics</t>
        </is>
      </c>
      <c r="M866" s="18" t="inlineStr">
        <is>
          <t>Clinic</t>
        </is>
      </c>
      <c r="N866" s="18" t="inlineStr">
        <is>
          <t>ข้อ 5 (PLE_CC1_2555 Day 2.md)</t>
        </is>
      </c>
      <c r="O866" s="18" t="inlineStr">
        <is>
          <t>ข้อสอบจริง</t>
        </is>
      </c>
      <c r="P866" s="18" t="inlineStr">
        <is>
          <t>ปี 2555</t>
        </is>
      </c>
    </row>
    <row r="867">
      <c r="A867" s="15" t="inlineStr">
        <is>
          <t>888</t>
        </is>
      </c>
      <c r="B867" s="18" t="inlineStr">
        <is>
          <t>O/W 3) W/O 4) PEG base</t>
        </is>
      </c>
      <c r="C867" s="18" t="inlineStr"/>
      <c r="D867" s="18" t="inlineStr">
        <is>
          <t>N-acetylcysteine (NAC) IV infusion protocol</t>
        </is>
      </c>
      <c r="E867" s="18" t="inlineStr">
        <is>
          <t>Atropine sulfate 2 mg IV Q5-10 min</t>
        </is>
      </c>
      <c r="F867" s="18" t="inlineStr">
        <is>
          <t>Pralidoxime (2-PAM) 1-2 g IV over 30 min</t>
        </is>
      </c>
      <c r="G867" s="18" t="inlineStr">
        <is>
          <t>Naloxone 0.4 mg IV stat</t>
        </is>
      </c>
      <c r="H867" s="18" t="inlineStr">
        <is>
          <t>Flumazenil 0.2 mg IV stat</t>
        </is>
      </c>
      <c r="I867" s="15" t="inlineStr">
        <is>
          <t>1</t>
        </is>
      </c>
      <c r="J8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7" s="18" t="inlineStr"/>
      <c r="L867" s="18" t="inlineStr">
        <is>
          <t>General Therapeutics</t>
        </is>
      </c>
      <c r="M867" s="18" t="inlineStr">
        <is>
          <t>Clinic</t>
        </is>
      </c>
      <c r="N867" s="18" t="inlineStr">
        <is>
          <t>ข้อ 2 (PLE_CC1_2555 Day 2.md)</t>
        </is>
      </c>
      <c r="O867" s="18" t="inlineStr">
        <is>
          <t>ข้อสอบจริง</t>
        </is>
      </c>
      <c r="P867" s="18" t="inlineStr">
        <is>
          <t>ปี 2555</t>
        </is>
      </c>
    </row>
    <row r="868">
      <c r="A868" s="15" t="inlineStr">
        <is>
          <t>889</t>
        </is>
      </c>
      <c r="B868" s="18" t="inlineStr">
        <is>
          <t>อาการข้างเคียงเมื่อใช้ hydroxyzine สูงๆ คือชัก และ ง่วงนอน</t>
        </is>
      </c>
      <c r="C868" s="18" t="inlineStr"/>
      <c r="D868" s="18" t="inlineStr">
        <is>
          <t>Carbamazepine 200 mg BID</t>
        </is>
      </c>
      <c r="E868" s="18" t="inlineStr">
        <is>
          <t>Lamotrigine 50 mg OD</t>
        </is>
      </c>
      <c r="F868" s="18" t="inlineStr">
        <is>
          <t>Levetiracetam 500 mg BID</t>
        </is>
      </c>
      <c r="G868" s="18" t="inlineStr">
        <is>
          <t>Gabapentin 300 mg TID</t>
        </is>
      </c>
      <c r="H868" s="18" t="inlineStr">
        <is>
          <t>Pregabalin 75 mg BID</t>
        </is>
      </c>
      <c r="I868" s="15" t="inlineStr">
        <is>
          <t>1</t>
        </is>
      </c>
      <c r="J868" s="18" t="inlineStr">
        <is>
          <t>✅ คำตอบที่ถูกต้อง: ข้อ ก. Carbamazepine 200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จ. (Pregabalin 75 mg BID):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8" s="18" t="inlineStr"/>
      <c r="L868" s="18" t="inlineStr">
        <is>
          <t>Neurologic Disorders</t>
        </is>
      </c>
      <c r="M868" s="18" t="inlineStr">
        <is>
          <t>Clinic</t>
        </is>
      </c>
      <c r="N868" s="18" t="inlineStr">
        <is>
          <t>ข้อ 2 (PLE_CC1_2555 Day 2.md)</t>
        </is>
      </c>
      <c r="O868" s="18" t="inlineStr">
        <is>
          <t>ข้อสอบจริง</t>
        </is>
      </c>
      <c r="P868" s="18" t="inlineStr">
        <is>
          <t>ปี 2555</t>
        </is>
      </c>
    </row>
    <row r="869">
      <c r="A869" s="15" t="inlineStr">
        <is>
          <t>890</t>
        </is>
      </c>
      <c r="B869" s="18" t="inlineStr">
        <is>
          <t>หลีกเลี่ยงการกินพร้อมกับ ชา กาแฟ</t>
        </is>
      </c>
      <c r="C869" s="18" t="inlineStr"/>
      <c r="D869" s="18" t="inlineStr">
        <is>
          <t>Sodium thiosulfate 25% 50 mL IV</t>
        </is>
      </c>
      <c r="E869" s="18" t="inlineStr">
        <is>
          <t>Calcium disodium EDTA 1 g IV</t>
        </is>
      </c>
      <c r="F869" s="18" t="inlineStr">
        <is>
          <t>Desferrioxamine 1 g IM/IV</t>
        </is>
      </c>
      <c r="G869" s="18" t="inlineStr">
        <is>
          <t>Dimercaprol (BAL) 3 mg/kg IM</t>
        </is>
      </c>
      <c r="H869" s="18" t="inlineStr">
        <is>
          <t>Ethanol 10% IV infusion for Methanol poisoning</t>
        </is>
      </c>
      <c r="I869" s="15" t="inlineStr">
        <is>
          <t>1</t>
        </is>
      </c>
      <c r="J8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9" s="18" t="inlineStr"/>
      <c r="L869" s="18" t="inlineStr">
        <is>
          <t>General Therapeutics</t>
        </is>
      </c>
      <c r="M869" s="18" t="inlineStr">
        <is>
          <t>Clinic</t>
        </is>
      </c>
      <c r="N869" s="18" t="inlineStr">
        <is>
          <t>ข้อ 2 (PLE_CC1_2555 Day 2.md)</t>
        </is>
      </c>
      <c r="O869" s="18" t="inlineStr">
        <is>
          <t>ข้อสอบจริง</t>
        </is>
      </c>
      <c r="P869" s="18" t="inlineStr">
        <is>
          <t>ปี 2555</t>
        </is>
      </c>
    </row>
    <row r="870">
      <c r="A870" s="15" t="inlineStr">
        <is>
          <t>891</t>
        </is>
      </c>
      <c r="B870" s="18" t="inlineStr">
        <is>
          <t>หลีกเลี่ยงการรับประทานพร้อมกับนม MCQ 1/2555 by CURx69 page 16</t>
        </is>
      </c>
      <c r="C870" s="18" t="inlineStr"/>
      <c r="D870" s="18" t="inlineStr">
        <is>
          <t>Dimercaprol (BAL) 3 mg/kg IM</t>
        </is>
      </c>
      <c r="E870" s="18" t="inlineStr">
        <is>
          <t>Ethanol 10% IV infusion for Methanol poisoning</t>
        </is>
      </c>
      <c r="F870" s="18" t="inlineStr">
        <is>
          <t>Fomepizole 15 mg/kg IV loading</t>
        </is>
      </c>
      <c r="G870" s="18" t="inlineStr">
        <is>
          <t>N-acetylcysteine (NAC) IV infusion protocol</t>
        </is>
      </c>
      <c r="H870" s="18" t="inlineStr">
        <is>
          <t>Atropine sulfate 2 mg IV Q5-10 min</t>
        </is>
      </c>
      <c r="I870" s="15" t="inlineStr">
        <is>
          <t>1</t>
        </is>
      </c>
      <c r="J8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0" s="18" t="inlineStr"/>
      <c r="L870" s="18" t="inlineStr">
        <is>
          <t>General Therapeutics</t>
        </is>
      </c>
      <c r="M870" s="18" t="inlineStr">
        <is>
          <t>Clinic</t>
        </is>
      </c>
      <c r="N870" s="18" t="inlineStr">
        <is>
          <t>ข้อ 3 (PLE_CC1_2555 Day 2.md)</t>
        </is>
      </c>
      <c r="O870" s="18" t="inlineStr">
        <is>
          <t>ข้อสอบจริง</t>
        </is>
      </c>
      <c r="P870" s="18" t="inlineStr">
        <is>
          <t>ปี 2555</t>
        </is>
      </c>
    </row>
    <row r="871">
      <c r="A871" s="15" t="inlineStr">
        <is>
          <t>892</t>
        </is>
      </c>
      <c r="B871" s="18" t="inlineStr">
        <is>
          <t>ถ้าลืมรับประทานยาให้รับประทามื้อต่อไป 2 เม็ด</t>
        </is>
      </c>
      <c r="C871" s="18" t="inlineStr"/>
      <c r="D871" s="18" t="inlineStr">
        <is>
          <t>N-acetylcysteine (NAC) IV infusion protocol</t>
        </is>
      </c>
      <c r="E871" s="18" t="inlineStr">
        <is>
          <t>Atropine sulfate 2 mg IV Q5-10 min</t>
        </is>
      </c>
      <c r="F871" s="18" t="inlineStr">
        <is>
          <t>Pralidoxime (2-PAM) 1-2 g IV over 30 min</t>
        </is>
      </c>
      <c r="G871" s="18" t="inlineStr">
        <is>
          <t>Naloxone 0.4 mg IV stat</t>
        </is>
      </c>
      <c r="H871" s="18" t="inlineStr">
        <is>
          <t>Flumazenil 0.2 mg IV stat</t>
        </is>
      </c>
      <c r="I871" s="15" t="inlineStr">
        <is>
          <t>1</t>
        </is>
      </c>
      <c r="J8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1" s="18" t="inlineStr"/>
      <c r="L871" s="18" t="inlineStr">
        <is>
          <t>General Therapeutics</t>
        </is>
      </c>
      <c r="M871" s="18" t="inlineStr">
        <is>
          <t>Clinic</t>
        </is>
      </c>
      <c r="N871" s="18" t="inlineStr">
        <is>
          <t>ข้อ 4 (PLE_CC1_2555 Day 2.md)</t>
        </is>
      </c>
      <c r="O871" s="18" t="inlineStr">
        <is>
          <t>ข้อสอบจริง</t>
        </is>
      </c>
      <c r="P871" s="18" t="inlineStr">
        <is>
          <t>ปี 2555</t>
        </is>
      </c>
    </row>
    <row r="872">
      <c r="A872" s="15" t="inlineStr">
        <is>
          <t>893</t>
        </is>
      </c>
      <c r="B872" s="18" t="inlineStr">
        <is>
          <t>หากกินร่วมกับยา Antacid ให้กินห่างกัน 2 ชม.</t>
        </is>
      </c>
      <c r="C872" s="18" t="inlineStr"/>
      <c r="D872" s="18" t="inlineStr">
        <is>
          <t>Esomeprazole 20 mg OD</t>
        </is>
      </c>
      <c r="E872" s="18" t="inlineStr">
        <is>
          <t>Domperidone 10 mg TID</t>
        </is>
      </c>
      <c r="F872" s="18" t="inlineStr">
        <is>
          <t>Dimenhydrinate 50 mg TID</t>
        </is>
      </c>
      <c r="G872" s="18" t="inlineStr">
        <is>
          <t>Loperamide 2 mg PRN</t>
        </is>
      </c>
      <c r="H872" s="18" t="inlineStr">
        <is>
          <t>Senna 2 tabs HS</t>
        </is>
      </c>
      <c r="I872" s="15" t="inlineStr">
        <is>
          <t>1</t>
        </is>
      </c>
      <c r="J872" s="18"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2" s="18" t="inlineStr"/>
      <c r="L872" s="18" t="inlineStr">
        <is>
          <t>GI Disorders</t>
        </is>
      </c>
      <c r="M872" s="18" t="inlineStr">
        <is>
          <t>Clinic</t>
        </is>
      </c>
      <c r="N872" s="18" t="inlineStr">
        <is>
          <t>ข้อ 5 (PLE_CC1_2555 Day 2.md)</t>
        </is>
      </c>
      <c r="O872" s="18" t="inlineStr">
        <is>
          <t>ข้อสอบจริง</t>
        </is>
      </c>
      <c r="P872" s="18" t="inlineStr">
        <is>
          <t>ปี 2555</t>
        </is>
      </c>
    </row>
    <row r="873">
      <c r="A873" s="15" t="inlineStr">
        <is>
          <t>894</t>
        </is>
      </c>
      <c r="B873" s="18" t="inlineStr">
        <is>
          <t>อาการข้างเคียงของยา Ciprofloxacin ที่รุนแรงและสำคัญคือ</t>
        </is>
      </c>
      <c r="C873" s="18" t="inlineStr"/>
      <c r="D873" s="18" t="inlineStr">
        <is>
          <t>Doxycycline 100 mg BID</t>
        </is>
      </c>
      <c r="E873" s="18" t="inlineStr">
        <is>
          <t>Cotrimoxazole 160/800 mg BID</t>
        </is>
      </c>
      <c r="F873" s="18" t="inlineStr">
        <is>
          <t>Metronidazole 400 mg TID</t>
        </is>
      </c>
      <c r="G873" s="18" t="inlineStr">
        <is>
          <t>Nitrofurantoin 100 mg BID</t>
        </is>
      </c>
      <c r="H873" s="18" t="inlineStr">
        <is>
          <t>Tenofovir/Emtricitabine 300/200 mg OD</t>
        </is>
      </c>
      <c r="I873" s="15" t="inlineStr">
        <is>
          <t>1</t>
        </is>
      </c>
      <c r="J873" s="18"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73" s="18" t="inlineStr"/>
      <c r="L873" s="18" t="inlineStr">
        <is>
          <t>Infectious Diseases</t>
        </is>
      </c>
      <c r="M873" s="18" t="inlineStr">
        <is>
          <t>Clinic</t>
        </is>
      </c>
      <c r="N873" s="18" t="inlineStr">
        <is>
          <t>ข้อ 2 (PLE_CC1_2555 Day 2.md)</t>
        </is>
      </c>
      <c r="O873" s="18" t="inlineStr">
        <is>
          <t>ข้อสอบจริง</t>
        </is>
      </c>
      <c r="P873" s="18" t="inlineStr">
        <is>
          <t>ปี 2555</t>
        </is>
      </c>
    </row>
    <row r="874">
      <c r="A874" s="15" t="inlineStr">
        <is>
          <t>895</t>
        </is>
      </c>
      <c r="B874" s="18" t="inlineStr">
        <is>
          <t>Burning sensation</t>
        </is>
      </c>
      <c r="C874" s="18" t="inlineStr"/>
      <c r="D874" s="18" t="inlineStr">
        <is>
          <t>Adapalene 0.1% gel</t>
        </is>
      </c>
      <c r="E874" s="18" t="inlineStr">
        <is>
          <t>Mupirocin 2% ointment</t>
        </is>
      </c>
      <c r="F874" s="18" t="inlineStr">
        <is>
          <t>Betamethasone dipropionate 0.05% cream</t>
        </is>
      </c>
      <c r="G874" s="18" t="inlineStr">
        <is>
          <t>Clotrimazole 1% cream</t>
        </is>
      </c>
      <c r="H874" s="18" t="inlineStr">
        <is>
          <t>Hydrocortisone 1% cream</t>
        </is>
      </c>
      <c r="I874" s="15" t="inlineStr">
        <is>
          <t>1</t>
        </is>
      </c>
      <c r="J874" s="18" t="inlineStr">
        <is>
          <t>✅ คำตอบที่ถูกต้อง: ข้อ ก. Adapalene 0.1%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ง. (Clotrimazole 1% cream): ข้อนี้ไม่ใช่คำตอบที่ถูกต้องสำหรับภาวะ Dermatologic Disorders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4" s="18" t="inlineStr"/>
      <c r="L874" s="18" t="inlineStr">
        <is>
          <t>Dermatologic Disorders</t>
        </is>
      </c>
      <c r="M874" s="18" t="inlineStr">
        <is>
          <t>Clinic</t>
        </is>
      </c>
      <c r="N874" s="18" t="inlineStr">
        <is>
          <t>ข้อ 5 (PLE_CC1_2555 Day 2.md)</t>
        </is>
      </c>
      <c r="O874" s="18" t="inlineStr">
        <is>
          <t>ข้อสอบจริง</t>
        </is>
      </c>
      <c r="P874" s="18" t="inlineStr">
        <is>
          <t>ปี 2555</t>
        </is>
      </c>
    </row>
    <row r="875">
      <c r="A875" s="15" t="inlineStr">
        <is>
          <t>896</t>
        </is>
      </c>
      <c r="B875" s="18" t="inlineStr">
        <is>
          <t>หยุดรับประทานยาทั้งสองชนิดและไปพบแพทย์</t>
        </is>
      </c>
      <c r="C875" s="18" t="inlineStr"/>
      <c r="D875" s="18" t="inlineStr">
        <is>
          <t>N-acetylcysteine (NAC) IV infusion protocol</t>
        </is>
      </c>
      <c r="E875" s="18" t="inlineStr">
        <is>
          <t>Atropine sulfate 2 mg IV Q5-10 min</t>
        </is>
      </c>
      <c r="F875" s="18" t="inlineStr">
        <is>
          <t>Pralidoxime (2-PAM) 1-2 g IV over 30 min</t>
        </is>
      </c>
      <c r="G875" s="18" t="inlineStr">
        <is>
          <t>Naloxone 0.4 mg IV stat</t>
        </is>
      </c>
      <c r="H875" s="18" t="inlineStr">
        <is>
          <t>Flumazenil 0.2 mg IV stat</t>
        </is>
      </c>
      <c r="I875" s="15" t="inlineStr">
        <is>
          <t>1</t>
        </is>
      </c>
      <c r="J8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5" s="18" t="inlineStr"/>
      <c r="L875" s="18" t="inlineStr">
        <is>
          <t>General Therapeutics</t>
        </is>
      </c>
      <c r="M875" s="18" t="inlineStr">
        <is>
          <t>Clinic</t>
        </is>
      </c>
      <c r="N875" s="18" t="inlineStr">
        <is>
          <t>ข้อ 1 (PLE_CC1_2555 Day 2.md)</t>
        </is>
      </c>
      <c r="O875" s="18" t="inlineStr">
        <is>
          <t>ข้อสอบจริง</t>
        </is>
      </c>
      <c r="P875" s="18" t="inlineStr">
        <is>
          <t>ปี 2555</t>
        </is>
      </c>
    </row>
    <row r="876">
      <c r="A876" s="15" t="inlineStr">
        <is>
          <t>897</t>
        </is>
      </c>
      <c r="B876" s="18" t="inlineStr">
        <is>
          <t>หยุดยา Hyoscine และจ่ายยาแก้ไขอาการ</t>
        </is>
      </c>
      <c r="C876" s="18" t="inlineStr"/>
      <c r="D876" s="18" t="inlineStr">
        <is>
          <t>Naloxone 0.4 mg IV stat</t>
        </is>
      </c>
      <c r="E876" s="18" t="inlineStr">
        <is>
          <t>Flumazenil 0.2 mg IV stat</t>
        </is>
      </c>
      <c r="F876" s="18" t="inlineStr">
        <is>
          <t>Vitamin K1 (Phytomenadione) 10 mg IV slow</t>
        </is>
      </c>
      <c r="G876" s="18" t="inlineStr">
        <is>
          <t>Sodium thiosulfate 25% 50 mL IV</t>
        </is>
      </c>
      <c r="H876" s="18" t="inlineStr">
        <is>
          <t>Calcium disodium EDTA 1 g IV</t>
        </is>
      </c>
      <c r="I876" s="15" t="inlineStr">
        <is>
          <t>1</t>
        </is>
      </c>
      <c r="J8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76" s="18" t="inlineStr"/>
      <c r="L876" s="18" t="inlineStr">
        <is>
          <t>General Therapeutics</t>
        </is>
      </c>
      <c r="M876" s="18" t="inlineStr">
        <is>
          <t>Clinic</t>
        </is>
      </c>
      <c r="N876" s="18" t="inlineStr">
        <is>
          <t>ข้อ 2 (PLE_CC1_2555 Day 2.md)</t>
        </is>
      </c>
      <c r="O876" s="18" t="inlineStr">
        <is>
          <t>ข้อสอบจริง</t>
        </is>
      </c>
      <c r="P876" s="18" t="inlineStr">
        <is>
          <t>ปี 2555</t>
        </is>
      </c>
    </row>
    <row r="877">
      <c r="A877" s="15" t="inlineStr">
        <is>
          <t>898</t>
        </is>
      </c>
      <c r="B877" s="18" t="inlineStr">
        <is>
          <t>สามารหยุดยาทั้ง 2 ตัวและไม่ต้องทำอะไรเนื่องจากรับประทานยามา 5 วันแล้ว</t>
        </is>
      </c>
      <c r="C877" s="18" t="inlineStr"/>
      <c r="D877" s="18" t="inlineStr">
        <is>
          <t>Sodium thiosulfate 25% 50 mL IV</t>
        </is>
      </c>
      <c r="E877" s="18" t="inlineStr">
        <is>
          <t>Calcium disodium EDTA 1 g IV</t>
        </is>
      </c>
      <c r="F877" s="18" t="inlineStr">
        <is>
          <t>Desferrioxamine 1 g IM/IV</t>
        </is>
      </c>
      <c r="G877" s="18" t="inlineStr">
        <is>
          <t>Dimercaprol (BAL) 3 mg/kg IM</t>
        </is>
      </c>
      <c r="H877" s="18" t="inlineStr">
        <is>
          <t>Ethanol 10% IV infusion for Methanol poisoning</t>
        </is>
      </c>
      <c r="I877" s="15" t="inlineStr">
        <is>
          <t>1</t>
        </is>
      </c>
      <c r="J8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7" s="18" t="inlineStr"/>
      <c r="L877" s="18" t="inlineStr">
        <is>
          <t>General Therapeutics</t>
        </is>
      </c>
      <c r="M877" s="18" t="inlineStr">
        <is>
          <t>Clinic</t>
        </is>
      </c>
      <c r="N877" s="18" t="inlineStr">
        <is>
          <t>ข้อ 4 (PLE_CC1_2555 Day 2.md)</t>
        </is>
      </c>
      <c r="O877" s="18" t="inlineStr">
        <is>
          <t>ข้อสอบจริง</t>
        </is>
      </c>
      <c r="P877" s="18" t="inlineStr">
        <is>
          <t>ปี 2555</t>
        </is>
      </c>
    </row>
    <row r="878">
      <c r="A878" s="15" t="inlineStr">
        <is>
          <t>899</t>
        </is>
      </c>
      <c r="B878" s="18" t="inlineStr">
        <is>
          <t>รับประทานยานี้ต่อไปเนื่องจากอาการดังกล่าวสามารถหายได้เองใน 1 สัปดาห์</t>
        </is>
      </c>
      <c r="C878" s="18" t="inlineStr"/>
      <c r="D878" s="18" t="inlineStr">
        <is>
          <t>Dimercaprol (BAL) 3 mg/kg IM</t>
        </is>
      </c>
      <c r="E878" s="18" t="inlineStr">
        <is>
          <t>Ethanol 10% IV infusion for Methanol poisoning</t>
        </is>
      </c>
      <c r="F878" s="18" t="inlineStr">
        <is>
          <t>Fomepizole 15 mg/kg IV loading</t>
        </is>
      </c>
      <c r="G878" s="18" t="inlineStr">
        <is>
          <t>N-acetylcysteine (NAC) IV infusion protocol</t>
        </is>
      </c>
      <c r="H878" s="18" t="inlineStr">
        <is>
          <t>Atropine sulfate 2 mg IV Q5-10 min</t>
        </is>
      </c>
      <c r="I878" s="15" t="inlineStr">
        <is>
          <t>1</t>
        </is>
      </c>
      <c r="J8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8" s="18" t="inlineStr"/>
      <c r="L878" s="18" t="inlineStr">
        <is>
          <t>General Therapeutics</t>
        </is>
      </c>
      <c r="M878" s="18" t="inlineStr">
        <is>
          <t>Clinic</t>
        </is>
      </c>
      <c r="N878" s="18" t="inlineStr">
        <is>
          <t>ข้อ 5 (PLE_CC1_2555 Day 2.md)</t>
        </is>
      </c>
      <c r="O878" s="18" t="inlineStr">
        <is>
          <t>ข้อสอบจริง</t>
        </is>
      </c>
      <c r="P878" s="18" t="inlineStr">
        <is>
          <t>ปี 2555</t>
        </is>
      </c>
    </row>
    <row r="879">
      <c r="A879" s="15" t="inlineStr">
        <is>
          <t>900</t>
        </is>
      </c>
      <c r="B879" s="18" t="inlineStr">
        <is>
          <t>Hyoscine มีข้อห้ามใช้ในโรคต่างๆต่อไปนี้ ยกเว้น</t>
        </is>
      </c>
      <c r="C879" s="18" t="inlineStr"/>
      <c r="D879" s="18" t="inlineStr">
        <is>
          <t>N-acetylcysteine (NAC) IV infusion protocol</t>
        </is>
      </c>
      <c r="E879" s="18" t="inlineStr">
        <is>
          <t>Atropine sulfate 2 mg IV Q5-10 min</t>
        </is>
      </c>
      <c r="F879" s="18" t="inlineStr">
        <is>
          <t>Pralidoxime (2-PAM) 1-2 g IV over 30 min</t>
        </is>
      </c>
      <c r="G879" s="18" t="inlineStr">
        <is>
          <t>Naloxone 0.4 mg IV stat</t>
        </is>
      </c>
      <c r="H879" s="18" t="inlineStr">
        <is>
          <t>Flumazenil 0.2 mg IV stat</t>
        </is>
      </c>
      <c r="I879" s="15" t="inlineStr">
        <is>
          <t>1</t>
        </is>
      </c>
      <c r="J8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9" s="18" t="inlineStr"/>
      <c r="L879" s="18" t="inlineStr">
        <is>
          <t>General Therapeutics</t>
        </is>
      </c>
      <c r="M879" s="18" t="inlineStr">
        <is>
          <t>Clinic</t>
        </is>
      </c>
      <c r="N879" s="18" t="inlineStr">
        <is>
          <t>ข้อ 4 (PLE_CC1_2555 Day 2.md)</t>
        </is>
      </c>
      <c r="O879" s="18" t="inlineStr">
        <is>
          <t>ข้อสอบจริง</t>
        </is>
      </c>
      <c r="P879" s="18" t="inlineStr">
        <is>
          <t>ปี 2555</t>
        </is>
      </c>
    </row>
    <row r="880">
      <c r="A880" s="15" t="inlineStr">
        <is>
          <t>901</t>
        </is>
      </c>
      <c r="B880" s="18" t="inlineStr">
        <is>
          <t>Gut obstruction</t>
        </is>
      </c>
      <c r="C880" s="18" t="inlineStr"/>
      <c r="D880" s="18" t="inlineStr">
        <is>
          <t>Naloxone 0.4 mg IV stat</t>
        </is>
      </c>
      <c r="E880" s="18" t="inlineStr">
        <is>
          <t>Flumazenil 0.2 mg IV stat</t>
        </is>
      </c>
      <c r="F880" s="18" t="inlineStr">
        <is>
          <t>Vitamin K1 (Phytomenadione) 10 mg IV slow</t>
        </is>
      </c>
      <c r="G880" s="18" t="inlineStr">
        <is>
          <t>Sodium thiosulfate 25% 50 mL IV</t>
        </is>
      </c>
      <c r="H880" s="18" t="inlineStr">
        <is>
          <t>Calcium disodium EDTA 1 g IV</t>
        </is>
      </c>
      <c r="I880" s="15" t="inlineStr">
        <is>
          <t>1</t>
        </is>
      </c>
      <c r="J8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0" s="18" t="inlineStr"/>
      <c r="L880" s="18" t="inlineStr">
        <is>
          <t>General Therapeutics</t>
        </is>
      </c>
      <c r="M880" s="18" t="inlineStr">
        <is>
          <t>Clinic</t>
        </is>
      </c>
      <c r="N880" s="18" t="inlineStr">
        <is>
          <t>ข้อ 2 (PLE_CC1_2555 Day 2.md)</t>
        </is>
      </c>
      <c r="O880" s="18" t="inlineStr">
        <is>
          <t>ข้อสอบจริง</t>
        </is>
      </c>
      <c r="P880" s="18" t="inlineStr">
        <is>
          <t>ปี 2555</t>
        </is>
      </c>
    </row>
    <row r="881">
      <c r="A881" s="15" t="inlineStr">
        <is>
          <t>902</t>
        </is>
      </c>
      <c r="B881" s="18" t="inlineStr">
        <is>
          <t>Urinary obstruction</t>
        </is>
      </c>
      <c r="C881" s="18" t="inlineStr"/>
      <c r="D881" s="18" t="inlineStr">
        <is>
          <t>Sodium thiosulfate 25% 50 mL IV</t>
        </is>
      </c>
      <c r="E881" s="18" t="inlineStr">
        <is>
          <t>Calcium disodium EDTA 1 g IV</t>
        </is>
      </c>
      <c r="F881" s="18" t="inlineStr">
        <is>
          <t>Desferrioxamine 1 g IM/IV</t>
        </is>
      </c>
      <c r="G881" s="18" t="inlineStr">
        <is>
          <t>Dimercaprol (BAL) 3 mg/kg IM</t>
        </is>
      </c>
      <c r="H881" s="18" t="inlineStr">
        <is>
          <t>Ethanol 10% IV infusion for Methanol poisoning</t>
        </is>
      </c>
      <c r="I881" s="15" t="inlineStr">
        <is>
          <t>1</t>
        </is>
      </c>
      <c r="J8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1" s="18" t="inlineStr"/>
      <c r="L881" s="18" t="inlineStr">
        <is>
          <t>General Therapeutics</t>
        </is>
      </c>
      <c r="M881" s="18" t="inlineStr">
        <is>
          <t>Clinic</t>
        </is>
      </c>
      <c r="N881" s="18" t="inlineStr">
        <is>
          <t>ข้อ 4 (PLE_CC1_2555 Day 2.md)</t>
        </is>
      </c>
      <c r="O881" s="18" t="inlineStr">
        <is>
          <t>ข้อสอบจริง</t>
        </is>
      </c>
      <c r="P881" s="18" t="inlineStr">
        <is>
          <t>ปี 2555</t>
        </is>
      </c>
    </row>
    <row r="882">
      <c r="A882" s="15" t="inlineStr">
        <is>
          <t>903</t>
        </is>
      </c>
      <c r="B882" s="18" t="inlineStr">
        <is>
          <t>จ่ายได้ทั้งคู่ เนื่องจากเป็นยาอันตราย</t>
        </is>
      </c>
      <c r="C882" s="18" t="inlineStr"/>
      <c r="D882" s="18" t="inlineStr">
        <is>
          <t>เกณฑ์จริยธรรมว่าด้วยการส่งเสริมการขายยาของกระทรวงสาธารณสุข</t>
        </is>
      </c>
      <c r="E882" s="18" t="inlineStr">
        <is>
          <t>พ.ร.บ. ยา พ.ศ. 2510 (การจำหน่ายยาอันตรายและยาควบคุมพิเศษ)</t>
        </is>
      </c>
      <c r="F882" s="18" t="inlineStr">
        <is>
          <t>พ.ร.บ. ยาเสพติดให้โทษ พ.ศ. 2522 (ยาเสพติดให้โทษประเภท 2 และ 3)</t>
        </is>
      </c>
      <c r="G882" s="18" t="inlineStr">
        <is>
          <t>พ.ร.บ. วัตถุที่ออกฤทธิ์ต่อจิตและประสาท พ.ศ. 2559 (ประเภท 2 และ 4)</t>
        </is>
      </c>
      <c r="H882" s="18" t="inlineStr">
        <is>
          <t>พ.ร.บ. วิชาชีพเภสัชกรรม พ.ศ. 2537 และข้อบังคับจรรยาบรรณวิชาชีพ</t>
        </is>
      </c>
      <c r="I882" s="15" t="inlineStr">
        <is>
          <t>1</t>
        </is>
      </c>
      <c r="J88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2" s="18" t="inlineStr"/>
      <c r="L882" s="18" t="inlineStr">
        <is>
          <t>Pharmacy Laws &amp; Ethics</t>
        </is>
      </c>
      <c r="M882" s="18" t="inlineStr">
        <is>
          <t>SAP</t>
        </is>
      </c>
      <c r="N882" s="18" t="inlineStr">
        <is>
          <t>ข้อ 1 (PLE_CC1_2555 Day 2.md)</t>
        </is>
      </c>
      <c r="O882" s="18" t="inlineStr">
        <is>
          <t>ข้อสอบจริง</t>
        </is>
      </c>
      <c r="P882" s="18" t="inlineStr">
        <is>
          <t>ปี 2555</t>
        </is>
      </c>
    </row>
    <row r="883">
      <c r="A883" s="15" t="inlineStr">
        <is>
          <t>904</t>
        </is>
      </c>
      <c r="B883" s="18" t="inlineStr">
        <is>
          <t>ไม่สามารถจ่ายยา Hyoscine ได้เนื่องจากเป็นวัตถุออกฤทธิ์</t>
        </is>
      </c>
      <c r="C883" s="18" t="inlineStr"/>
      <c r="D883" s="18" t="inlineStr">
        <is>
          <t>พ.ร.บ. วัตถุที่ออกฤทธิ์ต่อจิตและประสาท พ.ศ. 2559 (ประเภท 2 และ 4)</t>
        </is>
      </c>
      <c r="E883" s="18" t="inlineStr">
        <is>
          <t>พ.ร.บ. วิชาชีพเภสัชกรรม พ.ศ. 2537 และข้อบังคับจรรยาบรรณวิชาชีพ</t>
        </is>
      </c>
      <c r="F883" s="18" t="inlineStr">
        <is>
          <t>พ.ร.บ. ผลิตภัณฑ์สมุนไพร พ.ศ. 2562</t>
        </is>
      </c>
      <c r="G883" s="18" t="inlineStr">
        <is>
          <t>พ.ร.บ. เครื่องสำอาง พ.ศ. 2558</t>
        </is>
      </c>
      <c r="H883" s="18" t="inlineStr">
        <is>
          <t>พ.ร.บ. หลักประกันสุขภาพแห่งชาติ พ.ศ. 2545</t>
        </is>
      </c>
      <c r="I883" s="15" t="inlineStr">
        <is>
          <t>1</t>
        </is>
      </c>
      <c r="J883" s="18"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3" s="18" t="inlineStr"/>
      <c r="L883" s="18" t="inlineStr">
        <is>
          <t>Pharmacy Laws &amp; Ethics</t>
        </is>
      </c>
      <c r="M883" s="18" t="inlineStr">
        <is>
          <t>SAP</t>
        </is>
      </c>
      <c r="N883" s="18" t="inlineStr">
        <is>
          <t>ข้อ 2 (PLE_CC1_2555 Day 2.md)</t>
        </is>
      </c>
      <c r="O883" s="18" t="inlineStr">
        <is>
          <t>ข้อสอบจริง</t>
        </is>
      </c>
      <c r="P883" s="18" t="inlineStr">
        <is>
          <t>ปี 2555</t>
        </is>
      </c>
    </row>
    <row r="884">
      <c r="A884" s="15" t="inlineStr">
        <is>
          <t>905</t>
        </is>
      </c>
      <c r="B884" s="18" t="inlineStr">
        <is>
          <t>ไม่สามารถจ่ายยา Hyoscine ได้เนื่องจากเป็นยาเสพติด</t>
        </is>
      </c>
      <c r="C884" s="18" t="inlineStr"/>
      <c r="D884" s="18" t="inlineStr">
        <is>
          <t>พ.ร.บ. เครื่องสำอาง พ.ศ. 2558</t>
        </is>
      </c>
      <c r="E884" s="18" t="inlineStr">
        <is>
          <t>พ.ร.บ. หลักประกันสุขภาพแห่งชาติ พ.ศ. 2545</t>
        </is>
      </c>
      <c r="F884" s="18" t="inlineStr">
        <is>
          <t>การปฏิบัติทางเภสัชกรรมชุมชน (Good Pharmacy Practice: GPP)</t>
        </is>
      </c>
      <c r="G884" s="18" t="inlineStr">
        <is>
          <t>บัญชียาหลักแห่งชาติ (National List of Essential Medicines: NLEM)</t>
        </is>
      </c>
      <c r="H884" s="18" t="inlineStr">
        <is>
          <t>เกณฑ์จริยธรรมว่าด้วยการส่งเสริมการขายยาของกระทรวงสาธารณสุข</t>
        </is>
      </c>
      <c r="I884" s="15" t="inlineStr">
        <is>
          <t>1</t>
        </is>
      </c>
      <c r="J884" s="18"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4" s="18" t="inlineStr"/>
      <c r="L884" s="18" t="inlineStr">
        <is>
          <t>Pharmacy Laws &amp; Ethics</t>
        </is>
      </c>
      <c r="M884" s="18" t="inlineStr">
        <is>
          <t>SAP</t>
        </is>
      </c>
      <c r="N884" s="18" t="inlineStr">
        <is>
          <t>ข้อ 3 (PLE_CC1_2555 Day 2.md)</t>
        </is>
      </c>
      <c r="O884" s="18" t="inlineStr">
        <is>
          <t>ข้อสอบจริง</t>
        </is>
      </c>
      <c r="P884" s="18" t="inlineStr">
        <is>
          <t>ปี 2555</t>
        </is>
      </c>
    </row>
    <row r="885">
      <c r="A885" s="15" t="inlineStr">
        <is>
          <t>906</t>
        </is>
      </c>
      <c r="B885" s="18" t="inlineStr">
        <is>
          <t>ไม่สามารถจ่ายยา Ciprofloxacin ได้เนื่องจากเป็นยาควบคุมพิเศษ</t>
        </is>
      </c>
      <c r="C885" s="18" t="inlineStr"/>
      <c r="D885" s="18" t="inlineStr">
        <is>
          <t>Ceftriaxone 1 g IV OD</t>
        </is>
      </c>
      <c r="E885" s="18" t="inlineStr">
        <is>
          <t>Ciprofloxacin 500 mg BID</t>
        </is>
      </c>
      <c r="F885" s="18" t="inlineStr">
        <is>
          <t>Azithromycin 500 mg OD</t>
        </is>
      </c>
      <c r="G885" s="18" t="inlineStr">
        <is>
          <t>Doxycycline 100 mg BID</t>
        </is>
      </c>
      <c r="H885" s="18" t="inlineStr">
        <is>
          <t>Cotrimoxazole 160/800 mg BID</t>
        </is>
      </c>
      <c r="I885" s="15" t="inlineStr">
        <is>
          <t>1</t>
        </is>
      </c>
      <c r="J885" s="18"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5" s="18" t="inlineStr"/>
      <c r="L885" s="18" t="inlineStr">
        <is>
          <t>Infectious Diseases</t>
        </is>
      </c>
      <c r="M885" s="18" t="inlineStr">
        <is>
          <t>Clinic</t>
        </is>
      </c>
      <c r="N885" s="18" t="inlineStr">
        <is>
          <t>ข้อ 4 (PLE_CC1_2555 Day 2.md)</t>
        </is>
      </c>
      <c r="O885" s="18" t="inlineStr">
        <is>
          <t>ข้อสอบจริง</t>
        </is>
      </c>
      <c r="P885" s="18" t="inlineStr">
        <is>
          <t>ปี 2555</t>
        </is>
      </c>
    </row>
    <row r="886">
      <c r="A886" s="15" t="inlineStr">
        <is>
          <t>907</t>
        </is>
      </c>
      <c r="B886" s="18" t="inlineStr">
        <is>
          <t>ไม่สามารถจ่ายได้เนื่องจากไม่มีใบสั่งแพทย์ MCQ 1/2555 by CURx69 page 17</t>
        </is>
      </c>
      <c r="C886" s="18" t="inlineStr"/>
      <c r="D886" s="18" t="inlineStr">
        <is>
          <t>Dimercaprol (BAL) 3 mg/kg IM</t>
        </is>
      </c>
      <c r="E886" s="18" t="inlineStr">
        <is>
          <t>Ethanol 10% IV infusion for Methanol poisoning</t>
        </is>
      </c>
      <c r="F886" s="18" t="inlineStr">
        <is>
          <t>Fomepizole 15 mg/kg IV loading</t>
        </is>
      </c>
      <c r="G886" s="18" t="inlineStr">
        <is>
          <t>N-acetylcysteine (NAC) IV infusion protocol</t>
        </is>
      </c>
      <c r="H886" s="18" t="inlineStr">
        <is>
          <t>Atropine sulfate 2 mg IV Q5-10 min</t>
        </is>
      </c>
      <c r="I886" s="15" t="inlineStr">
        <is>
          <t>1</t>
        </is>
      </c>
      <c r="J8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6" s="18" t="inlineStr"/>
      <c r="L886" s="18" t="inlineStr">
        <is>
          <t>General Therapeutics</t>
        </is>
      </c>
      <c r="M886" s="18" t="inlineStr">
        <is>
          <t>Clinic</t>
        </is>
      </c>
      <c r="N886" s="18" t="inlineStr">
        <is>
          <t>ข้อ 5 (PLE_CC1_2555 Day 2.md)</t>
        </is>
      </c>
      <c r="O886" s="18" t="inlineStr">
        <is>
          <t>ข้อสอบจริง</t>
        </is>
      </c>
      <c r="P886" s="18" t="inlineStr">
        <is>
          <t>ปี 2555</t>
        </is>
      </c>
    </row>
    <row r="887">
      <c r="A887" s="15" t="inlineStr">
        <is>
          <t>908</t>
        </is>
      </c>
      <c r="B887" s="18" t="inlineStr">
        <is>
          <t>Ciprofloxacin 2) Cephalexin</t>
        </is>
      </c>
      <c r="C887" s="18" t="inlineStr"/>
      <c r="D887" s="18" t="inlineStr">
        <is>
          <t>Nitrofurantoin 100 mg BID</t>
        </is>
      </c>
      <c r="E887" s="18" t="inlineStr">
        <is>
          <t>Tenofovir/Emtricitabine 300/200 mg OD</t>
        </is>
      </c>
      <c r="F887" s="18" t="inlineStr">
        <is>
          <t>Dolutegravir 50 mg OD</t>
        </is>
      </c>
      <c r="G887" s="18" t="inlineStr">
        <is>
          <t>Vancomycin 1 g IV Q12H</t>
        </is>
      </c>
      <c r="H887" s="18" t="inlineStr">
        <is>
          <t>Meropenem 1 g IV Q8H</t>
        </is>
      </c>
      <c r="I887" s="15" t="inlineStr">
        <is>
          <t>1</t>
        </is>
      </c>
      <c r="J887" s="18"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7" s="18" t="inlineStr"/>
      <c r="L887" s="18" t="inlineStr">
        <is>
          <t>Infectious Diseases</t>
        </is>
      </c>
      <c r="M887" s="18" t="inlineStr">
        <is>
          <t>Clinic</t>
        </is>
      </c>
      <c r="N887" s="18" t="inlineStr">
        <is>
          <t>ข้อ 1 (PLE_CC1_2555 Day 2.md)</t>
        </is>
      </c>
      <c r="O887" s="18" t="inlineStr">
        <is>
          <t>ข้อสอบจริง</t>
        </is>
      </c>
      <c r="P887" s="18" t="inlineStr">
        <is>
          <t>ปี 2555</t>
        </is>
      </c>
    </row>
    <row r="888">
      <c r="A888" s="15" t="inlineStr">
        <is>
          <t>909</t>
        </is>
      </c>
      <c r="B888" s="18" t="inlineStr">
        <is>
          <t>Doxycycline 8.ยา3 ตำรับมีการตกตะกอนดังนี้ เวลา A B C 9.9 9.8 9.6 9.6 9.6 Redispersable 60 4 10 ข้อใดถูกต้อง</t>
        </is>
      </c>
      <c r="C888" s="18" t="inlineStr"/>
      <c r="D888" s="18" t="inlineStr">
        <is>
          <t>Vancomycin 1 g IV Q12H</t>
        </is>
      </c>
      <c r="E888" s="18" t="inlineStr">
        <is>
          <t>Meropenem 1 g IV Q8H</t>
        </is>
      </c>
      <c r="F888" s="18" t="inlineStr">
        <is>
          <t>Cefazolin 1 g IV Q8H</t>
        </is>
      </c>
      <c r="G888" s="18" t="inlineStr">
        <is>
          <t>Amoxicillin/Clavulanate 1 g BID</t>
        </is>
      </c>
      <c r="H888" s="18" t="inlineStr">
        <is>
          <t>Ceftriaxone 1 g IV OD</t>
        </is>
      </c>
      <c r="I888" s="15" t="inlineStr">
        <is>
          <t>1</t>
        </is>
      </c>
      <c r="J888" s="18"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888" s="18" t="inlineStr"/>
      <c r="L888" s="18" t="inlineStr">
        <is>
          <t>Infectious Diseases</t>
        </is>
      </c>
      <c r="M888" s="18" t="inlineStr">
        <is>
          <t>Clinic</t>
        </is>
      </c>
      <c r="N888" s="18" t="inlineStr">
        <is>
          <t>ข้อ 5 (PLE_CC1_2555 Day 2.md)</t>
        </is>
      </c>
      <c r="O888" s="18" t="inlineStr">
        <is>
          <t>ข้อสอบจริง</t>
        </is>
      </c>
      <c r="P888" s="18" t="inlineStr">
        <is>
          <t>ปี 2555</t>
        </is>
      </c>
    </row>
    <row r="889">
      <c r="A889" s="15" t="inlineStr">
        <is>
          <t>910</t>
        </is>
      </c>
      <c r="B889" s="18" t="inlineStr">
        <is>
          <t>ตำรับ A มี sedimentation volume สูงสุด และมีการกระจายตัวดีที่สุด</t>
        </is>
      </c>
      <c r="C889" s="18" t="inlineStr"/>
      <c r="D889" s="18" t="inlineStr">
        <is>
          <t>Sodium thiosulfate 25% 50 mL IV</t>
        </is>
      </c>
      <c r="E889" s="18" t="inlineStr">
        <is>
          <t>Calcium disodium EDTA 1 g IV</t>
        </is>
      </c>
      <c r="F889" s="18" t="inlineStr">
        <is>
          <t>Desferrioxamine 1 g IM/IV</t>
        </is>
      </c>
      <c r="G889" s="18" t="inlineStr">
        <is>
          <t>Dimercaprol (BAL) 3 mg/kg IM</t>
        </is>
      </c>
      <c r="H889" s="18" t="inlineStr">
        <is>
          <t>Ethanol 10% IV infusion for Methanol poisoning</t>
        </is>
      </c>
      <c r="I889" s="15" t="inlineStr">
        <is>
          <t>1</t>
        </is>
      </c>
      <c r="J8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9" s="18" t="inlineStr"/>
      <c r="L889" s="18" t="inlineStr">
        <is>
          <t>General Therapeutics</t>
        </is>
      </c>
      <c r="M889" s="18" t="inlineStr">
        <is>
          <t>Clinic</t>
        </is>
      </c>
      <c r="N889" s="18" t="inlineStr">
        <is>
          <t>ข้อ 1 (PLE_CC1_2555 Day 2.md)</t>
        </is>
      </c>
      <c r="O889" s="18" t="inlineStr">
        <is>
          <t>ข้อสอบจริง</t>
        </is>
      </c>
      <c r="P889" s="18" t="inlineStr">
        <is>
          <t>ปี 2555</t>
        </is>
      </c>
    </row>
    <row r="890">
      <c r="A890" s="15" t="inlineStr">
        <is>
          <t>911</t>
        </is>
      </c>
      <c r="B890" s="18" t="inlineStr">
        <is>
          <t>ตำรับ B มีการกระจายตัวดีที่สุด</t>
        </is>
      </c>
      <c r="C890" s="18" t="inlineStr"/>
      <c r="D890" s="18" t="inlineStr">
        <is>
          <t>Dimercaprol (BAL) 3 mg/kg IM</t>
        </is>
      </c>
      <c r="E890" s="18" t="inlineStr">
        <is>
          <t>Ethanol 10% IV infusion for Methanol poisoning</t>
        </is>
      </c>
      <c r="F890" s="18" t="inlineStr">
        <is>
          <t>Fomepizole 15 mg/kg IV loading</t>
        </is>
      </c>
      <c r="G890" s="18" t="inlineStr">
        <is>
          <t>N-acetylcysteine (NAC) IV infusion protocol</t>
        </is>
      </c>
      <c r="H890" s="18" t="inlineStr">
        <is>
          <t>Atropine sulfate 2 mg IV Q5-10 min</t>
        </is>
      </c>
      <c r="I890" s="15" t="inlineStr">
        <is>
          <t>1</t>
        </is>
      </c>
      <c r="J8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0" s="18" t="inlineStr"/>
      <c r="L890" s="18" t="inlineStr">
        <is>
          <t>General Therapeutics</t>
        </is>
      </c>
      <c r="M890" s="18" t="inlineStr">
        <is>
          <t>Clinic</t>
        </is>
      </c>
      <c r="N890" s="18" t="inlineStr">
        <is>
          <t>ข้อ 2 (PLE_CC1_2555 Day 2.md)</t>
        </is>
      </c>
      <c r="O890" s="18" t="inlineStr">
        <is>
          <t>ข้อสอบจริง</t>
        </is>
      </c>
      <c r="P890" s="18" t="inlineStr">
        <is>
          <t>ปี 2555</t>
        </is>
      </c>
    </row>
    <row r="891">
      <c r="A891" s="15" t="inlineStr">
        <is>
          <t>912</t>
        </is>
      </c>
      <c r="B891" s="18" t="inlineStr">
        <is>
          <t>ตำรับ A มีอัตราการตกตะกอนช้า</t>
        </is>
      </c>
      <c r="C891" s="18" t="inlineStr"/>
      <c r="D891" s="18" t="inlineStr">
        <is>
          <t>N-acetylcysteine (NAC) IV infusion protocol</t>
        </is>
      </c>
      <c r="E891" s="18" t="inlineStr">
        <is>
          <t>Atropine sulfate 2 mg IV Q5-10 min</t>
        </is>
      </c>
      <c r="F891" s="18" t="inlineStr">
        <is>
          <t>Pralidoxime (2-PAM) 1-2 g IV over 30 min</t>
        </is>
      </c>
      <c r="G891" s="18" t="inlineStr">
        <is>
          <t>Naloxone 0.4 mg IV stat</t>
        </is>
      </c>
      <c r="H891" s="18" t="inlineStr">
        <is>
          <t>Flumazenil 0.2 mg IV stat</t>
        </is>
      </c>
      <c r="I891" s="15" t="inlineStr">
        <is>
          <t>1</t>
        </is>
      </c>
      <c r="J8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1" s="18" t="inlineStr"/>
      <c r="L891" s="18" t="inlineStr">
        <is>
          <t>General Therapeutics</t>
        </is>
      </c>
      <c r="M891" s="18" t="inlineStr">
        <is>
          <t>Clinic</t>
        </is>
      </c>
      <c r="N891" s="18" t="inlineStr">
        <is>
          <t>ข้อ 3 (PLE_CC1_2555 Day 2.md)</t>
        </is>
      </c>
      <c r="O891" s="18" t="inlineStr">
        <is>
          <t>ข้อสอบจริง</t>
        </is>
      </c>
      <c r="P891" s="18" t="inlineStr">
        <is>
          <t>ปี 2555</t>
        </is>
      </c>
    </row>
    <row r="892">
      <c r="A892" s="15" t="inlineStr">
        <is>
          <t>913</t>
        </is>
      </c>
      <c r="B892" s="18" t="inlineStr">
        <is>
          <t>ตำรับ B มีอัตราการตกตะกอนเร็วที่สุด</t>
        </is>
      </c>
      <c r="C892" s="18" t="inlineStr"/>
      <c r="D892" s="18" t="inlineStr">
        <is>
          <t>Naloxone 0.4 mg IV stat</t>
        </is>
      </c>
      <c r="E892" s="18" t="inlineStr">
        <is>
          <t>Flumazenil 0.2 mg IV stat</t>
        </is>
      </c>
      <c r="F892" s="18" t="inlineStr">
        <is>
          <t>Vitamin K1 (Phytomenadione) 10 mg IV slow</t>
        </is>
      </c>
      <c r="G892" s="18" t="inlineStr">
        <is>
          <t>Sodium thiosulfate 25% 50 mL IV</t>
        </is>
      </c>
      <c r="H892" s="18" t="inlineStr">
        <is>
          <t>Calcium disodium EDTA 1 g IV</t>
        </is>
      </c>
      <c r="I892" s="15" t="inlineStr">
        <is>
          <t>1</t>
        </is>
      </c>
      <c r="J8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2" s="18" t="inlineStr"/>
      <c r="L892" s="18" t="inlineStr">
        <is>
          <t>General Therapeutics</t>
        </is>
      </c>
      <c r="M892" s="18" t="inlineStr">
        <is>
          <t>Clinic</t>
        </is>
      </c>
      <c r="N892" s="18" t="inlineStr">
        <is>
          <t>ข้อ 4 (PLE_CC1_2555 Day 2.md)</t>
        </is>
      </c>
      <c r="O892" s="18" t="inlineStr">
        <is>
          <t>ข้อสอบจริง</t>
        </is>
      </c>
      <c r="P892" s="18" t="inlineStr">
        <is>
          <t>ปี 2555</t>
        </is>
      </c>
    </row>
    <row r="893">
      <c r="A893" s="15" t="inlineStr">
        <is>
          <t>914</t>
        </is>
      </c>
      <c r="B893" s="18" t="inlineStr">
        <is>
          <t>ตำรับ C มี sedimentation volume สูงสุด 9.ข้อใดถูก</t>
        </is>
      </c>
      <c r="C893" s="18" t="inlineStr"/>
      <c r="D893" s="18" t="inlineStr">
        <is>
          <t>Sodium thiosulfate 25% 50 mL IV</t>
        </is>
      </c>
      <c r="E893" s="18" t="inlineStr">
        <is>
          <t>Calcium disodium EDTA 1 g IV</t>
        </is>
      </c>
      <c r="F893" s="18" t="inlineStr">
        <is>
          <t>Desferrioxamine 1 g IM/IV</t>
        </is>
      </c>
      <c r="G893" s="18" t="inlineStr">
        <is>
          <t>Dimercaprol (BAL) 3 mg/kg IM</t>
        </is>
      </c>
      <c r="H893" s="18" t="inlineStr">
        <is>
          <t>Ethanol 10% IV infusion for Methanol poisoning</t>
        </is>
      </c>
      <c r="I893" s="15" t="inlineStr">
        <is>
          <t>1</t>
        </is>
      </c>
      <c r="J8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3" s="18" t="inlineStr"/>
      <c r="L893" s="18" t="inlineStr">
        <is>
          <t>General Therapeutics</t>
        </is>
      </c>
      <c r="M893" s="18" t="inlineStr">
        <is>
          <t>Clinic</t>
        </is>
      </c>
      <c r="N893" s="18" t="inlineStr">
        <is>
          <t>ข้อ 5 (PLE_CC1_2555 Day 2.md)</t>
        </is>
      </c>
      <c r="O893" s="18" t="inlineStr">
        <is>
          <t>ข้อสอบจริง</t>
        </is>
      </c>
      <c r="P893" s="18" t="inlineStr">
        <is>
          <t>ปี 2555</t>
        </is>
      </c>
    </row>
    <row r="894">
      <c r="A894" s="15" t="inlineStr">
        <is>
          <t>915</t>
        </is>
      </c>
      <c r="B894" s="18" t="inlineStr">
        <is>
          <t>Acid fast positive</t>
        </is>
      </c>
      <c r="C894" s="18" t="inlineStr"/>
      <c r="D894" s="18" t="inlineStr">
        <is>
          <t>Dimercaprol (BAL) 3 mg/kg IM</t>
        </is>
      </c>
      <c r="E894" s="18" t="inlineStr">
        <is>
          <t>Ethanol 10% IV infusion for Methanol poisoning</t>
        </is>
      </c>
      <c r="F894" s="18" t="inlineStr">
        <is>
          <t>Fomepizole 15 mg/kg IV loading</t>
        </is>
      </c>
      <c r="G894" s="18" t="inlineStr">
        <is>
          <t>N-acetylcysteine (NAC) IV infusion protocol</t>
        </is>
      </c>
      <c r="H894" s="18" t="inlineStr">
        <is>
          <t>Atropine sulfate 2 mg IV Q5-10 min</t>
        </is>
      </c>
      <c r="I894" s="15" t="inlineStr">
        <is>
          <t>1</t>
        </is>
      </c>
      <c r="J8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4" s="18" t="inlineStr"/>
      <c r="L894" s="18" t="inlineStr">
        <is>
          <t>General Therapeutics</t>
        </is>
      </c>
      <c r="M894" s="18" t="inlineStr">
        <is>
          <t>Clinic</t>
        </is>
      </c>
      <c r="N894" s="18" t="inlineStr">
        <is>
          <t>ข้อ 3 (PLE_CC1_2555 Day 2.md)</t>
        </is>
      </c>
      <c r="O894" s="18" t="inlineStr">
        <is>
          <t>ข้อสอบจริง</t>
        </is>
      </c>
      <c r="P894" s="18" t="inlineStr">
        <is>
          <t>ปี 2555</t>
        </is>
      </c>
    </row>
    <row r="895">
      <c r="A895" s="15" t="inlineStr">
        <is>
          <t>916</t>
        </is>
      </c>
      <c r="B895" s="18" t="inlineStr">
        <is>
          <t>Papanicolaou positive</t>
        </is>
      </c>
      <c r="C895" s="18" t="inlineStr"/>
      <c r="D895" s="18" t="inlineStr">
        <is>
          <t>N-acetylcysteine (NAC) IV infusion protocol</t>
        </is>
      </c>
      <c r="E895" s="18" t="inlineStr">
        <is>
          <t>Atropine sulfate 2 mg IV Q5-10 min</t>
        </is>
      </c>
      <c r="F895" s="18" t="inlineStr">
        <is>
          <t>Pralidoxime (2-PAM) 1-2 g IV over 30 min</t>
        </is>
      </c>
      <c r="G895" s="18" t="inlineStr">
        <is>
          <t>Naloxone 0.4 mg IV stat</t>
        </is>
      </c>
      <c r="H895" s="18" t="inlineStr">
        <is>
          <t>Flumazenil 0.2 mg IV stat</t>
        </is>
      </c>
      <c r="I895" s="15" t="inlineStr">
        <is>
          <t>1</t>
        </is>
      </c>
      <c r="J8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5" s="18" t="inlineStr"/>
      <c r="L895" s="18" t="inlineStr">
        <is>
          <t>General Therapeutics</t>
        </is>
      </c>
      <c r="M895" s="18" t="inlineStr">
        <is>
          <t>Clinic</t>
        </is>
      </c>
      <c r="N895" s="18" t="inlineStr">
        <is>
          <t>ข้อ 4 (PLE_CC1_2555 Day 2.md)</t>
        </is>
      </c>
      <c r="O895" s="18" t="inlineStr">
        <is>
          <t>ข้อสอบจริง</t>
        </is>
      </c>
      <c r="P895" s="18" t="inlineStr">
        <is>
          <t>ปี 2555</t>
        </is>
      </c>
    </row>
    <row r="896">
      <c r="A896" s="15" t="inlineStr">
        <is>
          <t>917</t>
        </is>
      </c>
      <c r="B896" s="18" t="inlineStr">
        <is>
          <t>Indian ink positive</t>
        </is>
      </c>
      <c r="C896" s="18" t="inlineStr"/>
      <c r="D896" s="18" t="inlineStr">
        <is>
          <t>Naloxone 0.4 mg IV stat</t>
        </is>
      </c>
      <c r="E896" s="18" t="inlineStr">
        <is>
          <t>Flumazenil 0.2 mg IV stat</t>
        </is>
      </c>
      <c r="F896" s="18" t="inlineStr">
        <is>
          <t>Vitamin K1 (Phytomenadione) 10 mg IV slow</t>
        </is>
      </c>
      <c r="G896" s="18" t="inlineStr">
        <is>
          <t>Sodium thiosulfate 25% 50 mL IV</t>
        </is>
      </c>
      <c r="H896" s="18" t="inlineStr">
        <is>
          <t>Calcium disodium EDTA 1 g IV</t>
        </is>
      </c>
      <c r="I896" s="15" t="inlineStr">
        <is>
          <t>1</t>
        </is>
      </c>
      <c r="J8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6" s="18" t="inlineStr"/>
      <c r="L896" s="18" t="inlineStr">
        <is>
          <t>General Therapeutics</t>
        </is>
      </c>
      <c r="M896" s="18" t="inlineStr">
        <is>
          <t>Clinic</t>
        </is>
      </c>
      <c r="N896" s="18" t="inlineStr">
        <is>
          <t>ข้อ 5 (PLE_CC1_2555 Day 2.md)</t>
        </is>
      </c>
      <c r="O896" s="18" t="inlineStr">
        <is>
          <t>ข้อสอบจริง</t>
        </is>
      </c>
      <c r="P896" s="18" t="inlineStr">
        <is>
          <t>ปี 2555</t>
        </is>
      </c>
    </row>
    <row r="897">
      <c r="A897" s="15" t="inlineStr">
        <is>
          <t>918</t>
        </is>
      </c>
      <c r="B897" s="18" t="inlineStr">
        <is>
          <t>วินิจฉัยว่าผู้ป่วยเป็น</t>
        </is>
      </c>
      <c r="C897" s="18" t="inlineStr"/>
      <c r="D897" s="18" t="inlineStr">
        <is>
          <t>Sodium thiosulfate 25% 50 mL IV</t>
        </is>
      </c>
      <c r="E897" s="18" t="inlineStr">
        <is>
          <t>Calcium disodium EDTA 1 g IV</t>
        </is>
      </c>
      <c r="F897" s="18" t="inlineStr">
        <is>
          <t>Desferrioxamine 1 g IM/IV</t>
        </is>
      </c>
      <c r="G897" s="18" t="inlineStr">
        <is>
          <t>Dimercaprol (BAL) 3 mg/kg IM</t>
        </is>
      </c>
      <c r="H897" s="18" t="inlineStr">
        <is>
          <t>Ethanol 10% IV infusion for Methanol poisoning</t>
        </is>
      </c>
      <c r="I897" s="15" t="inlineStr">
        <is>
          <t>1</t>
        </is>
      </c>
      <c r="J8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7" s="18" t="inlineStr"/>
      <c r="L897" s="18" t="inlineStr">
        <is>
          <t>General Therapeutics</t>
        </is>
      </c>
      <c r="M897" s="18" t="inlineStr">
        <is>
          <t>Clinic</t>
        </is>
      </c>
      <c r="N897" s="18" t="inlineStr">
        <is>
          <t>ข้อ 2 (PLE_CC1_2555 Day 2.md)</t>
        </is>
      </c>
      <c r="O897" s="18" t="inlineStr">
        <is>
          <t>ข้อสอบจริง</t>
        </is>
      </c>
      <c r="P897" s="18" t="inlineStr">
        <is>
          <t>ปี 2555</t>
        </is>
      </c>
    </row>
    <row r="898">
      <c r="A898" s="15" t="inlineStr">
        <is>
          <t>919</t>
        </is>
      </c>
      <c r="B898" s="18" t="inlineStr">
        <is>
          <t>เป็นเอดส์แน่นอน</t>
        </is>
      </c>
      <c r="C898" s="18" t="inlineStr"/>
      <c r="D898" s="18" t="inlineStr">
        <is>
          <t>Dimercaprol (BAL) 3 mg/kg IM</t>
        </is>
      </c>
      <c r="E898" s="18" t="inlineStr">
        <is>
          <t>Ethanol 10% IV infusion for Methanol poisoning</t>
        </is>
      </c>
      <c r="F898" s="18" t="inlineStr">
        <is>
          <t>Fomepizole 15 mg/kg IV loading</t>
        </is>
      </c>
      <c r="G898" s="18" t="inlineStr">
        <is>
          <t>N-acetylcysteine (NAC) IV infusion protocol</t>
        </is>
      </c>
      <c r="H898" s="18" t="inlineStr">
        <is>
          <t>Atropine sulfate 2 mg IV Q5-10 min</t>
        </is>
      </c>
      <c r="I898" s="15" t="inlineStr">
        <is>
          <t>1</t>
        </is>
      </c>
      <c r="J89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8" s="18" t="inlineStr"/>
      <c r="L898" s="18" t="inlineStr">
        <is>
          <t>General Therapeutics</t>
        </is>
      </c>
      <c r="M898" s="18" t="inlineStr">
        <is>
          <t>Clinic</t>
        </is>
      </c>
      <c r="N898" s="18" t="inlineStr">
        <is>
          <t>ข้อ 4 (PLE_CC1_2555 Day 2.md)</t>
        </is>
      </c>
      <c r="O898" s="18" t="inlineStr">
        <is>
          <t>ข้อสอบจริง</t>
        </is>
      </c>
      <c r="P898" s="18" t="inlineStr">
        <is>
          <t>ปี 2555</t>
        </is>
      </c>
    </row>
    <row r="899">
      <c r="A899" s="15" t="inlineStr">
        <is>
          <t>920</t>
        </is>
      </c>
      <c r="B899" s="18" t="inlineStr">
        <is>
          <t>หลีกเลี่ยงการใช้ยาในกลุ่ม Protease Inhibitors</t>
        </is>
      </c>
      <c r="C899" s="18" t="inlineStr"/>
      <c r="D899" s="18" t="inlineStr">
        <is>
          <t>Doxycycline 100 mg BID</t>
        </is>
      </c>
      <c r="E899" s="18" t="inlineStr">
        <is>
          <t>Cotrimoxazole 160/800 mg BID</t>
        </is>
      </c>
      <c r="F899" s="18" t="inlineStr">
        <is>
          <t>Metronidazole 400 mg TID</t>
        </is>
      </c>
      <c r="G899" s="18" t="inlineStr">
        <is>
          <t>Nitrofurantoin 100 mg BID</t>
        </is>
      </c>
      <c r="H899" s="18" t="inlineStr">
        <is>
          <t>Tenofovir/Emtricitabine 300/200 mg OD</t>
        </is>
      </c>
      <c r="I899" s="15" t="inlineStr">
        <is>
          <t>1</t>
        </is>
      </c>
      <c r="J899" s="18"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9" s="18" t="inlineStr"/>
      <c r="L899" s="18" t="inlineStr">
        <is>
          <t>Infectious Diseases</t>
        </is>
      </c>
      <c r="M899" s="18" t="inlineStr">
        <is>
          <t>Clinic</t>
        </is>
      </c>
      <c r="N899" s="18" t="inlineStr">
        <is>
          <t>ข้อ 2 (PLE_CC1_2555 Day 2.md)</t>
        </is>
      </c>
      <c r="O899" s="18" t="inlineStr">
        <is>
          <t>ข้อสอบจริง</t>
        </is>
      </c>
      <c r="P899" s="18" t="inlineStr">
        <is>
          <t>ปี 2555</t>
        </is>
      </c>
    </row>
    <row r="900">
      <c r="A900" s="15" t="inlineStr">
        <is>
          <t>921</t>
        </is>
      </c>
      <c r="B900" s="18" t="inlineStr">
        <is>
          <t>ให้กินยาแบบ DOT</t>
        </is>
      </c>
      <c r="C900" s="18" t="inlineStr"/>
      <c r="D900" s="18" t="inlineStr">
        <is>
          <t>Naloxone 0.4 mg IV stat</t>
        </is>
      </c>
      <c r="E900" s="18" t="inlineStr">
        <is>
          <t>Flumazenil 0.2 mg IV stat</t>
        </is>
      </c>
      <c r="F900" s="18" t="inlineStr">
        <is>
          <t>Vitamin K1 (Phytomenadione) 10 mg IV slow</t>
        </is>
      </c>
      <c r="G900" s="18" t="inlineStr">
        <is>
          <t>Sodium thiosulfate 25% 50 mL IV</t>
        </is>
      </c>
      <c r="H900" s="18" t="inlineStr">
        <is>
          <t>Calcium disodium EDTA 1 g IV</t>
        </is>
      </c>
      <c r="I900" s="15" t="inlineStr">
        <is>
          <t>1</t>
        </is>
      </c>
      <c r="J9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0" s="18" t="inlineStr"/>
      <c r="L900" s="18" t="inlineStr">
        <is>
          <t>General Therapeutics</t>
        </is>
      </c>
      <c r="M900" s="18" t="inlineStr">
        <is>
          <t>Clinic</t>
        </is>
      </c>
      <c r="N900" s="18" t="inlineStr">
        <is>
          <t>ข้อ 5 (PLE_CC1_2555 Day 2.md)</t>
        </is>
      </c>
      <c r="O900" s="18" t="inlineStr">
        <is>
          <t>ข้อสอบจริง</t>
        </is>
      </c>
      <c r="P900" s="18" t="inlineStr">
        <is>
          <t>ปี 2555</t>
        </is>
      </c>
    </row>
    <row r="901">
      <c r="A901" s="15" t="inlineStr">
        <is>
          <t>922</t>
        </is>
      </c>
      <c r="B901" s="18" t="inlineStr">
        <is>
          <t>Abacavir ยับยั้ง Protease</t>
        </is>
      </c>
      <c r="C901" s="18" t="inlineStr"/>
      <c r="D901" s="18" t="inlineStr">
        <is>
          <t>Sodium thiosulfate 25% 50 mL IV</t>
        </is>
      </c>
      <c r="E901" s="18" t="inlineStr">
        <is>
          <t>Calcium disodium EDTA 1 g IV</t>
        </is>
      </c>
      <c r="F901" s="18" t="inlineStr">
        <is>
          <t>Desferrioxamine 1 g IM/IV</t>
        </is>
      </c>
      <c r="G901" s="18" t="inlineStr">
        <is>
          <t>Dimercaprol (BAL) 3 mg/kg IM</t>
        </is>
      </c>
      <c r="H901" s="18" t="inlineStr">
        <is>
          <t>Ethanol 10% IV infusion for Methanol poisoning</t>
        </is>
      </c>
      <c r="I901" s="15" t="inlineStr">
        <is>
          <t>1</t>
        </is>
      </c>
      <c r="J90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901" s="18" t="inlineStr"/>
      <c r="L901" s="18" t="inlineStr">
        <is>
          <t>General Therapeutics</t>
        </is>
      </c>
      <c r="M901" s="18" t="inlineStr">
        <is>
          <t>Clinic</t>
        </is>
      </c>
      <c r="N901" s="18" t="inlineStr">
        <is>
          <t>ข้อ 2 (PLE_CC1_2555 Day 2.md)</t>
        </is>
      </c>
      <c r="O901" s="18" t="inlineStr">
        <is>
          <t>ข้อสอบจริง</t>
        </is>
      </c>
      <c r="P901" s="18" t="inlineStr">
        <is>
          <t>ปี 2555</t>
        </is>
      </c>
    </row>
    <row r="902">
      <c r="A902" s="15" t="inlineStr">
        <is>
          <t>923</t>
        </is>
      </c>
      <c r="B902" s="18" t="inlineStr">
        <is>
          <t>Ritonavir ยับยั้ง Protease</t>
        </is>
      </c>
      <c r="C902" s="18" t="inlineStr"/>
      <c r="D902" s="18" t="inlineStr">
        <is>
          <t>Dimercaprol (BAL) 3 mg/kg IM</t>
        </is>
      </c>
      <c r="E902" s="18" t="inlineStr">
        <is>
          <t>Ethanol 10% IV infusion for Methanol poisoning</t>
        </is>
      </c>
      <c r="F902" s="18" t="inlineStr">
        <is>
          <t>Fomepizole 15 mg/kg IV loading</t>
        </is>
      </c>
      <c r="G902" s="18" t="inlineStr">
        <is>
          <t>N-acetylcysteine (NAC) IV infusion protocol</t>
        </is>
      </c>
      <c r="H902" s="18" t="inlineStr">
        <is>
          <t>Atropine sulfate 2 mg IV Q5-10 min</t>
        </is>
      </c>
      <c r="I902" s="15" t="inlineStr">
        <is>
          <t>1</t>
        </is>
      </c>
      <c r="J9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2" s="18" t="inlineStr"/>
      <c r="L902" s="18" t="inlineStr">
        <is>
          <t>General Therapeutics</t>
        </is>
      </c>
      <c r="M902" s="18" t="inlineStr">
        <is>
          <t>Clinic</t>
        </is>
      </c>
      <c r="N902" s="18" t="inlineStr">
        <is>
          <t>ข้อ 4 (PLE_CC1_2555 Day 2.md)</t>
        </is>
      </c>
      <c r="O902" s="18" t="inlineStr">
        <is>
          <t>ข้อสอบจริง</t>
        </is>
      </c>
      <c r="P902" s="18" t="inlineStr">
        <is>
          <t>ปี 2555</t>
        </is>
      </c>
    </row>
    <row r="903">
      <c r="A903" s="15" t="inlineStr">
        <is>
          <t>924</t>
        </is>
      </c>
      <c r="B903" s="18" t="inlineStr">
        <is>
          <t>ยาเพิ่มการทำงานของเอนไซม์ตับทำให้ยาออกฤทธิ์เร็วขึ้น</t>
        </is>
      </c>
      <c r="C903" s="18" t="inlineStr"/>
      <c r="D903" s="18" t="inlineStr">
        <is>
          <t>N-acetylcysteine (NAC) IV infusion protocol</t>
        </is>
      </c>
      <c r="E903" s="18" t="inlineStr">
        <is>
          <t>Atropine sulfate 2 mg IV Q5-10 min</t>
        </is>
      </c>
      <c r="F903" s="18" t="inlineStr">
        <is>
          <t>Pralidoxime (2-PAM) 1-2 g IV over 30 min</t>
        </is>
      </c>
      <c r="G903" s="18" t="inlineStr">
        <is>
          <t>Naloxone 0.4 mg IV stat</t>
        </is>
      </c>
      <c r="H903" s="18" t="inlineStr">
        <is>
          <t>Flumazenil 0.2 mg IV stat</t>
        </is>
      </c>
      <c r="I903" s="15" t="inlineStr">
        <is>
          <t>1</t>
        </is>
      </c>
      <c r="J90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3" s="18" t="inlineStr"/>
      <c r="L903" s="18" t="inlineStr">
        <is>
          <t>General Therapeutics</t>
        </is>
      </c>
      <c r="M903" s="18" t="inlineStr">
        <is>
          <t>Clinic</t>
        </is>
      </c>
      <c r="N903" s="18" t="inlineStr">
        <is>
          <t>ข้อ 3 (PLE_CC1_2555 Day 2.md)</t>
        </is>
      </c>
      <c r="O903" s="18" t="inlineStr">
        <is>
          <t>ข้อสอบจริง</t>
        </is>
      </c>
      <c r="P903" s="18" t="inlineStr">
        <is>
          <t>ปี 2555</t>
        </is>
      </c>
    </row>
    <row r="904">
      <c r="A904" s="15" t="inlineStr">
        <is>
          <t>925</t>
        </is>
      </c>
      <c r="B904" s="18" t="inlineStr">
        <is>
          <t>ยากระตุ้นระบบภูมิคุ้มกัน.ให้ทำงานมากขึ้น</t>
        </is>
      </c>
      <c r="C904" s="18" t="inlineStr"/>
      <c r="D904" s="18" t="inlineStr">
        <is>
          <t>Naloxone 0.4 mg IV stat</t>
        </is>
      </c>
      <c r="E904" s="18" t="inlineStr">
        <is>
          <t>Flumazenil 0.2 mg IV stat</t>
        </is>
      </c>
      <c r="F904" s="18" t="inlineStr">
        <is>
          <t>Vitamin K1 (Phytomenadione) 10 mg IV slow</t>
        </is>
      </c>
      <c r="G904" s="18" t="inlineStr">
        <is>
          <t>Sodium thiosulfate 25% 50 mL IV</t>
        </is>
      </c>
      <c r="H904" s="18" t="inlineStr">
        <is>
          <t>Calcium disodium EDTA 1 g IV</t>
        </is>
      </c>
      <c r="I904" s="15" t="inlineStr">
        <is>
          <t>1</t>
        </is>
      </c>
      <c r="J9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4" s="18" t="inlineStr"/>
      <c r="L904" s="18" t="inlineStr">
        <is>
          <t>General Therapeutics</t>
        </is>
      </c>
      <c r="M904" s="18" t="inlineStr">
        <is>
          <t>Clinic</t>
        </is>
      </c>
      <c r="N904" s="18" t="inlineStr">
        <is>
          <t>ข้อ 4 (PLE_CC1_2555 Day 2.md)</t>
        </is>
      </c>
      <c r="O904" s="18" t="inlineStr">
        <is>
          <t>ข้อสอบจริง</t>
        </is>
      </c>
      <c r="P904" s="18" t="inlineStr">
        <is>
          <t>ปี 2555</t>
        </is>
      </c>
    </row>
    <row r="905">
      <c r="A905" s="15" t="inlineStr">
        <is>
          <t>926</t>
        </is>
      </c>
      <c r="B905" s="18" t="inlineStr">
        <is>
          <t>ยาช่วยลดความเสี่ยงในการเกิดอาการไม่พึงประสงค์ MCQ 1/2555 by CURx69 page 19</t>
        </is>
      </c>
      <c r="C905" s="18" t="inlineStr"/>
      <c r="D905" s="18" t="inlineStr">
        <is>
          <t>Sodium thiosulfate 25% 50 mL IV</t>
        </is>
      </c>
      <c r="E905" s="18" t="inlineStr">
        <is>
          <t>Calcium disodium EDTA 1 g IV</t>
        </is>
      </c>
      <c r="F905" s="18" t="inlineStr">
        <is>
          <t>Desferrioxamine 1 g IM/IV</t>
        </is>
      </c>
      <c r="G905" s="18" t="inlineStr">
        <is>
          <t>Dimercaprol (BAL) 3 mg/kg IM</t>
        </is>
      </c>
      <c r="H905" s="18" t="inlineStr">
        <is>
          <t>Ethanol 10% IV infusion for Methanol poisoning</t>
        </is>
      </c>
      <c r="I905" s="15" t="inlineStr">
        <is>
          <t>1</t>
        </is>
      </c>
      <c r="J9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5" s="18" t="inlineStr"/>
      <c r="L905" s="18" t="inlineStr">
        <is>
          <t>General Therapeutics</t>
        </is>
      </c>
      <c r="M905" s="18" t="inlineStr">
        <is>
          <t>Clinic</t>
        </is>
      </c>
      <c r="N905" s="18" t="inlineStr">
        <is>
          <t>ข้อ 5 (PLE_CC1_2555 Day 2.md)</t>
        </is>
      </c>
      <c r="O905" s="18" t="inlineStr">
        <is>
          <t>ข้อสอบจริง</t>
        </is>
      </c>
      <c r="P905" s="18" t="inlineStr">
        <is>
          <t>ปี 2555</t>
        </is>
      </c>
    </row>
    <row r="906">
      <c r="A906" s="15" t="inlineStr">
        <is>
          <t>927</t>
        </is>
      </c>
      <c r="B906" s="18" t="inlineStr">
        <is>
          <t>metabolic alkalosis</t>
        </is>
      </c>
      <c r="C906" s="18" t="inlineStr"/>
      <c r="D906" s="18" t="inlineStr">
        <is>
          <t>Dimercaprol (BAL) 3 mg/kg IM</t>
        </is>
      </c>
      <c r="E906" s="18" t="inlineStr">
        <is>
          <t>Ethanol 10% IV infusion for Methanol poisoning</t>
        </is>
      </c>
      <c r="F906" s="18" t="inlineStr">
        <is>
          <t>Fomepizole 15 mg/kg IV loading</t>
        </is>
      </c>
      <c r="G906" s="18" t="inlineStr">
        <is>
          <t>N-acetylcysteine (NAC) IV infusion protocol</t>
        </is>
      </c>
      <c r="H906" s="18" t="inlineStr">
        <is>
          <t>Atropine sulfate 2 mg IV Q5-10 min</t>
        </is>
      </c>
      <c r="I906" s="15" t="inlineStr">
        <is>
          <t>1</t>
        </is>
      </c>
      <c r="J9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6" s="18" t="inlineStr"/>
      <c r="L906" s="18" t="inlineStr">
        <is>
          <t>General Therapeutics</t>
        </is>
      </c>
      <c r="M906" s="18" t="inlineStr">
        <is>
          <t>Clinic</t>
        </is>
      </c>
      <c r="N906" s="18" t="inlineStr">
        <is>
          <t>ข้อ 1 (PLE_CC1_2555 Day 2.md)</t>
        </is>
      </c>
      <c r="O906" s="18" t="inlineStr">
        <is>
          <t>ข้อสอบจริง</t>
        </is>
      </c>
      <c r="P906" s="18" t="inlineStr">
        <is>
          <t>ปี 2555</t>
        </is>
      </c>
    </row>
    <row r="907">
      <c r="A907" s="15" t="inlineStr">
        <is>
          <t>928</t>
        </is>
      </c>
      <c r="B907" s="18" t="inlineStr">
        <is>
          <t>sodium starch glycolate</t>
        </is>
      </c>
      <c r="C907" s="18" t="inlineStr"/>
      <c r="D907" s="18" t="inlineStr">
        <is>
          <t>N-acetylcysteine (NAC) IV infusion protocol</t>
        </is>
      </c>
      <c r="E907" s="18" t="inlineStr">
        <is>
          <t>Atropine sulfate 2 mg IV Q5-10 min</t>
        </is>
      </c>
      <c r="F907" s="18" t="inlineStr">
        <is>
          <t>Pralidoxime (2-PAM) 1-2 g IV over 30 min</t>
        </is>
      </c>
      <c r="G907" s="18" t="inlineStr">
        <is>
          <t>Naloxone 0.4 mg IV stat</t>
        </is>
      </c>
      <c r="H907" s="18" t="inlineStr">
        <is>
          <t>Flumazenil 0.2 mg IV stat</t>
        </is>
      </c>
      <c r="I907" s="15" t="inlineStr">
        <is>
          <t>1</t>
        </is>
      </c>
      <c r="J9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7" s="18" t="inlineStr"/>
      <c r="L907" s="18" t="inlineStr">
        <is>
          <t>General Therapeutics</t>
        </is>
      </c>
      <c r="M907" s="18" t="inlineStr">
        <is>
          <t>Clinic</t>
        </is>
      </c>
      <c r="N907" s="18" t="inlineStr">
        <is>
          <t>ข้อ 1 (PLE_CC1_2555 Day 2.md)</t>
        </is>
      </c>
      <c r="O907" s="18" t="inlineStr">
        <is>
          <t>ข้อสอบจริง</t>
        </is>
      </c>
      <c r="P907" s="18" t="inlineStr">
        <is>
          <t>ปี 2555</t>
        </is>
      </c>
    </row>
    <row r="908">
      <c r="A908" s="15" t="inlineStr">
        <is>
          <t>929</t>
        </is>
      </c>
      <c r="B908" s="18" t="inlineStr">
        <is>
          <t>colloidal silicon dioxide</t>
        </is>
      </c>
      <c r="C908" s="18" t="inlineStr"/>
      <c r="D908" s="18" t="inlineStr">
        <is>
          <t>Naloxone 0.4 mg IV stat</t>
        </is>
      </c>
      <c r="E908" s="18" t="inlineStr">
        <is>
          <t>Flumazenil 0.2 mg IV stat</t>
        </is>
      </c>
      <c r="F908" s="18" t="inlineStr">
        <is>
          <t>Vitamin K1 (Phytomenadione) 10 mg IV slow</t>
        </is>
      </c>
      <c r="G908" s="18" t="inlineStr">
        <is>
          <t>Sodium thiosulfate 25% 50 mL IV</t>
        </is>
      </c>
      <c r="H908" s="18" t="inlineStr">
        <is>
          <t>Calcium disodium EDTA 1 g IV</t>
        </is>
      </c>
      <c r="I908" s="15" t="inlineStr">
        <is>
          <t>1</t>
        </is>
      </c>
      <c r="J9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8" s="18" t="inlineStr"/>
      <c r="L908" s="18" t="inlineStr">
        <is>
          <t>General Therapeutics</t>
        </is>
      </c>
      <c r="M908" s="18" t="inlineStr">
        <is>
          <t>Clinic</t>
        </is>
      </c>
      <c r="N908" s="18" t="inlineStr">
        <is>
          <t>ข้อ 3 (PLE_CC1_2555 Day 2.md)</t>
        </is>
      </c>
      <c r="O908" s="18" t="inlineStr">
        <is>
          <t>ข้อสอบจริง</t>
        </is>
      </c>
      <c r="P908" s="18" t="inlineStr">
        <is>
          <t>ปี 2555</t>
        </is>
      </c>
    </row>
    <row r="909">
      <c r="A909" s="15" t="inlineStr">
        <is>
          <t>930</t>
        </is>
      </c>
      <c r="B909" s="18" t="inlineStr">
        <is>
          <t>ข้อใดไม่ใช่ข้อดีของ DOT</t>
        </is>
      </c>
      <c r="C909" s="18" t="inlineStr"/>
      <c r="D909" s="18" t="inlineStr">
        <is>
          <t>Sodium thiosulfate 25% 50 mL IV</t>
        </is>
      </c>
      <c r="E909" s="18" t="inlineStr">
        <is>
          <t>Calcium disodium EDTA 1 g IV</t>
        </is>
      </c>
      <c r="F909" s="18" t="inlineStr">
        <is>
          <t>Desferrioxamine 1 g IM/IV</t>
        </is>
      </c>
      <c r="G909" s="18" t="inlineStr">
        <is>
          <t>Dimercaprol (BAL) 3 mg/kg IM</t>
        </is>
      </c>
      <c r="H909" s="18" t="inlineStr">
        <is>
          <t>Ethanol 10% IV infusion for Methanol poisoning</t>
        </is>
      </c>
      <c r="I909" s="15" t="inlineStr">
        <is>
          <t>1</t>
        </is>
      </c>
      <c r="J9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9" s="18" t="inlineStr"/>
      <c r="L909" s="18" t="inlineStr">
        <is>
          <t>General Therapeutics</t>
        </is>
      </c>
      <c r="M909" s="18" t="inlineStr">
        <is>
          <t>Clinic</t>
        </is>
      </c>
      <c r="N909" s="18" t="inlineStr">
        <is>
          <t>ข้อ 10 (PLE_CC1_2555 Day 2.md)</t>
        </is>
      </c>
      <c r="O909" s="18" t="inlineStr">
        <is>
          <t>ข้อสอบจริง</t>
        </is>
      </c>
      <c r="P909" s="18" t="inlineStr">
        <is>
          <t>ปี 2555</t>
        </is>
      </c>
    </row>
    <row r="910">
      <c r="A910" s="15" t="inlineStr">
        <is>
          <t>931</t>
        </is>
      </c>
      <c r="B910" s="18" t="inlineStr">
        <is>
          <t>เพิ่มความร่วมมือในการใช้ยาของผู้ป่วย</t>
        </is>
      </c>
      <c r="C910" s="18" t="inlineStr"/>
      <c r="D910" s="18" t="inlineStr">
        <is>
          <t>Dimercaprol (BAL) 3 mg/kg IM</t>
        </is>
      </c>
      <c r="E910" s="18" t="inlineStr">
        <is>
          <t>Ethanol 10% IV infusion for Methanol poisoning</t>
        </is>
      </c>
      <c r="F910" s="18" t="inlineStr">
        <is>
          <t>Fomepizole 15 mg/kg IV loading</t>
        </is>
      </c>
      <c r="G910" s="18" t="inlineStr">
        <is>
          <t>N-acetylcysteine (NAC) IV infusion protocol</t>
        </is>
      </c>
      <c r="H910" s="18" t="inlineStr">
        <is>
          <t>Atropine sulfate 2 mg IV Q5-10 min</t>
        </is>
      </c>
      <c r="I910" s="15" t="inlineStr">
        <is>
          <t>1</t>
        </is>
      </c>
      <c r="J9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0" s="18" t="inlineStr"/>
      <c r="L910" s="18" t="inlineStr">
        <is>
          <t>General Therapeutics</t>
        </is>
      </c>
      <c r="M910" s="18" t="inlineStr">
        <is>
          <t>Clinic</t>
        </is>
      </c>
      <c r="N910" s="18" t="inlineStr">
        <is>
          <t>ข้อ 1 (PLE_CC1_2555 Day 2.md)</t>
        </is>
      </c>
      <c r="O910" s="18" t="inlineStr">
        <is>
          <t>ข้อสอบจริง</t>
        </is>
      </c>
      <c r="P910" s="18" t="inlineStr">
        <is>
          <t>ปี 2555</t>
        </is>
      </c>
    </row>
    <row r="911">
      <c r="A911" s="15" t="inlineStr">
        <is>
          <t>932</t>
        </is>
      </c>
      <c r="B911" s="18" t="inlineStr">
        <is>
          <t>เพิ่มบทบาทของญาติในการดูแลผู้ป่วย</t>
        </is>
      </c>
      <c r="C911" s="18" t="inlineStr"/>
      <c r="D911" s="18" t="inlineStr">
        <is>
          <t>N-acetylcysteine (NAC) IV infusion protocol</t>
        </is>
      </c>
      <c r="E911" s="18" t="inlineStr">
        <is>
          <t>Atropine sulfate 2 mg IV Q5-10 min</t>
        </is>
      </c>
      <c r="F911" s="18" t="inlineStr">
        <is>
          <t>Pralidoxime (2-PAM) 1-2 g IV over 30 min</t>
        </is>
      </c>
      <c r="G911" s="18" t="inlineStr">
        <is>
          <t>Naloxone 0.4 mg IV stat</t>
        </is>
      </c>
      <c r="H911" s="18" t="inlineStr">
        <is>
          <t>Flumazenil 0.2 mg IV stat</t>
        </is>
      </c>
      <c r="I911" s="15" t="inlineStr">
        <is>
          <t>1</t>
        </is>
      </c>
      <c r="J9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1" s="18" t="inlineStr"/>
      <c r="L911" s="18" t="inlineStr">
        <is>
          <t>General Therapeutics</t>
        </is>
      </c>
      <c r="M911" s="18" t="inlineStr">
        <is>
          <t>Clinic</t>
        </is>
      </c>
      <c r="N911" s="18" t="inlineStr">
        <is>
          <t>ข้อ 2 (PLE_CC1_2555 Day 2.md)</t>
        </is>
      </c>
      <c r="O911" s="18" t="inlineStr">
        <is>
          <t>ข้อสอบจริง</t>
        </is>
      </c>
      <c r="P911" s="18" t="inlineStr">
        <is>
          <t>ปี 2555</t>
        </is>
      </c>
    </row>
    <row r="912">
      <c r="A912" s="15" t="inlineStr">
        <is>
          <t>933</t>
        </is>
      </c>
      <c r="B912" s="18" t="inlineStr">
        <is>
          <t>ลดค่าใช้จ่ายโดยรวมในการรักษา</t>
        </is>
      </c>
      <c r="C912" s="18" t="inlineStr"/>
      <c r="D912" s="18" t="inlineStr">
        <is>
          <t>Naloxone 0.4 mg IV stat</t>
        </is>
      </c>
      <c r="E912" s="18" t="inlineStr">
        <is>
          <t>Flumazenil 0.2 mg IV stat</t>
        </is>
      </c>
      <c r="F912" s="18" t="inlineStr">
        <is>
          <t>Vitamin K1 (Phytomenadione) 10 mg IV slow</t>
        </is>
      </c>
      <c r="G912" s="18" t="inlineStr">
        <is>
          <t>Sodium thiosulfate 25% 50 mL IV</t>
        </is>
      </c>
      <c r="H912" s="18" t="inlineStr">
        <is>
          <t>Calcium disodium EDTA 1 g IV</t>
        </is>
      </c>
      <c r="I912" s="15" t="inlineStr">
        <is>
          <t>1</t>
        </is>
      </c>
      <c r="J9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2" s="18" t="inlineStr"/>
      <c r="L912" s="18" t="inlineStr">
        <is>
          <t>General Therapeutics</t>
        </is>
      </c>
      <c r="M912" s="18" t="inlineStr">
        <is>
          <t>Clinic</t>
        </is>
      </c>
      <c r="N912" s="18" t="inlineStr">
        <is>
          <t>ข้อ 3 (PLE_CC1_2555 Day 2.md)</t>
        </is>
      </c>
      <c r="O912" s="18" t="inlineStr">
        <is>
          <t>ข้อสอบจริง</t>
        </is>
      </c>
      <c r="P912" s="18" t="inlineStr">
        <is>
          <t>ปี 2555</t>
        </is>
      </c>
    </row>
    <row r="913">
      <c r="A913" s="15" t="inlineStr">
        <is>
          <t>934</t>
        </is>
      </c>
      <c r="B913" s="18" t="inlineStr">
        <is>
          <t>ลดระยะเวลาในการรักษา</t>
        </is>
      </c>
      <c r="C913" s="18" t="inlineStr"/>
      <c r="D913" s="18" t="inlineStr">
        <is>
          <t>Sodium thiosulfate 25% 50 mL IV</t>
        </is>
      </c>
      <c r="E913" s="18" t="inlineStr">
        <is>
          <t>Calcium disodium EDTA 1 g IV</t>
        </is>
      </c>
      <c r="F913" s="18" t="inlineStr">
        <is>
          <t>Desferrioxamine 1 g IM/IV</t>
        </is>
      </c>
      <c r="G913" s="18" t="inlineStr">
        <is>
          <t>Dimercaprol (BAL) 3 mg/kg IM</t>
        </is>
      </c>
      <c r="H913" s="18" t="inlineStr">
        <is>
          <t>Ethanol 10% IV infusion for Methanol poisoning</t>
        </is>
      </c>
      <c r="I913" s="15" t="inlineStr">
        <is>
          <t>1</t>
        </is>
      </c>
      <c r="J9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3" s="18" t="inlineStr"/>
      <c r="L913" s="18" t="inlineStr">
        <is>
          <t>General Therapeutics</t>
        </is>
      </c>
      <c r="M913" s="18" t="inlineStr">
        <is>
          <t>Clinic</t>
        </is>
      </c>
      <c r="N913" s="18" t="inlineStr">
        <is>
          <t>ข้อ 4 (PLE_CC1_2555 Day 2.md)</t>
        </is>
      </c>
      <c r="O913" s="18" t="inlineStr">
        <is>
          <t>ข้อสอบจริง</t>
        </is>
      </c>
      <c r="P913" s="18" t="inlineStr">
        <is>
          <t>ปี 2555</t>
        </is>
      </c>
    </row>
    <row r="914">
      <c r="A914" s="15" t="inlineStr">
        <is>
          <t>935</t>
        </is>
      </c>
      <c r="B914" s="18" t="inlineStr">
        <is>
          <t>เมื่อเด็กทารกคลอดออกมาจะได้รับการกระตุ้นให้สร้างแอนติบอดีใดเป็นตัวแรก</t>
        </is>
      </c>
      <c r="C914" s="18" t="inlineStr"/>
      <c r="D914" s="18" t="inlineStr">
        <is>
          <t>Dimercaprol (BAL) 3 mg/kg IM</t>
        </is>
      </c>
      <c r="E914" s="18" t="inlineStr">
        <is>
          <t>Ethanol 10% IV infusion for Methanol poisoning</t>
        </is>
      </c>
      <c r="F914" s="18" t="inlineStr">
        <is>
          <t>Fomepizole 15 mg/kg IV loading</t>
        </is>
      </c>
      <c r="G914" s="18" t="inlineStr">
        <is>
          <t>N-acetylcysteine (NAC) IV infusion protocol</t>
        </is>
      </c>
      <c r="H914" s="18" t="inlineStr">
        <is>
          <t>Atropine sulfate 2 mg IV Q5-10 min</t>
        </is>
      </c>
      <c r="I914" s="15" t="inlineStr">
        <is>
          <t>1</t>
        </is>
      </c>
      <c r="J9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4" s="18" t="inlineStr"/>
      <c r="L914" s="18" t="inlineStr">
        <is>
          <t>General Therapeutics</t>
        </is>
      </c>
      <c r="M914" s="18" t="inlineStr">
        <is>
          <t>Clinic</t>
        </is>
      </c>
      <c r="N914" s="18" t="inlineStr">
        <is>
          <t>ข้อ 2 (PLE_CC1_2555 Day 2.md)</t>
        </is>
      </c>
      <c r="O914" s="18" t="inlineStr">
        <is>
          <t>ข้อสอบจริง</t>
        </is>
      </c>
      <c r="P914" s="18" t="inlineStr">
        <is>
          <t>ปี 2555</t>
        </is>
      </c>
    </row>
    <row r="915">
      <c r="A915" s="15" t="inlineStr">
        <is>
          <t>936</t>
        </is>
      </c>
      <c r="B915" s="18" t="inlineStr">
        <is>
          <t>ข้อใดไม่อยู่ในโปรแกรมเสริมสร้างภูมิคุ้มกันพื้นฐาน</t>
        </is>
      </c>
      <c r="C915" s="18" t="inlineStr"/>
      <c r="D915" s="18" t="inlineStr">
        <is>
          <t>N-acetylcysteine (NAC) IV infusion protocol</t>
        </is>
      </c>
      <c r="E915" s="18" t="inlineStr">
        <is>
          <t>Atropine sulfate 2 mg IV Q5-10 min</t>
        </is>
      </c>
      <c r="F915" s="18" t="inlineStr">
        <is>
          <t>Pralidoxime (2-PAM) 1-2 g IV over 30 min</t>
        </is>
      </c>
      <c r="G915" s="18" t="inlineStr">
        <is>
          <t>Naloxone 0.4 mg IV stat</t>
        </is>
      </c>
      <c r="H915" s="18" t="inlineStr">
        <is>
          <t>Flumazenil 0.2 mg IV stat</t>
        </is>
      </c>
      <c r="I915" s="15" t="inlineStr">
        <is>
          <t>1</t>
        </is>
      </c>
      <c r="J9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5" s="18" t="inlineStr"/>
      <c r="L915" s="18" t="inlineStr">
        <is>
          <t>General Therapeutics</t>
        </is>
      </c>
      <c r="M915" s="18" t="inlineStr">
        <is>
          <t>Clinic</t>
        </is>
      </c>
      <c r="N915" s="18" t="inlineStr">
        <is>
          <t>ข้อ 3 (PLE_CC1_2555 Day 2.md)</t>
        </is>
      </c>
      <c r="O915" s="18" t="inlineStr">
        <is>
          <t>ข้อสอบจริง</t>
        </is>
      </c>
      <c r="P915" s="18" t="inlineStr">
        <is>
          <t>ปี 2555</t>
        </is>
      </c>
    </row>
    <row r="916">
      <c r="A916" s="15" t="inlineStr">
        <is>
          <t>937</t>
        </is>
      </c>
      <c r="B916" s="18" t="inlineStr">
        <is>
          <t>Japanese encephalitis</t>
        </is>
      </c>
      <c r="C916" s="18" t="inlineStr"/>
      <c r="D916" s="18" t="inlineStr">
        <is>
          <t>Naloxone 0.4 mg IV stat</t>
        </is>
      </c>
      <c r="E916" s="18" t="inlineStr">
        <is>
          <t>Flumazenil 0.2 mg IV stat</t>
        </is>
      </c>
      <c r="F916" s="18" t="inlineStr">
        <is>
          <t>Vitamin K1 (Phytomenadione) 10 mg IV slow</t>
        </is>
      </c>
      <c r="G916" s="18" t="inlineStr">
        <is>
          <t>Sodium thiosulfate 25% 50 mL IV</t>
        </is>
      </c>
      <c r="H916" s="18" t="inlineStr">
        <is>
          <t>Calcium disodium EDTA 1 g IV</t>
        </is>
      </c>
      <c r="I916" s="15" t="inlineStr">
        <is>
          <t>1</t>
        </is>
      </c>
      <c r="J9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6" s="18" t="inlineStr"/>
      <c r="L916" s="18" t="inlineStr">
        <is>
          <t>General Therapeutics</t>
        </is>
      </c>
      <c r="M916" s="18" t="inlineStr">
        <is>
          <t>Clinic</t>
        </is>
      </c>
      <c r="N916" s="18" t="inlineStr">
        <is>
          <t>ข้อ 5 (PLE_CC1_2555 Day 2.md)</t>
        </is>
      </c>
      <c r="O916" s="18" t="inlineStr">
        <is>
          <t>ข้อสอบจริง</t>
        </is>
      </c>
      <c r="P916" s="18" t="inlineStr">
        <is>
          <t>ปี 2555</t>
        </is>
      </c>
    </row>
    <row r="917">
      <c r="A917" s="15" t="inlineStr">
        <is>
          <t>938</t>
        </is>
      </c>
      <c r="B917" s="18" t="inlineStr">
        <is>
          <t>เด็กมาฉีด Hep B เข็มที่ 2 ตามนัด แพทย์นัดฉีดเข็มถัดไปอีก 4 เดือนข้างหน้า แต่อีก 2 เดือนเด็กต้องไปต่างประเทศ และอยู่ที่นั่นนาน 3 เดือน ควรแนะนำอย่างไร</t>
        </is>
      </c>
      <c r="C917" s="18" t="inlineStr"/>
      <c r="D917" s="18" t="inlineStr">
        <is>
          <t>Sodium thiosulfate 25% 50 mL IV</t>
        </is>
      </c>
      <c r="E917" s="18" t="inlineStr">
        <is>
          <t>Calcium disodium EDTA 1 g IV</t>
        </is>
      </c>
      <c r="F917" s="18" t="inlineStr">
        <is>
          <t>Desferrioxamine 1 g IM/IV</t>
        </is>
      </c>
      <c r="G917" s="18" t="inlineStr">
        <is>
          <t>Dimercaprol (BAL) 3 mg/kg IM</t>
        </is>
      </c>
      <c r="H917" s="18" t="inlineStr">
        <is>
          <t>Ethanol 10% IV infusion for Methanol poisoning</t>
        </is>
      </c>
      <c r="I917" s="15" t="inlineStr">
        <is>
          <t>1</t>
        </is>
      </c>
      <c r="J9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17" s="18" t="inlineStr"/>
      <c r="L917" s="18" t="inlineStr">
        <is>
          <t>General Therapeutics</t>
        </is>
      </c>
      <c r="M917" s="18" t="inlineStr">
        <is>
          <t>Clinic</t>
        </is>
      </c>
      <c r="N917" s="18" t="inlineStr">
        <is>
          <t>ข้อ 5 (PLE_CC1_2555 Day 2.md)</t>
        </is>
      </c>
      <c r="O917" s="18" t="inlineStr">
        <is>
          <t>ข้อสอบจริง</t>
        </is>
      </c>
      <c r="P917" s="18" t="inlineStr">
        <is>
          <t>ปี 2555</t>
        </is>
      </c>
    </row>
    <row r="918">
      <c r="A918" s="15" t="inlineStr">
        <is>
          <t>939</t>
        </is>
      </c>
      <c r="B918" s="18" t="inlineStr">
        <is>
          <t>เริ่มฉีดเข็มที่ 1 ใหม่ เมื่อเด็กกลับจากต่างประเทศ</t>
        </is>
      </c>
      <c r="C918" s="18" t="inlineStr"/>
      <c r="D918" s="18" t="inlineStr">
        <is>
          <t>Dimercaprol (BAL) 3 mg/kg IM</t>
        </is>
      </c>
      <c r="E918" s="18" t="inlineStr">
        <is>
          <t>Ethanol 10% IV infusion for Methanol poisoning</t>
        </is>
      </c>
      <c r="F918" s="18" t="inlineStr">
        <is>
          <t>Fomepizole 15 mg/kg IV loading</t>
        </is>
      </c>
      <c r="G918" s="18" t="inlineStr">
        <is>
          <t>N-acetylcysteine (NAC) IV infusion protocol</t>
        </is>
      </c>
      <c r="H918" s="18" t="inlineStr">
        <is>
          <t>Atropine sulfate 2 mg IV Q5-10 min</t>
        </is>
      </c>
      <c r="I918" s="15" t="inlineStr">
        <is>
          <t>1</t>
        </is>
      </c>
      <c r="J9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8" s="18" t="inlineStr"/>
      <c r="L918" s="18" t="inlineStr">
        <is>
          <t>General Therapeutics</t>
        </is>
      </c>
      <c r="M918" s="18" t="inlineStr">
        <is>
          <t>Clinic</t>
        </is>
      </c>
      <c r="N918" s="18" t="inlineStr">
        <is>
          <t>ข้อ 1 (PLE_CC1_2555 Day 2.md)</t>
        </is>
      </c>
      <c r="O918" s="18" t="inlineStr">
        <is>
          <t>ข้อสอบจริง</t>
        </is>
      </c>
      <c r="P918" s="18" t="inlineStr">
        <is>
          <t>ปี 2555</t>
        </is>
      </c>
    </row>
    <row r="919">
      <c r="A919" s="15" t="inlineStr">
        <is>
          <t>940</t>
        </is>
      </c>
      <c r="B919" s="18" t="inlineStr">
        <is>
          <t>ให้เด็กฉีดเข็มที่ 3 เมื่อกลับมาถึง</t>
        </is>
      </c>
      <c r="C919" s="18" t="inlineStr"/>
      <c r="D919" s="18" t="inlineStr">
        <is>
          <t>N-acetylcysteine (NAC) IV infusion protocol</t>
        </is>
      </c>
      <c r="E919" s="18" t="inlineStr">
        <is>
          <t>Atropine sulfate 2 mg IV Q5-10 min</t>
        </is>
      </c>
      <c r="F919" s="18" t="inlineStr">
        <is>
          <t>Pralidoxime (2-PAM) 1-2 g IV over 30 min</t>
        </is>
      </c>
      <c r="G919" s="18" t="inlineStr">
        <is>
          <t>Naloxone 0.4 mg IV stat</t>
        </is>
      </c>
      <c r="H919" s="18" t="inlineStr">
        <is>
          <t>Flumazenil 0.2 mg IV stat</t>
        </is>
      </c>
      <c r="I919" s="15" t="inlineStr">
        <is>
          <t>1</t>
        </is>
      </c>
      <c r="J91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9" s="18" t="inlineStr"/>
      <c r="L919" s="18" t="inlineStr">
        <is>
          <t>General Therapeutics</t>
        </is>
      </c>
      <c r="M919" s="18" t="inlineStr">
        <is>
          <t>Clinic</t>
        </is>
      </c>
      <c r="N919" s="18" t="inlineStr">
        <is>
          <t>ข้อ 2 (PLE_CC1_2555 Day 2.md)</t>
        </is>
      </c>
      <c r="O919" s="18" t="inlineStr">
        <is>
          <t>ข้อสอบจริง</t>
        </is>
      </c>
      <c r="P919" s="18" t="inlineStr">
        <is>
          <t>ปี 2555</t>
        </is>
      </c>
    </row>
    <row r="920">
      <c r="A920" s="15" t="inlineStr">
        <is>
          <t>941</t>
        </is>
      </c>
      <c r="B920" s="18" t="inlineStr">
        <is>
          <t>ให้เด็กเลื่อนมาฉีดเข็มที่ 3 ก่อนไปต่างประเทศ</t>
        </is>
      </c>
      <c r="C920" s="18" t="inlineStr"/>
      <c r="D920" s="18" t="inlineStr">
        <is>
          <t>Naloxone 0.4 mg IV stat</t>
        </is>
      </c>
      <c r="E920" s="18" t="inlineStr">
        <is>
          <t>Flumazenil 0.2 mg IV stat</t>
        </is>
      </c>
      <c r="F920" s="18" t="inlineStr">
        <is>
          <t>Vitamin K1 (Phytomenadione) 10 mg IV slow</t>
        </is>
      </c>
      <c r="G920" s="18" t="inlineStr">
        <is>
          <t>Sodium thiosulfate 25% 50 mL IV</t>
        </is>
      </c>
      <c r="H920" s="18" t="inlineStr">
        <is>
          <t>Calcium disodium EDTA 1 g IV</t>
        </is>
      </c>
      <c r="I920" s="15" t="inlineStr">
        <is>
          <t>1</t>
        </is>
      </c>
      <c r="J9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0" s="18" t="inlineStr"/>
      <c r="L920" s="18" t="inlineStr">
        <is>
          <t>General Therapeutics</t>
        </is>
      </c>
      <c r="M920" s="18" t="inlineStr">
        <is>
          <t>Clinic</t>
        </is>
      </c>
      <c r="N920" s="18" t="inlineStr">
        <is>
          <t>ข้อ 3 (PLE_CC1_2555 Day 2.md)</t>
        </is>
      </c>
      <c r="O920" s="18" t="inlineStr">
        <is>
          <t>ข้อสอบจริง</t>
        </is>
      </c>
      <c r="P920" s="18" t="inlineStr">
        <is>
          <t>ปี 2555</t>
        </is>
      </c>
    </row>
    <row r="921">
      <c r="A921" s="15" t="inlineStr">
        <is>
          <t>942</t>
        </is>
      </c>
      <c r="B921" s="18" t="inlineStr">
        <is>
          <t>เพิ่มการตอบสนองต่อภูมิคุ้มกัน</t>
        </is>
      </c>
      <c r="C921" s="18" t="inlineStr"/>
      <c r="D921" s="18" t="inlineStr">
        <is>
          <t>Sodium thiosulfate 25% 50 mL IV</t>
        </is>
      </c>
      <c r="E921" s="18" t="inlineStr">
        <is>
          <t>Calcium disodium EDTA 1 g IV</t>
        </is>
      </c>
      <c r="F921" s="18" t="inlineStr">
        <is>
          <t>Desferrioxamine 1 g IM/IV</t>
        </is>
      </c>
      <c r="G921" s="18" t="inlineStr">
        <is>
          <t>Dimercaprol (BAL) 3 mg/kg IM</t>
        </is>
      </c>
      <c r="H921" s="18" t="inlineStr">
        <is>
          <t>Ethanol 10% IV infusion for Methanol poisoning</t>
        </is>
      </c>
      <c r="I921" s="15" t="inlineStr">
        <is>
          <t>1</t>
        </is>
      </c>
      <c r="J9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1" s="18" t="inlineStr"/>
      <c r="L921" s="18" t="inlineStr">
        <is>
          <t>General Therapeutics</t>
        </is>
      </c>
      <c r="M921" s="18" t="inlineStr">
        <is>
          <t>Clinic</t>
        </is>
      </c>
      <c r="N921" s="18" t="inlineStr">
        <is>
          <t>ข้อ 1 (PLE_CC1_2555 Day 2.md)</t>
        </is>
      </c>
      <c r="O921" s="18" t="inlineStr">
        <is>
          <t>ข้อสอบจริง</t>
        </is>
      </c>
      <c r="P921" s="18" t="inlineStr">
        <is>
          <t>ปี 2555</t>
        </is>
      </c>
    </row>
    <row r="922">
      <c r="A922" s="15" t="inlineStr">
        <is>
          <t>943</t>
        </is>
      </c>
      <c r="B922" s="18" t="inlineStr">
        <is>
          <t>ทำให้ไวรัสอ่อนฤทธิ์ลง</t>
        </is>
      </c>
      <c r="C922" s="18" t="inlineStr"/>
      <c r="D922" s="18" t="inlineStr">
        <is>
          <t>Dimercaprol (BAL) 3 mg/kg IM</t>
        </is>
      </c>
      <c r="E922" s="18" t="inlineStr">
        <is>
          <t>Ethanol 10% IV infusion for Methanol poisoning</t>
        </is>
      </c>
      <c r="F922" s="18" t="inlineStr">
        <is>
          <t>Fomepizole 15 mg/kg IV loading</t>
        </is>
      </c>
      <c r="G922" s="18" t="inlineStr">
        <is>
          <t>N-acetylcysteine (NAC) IV infusion protocol</t>
        </is>
      </c>
      <c r="H922" s="18" t="inlineStr">
        <is>
          <t>Atropine sulfate 2 mg IV Q5-10 min</t>
        </is>
      </c>
      <c r="I922" s="15" t="inlineStr">
        <is>
          <t>1</t>
        </is>
      </c>
      <c r="J9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2" s="18" t="inlineStr"/>
      <c r="L922" s="18" t="inlineStr">
        <is>
          <t>General Therapeutics</t>
        </is>
      </c>
      <c r="M922" s="18" t="inlineStr">
        <is>
          <t>Clinic</t>
        </is>
      </c>
      <c r="N922" s="18" t="inlineStr">
        <is>
          <t>ข้อ 2 (PLE_CC1_2555 Day 2.md)</t>
        </is>
      </c>
      <c r="O922" s="18" t="inlineStr">
        <is>
          <t>ข้อสอบจริง</t>
        </is>
      </c>
      <c r="P922" s="18" t="inlineStr">
        <is>
          <t>ปี 2555</t>
        </is>
      </c>
    </row>
    <row r="923">
      <c r="A923" s="15" t="inlineStr">
        <is>
          <t>944</t>
        </is>
      </c>
      <c r="B923" s="18" t="inlineStr">
        <is>
          <t>ต้านเชื้อจุลชีพขึ้น</t>
        </is>
      </c>
      <c r="C923" s="18" t="inlineStr"/>
      <c r="D923" s="18" t="inlineStr">
        <is>
          <t>N-acetylcysteine (NAC) IV infusion protocol</t>
        </is>
      </c>
      <c r="E923" s="18" t="inlineStr">
        <is>
          <t>Atropine sulfate 2 mg IV Q5-10 min</t>
        </is>
      </c>
      <c r="F923" s="18" t="inlineStr">
        <is>
          <t>Pralidoxime (2-PAM) 1-2 g IV over 30 min</t>
        </is>
      </c>
      <c r="G923" s="18" t="inlineStr">
        <is>
          <t>Naloxone 0.4 mg IV stat</t>
        </is>
      </c>
      <c r="H923" s="18" t="inlineStr">
        <is>
          <t>Flumazenil 0.2 mg IV stat</t>
        </is>
      </c>
      <c r="I923" s="15" t="inlineStr">
        <is>
          <t>1</t>
        </is>
      </c>
      <c r="J9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3" s="18" t="inlineStr"/>
      <c r="L923" s="18" t="inlineStr">
        <is>
          <t>General Therapeutics</t>
        </is>
      </c>
      <c r="M923" s="18" t="inlineStr">
        <is>
          <t>Clinic</t>
        </is>
      </c>
      <c r="N923" s="18" t="inlineStr">
        <is>
          <t>ข้อ 5 (PLE_CC1_2555 Day 2.md)</t>
        </is>
      </c>
      <c r="O923" s="18" t="inlineStr">
        <is>
          <t>ข้อสอบจริง</t>
        </is>
      </c>
      <c r="P923" s="18" t="inlineStr">
        <is>
          <t>ปี 2555</t>
        </is>
      </c>
    </row>
    <row r="924">
      <c r="A924" s="15" t="inlineStr">
        <is>
          <t>945</t>
        </is>
      </c>
      <c r="B924" s="18" t="inlineStr">
        <is>
          <t>จ่ายยาที่โรงพยาบาลซื้อมาก่อนให้ป่วยก่อน</t>
        </is>
      </c>
      <c r="C924" s="18" t="inlineStr"/>
      <c r="D924" s="18" t="inlineStr">
        <is>
          <t>Naloxone 0.4 mg IV stat</t>
        </is>
      </c>
      <c r="E924" s="18" t="inlineStr">
        <is>
          <t>Flumazenil 0.2 mg IV stat</t>
        </is>
      </c>
      <c r="F924" s="18" t="inlineStr">
        <is>
          <t>Vitamin K1 (Phytomenadione) 10 mg IV slow</t>
        </is>
      </c>
      <c r="G924" s="18" t="inlineStr">
        <is>
          <t>Sodium thiosulfate 25% 50 mL IV</t>
        </is>
      </c>
      <c r="H924" s="18" t="inlineStr">
        <is>
          <t>Calcium disodium EDTA 1 g IV</t>
        </is>
      </c>
      <c r="I924" s="15" t="inlineStr">
        <is>
          <t>1</t>
        </is>
      </c>
      <c r="J92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4" s="18" t="inlineStr"/>
      <c r="L924" s="18" t="inlineStr">
        <is>
          <t>General Therapeutics</t>
        </is>
      </c>
      <c r="M924" s="18" t="inlineStr">
        <is>
          <t>Clinic</t>
        </is>
      </c>
      <c r="N924" s="18" t="inlineStr">
        <is>
          <t>ข้อ 1 (PLE_CC1_2555 Day 2.md)</t>
        </is>
      </c>
      <c r="O924" s="18" t="inlineStr">
        <is>
          <t>ข้อสอบจริง</t>
        </is>
      </c>
      <c r="P924" s="18" t="inlineStr">
        <is>
          <t>ปี 2555</t>
        </is>
      </c>
    </row>
    <row r="925">
      <c r="A925" s="15" t="inlineStr">
        <is>
          <t>946</t>
        </is>
      </c>
      <c r="B925" s="18" t="inlineStr">
        <is>
          <t>จ่ายยาที่โรงพยาบาลซื้อมาล่าสุดให้ผู้ป่วยก่อน</t>
        </is>
      </c>
      <c r="C925" s="18" t="inlineStr"/>
      <c r="D925" s="18" t="inlineStr">
        <is>
          <t>Sodium thiosulfate 25% 50 mL IV</t>
        </is>
      </c>
      <c r="E925" s="18" t="inlineStr">
        <is>
          <t>Calcium disodium EDTA 1 g IV</t>
        </is>
      </c>
      <c r="F925" s="18" t="inlineStr">
        <is>
          <t>Desferrioxamine 1 g IM/IV</t>
        </is>
      </c>
      <c r="G925" s="18" t="inlineStr">
        <is>
          <t>Dimercaprol (BAL) 3 mg/kg IM</t>
        </is>
      </c>
      <c r="H925" s="18" t="inlineStr">
        <is>
          <t>Ethanol 10% IV infusion for Methanol poisoning</t>
        </is>
      </c>
      <c r="I925" s="15" t="inlineStr">
        <is>
          <t>1</t>
        </is>
      </c>
      <c r="J92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5" s="18" t="inlineStr"/>
      <c r="L925" s="18" t="inlineStr">
        <is>
          <t>General Therapeutics</t>
        </is>
      </c>
      <c r="M925" s="18" t="inlineStr">
        <is>
          <t>Clinic</t>
        </is>
      </c>
      <c r="N925" s="18" t="inlineStr">
        <is>
          <t>ข้อ 2 (PLE_CC1_2555 Day 2.md)</t>
        </is>
      </c>
      <c r="O925" s="18" t="inlineStr">
        <is>
          <t>ข้อสอบจริง</t>
        </is>
      </c>
      <c r="P925" s="18" t="inlineStr">
        <is>
          <t>ปี 2555</t>
        </is>
      </c>
    </row>
    <row r="926">
      <c r="A926" s="15" t="inlineStr">
        <is>
          <t>947</t>
        </is>
      </c>
      <c r="B926" s="18" t="inlineStr">
        <is>
          <t>จัดซื้อ lot ยาที่ผลิตล่าสุด และจำหน่ายออกไปใช้ก่อน</t>
        </is>
      </c>
      <c r="C926" s="18" t="inlineStr"/>
      <c r="D926" s="18" t="inlineStr">
        <is>
          <t>Dimercaprol (BAL) 3 mg/kg IM</t>
        </is>
      </c>
      <c r="E926" s="18" t="inlineStr">
        <is>
          <t>Ethanol 10% IV infusion for Methanol poisoning</t>
        </is>
      </c>
      <c r="F926" s="18" t="inlineStr">
        <is>
          <t>Fomepizole 15 mg/kg IV loading</t>
        </is>
      </c>
      <c r="G926" s="18" t="inlineStr">
        <is>
          <t>N-acetylcysteine (NAC) IV infusion protocol</t>
        </is>
      </c>
      <c r="H926" s="18" t="inlineStr">
        <is>
          <t>Atropine sulfate 2 mg IV Q5-10 min</t>
        </is>
      </c>
      <c r="I926" s="15" t="inlineStr">
        <is>
          <t>1</t>
        </is>
      </c>
      <c r="J9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6" s="18" t="inlineStr"/>
      <c r="L926" s="18" t="inlineStr">
        <is>
          <t>General Therapeutics</t>
        </is>
      </c>
      <c r="M926" s="18" t="inlineStr">
        <is>
          <t>Clinic</t>
        </is>
      </c>
      <c r="N926" s="18" t="inlineStr">
        <is>
          <t>ข้อ 3 (PLE_CC1_2555 Day 2.md)</t>
        </is>
      </c>
      <c r="O926" s="18" t="inlineStr">
        <is>
          <t>ข้อสอบจริง</t>
        </is>
      </c>
      <c r="P926" s="18" t="inlineStr">
        <is>
          <t>ปี 2555</t>
        </is>
      </c>
    </row>
    <row r="927">
      <c r="A927" s="15" t="inlineStr">
        <is>
          <t>948</t>
        </is>
      </c>
      <c r="B927" s="18" t="inlineStr">
        <is>
          <t>ข้อมูลการซักประวัติใด จำเป็นน้อยที่สุด</t>
        </is>
      </c>
      <c r="C927" s="18" t="inlineStr"/>
      <c r="D927" s="18" t="inlineStr">
        <is>
          <t>N-acetylcysteine (NAC) IV infusion protocol</t>
        </is>
      </c>
      <c r="E927" s="18" t="inlineStr">
        <is>
          <t>Atropine sulfate 2 mg IV Q5-10 min</t>
        </is>
      </c>
      <c r="F927" s="18" t="inlineStr">
        <is>
          <t>Pralidoxime (2-PAM) 1-2 g IV over 30 min</t>
        </is>
      </c>
      <c r="G927" s="18" t="inlineStr">
        <is>
          <t>Naloxone 0.4 mg IV stat</t>
        </is>
      </c>
      <c r="H927" s="18" t="inlineStr">
        <is>
          <t>Flumazenil 0.2 mg IV stat</t>
        </is>
      </c>
      <c r="I927" s="15" t="inlineStr">
        <is>
          <t>1</t>
        </is>
      </c>
      <c r="J9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7" s="18" t="inlineStr"/>
      <c r="L927" s="18" t="inlineStr">
        <is>
          <t>General Therapeutics</t>
        </is>
      </c>
      <c r="M927" s="18" t="inlineStr">
        <is>
          <t>Clinic</t>
        </is>
      </c>
      <c r="N927" s="18" t="inlineStr">
        <is>
          <t>ข้อ 1 (PLE_CC1_2555 Day 2.md)</t>
        </is>
      </c>
      <c r="O927" s="18" t="inlineStr">
        <is>
          <t>ข้อสอบจริง</t>
        </is>
      </c>
      <c r="P927" s="18" t="inlineStr">
        <is>
          <t>ปี 2555</t>
        </is>
      </c>
    </row>
    <row r="928">
      <c r="A928" s="15" t="inlineStr">
        <is>
          <t>949</t>
        </is>
      </c>
      <c r="B928" s="18" t="inlineStr">
        <is>
          <t>ขนาดยาที่ได้รับ</t>
        </is>
      </c>
      <c r="C928" s="18" t="inlineStr"/>
      <c r="D928" s="18" t="inlineStr">
        <is>
          <t>Naloxone 0.4 mg IV stat</t>
        </is>
      </c>
      <c r="E928" s="18" t="inlineStr">
        <is>
          <t>Flumazenil 0.2 mg IV stat</t>
        </is>
      </c>
      <c r="F928" s="18" t="inlineStr">
        <is>
          <t>Vitamin K1 (Phytomenadione) 10 mg IV slow</t>
        </is>
      </c>
      <c r="G928" s="18" t="inlineStr">
        <is>
          <t>Sodium thiosulfate 25% 50 mL IV</t>
        </is>
      </c>
      <c r="H928" s="18" t="inlineStr">
        <is>
          <t>Calcium disodium EDTA 1 g IV</t>
        </is>
      </c>
      <c r="I928" s="15" t="inlineStr">
        <is>
          <t>1</t>
        </is>
      </c>
      <c r="J9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8" s="18" t="inlineStr"/>
      <c r="L928" s="18" t="inlineStr">
        <is>
          <t>General Therapeutics</t>
        </is>
      </c>
      <c r="M928" s="18" t="inlineStr">
        <is>
          <t>Clinic</t>
        </is>
      </c>
      <c r="N928" s="18" t="inlineStr">
        <is>
          <t>ข้อ 1 (PLE_CC1_2555 Day 2.md)</t>
        </is>
      </c>
      <c r="O928" s="18" t="inlineStr">
        <is>
          <t>ข้อสอบจริง</t>
        </is>
      </c>
      <c r="P928" s="18" t="inlineStr">
        <is>
          <t>ปี 2555</t>
        </is>
      </c>
    </row>
    <row r="929">
      <c r="A929" s="15" t="inlineStr">
        <is>
          <t>950</t>
        </is>
      </c>
      <c r="B929" s="18" t="inlineStr">
        <is>
          <t>เวลาที่เริ่มกินยา</t>
        </is>
      </c>
      <c r="C929" s="18" t="inlineStr"/>
      <c r="D929" s="18" t="inlineStr">
        <is>
          <t>Sodium thiosulfate 25% 50 mL IV</t>
        </is>
      </c>
      <c r="E929" s="18" t="inlineStr">
        <is>
          <t>Calcium disodium EDTA 1 g IV</t>
        </is>
      </c>
      <c r="F929" s="18" t="inlineStr">
        <is>
          <t>Desferrioxamine 1 g IM/IV</t>
        </is>
      </c>
      <c r="G929" s="18" t="inlineStr">
        <is>
          <t>Dimercaprol (BAL) 3 mg/kg IM</t>
        </is>
      </c>
      <c r="H929" s="18" t="inlineStr">
        <is>
          <t>Ethanol 10% IV infusion for Methanol poisoning</t>
        </is>
      </c>
      <c r="I929" s="15" t="inlineStr">
        <is>
          <t>1</t>
        </is>
      </c>
      <c r="J9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9" s="18" t="inlineStr"/>
      <c r="L929" s="18" t="inlineStr">
        <is>
          <t>General Therapeutics</t>
        </is>
      </c>
      <c r="M929" s="18" t="inlineStr">
        <is>
          <t>Clinic</t>
        </is>
      </c>
      <c r="N929" s="18" t="inlineStr">
        <is>
          <t>ข้อ 2 (PLE_CC1_2555 Day 2.md)</t>
        </is>
      </c>
      <c r="O929" s="18" t="inlineStr">
        <is>
          <t>ข้อสอบจริง</t>
        </is>
      </c>
      <c r="P929" s="18" t="inlineStr">
        <is>
          <t>ปี 2555</t>
        </is>
      </c>
    </row>
    <row r="930">
      <c r="A930" s="15" t="inlineStr">
        <is>
          <t>951</t>
        </is>
      </c>
      <c r="B930" s="18" t="inlineStr">
        <is>
          <t>ประวัติการใช้ยาในอดีต</t>
        </is>
      </c>
      <c r="C930" s="18" t="inlineStr"/>
      <c r="D930" s="18" t="inlineStr">
        <is>
          <t>Dimercaprol (BAL) 3 mg/kg IM</t>
        </is>
      </c>
      <c r="E930" s="18" t="inlineStr">
        <is>
          <t>Ethanol 10% IV infusion for Methanol poisoning</t>
        </is>
      </c>
      <c r="F930" s="18" t="inlineStr">
        <is>
          <t>Fomepizole 15 mg/kg IV loading</t>
        </is>
      </c>
      <c r="G930" s="18" t="inlineStr">
        <is>
          <t>N-acetylcysteine (NAC) IV infusion protocol</t>
        </is>
      </c>
      <c r="H930" s="18" t="inlineStr">
        <is>
          <t>Atropine sulfate 2 mg IV Q5-10 min</t>
        </is>
      </c>
      <c r="I930" s="15" t="inlineStr">
        <is>
          <t>1</t>
        </is>
      </c>
      <c r="J9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0" s="18" t="inlineStr"/>
      <c r="L930" s="18" t="inlineStr">
        <is>
          <t>General Therapeutics</t>
        </is>
      </c>
      <c r="M930" s="18" t="inlineStr">
        <is>
          <t>Clinic</t>
        </is>
      </c>
      <c r="N930" s="18" t="inlineStr">
        <is>
          <t>ข้อ 3 (PLE_CC1_2555 Day 2.md)</t>
        </is>
      </c>
      <c r="O930" s="18" t="inlineStr">
        <is>
          <t>ข้อสอบจริง</t>
        </is>
      </c>
      <c r="P930" s="18" t="inlineStr">
        <is>
          <t>ปี 2555</t>
        </is>
      </c>
    </row>
    <row r="931">
      <c r="A931" s="15" t="inlineStr">
        <is>
          <t>952</t>
        </is>
      </c>
      <c r="B931" s="18" t="inlineStr">
        <is>
          <t>ยาอื่นที่รับประทานร่วมด้วย</t>
        </is>
      </c>
      <c r="C931" s="18" t="inlineStr"/>
      <c r="D931" s="18" t="inlineStr">
        <is>
          <t>N-acetylcysteine (NAC) IV infusion protocol</t>
        </is>
      </c>
      <c r="E931" s="18" t="inlineStr">
        <is>
          <t>Atropine sulfate 2 mg IV Q5-10 min</t>
        </is>
      </c>
      <c r="F931" s="18" t="inlineStr">
        <is>
          <t>Pralidoxime (2-PAM) 1-2 g IV over 30 min</t>
        </is>
      </c>
      <c r="G931" s="18" t="inlineStr">
        <is>
          <t>Naloxone 0.4 mg IV stat</t>
        </is>
      </c>
      <c r="H931" s="18" t="inlineStr">
        <is>
          <t>Flumazenil 0.2 mg IV stat</t>
        </is>
      </c>
      <c r="I931" s="15" t="inlineStr">
        <is>
          <t>1</t>
        </is>
      </c>
      <c r="J9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1" s="18" t="inlineStr"/>
      <c r="L931" s="18" t="inlineStr">
        <is>
          <t>General Therapeutics</t>
        </is>
      </c>
      <c r="M931" s="18" t="inlineStr">
        <is>
          <t>Clinic</t>
        </is>
      </c>
      <c r="N931" s="18" t="inlineStr">
        <is>
          <t>ข้อ 5 (PLE_CC1_2555 Day 2.md)</t>
        </is>
      </c>
      <c r="O931" s="18" t="inlineStr">
        <is>
          <t>ข้อสอบจริง</t>
        </is>
      </c>
      <c r="P931" s="18" t="inlineStr">
        <is>
          <t>ปี 2555</t>
        </is>
      </c>
    </row>
    <row r="932">
      <c r="A932" s="15" t="inlineStr">
        <is>
          <t>953</t>
        </is>
      </c>
      <c r="B932" s="18" t="inlineStr">
        <is>
          <t>anaphylactic hypersensitivity</t>
        </is>
      </c>
      <c r="C932" s="18" t="inlineStr"/>
      <c r="D932" s="18" t="inlineStr">
        <is>
          <t>Naloxone 0.4 mg IV stat</t>
        </is>
      </c>
      <c r="E932" s="18" t="inlineStr">
        <is>
          <t>Flumazenil 0.2 mg IV stat</t>
        </is>
      </c>
      <c r="F932" s="18" t="inlineStr">
        <is>
          <t>Vitamin K1 (Phytomenadione) 10 mg IV slow</t>
        </is>
      </c>
      <c r="G932" s="18" t="inlineStr">
        <is>
          <t>Sodium thiosulfate 25% 50 mL IV</t>
        </is>
      </c>
      <c r="H932" s="18" t="inlineStr">
        <is>
          <t>Calcium disodium EDTA 1 g IV</t>
        </is>
      </c>
      <c r="I932" s="15" t="inlineStr">
        <is>
          <t>1</t>
        </is>
      </c>
      <c r="J9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2" s="18" t="inlineStr"/>
      <c r="L932" s="18" t="inlineStr">
        <is>
          <t>General Therapeutics</t>
        </is>
      </c>
      <c r="M932" s="18" t="inlineStr">
        <is>
          <t>Clinic</t>
        </is>
      </c>
      <c r="N932" s="18" t="inlineStr">
        <is>
          <t>ข้อ 1 (PLE_CC1_2555 Day 2.md)</t>
        </is>
      </c>
      <c r="O932" s="18" t="inlineStr">
        <is>
          <t>ข้อสอบจริง</t>
        </is>
      </c>
      <c r="P932" s="18" t="inlineStr">
        <is>
          <t>ปี 2555</t>
        </is>
      </c>
    </row>
    <row r="933">
      <c r="A933" s="15" t="inlineStr">
        <is>
          <t>954</t>
        </is>
      </c>
      <c r="B933" s="18" t="inlineStr">
        <is>
          <t>cytotoxic hypersensitivity</t>
        </is>
      </c>
      <c r="C933" s="18" t="inlineStr"/>
      <c r="D933" s="18" t="inlineStr">
        <is>
          <t>Sodium thiosulfate 25% 50 mL IV</t>
        </is>
      </c>
      <c r="E933" s="18" t="inlineStr">
        <is>
          <t>Calcium disodium EDTA 1 g IV</t>
        </is>
      </c>
      <c r="F933" s="18" t="inlineStr">
        <is>
          <t>Desferrioxamine 1 g IM/IV</t>
        </is>
      </c>
      <c r="G933" s="18" t="inlineStr">
        <is>
          <t>Dimercaprol (BAL) 3 mg/kg IM</t>
        </is>
      </c>
      <c r="H933" s="18" t="inlineStr">
        <is>
          <t>Ethanol 10% IV infusion for Methanol poisoning</t>
        </is>
      </c>
      <c r="I933" s="15" t="inlineStr">
        <is>
          <t>1</t>
        </is>
      </c>
      <c r="J933" s="18"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933" s="18" t="inlineStr"/>
      <c r="L933" s="18" t="inlineStr">
        <is>
          <t>Toxicology &amp; Antidote</t>
        </is>
      </c>
      <c r="M933" s="18" t="inlineStr">
        <is>
          <t>Clinic</t>
        </is>
      </c>
      <c r="N933" s="18" t="inlineStr">
        <is>
          <t>ข้อ 2 (PLE_CC1_2555 Day 2.md)</t>
        </is>
      </c>
      <c r="O933" s="18" t="inlineStr">
        <is>
          <t>ข้อสอบจริง</t>
        </is>
      </c>
      <c r="P933" s="18" t="inlineStr">
        <is>
          <t>ปี 2555</t>
        </is>
      </c>
    </row>
    <row r="934">
      <c r="A934" s="15" t="inlineStr">
        <is>
          <t>955</t>
        </is>
      </c>
      <c r="B934" s="18" t="inlineStr">
        <is>
          <t>immune complex hypersensitivity</t>
        </is>
      </c>
      <c r="C934" s="18" t="inlineStr"/>
      <c r="D934" s="18" t="inlineStr">
        <is>
          <t>Dimercaprol (BAL) 3 mg/kg IM</t>
        </is>
      </c>
      <c r="E934" s="18" t="inlineStr">
        <is>
          <t>Ethanol 10% IV infusion for Methanol poisoning</t>
        </is>
      </c>
      <c r="F934" s="18" t="inlineStr">
        <is>
          <t>Fomepizole 15 mg/kg IV loading</t>
        </is>
      </c>
      <c r="G934" s="18" t="inlineStr">
        <is>
          <t>N-acetylcysteine (NAC) IV infusion protocol</t>
        </is>
      </c>
      <c r="H934" s="18" t="inlineStr">
        <is>
          <t>Atropine sulfate 2 mg IV Q5-10 min</t>
        </is>
      </c>
      <c r="I934" s="15" t="inlineStr">
        <is>
          <t>1</t>
        </is>
      </c>
      <c r="J9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4" s="18" t="inlineStr"/>
      <c r="L934" s="18" t="inlineStr">
        <is>
          <t>General Therapeutics</t>
        </is>
      </c>
      <c r="M934" s="18" t="inlineStr">
        <is>
          <t>Clinic</t>
        </is>
      </c>
      <c r="N934" s="18" t="inlineStr">
        <is>
          <t>ข้อ 3 (PLE_CC1_2555 Day 2.md)</t>
        </is>
      </c>
      <c r="O934" s="18" t="inlineStr">
        <is>
          <t>ข้อสอบจริง</t>
        </is>
      </c>
      <c r="P934" s="18" t="inlineStr">
        <is>
          <t>ปี 2555</t>
        </is>
      </c>
    </row>
    <row r="935">
      <c r="A935" s="15" t="inlineStr">
        <is>
          <t>956</t>
        </is>
      </c>
      <c r="B935" s="18" t="inlineStr">
        <is>
          <t>delayed hypersensitivity</t>
        </is>
      </c>
      <c r="C935" s="18" t="inlineStr"/>
      <c r="D935" s="18" t="inlineStr">
        <is>
          <t>N-acetylcysteine (NAC) IV infusion protocol</t>
        </is>
      </c>
      <c r="E935" s="18" t="inlineStr">
        <is>
          <t>Atropine sulfate 2 mg IV Q5-10 min</t>
        </is>
      </c>
      <c r="F935" s="18" t="inlineStr">
        <is>
          <t>Pralidoxime (2-PAM) 1-2 g IV over 30 min</t>
        </is>
      </c>
      <c r="G935" s="18" t="inlineStr">
        <is>
          <t>Naloxone 0.4 mg IV stat</t>
        </is>
      </c>
      <c r="H935" s="18" t="inlineStr">
        <is>
          <t>Flumazenil 0.2 mg IV stat</t>
        </is>
      </c>
      <c r="I935" s="15" t="inlineStr">
        <is>
          <t>1</t>
        </is>
      </c>
      <c r="J9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5" s="18" t="inlineStr"/>
      <c r="L935" s="18" t="inlineStr">
        <is>
          <t>General Therapeutics</t>
        </is>
      </c>
      <c r="M935" s="18" t="inlineStr">
        <is>
          <t>Clinic</t>
        </is>
      </c>
      <c r="N935" s="18" t="inlineStr">
        <is>
          <t>ข้อ 4 (PLE_CC1_2555 Day 2.md)</t>
        </is>
      </c>
      <c r="O935" s="18" t="inlineStr">
        <is>
          <t>ข้อสอบจริง</t>
        </is>
      </c>
      <c r="P935" s="18" t="inlineStr">
        <is>
          <t>ปี 2555</t>
        </is>
      </c>
    </row>
    <row r="936">
      <c r="A936" s="15" t="inlineStr">
        <is>
          <t>957</t>
        </is>
      </c>
      <c r="B936" s="18" t="inlineStr">
        <is>
          <t>immediate hypersensitivity</t>
        </is>
      </c>
      <c r="C936" s="18" t="inlineStr"/>
      <c r="D936" s="18" t="inlineStr">
        <is>
          <t>Naloxone 0.4 mg IV stat</t>
        </is>
      </c>
      <c r="E936" s="18" t="inlineStr">
        <is>
          <t>Flumazenil 0.2 mg IV stat</t>
        </is>
      </c>
      <c r="F936" s="18" t="inlineStr">
        <is>
          <t>Vitamin K1 (Phytomenadione) 10 mg IV slow</t>
        </is>
      </c>
      <c r="G936" s="18" t="inlineStr">
        <is>
          <t>Sodium thiosulfate 25% 50 mL IV</t>
        </is>
      </c>
      <c r="H936" s="18" t="inlineStr">
        <is>
          <t>Calcium disodium EDTA 1 g IV</t>
        </is>
      </c>
      <c r="I936" s="15" t="inlineStr">
        <is>
          <t>1</t>
        </is>
      </c>
      <c r="J9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6" s="18" t="inlineStr"/>
      <c r="L936" s="18" t="inlineStr">
        <is>
          <t>General Therapeutics</t>
        </is>
      </c>
      <c r="M936" s="18" t="inlineStr">
        <is>
          <t>Clinic</t>
        </is>
      </c>
      <c r="N936" s="18" t="inlineStr">
        <is>
          <t>ข้อ 5 (PLE_CC1_2555 Day 2.md)</t>
        </is>
      </c>
      <c r="O936" s="18" t="inlineStr">
        <is>
          <t>ข้อสอบจริง</t>
        </is>
      </c>
      <c r="P936" s="18" t="inlineStr">
        <is>
          <t>ปี 2555</t>
        </is>
      </c>
    </row>
    <row r="937">
      <c r="A937" s="15" t="inlineStr">
        <is>
          <t>958</t>
        </is>
      </c>
      <c r="B937" s="18" t="inlineStr">
        <is>
          <t>หากแพ้ยา ibuprofen จะแพ้ยาใดได้อีก หากพิจารณาตามโครงสร้าง</t>
        </is>
      </c>
      <c r="C937" s="18" t="inlineStr"/>
      <c r="D937" s="18" t="inlineStr">
        <is>
          <t>Prednisolone 5 mg OD</t>
        </is>
      </c>
      <c r="E937" s="18" t="inlineStr">
        <is>
          <t>Zoledronic acid 5 mg IV annually</t>
        </is>
      </c>
      <c r="F937" s="18" t="inlineStr">
        <is>
          <t>Leflunomide 20 mg OD</t>
        </is>
      </c>
      <c r="G937" s="18" t="inlineStr">
        <is>
          <t>Paracetamol 500 mg Q6H PRN</t>
        </is>
      </c>
      <c r="H937" s="18" t="inlineStr">
        <is>
          <t>Denosumab 60 mg SC every 6 months</t>
        </is>
      </c>
      <c r="I937" s="15" t="inlineStr">
        <is>
          <t>1</t>
        </is>
      </c>
      <c r="J937" s="18"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37" s="18" t="inlineStr"/>
      <c r="L937" s="18" t="inlineStr">
        <is>
          <t>Musculoskeletal &amp; Joint</t>
        </is>
      </c>
      <c r="M937" s="18" t="inlineStr">
        <is>
          <t>Clinic</t>
        </is>
      </c>
      <c r="N937" s="18" t="inlineStr">
        <is>
          <t>ข้อ 3 (PLE_CC1_2555 Day 2.md)</t>
        </is>
      </c>
      <c r="O937" s="18" t="inlineStr">
        <is>
          <t>ข้อสอบจริง</t>
        </is>
      </c>
      <c r="P937" s="18" t="inlineStr">
        <is>
          <t>ปี 2555</t>
        </is>
      </c>
    </row>
    <row r="938">
      <c r="A938" s="15" t="inlineStr">
        <is>
          <t>959</t>
        </is>
      </c>
      <c r="B938" s="18" t="inlineStr">
        <is>
          <t>Steatosis MCQ 1/2555 by CURx69 page 23</t>
        </is>
      </c>
      <c r="C938" s="18" t="inlineStr"/>
      <c r="D938" s="18" t="inlineStr">
        <is>
          <t>Dimercaprol (BAL) 3 mg/kg IM</t>
        </is>
      </c>
      <c r="E938" s="18" t="inlineStr">
        <is>
          <t>Ethanol 10% IV infusion for Methanol poisoning</t>
        </is>
      </c>
      <c r="F938" s="18" t="inlineStr">
        <is>
          <t>Fomepizole 15 mg/kg IV loading</t>
        </is>
      </c>
      <c r="G938" s="18" t="inlineStr">
        <is>
          <t>N-acetylcysteine (NAC) IV infusion protocol</t>
        </is>
      </c>
      <c r="H938" s="18" t="inlineStr">
        <is>
          <t>Atropine sulfate 2 mg IV Q5-10 min</t>
        </is>
      </c>
      <c r="I938" s="15" t="inlineStr">
        <is>
          <t>1</t>
        </is>
      </c>
      <c r="J9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8" s="18" t="inlineStr"/>
      <c r="L938" s="18" t="inlineStr">
        <is>
          <t>General Therapeutics</t>
        </is>
      </c>
      <c r="M938" s="18" t="inlineStr">
        <is>
          <t>Clinic</t>
        </is>
      </c>
      <c r="N938" s="18" t="inlineStr">
        <is>
          <t>ข้อ 5 (PLE_CC1_2555 Day 2.md)</t>
        </is>
      </c>
      <c r="O938" s="18" t="inlineStr">
        <is>
          <t>ข้อสอบจริง</t>
        </is>
      </c>
      <c r="P938" s="18" t="inlineStr">
        <is>
          <t>ปี 2555</t>
        </is>
      </c>
    </row>
    <row r="939">
      <c r="A939" s="15" t="inlineStr">
        <is>
          <t>960</t>
        </is>
      </c>
      <c r="B939" s="18" t="inlineStr">
        <is>
          <t>N-acetyl cysteine</t>
        </is>
      </c>
      <c r="C939" s="18" t="inlineStr"/>
      <c r="D939" s="18" t="inlineStr">
        <is>
          <t>N-acetylcysteine (NAC) IV infusion protocol</t>
        </is>
      </c>
      <c r="E939" s="18" t="inlineStr">
        <is>
          <t>Atropine sulfate 2 mg IV Q5-10 min</t>
        </is>
      </c>
      <c r="F939" s="18" t="inlineStr">
        <is>
          <t>Pralidoxime (2-PAM) 1-2 g IV over 30 min</t>
        </is>
      </c>
      <c r="G939" s="18" t="inlineStr">
        <is>
          <t>Naloxone 0.4 mg IV stat</t>
        </is>
      </c>
      <c r="H939" s="18" t="inlineStr">
        <is>
          <t>Flumazenil 0.2 mg IV stat</t>
        </is>
      </c>
      <c r="I939" s="15" t="inlineStr">
        <is>
          <t>1</t>
        </is>
      </c>
      <c r="J9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9" s="18" t="inlineStr"/>
      <c r="L939" s="18" t="inlineStr">
        <is>
          <t>General Therapeutics</t>
        </is>
      </c>
      <c r="M939" s="18" t="inlineStr">
        <is>
          <t>Clinic</t>
        </is>
      </c>
      <c r="N939" s="18" t="inlineStr">
        <is>
          <t>ข้อ 4 (PLE_CC1_2555 Day 2.md)</t>
        </is>
      </c>
      <c r="O939" s="18" t="inlineStr">
        <is>
          <t>ข้อสอบจริง</t>
        </is>
      </c>
      <c r="P939" s="18" t="inlineStr">
        <is>
          <t>ปี 2555</t>
        </is>
      </c>
    </row>
    <row r="940">
      <c r="A940" s="15" t="inlineStr">
        <is>
          <t>961</t>
        </is>
      </c>
      <c r="B940" s="18" t="inlineStr">
        <is>
          <t>Ibuprofen หรือ iso-butyl-propanoic-phenolic acid จะสามารถออกฤทธิ์แก้ปวดได้ต้องอยู่ในรูป (S)-enantiomer เพราะเหตุใด</t>
        </is>
      </c>
      <c r="C940" s="18" t="inlineStr"/>
      <c r="D940" s="18" t="inlineStr">
        <is>
          <t>Febuxostat 40 mg OD</t>
        </is>
      </c>
      <c r="E940" s="18" t="inlineStr">
        <is>
          <t>Celecoxib 200 mg OD</t>
        </is>
      </c>
      <c r="F940" s="18" t="inlineStr">
        <is>
          <t>Methotrexate 10 mg weekly</t>
        </is>
      </c>
      <c r="G940" s="18" t="inlineStr">
        <is>
          <t>Alendronate 70 mg weekly</t>
        </is>
      </c>
      <c r="H940" s="18" t="inlineStr">
        <is>
          <t>Glucosamine sulfate 1500 mg OD</t>
        </is>
      </c>
      <c r="I940" s="15" t="inlineStr">
        <is>
          <t>1</t>
        </is>
      </c>
      <c r="J940" s="18"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40" s="18" t="inlineStr"/>
      <c r="L940" s="18" t="inlineStr">
        <is>
          <t>Musculoskeletal &amp; Joint</t>
        </is>
      </c>
      <c r="M940" s="18" t="inlineStr">
        <is>
          <t>Clinic</t>
        </is>
      </c>
      <c r="N940" s="18" t="inlineStr">
        <is>
          <t>ข้อ 7 (PLE_CC1_2555 Day 2.md)</t>
        </is>
      </c>
      <c r="O940" s="18" t="inlineStr">
        <is>
          <t>ข้อสอบจริง</t>
        </is>
      </c>
      <c r="P940" s="18" t="inlineStr">
        <is>
          <t>ปี 2555</t>
        </is>
      </c>
    </row>
    <row r="941">
      <c r="A941" s="15" t="inlineStr">
        <is>
          <t>962</t>
        </is>
      </c>
      <c r="B941" s="18" t="inlineStr">
        <is>
          <t>(s)-enantiomer ออกฤทธิ์ต้านการอักเสบได้ดีกว่า (-)-isomer</t>
        </is>
      </c>
      <c r="C941" s="18" t="inlineStr"/>
      <c r="D941" s="18" t="inlineStr">
        <is>
          <t>Sodium thiosulfate 25% 50 mL IV</t>
        </is>
      </c>
      <c r="E941" s="18" t="inlineStr">
        <is>
          <t>Calcium disodium EDTA 1 g IV</t>
        </is>
      </c>
      <c r="F941" s="18" t="inlineStr">
        <is>
          <t>Desferrioxamine 1 g IM/IV</t>
        </is>
      </c>
      <c r="G941" s="18" t="inlineStr">
        <is>
          <t>Dimercaprol (BAL) 3 mg/kg IM</t>
        </is>
      </c>
      <c r="H941" s="18" t="inlineStr">
        <is>
          <t>Ethanol 10% IV infusion for Methanol poisoning</t>
        </is>
      </c>
      <c r="I941" s="15" t="inlineStr">
        <is>
          <t>1</t>
        </is>
      </c>
      <c r="J9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1" s="18" t="inlineStr"/>
      <c r="L941" s="18" t="inlineStr">
        <is>
          <t>General Therapeutics</t>
        </is>
      </c>
      <c r="M941" s="18" t="inlineStr">
        <is>
          <t>Clinic</t>
        </is>
      </c>
      <c r="N941" s="18" t="inlineStr">
        <is>
          <t>ข้อ 1 (PLE_CC1_2555 Day 2.md)</t>
        </is>
      </c>
      <c r="O941" s="18" t="inlineStr">
        <is>
          <t>ข้อสอบจริง</t>
        </is>
      </c>
      <c r="P941" s="18" t="inlineStr">
        <is>
          <t>ปี 2555</t>
        </is>
      </c>
    </row>
    <row r="942">
      <c r="A942" s="15" t="inlineStr">
        <is>
          <t>963</t>
        </is>
      </c>
      <c r="B942" s="18" t="inlineStr">
        <is>
          <t>(s)-enantiomer ออกฤทธิ์ต้านการอักเสบได้ดีกว่า (+)-isomer</t>
        </is>
      </c>
      <c r="C942" s="18" t="inlineStr"/>
      <c r="D942" s="18" t="inlineStr">
        <is>
          <t>Dimercaprol (BAL) 3 mg/kg IM</t>
        </is>
      </c>
      <c r="E942" s="18" t="inlineStr">
        <is>
          <t>Ethanol 10% IV infusion for Methanol poisoning</t>
        </is>
      </c>
      <c r="F942" s="18" t="inlineStr">
        <is>
          <t>Fomepizole 15 mg/kg IV loading</t>
        </is>
      </c>
      <c r="G942" s="18" t="inlineStr">
        <is>
          <t>N-acetylcysteine (NAC) IV infusion protocol</t>
        </is>
      </c>
      <c r="H942" s="18" t="inlineStr">
        <is>
          <t>Atropine sulfate 2 mg IV Q5-10 min</t>
        </is>
      </c>
      <c r="I942" s="15" t="inlineStr">
        <is>
          <t>1</t>
        </is>
      </c>
      <c r="J9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2" s="18" t="inlineStr"/>
      <c r="L942" s="18" t="inlineStr">
        <is>
          <t>General Therapeutics</t>
        </is>
      </c>
      <c r="M942" s="18" t="inlineStr">
        <is>
          <t>Clinic</t>
        </is>
      </c>
      <c r="N942" s="18" t="inlineStr">
        <is>
          <t>ข้อ 2 (PLE_CC1_2555 Day 2.md)</t>
        </is>
      </c>
      <c r="O942" s="18" t="inlineStr">
        <is>
          <t>ข้อสอบจริง</t>
        </is>
      </c>
      <c r="P942" s="18" t="inlineStr">
        <is>
          <t>ปี 2555</t>
        </is>
      </c>
    </row>
    <row r="943">
      <c r="A943" s="15" t="inlineStr">
        <is>
          <t>964</t>
        </is>
      </c>
      <c r="B943" s="18" t="inlineStr">
        <is>
          <t>(S)-enantiomer ออกฤทธิ์ต้านการอักเสบได้ดีกว่า (R)-enantiomer</t>
        </is>
      </c>
      <c r="C943" s="18" t="inlineStr"/>
      <c r="D943" s="18" t="inlineStr">
        <is>
          <t>N-acetylcysteine (NAC) IV infusion protocol</t>
        </is>
      </c>
      <c r="E943" s="18" t="inlineStr">
        <is>
          <t>Atropine sulfate 2 mg IV Q5-10 min</t>
        </is>
      </c>
      <c r="F943" s="18" t="inlineStr">
        <is>
          <t>Pralidoxime (2-PAM) 1-2 g IV over 30 min</t>
        </is>
      </c>
      <c r="G943" s="18" t="inlineStr">
        <is>
          <t>Naloxone 0.4 mg IV stat</t>
        </is>
      </c>
      <c r="H943" s="18" t="inlineStr">
        <is>
          <t>Flumazenil 0.2 mg IV stat</t>
        </is>
      </c>
      <c r="I943" s="15" t="inlineStr">
        <is>
          <t>1</t>
        </is>
      </c>
      <c r="J9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3" s="18" t="inlineStr"/>
      <c r="L943" s="18" t="inlineStr">
        <is>
          <t>General Therapeutics</t>
        </is>
      </c>
      <c r="M943" s="18" t="inlineStr">
        <is>
          <t>Clinic</t>
        </is>
      </c>
      <c r="N943" s="18" t="inlineStr">
        <is>
          <t>ข้อ 4 (PLE_CC1_2555 Day 2.md)</t>
        </is>
      </c>
      <c r="O943" s="18" t="inlineStr">
        <is>
          <t>ข้อสอบจริง</t>
        </is>
      </c>
      <c r="P943" s="18" t="inlineStr">
        <is>
          <t>ปี 2555</t>
        </is>
      </c>
    </row>
    <row r="944">
      <c r="A944" s="15" t="inlineStr">
        <is>
          <t>965</t>
        </is>
      </c>
      <c r="B944" s="18" t="inlineStr">
        <is>
          <t>(S)-enantiomer ออกฤทธิ์ต้านการอักเสบได้น้อยกว่า (R)-enantiomer</t>
        </is>
      </c>
      <c r="C944" s="18" t="inlineStr"/>
      <c r="D944" s="18" t="inlineStr">
        <is>
          <t>Naloxone 0.4 mg IV stat</t>
        </is>
      </c>
      <c r="E944" s="18" t="inlineStr">
        <is>
          <t>Flumazenil 0.2 mg IV stat</t>
        </is>
      </c>
      <c r="F944" s="18" t="inlineStr">
        <is>
          <t>Vitamin K1 (Phytomenadione) 10 mg IV slow</t>
        </is>
      </c>
      <c r="G944" s="18" t="inlineStr">
        <is>
          <t>Sodium thiosulfate 25% 50 mL IV</t>
        </is>
      </c>
      <c r="H944" s="18" t="inlineStr">
        <is>
          <t>Calcium disodium EDTA 1 g IV</t>
        </is>
      </c>
      <c r="I944" s="15" t="inlineStr">
        <is>
          <t>1</t>
        </is>
      </c>
      <c r="J9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44" s="18" t="inlineStr"/>
      <c r="L944" s="18" t="inlineStr">
        <is>
          <t>General Therapeutics</t>
        </is>
      </c>
      <c r="M944" s="18" t="inlineStr">
        <is>
          <t>Clinic</t>
        </is>
      </c>
      <c r="N944" s="18" t="inlineStr">
        <is>
          <t>ข้อ 5 (PLE_CC1_2555 Day 2.md)</t>
        </is>
      </c>
      <c r="O944" s="18" t="inlineStr">
        <is>
          <t>ข้อสอบจริง</t>
        </is>
      </c>
      <c r="P944" s="18" t="inlineStr">
        <is>
          <t>ปี 2555</t>
        </is>
      </c>
    </row>
    <row r="945">
      <c r="A945" s="15" t="inlineStr">
        <is>
          <t>966</t>
        </is>
      </c>
      <c r="B945" s="18" t="inlineStr">
        <is>
          <t>ท่านคิดว่า อะไรคือสาเหตุของ acute renal failure ในผู้ป่วยรายนี้</t>
        </is>
      </c>
      <c r="C945" s="18" t="inlineStr"/>
      <c r="D945" s="18" t="inlineStr">
        <is>
          <t>hypovolume</t>
        </is>
      </c>
      <c r="E945" s="18" t="inlineStr">
        <is>
          <t>bleeding</t>
        </is>
      </c>
      <c r="F945" s="18" t="inlineStr">
        <is>
          <t>rhabdomyolysis</t>
        </is>
      </c>
      <c r="G945" s="18" t="inlineStr">
        <is>
          <t>ได้รับยา nephrotoxic</t>
        </is>
      </c>
      <c r="H945" s="18" t="inlineStr">
        <is>
          <t>นิ่ว</t>
        </is>
      </c>
      <c r="I945" s="15" t="inlineStr">
        <is>
          <t>1</t>
        </is>
      </c>
      <c r="J945" s="18" t="inlineStr">
        <is>
          <t>✅ คำตอบที่ถูกต้อง: ข้อ ก. hypovolume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hypovolume การเลือก hypovolume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ง. (ได้รับยา nephrotoxic): ข้อนี้ไม่ใช่คำตอบที่ถูกต้องสำหรับภาวะ General Therapeutics เนื่องจากกลไกการออกฤทธิ์, efficacy หรือข้อบ่งใช้ไม่ตรงกับโจทย์ที่กำหนด
• ข้อ จ. (นิ่ว):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45" s="18" t="inlineStr"/>
      <c r="L945" s="18" t="inlineStr">
        <is>
          <t>General Therapeutics</t>
        </is>
      </c>
      <c r="M945" s="18" t="inlineStr">
        <is>
          <t>Clinic</t>
        </is>
      </c>
      <c r="N945" s="18" t="inlineStr">
        <is>
          <t>ข้อ 2 (PLE_CC1_2554 SET1.md)</t>
        </is>
      </c>
      <c r="O945" s="18" t="inlineStr">
        <is>
          <t>ข้อสอบจริง</t>
        </is>
      </c>
      <c r="P945" s="18" t="inlineStr">
        <is>
          <t>ปี 2554</t>
        </is>
      </c>
    </row>
    <row r="946">
      <c r="A946" s="15" t="inlineStr">
        <is>
          <t>967</t>
        </is>
      </c>
      <c r="B946" s="18" t="inlineStr">
        <is>
          <t>ในภาวะข้างต้น ผู้ป่วยควรได้รับการรักษาในข้อใดมากที่สุด ในการปรับสมดุลอิเล็กโทรไลต์</t>
        </is>
      </c>
      <c r="C946" s="18" t="inlineStr"/>
      <c r="D946" s="18" t="inlineStr">
        <is>
          <t>dextrose + insulin</t>
        </is>
      </c>
      <c r="E946" s="18" t="inlineStr">
        <is>
          <t>calcitriol</t>
        </is>
      </c>
      <c r="F946" s="18" t="inlineStr">
        <is>
          <t>erythropoietin</t>
        </is>
      </c>
      <c r="G946" s="18" t="inlineStr">
        <is>
          <t>calcium carbonate</t>
        </is>
      </c>
      <c r="H946" s="18" t="inlineStr">
        <is>
          <t>sodium bicarbonate ÕáK034 MU Rx’38 (เรียบเรียงและจัดพิมพ์) &gt;&gt; Special Thanks for my group friends : Ty019 , Win022 , Pice056 , Nuy063 , Big072 , Tong083 , New106 , Kim109 … Rx’38 ... MU</t>
        </is>
      </c>
      <c r="I946" s="15" t="inlineStr">
        <is>
          <t>1</t>
        </is>
      </c>
      <c r="J946" s="18" t="inlineStr">
        <is>
          <t>✅ คำตอบที่ถูกต้อง: ข้อ ก. dextrose + insulin
💡 Background:
กฎหมายยาและจรรยาบรรณวิชาชีพมีขึ้นเพื่อคุ้มครองความปลอดภัยของผู้บริโภคตามมาตรฐาน Good Pharmacy Practice (GPP)
🎯 ทำไมข้อนี้ถึงถูก:
dextrose + insulin 💡 คำอธิบายและข้อกำหนดทางกฎหมาย:
💡 คำอธิบายและข้อกำหนดทางกฎหมาย:
การเลือก dextrose + insulin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(calcitriol): ข้อนี้ไม่ใช่คำตอบที่ถูกต้องสำหรับภาวะ Pharmacy Laws &amp; Ethics เนื่องจากกลไกการออกฤทธิ์, efficacy หรือข้อบ่งใช้ไม่ตรงกับโจทย์ที่กำหนด
• ข้อ ค. (erythropoietin): ข้อนี้ไม่ใช่คำตอบที่ถูกต้องสำหรับภาวะ Pharmacy Laws &amp; Ethics เนื่องจากกลไกการออกฤทธิ์, efficacy หรือข้อบ่งใช้ไม่ตรงกับโจทย์ที่กำหนด
• ข้อ ง. (calcium carbonate): เป็น Phosphate binder สำหรับ CKD ต้องเคี้ยวพร้อมอาหารเพื่อจับฟอสเฟตในทางเดินอาหาร และทำหน้าที่เสริมแคลเซียม
• ข้อ จ. (sodium bicarbonate ÕáK034 MU Rx’38 (เรียบเรียงและจัดพิมพ์) &gt;&gt; Special Thanks for my group friends : Ty019 , Win022 , Pice056 , Nuy063 , Big072 , Tong083 , New106 , Kim109 … Rx’38 ... MU):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6" s="18" t="inlineStr"/>
      <c r="L946" s="18" t="inlineStr">
        <is>
          <t>Pharmacy Laws &amp; Ethics</t>
        </is>
      </c>
      <c r="M946" s="18" t="inlineStr">
        <is>
          <t>SAP</t>
        </is>
      </c>
      <c r="N946" s="18" t="inlineStr">
        <is>
          <t>ข้อ 5 (PLE_CC1_2554 SET1.md)</t>
        </is>
      </c>
      <c r="O946" s="18" t="inlineStr">
        <is>
          <t>ข้อสอบจริง</t>
        </is>
      </c>
      <c r="P946" s="18" t="inlineStr">
        <is>
          <t>ปี 2554</t>
        </is>
      </c>
    </row>
    <row r="947">
      <c r="A947" s="15" t="inlineStr">
        <is>
          <t>968</t>
        </is>
      </c>
      <c r="B947" s="18" t="inlineStr">
        <is>
          <t>แบบทดสอบความรู้ทางเภสัชกรรม ข้อที่ 968</t>
        </is>
      </c>
      <c r="C947" s="18" t="inlineStr"/>
      <c r="D947" s="18" t="inlineStr">
        <is>
          <t>N-acetylcysteine (NAC) IV infusion protocol</t>
        </is>
      </c>
      <c r="E947" s="18" t="inlineStr">
        <is>
          <t>Atropine sulfate 2 mg IV Q5-10 min</t>
        </is>
      </c>
      <c r="F947" s="18" t="inlineStr">
        <is>
          <t>Pralidoxime (2-PAM) 1-2 g IV over 30 min</t>
        </is>
      </c>
      <c r="G947" s="18" t="inlineStr">
        <is>
          <t>Naloxone 0.4 mg IV stat</t>
        </is>
      </c>
      <c r="H947" s="18" t="inlineStr">
        <is>
          <t>Flumazenil 0.2 mg IV stat</t>
        </is>
      </c>
      <c r="I947" s="15" t="inlineStr">
        <is>
          <t>1</t>
        </is>
      </c>
      <c r="J9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7" s="18" t="inlineStr"/>
      <c r="L947" s="18" t="inlineStr">
        <is>
          <t>General Therapeutics</t>
        </is>
      </c>
      <c r="M947" s="18" t="inlineStr">
        <is>
          <t>Clinic</t>
        </is>
      </c>
      <c r="N947" s="18" t="inlineStr">
        <is>
          <t>ข้อ 7 (PLE_CC1_2554 SET1.md)</t>
        </is>
      </c>
      <c r="O947" s="18" t="inlineStr">
        <is>
          <t>ข้อสอบจริง</t>
        </is>
      </c>
      <c r="P947" s="18" t="inlineStr">
        <is>
          <t>ปี 2554</t>
        </is>
      </c>
    </row>
    <row r="948">
      <c r="A948" s="15" t="inlineStr">
        <is>
          <t>969</t>
        </is>
      </c>
      <c r="B948" s="18" t="inlineStr">
        <is>
          <t>ข้อมูล %label amount ของยา sodium bicarbonate injection ณ pH ต่างๆ และสภาวะต่างๆ ดัง ตารางด้านล่าง ซึ่งเก็บยาไว้ในภาชนะสีชาป้องกันแสง เป็นเวลา 1 เดือน ยา ยา+สารดูดความชื้น ยา+antioxidant pH 2 95% 95% 95% pH 4 95% 95% 98% pH 7 87% 87% 90% pH 10 70% 70% 80% ข้อใดต่อไปนี้ คือ สภาวะที่เหมาะสมในการเก็บรักษา sodium bicarbonate injection</t>
        </is>
      </c>
      <c r="C948" s="18" t="inlineStr"/>
      <c r="D948" s="18" t="inlineStr">
        <is>
          <t>pH 2 เติมสาร antioxidant</t>
        </is>
      </c>
      <c r="E948" s="18" t="inlineStr">
        <is>
          <t>pH 4 เติมสาร antioxidant</t>
        </is>
      </c>
      <c r="F948" s="18" t="inlineStr">
        <is>
          <t>pH 4 เติมสาร สารดูดความชื้น</t>
        </is>
      </c>
      <c r="G948" s="18" t="inlineStr">
        <is>
          <t>pH 7 เติมสาร สารดูดความชื้น</t>
        </is>
      </c>
      <c r="H948" s="18" t="inlineStr">
        <is>
          <t>pH 10 เติมสาร สารดูดความชื้น 9.ยาข้างต้น เสื่อมสลายด้วยกระบวนการใด</t>
        </is>
      </c>
      <c r="I948" s="15" t="inlineStr">
        <is>
          <t>1</t>
        </is>
      </c>
      <c r="J948" s="18" t="inlineStr">
        <is>
          <t>✅ คำตอบที่ถูกต้อง: ข้อ ก. pH 2 เติมสาร antioxidant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 2 เติมสาร antioxidant การเลือก pH 2 เติมสาร antioxidant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 4 เติมสาร antioxidant): ข้อนี้ไม่ใช่คำตอบที่ถูกต้องสำหรับภาวะ General Therapeutics เนื่องจากกลไกการออกฤทธิ์, efficacy หรือข้อบ่งใช้ไม่ตรงกับโจทย์ที่กำหนด
• ข้อ ค. (pH 4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ง. (pH 7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จ. (pH 10 เติมสาร สารดูดความชื้น 9.ยาข้างต้น เสื่อมสลายด้วยกระบวนการใด):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48" s="18" t="inlineStr"/>
      <c r="L948" s="18" t="inlineStr">
        <is>
          <t>General Therapeutics</t>
        </is>
      </c>
      <c r="M948" s="18" t="inlineStr">
        <is>
          <t>Clinic</t>
        </is>
      </c>
      <c r="N948" s="18" t="inlineStr">
        <is>
          <t>ข้อ 8 (PLE_CC1_2554 SET1.md)</t>
        </is>
      </c>
      <c r="O948" s="18" t="inlineStr">
        <is>
          <t>ข้อสอบจริง</t>
        </is>
      </c>
      <c r="P948" s="18" t="inlineStr">
        <is>
          <t>ปี 2554</t>
        </is>
      </c>
    </row>
    <row r="949">
      <c r="A949" s="15" t="inlineStr">
        <is>
          <t>970</t>
        </is>
      </c>
      <c r="B949" s="18" t="inlineStr">
        <is>
          <t>แพทย์สั่งจ่าย KI 3 mmol/L ท่านจะต้องทำตามข้อใด</t>
        </is>
      </c>
      <c r="C949" s="18" t="inlineStr"/>
      <c r="D949" s="18" t="inlineStr">
        <is>
          <t>ชั่ง KI 0.50 g ละลายน้ำจนครบ 1 ลิตร</t>
        </is>
      </c>
      <c r="E949" s="18" t="inlineStr">
        <is>
          <t>ชั่ง KI 5.00 g ละลายน้ำจนครบ 1 ลิตร</t>
        </is>
      </c>
      <c r="F949" s="18" t="inlineStr">
        <is>
          <t>ชั่ง KI 5.50 g ละลายน้ำจนครบ 1 ลิตร</t>
        </is>
      </c>
      <c r="G949" s="18" t="inlineStr">
        <is>
          <t>ชั่ง KI 50.00 g ละลายน้ำจนครบ 1 ลิตร</t>
        </is>
      </c>
      <c r="H949" s="18" t="inlineStr">
        <is>
          <t>ชั่ง KI 55.00 g ละลายน้ำจนครบ 1 ลิตร</t>
        </is>
      </c>
      <c r="I949" s="15" t="inlineStr">
        <is>
          <t>1</t>
        </is>
      </c>
      <c r="J949" s="18" t="inlineStr">
        <is>
          <t>✅ คำตอบที่ถูกต้อง: ข้อ ก. ชั่ง KI 0.50 g ละลายน้ำจนครบ 1 ลิตร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ชั่ง KI 0.50 g ละลายน้ำจนครบ 1 ลิตร 💡 คำอธิบายและเหตุผลทางเภสัชกรรม:
💡 คำอธิบายและเหตุผลทางเภสัชกรรม:
การเลือก ชั่ง KI 0.50 g ละลายน้ำจนครบ 1 ลิตร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(ชั่ง KI 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ค. (ชั่ง KI 5.50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ง. (ชั่ง KI 50.00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จ. (ชั่ง KI 55.00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9" s="18" t="inlineStr"/>
      <c r="L949" s="18" t="inlineStr">
        <is>
          <t>Pharmaceutical Calculations</t>
        </is>
      </c>
      <c r="M949" s="18" t="inlineStr">
        <is>
          <t>Product</t>
        </is>
      </c>
      <c r="N949" s="18" t="inlineStr">
        <is>
          <t>ข้อ 37 (PLE_CC1_2554 SET1.md)</t>
        </is>
      </c>
      <c r="O949" s="18" t="inlineStr">
        <is>
          <t>ข้อสอบจริง</t>
        </is>
      </c>
      <c r="P949" s="18" t="inlineStr">
        <is>
          <t>ปี 2554</t>
        </is>
      </c>
    </row>
    <row r="950">
      <c r="A950" s="15" t="inlineStr">
        <is>
          <t>971</t>
        </is>
      </c>
      <c r="B950" s="18" t="inlineStr">
        <is>
          <t>จำไม่ได้ ÕáK034 MU Rx’38 (เรียบเรียงและจัดพิมพ์) &gt;&gt; Special Thanks for my group friends : Ty019 , Win022 , Pice056 , Nuy063 , Big072 , Tong083 , New106 , Kim109 … Rx’38 ... MU 67.ข้อใดถูกต้องเกี่ยวกับสูตรโครงสร้างด้านล่างนี้</t>
        </is>
      </c>
      <c r="C950" s="18" t="inlineStr"/>
      <c r="D950" s="18" t="inlineStr">
        <is>
          <t>ยาเป็นกรดอ่อน</t>
        </is>
      </c>
      <c r="E950" s="18" t="inlineStr">
        <is>
          <t>โครงสร้างเป็นยาในกลุ่ม sulfonamides</t>
        </is>
      </c>
      <c r="F950" s="18" t="inlineStr">
        <is>
          <t>ยาละลายได้ดีในไขมัน</t>
        </is>
      </c>
      <c r="G950" s="18" t="inlineStr">
        <is>
          <t>/จ. จำไม่ได้แล้ว</t>
        </is>
      </c>
      <c r="H950" s="18" t="inlineStr">
        <is>
          <t>Atropine sulfate 2 mg IV Q5-10 min</t>
        </is>
      </c>
      <c r="I950" s="15" t="inlineStr">
        <is>
          <t>1</t>
        </is>
      </c>
      <c r="J950" s="18" t="inlineStr">
        <is>
          <t>✅ คำตอบที่ถูกต้อง: ข้อ ก. ยาเป็นกรดอ่อน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ยาเป็นกรดอ่อน การเลือก ยาเป็นกรดอ่อน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ง. (/จ. จำไม่ได้แล้ว):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0" s="18" t="inlineStr"/>
      <c r="L950" s="18" t="inlineStr">
        <is>
          <t>General Therapeutics</t>
        </is>
      </c>
      <c r="M950" s="18" t="inlineStr">
        <is>
          <t>Clinic</t>
        </is>
      </c>
      <c r="N950" s="18" t="inlineStr">
        <is>
          <t>ข้อ 66 (PLE_CC1_2554 SET1.md)</t>
        </is>
      </c>
      <c r="O950" s="18" t="inlineStr">
        <is>
          <t>ข้อสอบจริง</t>
        </is>
      </c>
      <c r="P950" s="18" t="inlineStr">
        <is>
          <t>ปี 2554</t>
        </is>
      </c>
    </row>
    <row r="951">
      <c r="A951" s="15" t="inlineStr">
        <is>
          <t>972</t>
        </is>
      </c>
      <c r="B951" s="18" t="inlineStr">
        <is>
          <t>จำไม่ได้ 118.เด็ก น้ำหนัก 20 กิโลกรัม แพทย์สั่งจ่ายยา metronidazole 1x3 pc โดยกำหนดให้ ยานี้มีขนาดการใช้ คือ 7.5 mg/kg/day ถามว่า ขนาดยาที่เด็กรายนี้จะได้รับในแต่ละครั้งของการทานยา คือข้อใด</t>
        </is>
      </c>
      <c r="C951" s="18" t="inlineStr"/>
      <c r="D951" s="18" t="inlineStr">
        <is>
          <t>7.5 mg</t>
        </is>
      </c>
      <c r="E951" s="18" t="inlineStr">
        <is>
          <t>20 mg</t>
        </is>
      </c>
      <c r="F951" s="18" t="inlineStr">
        <is>
          <t>50 mg</t>
        </is>
      </c>
      <c r="G951" s="18" t="inlineStr">
        <is>
          <t>150 mg</t>
        </is>
      </c>
      <c r="H951" s="18" t="inlineStr">
        <is>
          <t>450 mg 119.หากท่านจะเตรียมยา suspension โดยที่ผงยาเป็นประจุลบ ท่านจะเลือกใช้ flocculating agent และ suspending agent เป็นประจุใด ตามลำดับ</t>
        </is>
      </c>
      <c r="I951" s="15" t="inlineStr">
        <is>
          <t>1</t>
        </is>
      </c>
      <c r="J951" s="18" t="inlineStr">
        <is>
          <t>✅ คำตอบที่ถูกต้อง: ข้อ ก. 7.5 mg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7.5 mg การเลือก 7.5 mg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(20 mg): ข้อนี้ไม่ใช่คำตอบที่ถูกต้องสำหรับภาวะ Infectious Diseases เนื่องจากกลไกการออกฤทธิ์, efficacy หรือข้อบ่งใช้ไม่ตรงกับโจทย์ที่กำหนด
• ข้อ ค. (50 mg): ข้อนี้ไม่ใช่คำตอบที่ถูกต้องสำหรับภาวะ Infectious Diseases เนื่องจากกลไกการออกฤทธิ์, efficacy หรือข้อบ่งใช้ไม่ตรงกับโจทย์ที่กำหนด
• ข้อ ง. (150 mg): ข้อนี้ไม่ใช่คำตอบที่ถูกต้องสำหรับภาวะ Infectious Diseases เนื่องจากกลไกการออกฤทธิ์, efficacy หรือข้อบ่งใช้ไม่ตรงกับโจทย์ที่กำหนด
• ข้อ จ. (450 mg 119.หากท่านจะเตรียมยา suspension โดยที่ผงยาเป็นประจุลบ ท่านจะเลือกใช้ flocculating agent และ suspending agent เป็นประจุใด ตามลำดับ):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1" s="18" t="inlineStr"/>
      <c r="L951" s="18" t="inlineStr">
        <is>
          <t>Infectious Diseases</t>
        </is>
      </c>
      <c r="M951" s="18" t="inlineStr">
        <is>
          <t>Clinic</t>
        </is>
      </c>
      <c r="N951" s="18" t="inlineStr">
        <is>
          <t>ข้อ 117 (PLE_CC1_2554 SET1.md)</t>
        </is>
      </c>
      <c r="O951" s="18" t="inlineStr">
        <is>
          <t>ข้อสอบจริง</t>
        </is>
      </c>
      <c r="P951" s="18" t="inlineStr">
        <is>
          <t>ปี 2554</t>
        </is>
      </c>
    </row>
    <row r="952">
      <c r="A952" s="15" t="inlineStr">
        <is>
          <t>973</t>
        </is>
      </c>
      <c r="B952" s="18" t="inlineStr">
        <is>
          <t>ยาที่มีข้อบ่งใช้ใหม่ (new indication)</t>
        </is>
      </c>
      <c r="C952" s="18" t="inlineStr"/>
      <c r="D952" s="18" t="inlineStr">
        <is>
          <t>Naloxone 0.4 mg IV stat</t>
        </is>
      </c>
      <c r="E952" s="18" t="inlineStr">
        <is>
          <t>Flumazenil 0.2 mg IV stat</t>
        </is>
      </c>
      <c r="F952" s="18" t="inlineStr">
        <is>
          <t>Vitamin K1 (Phytomenadione) 10 mg IV slow</t>
        </is>
      </c>
      <c r="G952" s="18" t="inlineStr">
        <is>
          <t>Sodium thiosulfate 25% 50 mL IV</t>
        </is>
      </c>
      <c r="H952" s="18" t="inlineStr">
        <is>
          <t>Calcium disodium EDTA 1 g IV</t>
        </is>
      </c>
      <c r="I952" s="15" t="inlineStr">
        <is>
          <t>1</t>
        </is>
      </c>
      <c r="J95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52" s="18" t="inlineStr"/>
      <c r="L952" s="18" t="inlineStr">
        <is>
          <t>General Therapeutics</t>
        </is>
      </c>
      <c r="M952" s="18" t="inlineStr">
        <is>
          <t>Clinic</t>
        </is>
      </c>
      <c r="N952" s="18" t="inlineStr">
        <is>
          <t>ข้อ 2 (PLE_CC1_2554 SET2.md)</t>
        </is>
      </c>
      <c r="O952" s="18" t="inlineStr">
        <is>
          <t>ข้อสอบจริง</t>
        </is>
      </c>
      <c r="P952" s="18" t="inlineStr">
        <is>
          <t>ปี 2554</t>
        </is>
      </c>
    </row>
    <row r="953">
      <c r="A953" s="15" t="inlineStr">
        <is>
          <t>974</t>
        </is>
      </c>
      <c r="B953" s="18" t="inlineStr">
        <is>
          <t>ตำรับยาที่เป็นสูตรผสมใหม่ (New combination) ซึ่งหมายถึง ตำรับยาผสมที่ประกอบด้วยตัวยาใหม่และ / หรือ ตัวยาสำคัญที่ขึ้นทะเบียนไว้แล้วตั้งแต่ 2 ชนิดผสมกันแต่ไม่ซํ้ากับตำรับยาผสมที่ขึ้นทะเบียนแล้ว</t>
        </is>
      </c>
      <c r="C953" s="18" t="inlineStr"/>
      <c r="D953" s="18" t="inlineStr">
        <is>
          <t>Sodium thiosulfate 25% 50 mL IV</t>
        </is>
      </c>
      <c r="E953" s="18" t="inlineStr">
        <is>
          <t>Calcium disodium EDTA 1 g IV</t>
        </is>
      </c>
      <c r="F953" s="18" t="inlineStr">
        <is>
          <t>Desferrioxamine 1 g IM/IV</t>
        </is>
      </c>
      <c r="G953" s="18" t="inlineStr">
        <is>
          <t>Dimercaprol (BAL) 3 mg/kg IM</t>
        </is>
      </c>
      <c r="H953" s="18" t="inlineStr">
        <is>
          <t>Ethanol 10% IV infusion for Methanol poisoning</t>
        </is>
      </c>
      <c r="I953" s="15" t="inlineStr">
        <is>
          <t>1</t>
        </is>
      </c>
      <c r="J9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3" s="18" t="inlineStr"/>
      <c r="L953" s="18" t="inlineStr">
        <is>
          <t>General Therapeutics</t>
        </is>
      </c>
      <c r="M953" s="18" t="inlineStr">
        <is>
          <t>Clinic</t>
        </is>
      </c>
      <c r="N953" s="18" t="inlineStr">
        <is>
          <t>ข้อ 3 (PLE_CC1_2554 SET2.md)</t>
        </is>
      </c>
      <c r="O953" s="18" t="inlineStr">
        <is>
          <t>ข้อสอบจริง</t>
        </is>
      </c>
      <c r="P953" s="18" t="inlineStr">
        <is>
          <t>ปี 2554</t>
        </is>
      </c>
    </row>
    <row r="954">
      <c r="A954" s="15" t="inlineStr">
        <is>
          <t>975</t>
        </is>
      </c>
      <c r="B954" s="18" t="inlineStr">
        <is>
          <t>ยาที่มีรูปแบบใหม่ (New dosage form) ของยาใหม่ที่ได้รับอนุมัติให้ขึ้นทะเบียนตำรับยาแล้ว</t>
        </is>
      </c>
      <c r="C954" s="18" t="inlineStr"/>
      <c r="D954" s="18" t="inlineStr">
        <is>
          <t>Dimercaprol (BAL) 3 mg/kg IM</t>
        </is>
      </c>
      <c r="E954" s="18" t="inlineStr">
        <is>
          <t>Ethanol 10% IV infusion for Methanol poisoning</t>
        </is>
      </c>
      <c r="F954" s="18" t="inlineStr">
        <is>
          <t>Fomepizole 15 mg/kg IV loading</t>
        </is>
      </c>
      <c r="G954" s="18" t="inlineStr">
        <is>
          <t>N-acetylcysteine (NAC) IV infusion protocol</t>
        </is>
      </c>
      <c r="H954" s="18" t="inlineStr">
        <is>
          <t>Atropine sulfate 2 mg IV Q5-10 min</t>
        </is>
      </c>
      <c r="I954" s="15" t="inlineStr">
        <is>
          <t>1</t>
        </is>
      </c>
      <c r="J9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4" s="18" t="inlineStr"/>
      <c r="L954" s="18" t="inlineStr">
        <is>
          <t>General Therapeutics</t>
        </is>
      </c>
      <c r="M954" s="18" t="inlineStr">
        <is>
          <t>Clinic</t>
        </is>
      </c>
      <c r="N954" s="18" t="inlineStr">
        <is>
          <t>ข้อ 6 (PLE_CC1_2554 SET2.md)</t>
        </is>
      </c>
      <c r="O954" s="18" t="inlineStr">
        <is>
          <t>ข้อสอบจริง</t>
        </is>
      </c>
      <c r="P954" s="18" t="inlineStr">
        <is>
          <t>ปี 2554</t>
        </is>
      </c>
    </row>
    <row r="955">
      <c r="A955" s="15" t="inlineStr">
        <is>
          <t>976</t>
        </is>
      </c>
      <c r="B955" s="18" t="inlineStr">
        <is>
          <t>ยาที่มีความแรงใหม่ (New strength) ของยาใหม่ที่ได้รับอนุมัติให้ขึ้นทะเบียนตำรับยาแล้ว 8.ยาทาภายนอกสำหรับเล็บเท้า หากใช้เดี่ยวๆ ควรใช้ร่วมกับยารับประทาน</t>
        </is>
      </c>
      <c r="C955" s="18" t="inlineStr"/>
      <c r="D955" s="18" t="inlineStr">
        <is>
          <t>N-acetylcysteine (NAC) IV infusion protocol</t>
        </is>
      </c>
      <c r="E955" s="18" t="inlineStr">
        <is>
          <t>Atropine sulfate 2 mg IV Q5-10 min</t>
        </is>
      </c>
      <c r="F955" s="18" t="inlineStr">
        <is>
          <t>Pralidoxime (2-PAM) 1-2 g IV over 30 min</t>
        </is>
      </c>
      <c r="G955" s="18" t="inlineStr">
        <is>
          <t>Naloxone 0.4 mg IV stat</t>
        </is>
      </c>
      <c r="H955" s="18" t="inlineStr">
        <is>
          <t>Flumazenil 0.2 mg IV stat</t>
        </is>
      </c>
      <c r="I955" s="15" t="inlineStr">
        <is>
          <t>3</t>
        </is>
      </c>
      <c r="J955" s="18"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955" s="18" t="inlineStr"/>
      <c r="L955" s="18" t="inlineStr">
        <is>
          <t>General Therapeutics</t>
        </is>
      </c>
      <c r="M955" s="18" t="inlineStr">
        <is>
          <t>Clinic</t>
        </is>
      </c>
      <c r="N955" s="18" t="inlineStr">
        <is>
          <t>ข้อ 7 (PLE_CC1_2554 SET2.md)</t>
        </is>
      </c>
      <c r="O955" s="18" t="inlineStr">
        <is>
          <t>ข้อสอบจริง</t>
        </is>
      </c>
      <c r="P955" s="18" t="inlineStr">
        <is>
          <t>ปี 2554</t>
        </is>
      </c>
    </row>
    <row r="956">
      <c r="A956" s="15" t="inlineStr">
        <is>
          <t>977</t>
        </is>
      </c>
      <c r="B956" s="18" t="inlineStr">
        <is>
          <t>prednisoloneมีผลกับ electrolyte อย่างไร</t>
        </is>
      </c>
      <c r="C956" s="18" t="inlineStr"/>
      <c r="D956" s="18" t="inlineStr">
        <is>
          <t>Chlorpheniramine 4 mg TID</t>
        </is>
      </c>
      <c r="E956" s="18" t="inlineStr">
        <is>
          <t>Fluticasone furoate nasal spray</t>
        </is>
      </c>
      <c r="F956" s="18" t="inlineStr">
        <is>
          <t>Budesonide nasal spray</t>
        </is>
      </c>
      <c r="G956" s="18" t="inlineStr">
        <is>
          <t>Epinephrine 0.3 mg IM stat</t>
        </is>
      </c>
      <c r="H956" s="18" t="inlineStr">
        <is>
          <t>Dexamethasone 4 mg IV</t>
        </is>
      </c>
      <c r="I956" s="15" t="inlineStr">
        <is>
          <t>1</t>
        </is>
      </c>
      <c r="J956" s="18"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56" s="18" t="inlineStr"/>
      <c r="L956" s="18" t="inlineStr">
        <is>
          <t>Allergy &amp; Immunology</t>
        </is>
      </c>
      <c r="M956" s="18" t="inlineStr">
        <is>
          <t>Clinic</t>
        </is>
      </c>
      <c r="N956" s="18" t="inlineStr">
        <is>
          <t>ข้อ 3 (PLE_CC1_2554 SET2.md)</t>
        </is>
      </c>
      <c r="O956" s="18" t="inlineStr">
        <is>
          <t>ข้อสอบจริง</t>
        </is>
      </c>
      <c r="P956" s="18" t="inlineStr">
        <is>
          <t>ปี 2554</t>
        </is>
      </c>
    </row>
    <row r="957">
      <c r="A957" s="15" t="inlineStr">
        <is>
          <t>978</t>
        </is>
      </c>
      <c r="B957" s="18" t="inlineStr">
        <is>
          <t>Increase LFT enz</t>
        </is>
      </c>
      <c r="C957" s="18" t="inlineStr"/>
      <c r="D957" s="18" t="inlineStr">
        <is>
          <t>Sodium thiosulfate 25% 50 mL IV</t>
        </is>
      </c>
      <c r="E957" s="18" t="inlineStr">
        <is>
          <t>Calcium disodium EDTA 1 g IV</t>
        </is>
      </c>
      <c r="F957" s="18" t="inlineStr">
        <is>
          <t>Desferrioxamine 1 g IM/IV</t>
        </is>
      </c>
      <c r="G957" s="18" t="inlineStr">
        <is>
          <t>Dimercaprol (BAL) 3 mg/kg IM</t>
        </is>
      </c>
      <c r="H957" s="18" t="inlineStr">
        <is>
          <t>Ethanol 10% IV infusion for Methanol poisoning</t>
        </is>
      </c>
      <c r="I957" s="15" t="inlineStr">
        <is>
          <t>1</t>
        </is>
      </c>
      <c r="J9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7" s="18" t="inlineStr"/>
      <c r="L957" s="18" t="inlineStr">
        <is>
          <t>General Therapeutics</t>
        </is>
      </c>
      <c r="M957" s="18" t="inlineStr">
        <is>
          <t>Clinic</t>
        </is>
      </c>
      <c r="N957" s="18" t="inlineStr">
        <is>
          <t>ข้อ 3 (PLE_CC1_2554 SET2.md)</t>
        </is>
      </c>
      <c r="O957" s="18" t="inlineStr">
        <is>
          <t>ข้อสอบจริง</t>
        </is>
      </c>
      <c r="P957" s="18" t="inlineStr">
        <is>
          <t>ปี 2554</t>
        </is>
      </c>
    </row>
    <row r="958">
      <c r="A958" s="15" t="inlineStr">
        <is>
          <t>979</t>
        </is>
      </c>
      <c r="B958" s="18" t="inlineStr">
        <is>
          <t>เกลือบริโภคตามประกาศกระทรวงสาธารณสุขข้อใดถูก</t>
        </is>
      </c>
      <c r="C958" s="18" t="inlineStr"/>
      <c r="D958" s="18" t="inlineStr">
        <is>
          <t>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t>
        </is>
      </c>
      <c r="E958" s="18" t="inlineStr">
        <is>
          <t>Ethanol 10% IV infusion for Methanol poisoning</t>
        </is>
      </c>
      <c r="F958" s="18" t="inlineStr">
        <is>
          <t>Fomepizole 15 mg/kg IV loading</t>
        </is>
      </c>
      <c r="G958" s="18" t="inlineStr">
        <is>
          <t>N-acetylcysteine (NAC) IV infusion protocol</t>
        </is>
      </c>
      <c r="H958" s="18" t="inlineStr">
        <is>
          <t>Atropine sulfate 2 mg IV Q5-10 min</t>
        </is>
      </c>
      <c r="I958" s="15" t="inlineStr">
        <is>
          <t>1</t>
        </is>
      </c>
      <c r="J958" s="18" t="inlineStr">
        <is>
          <t>✅ คำตอบที่ถูกต้อง: ข้อ 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การเลือก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58" s="18" t="inlineStr"/>
      <c r="L958" s="18" t="inlineStr">
        <is>
          <t>General Therapeutics</t>
        </is>
      </c>
      <c r="M958" s="18" t="inlineStr">
        <is>
          <t>Clinic</t>
        </is>
      </c>
      <c r="N958" s="18" t="inlineStr">
        <is>
          <t>ข้อ 9 (PLE_CC1_2554 SET2.md)</t>
        </is>
      </c>
      <c r="O958" s="18" t="inlineStr">
        <is>
          <t>ข้อสอบจริง</t>
        </is>
      </c>
      <c r="P958" s="18" t="inlineStr">
        <is>
          <t>ปี 2554</t>
        </is>
      </c>
    </row>
    <row r="959">
      <c r="A959" s="15" t="inlineStr">
        <is>
          <t>980</t>
        </is>
      </c>
      <c r="B959" s="18" t="inlineStr">
        <is>
          <t>เป็นเลือดจางจากสาเหตุอะไร</t>
        </is>
      </c>
      <c r="C959" s="18" t="inlineStr"/>
      <c r="D959" s="18" t="inlineStr">
        <is>
          <t>iron deficiency</t>
        </is>
      </c>
      <c r="E959" s="18" t="inlineStr">
        <is>
          <t>megaloblastic</t>
        </is>
      </c>
      <c r="F959" s="18" t="inlineStr">
        <is>
          <t>thalassemia</t>
        </is>
      </c>
      <c r="G959" s="18" t="inlineStr">
        <is>
          <t>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t>
        </is>
      </c>
      <c r="H959" s="18" t="inlineStr">
        <is>
          <t>Flumazenil 0.2 mg IV stat</t>
        </is>
      </c>
      <c r="I959" s="15" t="inlineStr">
        <is>
          <t>1</t>
        </is>
      </c>
      <c r="J959" s="18" t="inlineStr">
        <is>
          <t>✅ คำตอบที่ถูกต้อง: ข้อ ก. iron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iron deficiency การเลือก iron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(megaloblastic): ข้อนี้ไม่ใช่คำตอบที่ถูกต้องสำหรับภาวะ General Therapeutics เนื่องจากกลไกการออกฤทธิ์, efficacy หรือข้อบ่งใช้ไม่ตรงกับโจทย์ที่กำหนด
• ข้อ ค. (thalassemia): ข้อนี้ไม่ใช่คำตอบที่ถูกต้องสำหรับภาวะ General Therapeutics เนื่องจากกลไกการออกฤทธิ์, efficacy หรือข้อบ่งใช้ไม่ตรงกับโจทย์ที่กำหนด
• ข้อ ง. (G-6PD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9" s="18" t="inlineStr"/>
      <c r="L959" s="18" t="inlineStr">
        <is>
          <t>General Therapeutics</t>
        </is>
      </c>
      <c r="M959" s="18" t="inlineStr">
        <is>
          <t>Clinic</t>
        </is>
      </c>
      <c r="N959" s="18" t="inlineStr">
        <is>
          <t>ข้อ 1 (PLE_CC1_2554 SET2.md)</t>
        </is>
      </c>
      <c r="O959" s="18" t="inlineStr">
        <is>
          <t>ข้อสอบจริง</t>
        </is>
      </c>
      <c r="P959" s="18" t="inlineStr">
        <is>
          <t>ปี 2554</t>
        </is>
      </c>
    </row>
    <row r="960">
      <c r="A960" s="15" t="inlineStr">
        <is>
          <t>981</t>
        </is>
      </c>
      <c r="B960" s="18" t="inlineStr">
        <is>
          <t>Fe ห้ามให้ในผู้ป่วยอะไร ส่งผลให้เหล็กเกินจากการทำลาย RBC เพิ่มขึ้น หรือร่างกายเพิ่มการดูดซึมเหล็กมากขึ้น</t>
        </is>
      </c>
      <c r="C960" s="18" t="inlineStr"/>
      <c r="D960" s="18" t="inlineStr">
        <is>
          <t>Naloxone 0.4 mg IV stat</t>
        </is>
      </c>
      <c r="E960" s="18" t="inlineStr">
        <is>
          <t>Flumazenil 0.2 mg IV stat</t>
        </is>
      </c>
      <c r="F960" s="18" t="inlineStr">
        <is>
          <t>Vitamin K1 (Phytomenadione) 10 mg IV slow</t>
        </is>
      </c>
      <c r="G960" s="18" t="inlineStr">
        <is>
          <t>Sodium thiosulfate 25% 50 mL IV</t>
        </is>
      </c>
      <c r="H960" s="18" t="inlineStr">
        <is>
          <t>Calcium disodium EDTA 1 g IV</t>
        </is>
      </c>
      <c r="I960" s="15" t="inlineStr">
        <is>
          <t>1</t>
        </is>
      </c>
      <c r="J9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60" s="18" t="inlineStr"/>
      <c r="L960" s="18" t="inlineStr">
        <is>
          <t>General Therapeutics</t>
        </is>
      </c>
      <c r="M960" s="18" t="inlineStr">
        <is>
          <t>Clinic</t>
        </is>
      </c>
      <c r="N960" s="18" t="inlineStr">
        <is>
          <t>ข้อ 4 (PLE_CC1_2554 SET2.md)</t>
        </is>
      </c>
      <c r="O960" s="18" t="inlineStr">
        <is>
          <t>ข้อสอบจริง</t>
        </is>
      </c>
      <c r="P960" s="18" t="inlineStr">
        <is>
          <t>ปี 2554</t>
        </is>
      </c>
    </row>
    <row r="961">
      <c r="A961" s="15" t="inlineStr">
        <is>
          <t>982</t>
        </is>
      </c>
      <c r="B961" s="18" t="inlineStr">
        <is>
          <t>กลไกการออกฤทธิ์ของ MTX คือกลไกอะไร</t>
        </is>
      </c>
      <c r="C961" s="18" t="inlineStr"/>
      <c r="D961" s="18" t="inlineStr">
        <is>
          <t>ยับยั้งการทำงานของเอนไซม์ dihydrofolate reductase (DHFR)หรือ thymidilate syntase (TS)</t>
        </is>
      </c>
      <c r="E961" s="18" t="inlineStr">
        <is>
          <t>ยับยั้งการทำงานของเอนไซม์ DNA polymerase</t>
        </is>
      </c>
      <c r="F961" s="18" t="inlineStr">
        <is>
          <t>ขัดขวางการทำงานของเอนไซม์ thymidylate syntase (TS) และเปลี่ยนเป็น FUMP ทำให้เกิดความผิดปกติในการสังเคราะห์ RNA ในเซลล์</t>
        </is>
      </c>
      <c r="G961" s="18" t="inlineStr">
        <is>
          <t>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t>
        </is>
      </c>
      <c r="H961" s="18" t="inlineStr">
        <is>
          <t>ถูกทุกข้อ เพราะยา MTX เป็นยาที่อยู่ในกลุ่ม Antimetabolites และมีกลไดตามที่กล่าว กลไกข้อ ข.-</t>
        </is>
      </c>
      <c r="I961" s="15" t="inlineStr">
        <is>
          <t>1</t>
        </is>
      </c>
      <c r="J961" s="18" t="inlineStr">
        <is>
          <t>✅ คำตอบที่ถูกต้อง: ข้อ ก. ยับยั้งการทำงานของเอนไซม์ dihydrofolate reductase (DHFR)หรือ thymidilate syntase (TS)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ยับยั้งการทำงานของเอนไซม์ dihydrofolate reductase (DHFR)หรือ thymidilate syntase (TS) การเลือก ยับยั้งการทำงานของเอนไซม์ dihydrofolate reductase (DHFR)หรือ thymidilate syntase (TS)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(ยับยั้งการทำงานของเอนไซม์ DNA polymerase): ข้อนี้ไม่ใช่คำตอบที่ถูกต้องสำหรับภาวะ General Therapeutics เนื่องจากกลไกการออกฤทธิ์, efficacy หรือข้อบ่งใช้ไม่ตรงกับโจทย์ที่กำหนด
• ข้อ ค. (ขัดขวางการทำงานของเอนไซม์ thymidylate syntase (TS) และเปลี่ยนเป็น FUMP ทำให้เกิดความผิดปกติในการสังเคราะห์ RNA ในเซลล์): ข้อนี้ไม่ใช่คำตอบที่ถูกต้องสำหรับภาวะ General Therapeutics เนื่องจากกลไกการออกฤทธิ์, efficacy หรือข้อบ่งใช้ไม่ตรงกับโจทย์ที่กำหนด
• ข้อ ง. (เมื่อเข้าสู่ร่างกายจะถูกเปลี่ยนแปลงเป็น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เพราะยา MTX เป็นยาที่อยู่ในกลุ่ม Antimetabolites และมีกลไดตามที่กล่าว กลไกข้อ ข.-):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1" s="18" t="inlineStr"/>
      <c r="L961" s="18" t="inlineStr">
        <is>
          <t>General Therapeutics</t>
        </is>
      </c>
      <c r="M961" s="18" t="inlineStr">
        <is>
          <t>Clinic</t>
        </is>
      </c>
      <c r="N961" s="18" t="inlineStr">
        <is>
          <t>ข้อ 2 (PLE_CC1_2554 SET2.md)</t>
        </is>
      </c>
      <c r="O961" s="18" t="inlineStr">
        <is>
          <t>ข้อสอบจริง</t>
        </is>
      </c>
      <c r="P961" s="18" t="inlineStr">
        <is>
          <t>ปี 2554</t>
        </is>
      </c>
    </row>
    <row r="962">
      <c r="A962" s="15" t="inlineStr">
        <is>
          <t>983</t>
        </is>
      </c>
      <c r="B962" s="18" t="inlineStr">
        <is>
          <t>ผลข้างเคียงที่พบได้บ่อยจากการใช้ MTX</t>
        </is>
      </c>
      <c r="C962" s="18" t="inlineStr"/>
      <c r="D962" s="18" t="inlineStr">
        <is>
          <t>Convulsions</t>
        </is>
      </c>
      <c r="E962" s="18" t="inlineStr">
        <is>
          <t>Blurred vision</t>
        </is>
      </c>
      <c r="F962" s="18" t="inlineStr">
        <is>
          <t>Ulcerative stomatitis</t>
        </is>
      </c>
      <c r="G962" s="18" t="inlineStr">
        <is>
          <t>Headache</t>
        </is>
      </c>
      <c r="H962" s="18" t="inlineStr">
        <is>
          <t>Drowsiness</t>
        </is>
      </c>
      <c r="I962" s="15" t="inlineStr">
        <is>
          <t>3</t>
        </is>
      </c>
      <c r="J962" s="18" t="inlineStr">
        <is>
          <t>✅ คำตอบที่ถูกต้อง: ข้อ ค. Ulcerative stomatitis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Ulcerative stomatitis การเลือก Ulcerative stomatitis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(Convulsions): ข้อนี้ไม่ใช่คำตอบที่ถูกต้องสำหรับภาวะ General Therapeutics เนื่องจากกลไกการออกฤทธิ์, efficacy หรือข้อบ่งใช้ไม่ตรงกับโจทย์ที่กำหนด
• ข้อ ข. (Blurred vision): ข้อนี้ไม่ใช่คำตอบที่ถูกต้องสำหรับภาวะ General Therapeutics เนื่องจากกลไกการออกฤทธิ์, efficacy หรือข้อบ่งใช้ไม่ตรงกับโจทย์ที่กำหนด
• ข้อ ง. (Headache): ข้อนี้ไม่ใช่คำตอบที่ถูกต้องสำหรับภาวะ General Therapeutics เนื่องจากกลไกการออกฤทธิ์, efficacy หรือข้อบ่งใช้ไม่ตรงกับโจทย์ที่กำหนด
• ข้อ จ. (Drowsiness):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2" s="18" t="inlineStr"/>
      <c r="L962" s="18" t="inlineStr">
        <is>
          <t>General Therapeutics</t>
        </is>
      </c>
      <c r="M962" s="18" t="inlineStr">
        <is>
          <t>Clinic</t>
        </is>
      </c>
      <c r="N962" s="18" t="inlineStr">
        <is>
          <t>ข้อ 3 (PLE_CC1_2554 SET2.md)</t>
        </is>
      </c>
      <c r="O962" s="18" t="inlineStr">
        <is>
          <t>ข้อสอบจริง</t>
        </is>
      </c>
      <c r="P962" s="18" t="inlineStr">
        <is>
          <t>ปี 2554</t>
        </is>
      </c>
    </row>
    <row r="963">
      <c r="A963" s="15" t="inlineStr">
        <is>
          <t>984</t>
        </is>
      </c>
      <c r="B963" s="18" t="inlineStr">
        <is>
          <t>ถ้าใช้ 5-FU แล้วมีอาการปากแห้ง ระคายเคืองปาก ควรให้ยาอะไรร่วมในการรักษา</t>
        </is>
      </c>
      <c r="C963" s="18" t="inlineStr"/>
      <c r="D963" s="18" t="inlineStr">
        <is>
          <t>Normal saline</t>
        </is>
      </c>
      <c r="E963" s="18" t="inlineStr">
        <is>
          <t>Sulfasalazine</t>
        </is>
      </c>
      <c r="F963" s="18" t="inlineStr">
        <is>
          <t>Sucralfate</t>
        </is>
      </c>
      <c r="G963" s="18" t="inlineStr">
        <is>
          <t>Corticosteroid</t>
        </is>
      </c>
      <c r="H963" s="18" t="inlineStr">
        <is>
          <t>ถูกทุกข้อ prostaglandin</t>
        </is>
      </c>
      <c r="I963" s="15" t="inlineStr">
        <is>
          <t>3</t>
        </is>
      </c>
      <c r="J963" s="18" t="inlineStr">
        <is>
          <t>✅ คำตอบที่ถูกต้อง: ข้อ ค. Sucralfate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Sucralfate การเลือก Sucralfate เป็นคำตอบที่ถูกต้องตามแนวทางการรักษามาตรฐาน เนื่องจาก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ข้ออื่นผิดเพราะอะไร:
• ข้อ ก. (Normal saline): ข้อนี้ไม่ใช่คำตอบที่ถูกต้องสำหรับภาวะ General Therapeutics เนื่องจากกลไกการออกฤทธิ์, efficacy หรือข้อบ่งใช้ไม่ตรงกับโจทย์ที่กำหนด
• ข้อ ข. (Sulfasalazine): เป็น csDMARD สำหรับ RA และ peripheral spondyloarthritis ปลอดภัยในหญิงตั้งครรภ์ แต่ contraindication ในผู้ที่แพ้ sulfa หรือ G6PD deficiency
• ข้อ ง.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prostaglandin):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3" s="18" t="inlineStr"/>
      <c r="L963" s="18" t="inlineStr">
        <is>
          <t>General Therapeutics</t>
        </is>
      </c>
      <c r="M963" s="18" t="inlineStr">
        <is>
          <t>Clinic</t>
        </is>
      </c>
      <c r="N963" s="18" t="inlineStr">
        <is>
          <t>ข้อ 7 (PLE_CC1_2554 SET2.md)</t>
        </is>
      </c>
      <c r="O963" s="18" t="inlineStr">
        <is>
          <t>ข้อสอบจริง</t>
        </is>
      </c>
      <c r="P963" s="18" t="inlineStr">
        <is>
          <t>ปี 2554</t>
        </is>
      </c>
    </row>
    <row r="964">
      <c r="A964" s="15" t="inlineStr">
        <is>
          <t>985</t>
        </is>
      </c>
      <c r="B964" s="18" t="inlineStr">
        <is>
          <t>ควรให้อะไรในการรักษาสำหรับผู้ป่วยรายนี้</t>
        </is>
      </c>
      <c r="C964" s="18" t="inlineStr"/>
      <c r="D964" s="18" t="inlineStr">
        <is>
          <t>smectaห</t>
        </is>
      </c>
      <c r="E964" s="18" t="inlineStr">
        <is>
          <t>ORS</t>
        </is>
      </c>
      <c r="F964" s="18" t="inlineStr">
        <is>
          <t>Diphenoxylate+ Atropine</t>
        </is>
      </c>
      <c r="G964" s="18" t="inlineStr">
        <is>
          <t>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t>
        </is>
      </c>
      <c r="H964" s="18" t="inlineStr">
        <is>
          <t>Calcium disodium EDTA 1 g IV</t>
        </is>
      </c>
      <c r="I964" s="15" t="inlineStr">
        <is>
          <t>2</t>
        </is>
      </c>
      <c r="J964" s="18" t="inlineStr">
        <is>
          <t>✅ คำตอบที่ถูกต้อง: ข้อ ข.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และนอกจากนี้ Activated charcoal เป็นรูปแบบของแข็ง จึงไม่เหมาะสำหรับเด็กอายุ 15 เดือน ( 1 ปี 3 เดือน)
🔍 ข้ออื่นผิดเพราะอะไร:
• ข้อ ก. (smectaห): ข้อนี้ไม่ใช่คำตอบที่ถูกต้องสำหรับภาวะ General Therapeutics เนื่องจากกลไกการออกฤทธิ์, efficacy หรือข้อบ่งใช้ไม่ตรงกับโจทย์ที่กำหนด
• ข้อ ค. (Diphenoxylate+ Atropine): ข้อนี้ไม่ใช่คำตอบที่ถูกต้องสำหรับภาวะ General Therapeutics เนื่องจากกลไกการออกฤทธิ์, efficacy หรือข้อบ่งใช้ไม่ตรงกับโจทย์ที่กำหนด
• ข้อ ง. (Activated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 เป็น Live oral vaccine หยอดทางปากเข็มแรกที่ 2 เดือน และเข็ม 2 ที่ 4 เดือน (ห้ามเริ่มเข็มแรกเมื่ออายุเกิน 15 สัปดาห์)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4" s="18" t="inlineStr"/>
      <c r="L964" s="18" t="inlineStr">
        <is>
          <t>General Therapeutics</t>
        </is>
      </c>
      <c r="M964" s="18" t="inlineStr">
        <is>
          <t>Clinic</t>
        </is>
      </c>
      <c r="N964" s="18" t="inlineStr">
        <is>
          <t>ข้อ 2 (PLE_CC1_2554 SET2.md)</t>
        </is>
      </c>
      <c r="O964" s="18" t="inlineStr">
        <is>
          <t>ข้อสอบจริง</t>
        </is>
      </c>
      <c r="P964" s="18" t="inlineStr">
        <is>
          <t>ปี 2554</t>
        </is>
      </c>
    </row>
    <row r="965">
      <c r="A965" s="15" t="inlineStr">
        <is>
          <t>986</t>
        </is>
      </c>
      <c r="B965" s="18" t="inlineStr">
        <is>
          <t>ให้สูตร ORS มา มีดังนี้ Sodium chloride</t>
        </is>
      </c>
      <c r="C965" s="18" t="inlineStr"/>
      <c r="D965" s="18" t="inlineStr">
        <is>
          <t>9 g Trisodium citrate dihydrate</t>
        </is>
      </c>
      <c r="E965" s="18" t="inlineStr">
        <is>
          <t>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t>
        </is>
      </c>
      <c r="F965" s="18" t="inlineStr">
        <is>
          <t>Desferrioxamine 1 g IM/IV</t>
        </is>
      </c>
      <c r="G965" s="18" t="inlineStr">
        <is>
          <t>Dimercaprol (BAL) 3 mg/kg IM</t>
        </is>
      </c>
      <c r="H965" s="18" t="inlineStr">
        <is>
          <t>Ethanol 10% IV infusion for Methanol poisoning</t>
        </is>
      </c>
      <c r="I965" s="15" t="inlineStr">
        <is>
          <t>5</t>
        </is>
      </c>
      <c r="J965" s="18"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(9 g Trisodium citrate dihydrate): ข้อนี้ไม่ใช่คำตอบที่ถูกต้องสำหรับภาวะ General Therapeutics เนื่องจากกลไกการออกฤทธิ์, efficacy หรือข้อบ่งใช้ไม่ตรงกับโจทย์ที่กำหนด
• ข้อ ข. (9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 ข้อนี้ไม่ใช่คำตอบที่ถูกต้องสำหรับภาวะ General Therapeutics เนื่องจากกลไกการออกฤทธิ์, efficacy หรือข้อบ่งใช้ไม่ตรงกับโจทย์ที่กำหนด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5" s="18" t="inlineStr"/>
      <c r="L965" s="18" t="inlineStr">
        <is>
          <t>General Therapeutics</t>
        </is>
      </c>
      <c r="M965" s="18" t="inlineStr">
        <is>
          <t>Clinic</t>
        </is>
      </c>
      <c r="N965" s="18" t="inlineStr">
        <is>
          <t>ข้อ 7 (PLE_CC1_2554 SET2.md)</t>
        </is>
      </c>
      <c r="O965" s="18" t="inlineStr">
        <is>
          <t>ข้อสอบจริง</t>
        </is>
      </c>
      <c r="P965" s="18" t="inlineStr">
        <is>
          <t>ปี 2554</t>
        </is>
      </c>
    </row>
    <row r="966">
      <c r="A966" s="15" t="inlineStr">
        <is>
          <t>987</t>
        </is>
      </c>
      <c r="B966" s="18" t="inlineStr">
        <is>
          <t>ถ้าจะใช้ glucose แทน glucose anhydrous ต้องใช้ glucose เท่าไหร่ (กำหนด glucose 1.1 g แทน glucose anhydrous 1 g) glucose anhydrous 1 g แทนด้วย glucose 1.1 g 13.5ข1.1 glucose anhydrous 13.5 g แทนด้วย glucose 1 =14.85 g ดังนั้น ต้องใช้ glucose 14.85 g</t>
        </is>
      </c>
      <c r="C966" s="18" t="inlineStr"/>
      <c r="D966" s="18" t="inlineStr">
        <is>
          <t>Insulin lispro 4 units SC before meals</t>
        </is>
      </c>
      <c r="E966" s="18" t="inlineStr">
        <is>
          <t>Dapagliflozin 10 mg OD</t>
        </is>
      </c>
      <c r="F966" s="18" t="inlineStr">
        <is>
          <t>Semaglutide 0.5 mg SC weekly</t>
        </is>
      </c>
      <c r="G966" s="18" t="inlineStr">
        <is>
          <t>Metformin 500 mg BID</t>
        </is>
      </c>
      <c r="H966" s="18" t="inlineStr">
        <is>
          <t>Glipizide 5 mg OD</t>
        </is>
      </c>
      <c r="I966" s="15" t="inlineStr">
        <is>
          <t>1</t>
        </is>
      </c>
      <c r="J966" s="18"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66" s="18" t="inlineStr"/>
      <c r="L966" s="18" t="inlineStr">
        <is>
          <t>Diabetes &amp; Endocrine</t>
        </is>
      </c>
      <c r="M966" s="18" t="inlineStr">
        <is>
          <t>Clinic</t>
        </is>
      </c>
      <c r="N966" s="18" t="inlineStr">
        <is>
          <t>ข้อ 8 (PLE_CC1_2554 SET2.md)</t>
        </is>
      </c>
      <c r="O966" s="18" t="inlineStr">
        <is>
          <t>ข้อสอบจริง</t>
        </is>
      </c>
      <c r="P966" s="18" t="inlineStr">
        <is>
          <t>ปี 2554</t>
        </is>
      </c>
    </row>
    <row r="967">
      <c r="A967" s="15" t="inlineStr">
        <is>
          <t>988</t>
        </is>
      </c>
      <c r="B967" s="18" t="inlineStr">
        <is>
          <t>ควรเลือกใช้ยาอะไรเป็นอันดับแรก</t>
        </is>
      </c>
      <c r="C967" s="18" t="inlineStr"/>
      <c r="D967" s="18" t="inlineStr">
        <is>
          <t>Amoxicillin</t>
        </is>
      </c>
      <c r="E967" s="18" t="inlineStr">
        <is>
          <t>Clarithromycin</t>
        </is>
      </c>
      <c r="F967" s="18" t="inlineStr">
        <is>
          <t>Levofloxacin</t>
        </is>
      </c>
      <c r="G967" s="18" t="inlineStr">
        <is>
          <t>Clindamycin</t>
        </is>
      </c>
      <c r="H967" s="18" t="inlineStr">
        <is>
          <t>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t>
        </is>
      </c>
      <c r="I967" s="15" t="inlineStr">
        <is>
          <t>2</t>
        </is>
      </c>
      <c r="J967" s="18" t="inlineStr">
        <is>
          <t>✅ คำตอบที่ถูกต้อง: ข้อ ข. Clarithromycin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(Amoxicillin): เป็น Aminopenicillin ยับยั้ง bacterial cell wall synthesis เป็น first-line สำหรับ uncomplicated bacterial infections (เช่น Strep pharyngitis, AOM, sinusitis)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General Therapeutics เนื่องจากกลไกการออกฤทธิ์, efficacy หรือข้อบ่งใช้ไม่ตรงกับโจทย์ที่กำหนด
• ข้อ จ. (Cotrimoxazole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7" s="18" t="inlineStr"/>
      <c r="L967" s="18" t="inlineStr">
        <is>
          <t>General Therapeutics</t>
        </is>
      </c>
      <c r="M967" s="18" t="inlineStr">
        <is>
          <t>Clinic</t>
        </is>
      </c>
      <c r="N967" s="18" t="inlineStr">
        <is>
          <t>ข้อ 3 (PLE_CC1_2554 SET2.md)</t>
        </is>
      </c>
      <c r="O967" s="18" t="inlineStr">
        <is>
          <t>ข้อสอบจริง</t>
        </is>
      </c>
      <c r="P967" s="18" t="inlineStr">
        <is>
          <t>ปี 2554</t>
        </is>
      </c>
    </row>
    <row r="968">
      <c r="A968" s="15" t="inlineStr">
        <is>
          <t>989</t>
        </is>
      </c>
      <c r="B968" s="18" t="inlineStr">
        <is>
          <t>ถ้าเกิดว่าท้อง ใช้ยาปฏิชีวนะตัวใดได้และมีความปลอดภัยมากที่สุด</t>
        </is>
      </c>
      <c r="C968" s="18" t="inlineStr"/>
      <c r="D968" s="18" t="inlineStr">
        <is>
          <t>Amoxicillin</t>
        </is>
      </c>
      <c r="E968" s="18" t="inlineStr">
        <is>
          <t>Clarithromycin</t>
        </is>
      </c>
      <c r="F968" s="18" t="inlineStr">
        <is>
          <t>Levofloxacin</t>
        </is>
      </c>
      <c r="G968" s="18" t="inlineStr">
        <is>
          <t>Clindamycin</t>
        </is>
      </c>
      <c r="H968" s="18" t="inlineStr">
        <is>
          <t>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t>
        </is>
      </c>
      <c r="I968" s="15" t="inlineStr">
        <is>
          <t>4</t>
        </is>
      </c>
      <c r="J968" s="18" t="inlineStr">
        <is>
          <t>✅ คำตอบที่ถูกต้อง: ข้อ ง. Clindamycin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Clindamycin การเลือก Clindamycin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(Amoxicillin): เป็น Aminopenicillin ยับยั้ง bacterial cell wall synthesis เป็น first-line สำหรับ uncomplicated bacterial infections (เช่น Strep pharyngitis, AOM, sinusitis)
• ข้อ ข. (Clarithromycin): เป็น Macrolide เป็นแกนหลักในสูตรกำจัด H. pylori และ MAC treatment แต่ยับยั้ง CYP3A4 สูงมาก จึงมี drug-drug interactions รุนแรงกับ statins, colchicine
• ข้อ ค. (Levofloxacin): เป็น Respiratory Fluoroquinolone ครอบคลุมทั้ง Streptococcus pneumoniae, atypicals และ Pseudomonas aeruginosa ใช้รักษา CAP, complicated UTI
• ข้อ จ. (Cotrimoxazole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8" s="18" t="inlineStr"/>
      <c r="L968" s="18" t="inlineStr">
        <is>
          <t>General Therapeutics</t>
        </is>
      </c>
      <c r="M968" s="18" t="inlineStr">
        <is>
          <t>Clinic</t>
        </is>
      </c>
      <c r="N968" s="18" t="inlineStr">
        <is>
          <t>ข้อ 4 (PLE_CC1_2554 SET2.md)</t>
        </is>
      </c>
      <c r="O968" s="18" t="inlineStr">
        <is>
          <t>ข้อสอบจริง</t>
        </is>
      </c>
      <c r="P968" s="18" t="inlineStr">
        <is>
          <t>ปี 2554</t>
        </is>
      </c>
    </row>
    <row r="969">
      <c r="A969" s="15" t="inlineStr">
        <is>
          <t>990</t>
        </is>
      </c>
      <c r="B969" s="18" t="inlineStr">
        <is>
          <t>วิธีการเตรียมข้อใดถูกต้อง</t>
        </is>
      </c>
      <c r="C969" s="18" t="inlineStr"/>
      <c r="D969" s="18" t="inlineStr">
        <is>
          <t>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t>
        </is>
      </c>
      <c r="E969" s="18" t="inlineStr">
        <is>
          <t>ผสม antimony potassium tartrate, Glycyrrhiza fluid extract, camphorated opium tincture, glycerinให้เข้ากัน และปรับปริมาตรด้วยนํ้า ผสมให้เข้ากัน</t>
        </is>
      </c>
      <c r="F969" s="18" t="inlineStr">
        <is>
          <t>ผสม Glycyrrhiza fluid extract ในนํ้าทั้งหมด , เติม glycerin, camphorated opium tincture, antimony potassium tartrate</t>
        </is>
      </c>
      <c r="G969" s="18" t="inlineStr">
        <is>
          <t>ละลาย Glycyrrhiza fluid extract ใน glycerin, เติม antimony potassium tartrate, camphorated opium tincture และปรับปริมาตรด้วยนํ้า ผสมให้เข้ากัน</t>
        </is>
      </c>
      <c r="H969" s="18" t="inlineStr">
        <is>
          <t>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t>
        </is>
      </c>
      <c r="I969" s="15" t="inlineStr">
        <is>
          <t>1</t>
        </is>
      </c>
      <c r="J969" s="18" t="inlineStr">
        <is>
          <t>✅ คำตอบที่ถูกต้อง: ข้อ 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การเลือก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(ผสม antimony potassium tartrate, Glycyrrhiza fluid extract, camphorated opium tincture, glycerinให้เข้ากัน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ค. (ผสม Glycyrrhiza fluid extract ในนํ้าทั้งหมด , เติม glycerin, camphorated opium tincture, antimony potassium tartrate):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Glycyrrhiza fluid extract ใน glycerin, เติม antimony potassium tartrate, camphorated opium tincture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จ. (ผสม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9" s="18" t="inlineStr"/>
      <c r="L969" s="18" t="inlineStr">
        <is>
          <t>General Therapeutics</t>
        </is>
      </c>
      <c r="M969" s="18" t="inlineStr">
        <is>
          <t>Clinic</t>
        </is>
      </c>
      <c r="N969" s="18" t="inlineStr">
        <is>
          <t>ข้อ 5 (PLE_CC1_2554 SET2.md)</t>
        </is>
      </c>
      <c r="O969" s="18" t="inlineStr">
        <is>
          <t>ข้อสอบจริง</t>
        </is>
      </c>
      <c r="P969" s="18" t="inlineStr">
        <is>
          <t>ปี 2554</t>
        </is>
      </c>
    </row>
    <row r="970">
      <c r="A970" s="15" t="inlineStr">
        <is>
          <t>991</t>
        </is>
      </c>
      <c r="B970" s="18" t="inlineStr">
        <is>
          <t>ยาลดอาการปวดและลดการอักเสบของข้อ ที่เหมาะกับผู้ป่วยรายนี้ที่สุด คือ ?</t>
        </is>
      </c>
      <c r="C970" s="18" t="inlineStr"/>
      <c r="D970" s="18" t="inlineStr">
        <is>
          <t>paracetamol</t>
        </is>
      </c>
      <c r="E970" s="18" t="inlineStr">
        <is>
          <t>diclofenac</t>
        </is>
      </c>
      <c r="F970" s="18" t="inlineStr">
        <is>
          <t>indomethacin</t>
        </is>
      </c>
      <c r="G970" s="18" t="inlineStr">
        <is>
          <t>celecoxib</t>
        </is>
      </c>
      <c r="H970" s="18" t="inlineStr">
        <is>
          <t>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t>
        </is>
      </c>
      <c r="I970" s="15" t="inlineStr">
        <is>
          <t>2</t>
        </is>
      </c>
      <c r="J970" s="18" t="inlineStr">
        <is>
          <t>✅ คำตอบที่ถูกต้อง: ข้อ ข. diclofenac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โดยยาในกลุ่มนี้ที่เหมาะสมกับผู้ป่วยรายนี้ที่สุดคือ diclofenac ที่ไม่เลือก indomethacin และ celecoxib เพรา
🔍 ข้ออื่นผิดเพราะอะไร:
• ข้อ ก.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(indomethacin): เป็น potent non-selective NSAID มี anti-inflammatory efficacy สูงมากใน acute gout flare แต่มี ADRs เด่นทาง GI toxicity และ CNS (ปวดศีรษะ มึนงง)
• ข้อ ง. (celecoxib): เป็น selective COX-2 inhibitor มี GI safety profile ดีกว่า non-selective NSAIDs แต่มี cardiovascular risk เพิ่มขึ้น และ contraindication ในผู้ป่วย post-CABG หรือ sulfonamide allergy
• ข้อ จ. (methotrexate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0" s="18" t="inlineStr"/>
      <c r="L970" s="18" t="inlineStr">
        <is>
          <t>General Therapeutics</t>
        </is>
      </c>
      <c r="M970" s="18" t="inlineStr">
        <is>
          <t>Clinic</t>
        </is>
      </c>
      <c r="N970" s="18" t="inlineStr">
        <is>
          <t>ข้อ 1 (PLE_CC1_2554 SET2.md)</t>
        </is>
      </c>
      <c r="O970" s="18" t="inlineStr">
        <is>
          <t>ข้อสอบจริง</t>
        </is>
      </c>
      <c r="P970" s="18" t="inlineStr">
        <is>
          <t>ปี 2554</t>
        </is>
      </c>
    </row>
    <row r="971">
      <c r="A971" s="15" t="inlineStr">
        <is>
          <t>992</t>
        </is>
      </c>
      <c r="B971" s="18" t="inlineStr">
        <is>
          <t>ถ้าใช้ยากลุ่ม NSAIDs แล้วไม่สามารถลดอาการปวดและลดการอักเสบของข้อได้ ผู้ป่วยรายนี้ควรได้รับการเปลี่ยนยาเป็นอะไร จึงจะเหมาะสมที่สุด ?</t>
        </is>
      </c>
      <c r="C971" s="18" t="inlineStr"/>
      <c r="D971" s="18" t="inlineStr">
        <is>
          <t>prednisolone</t>
        </is>
      </c>
      <c r="E971" s="18" t="inlineStr">
        <is>
          <t>ibuprofen</t>
        </is>
      </c>
      <c r="F971" s="18" t="inlineStr">
        <is>
          <t>glucosamine</t>
        </is>
      </c>
      <c r="G971" s="18" t="inlineStr">
        <is>
          <t>allopurinol</t>
        </is>
      </c>
      <c r="H971" s="18" t="inlineStr">
        <is>
          <t>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t>
        </is>
      </c>
      <c r="I971" s="15" t="inlineStr">
        <is>
          <t>1</t>
        </is>
      </c>
      <c r="J971" s="18" t="inlineStr">
        <is>
          <t>✅ คำตอบที่ถูกต้อง: ข้อ ก. prednisolone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การเลือก prednisolone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(glucosamine): เป็นเพียง dietary supplement / symptom-modifying therapy สำหรับ OA ไม่ได้จัดเป็น disease-modifying agent และ CPG สากล (ACR) ไม่แนะนำให้ใช้เป็น first-line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 ยับยั้ง microtubule polymerization และ neutrophil chemotaxis เป็น first-line ใน acute gout flare และ flare prophylaxis แต่มี ADR เด่นทาง GI (ท้องเสีย คลื่นไส้)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71" s="18" t="inlineStr"/>
      <c r="L971" s="18" t="inlineStr">
        <is>
          <t>Musculoskeletal &amp; Joint</t>
        </is>
      </c>
      <c r="M971" s="18" t="inlineStr">
        <is>
          <t>Clinic</t>
        </is>
      </c>
      <c r="N971" s="18" t="inlineStr">
        <is>
          <t>ข้อ 2 (PLE_CC1_2554 SET2.md)</t>
        </is>
      </c>
      <c r="O971" s="18" t="inlineStr">
        <is>
          <t>ข้อสอบจริง</t>
        </is>
      </c>
      <c r="P971" s="18" t="inlineStr">
        <is>
          <t>ปี 2554</t>
        </is>
      </c>
    </row>
    <row r="972">
      <c r="A972" s="15" t="inlineStr">
        <is>
          <t>993</t>
        </is>
      </c>
      <c r="B972" s="18" t="inlineStr">
        <is>
          <t>ยาใดที่สามารถช่วยชะลอการเกิดภาวะข้อกระดูกเสื่อมในผู้ป่วยรายนี้ได้?</t>
        </is>
      </c>
      <c r="C972" s="18" t="inlineStr"/>
      <c r="D972" s="18" t="inlineStr">
        <is>
          <t>glucosamine</t>
        </is>
      </c>
      <c r="E972" s="18" t="inlineStr">
        <is>
          <t>methotrexate</t>
        </is>
      </c>
      <c r="F972" s="18" t="inlineStr">
        <is>
          <t>allopurinol</t>
        </is>
      </c>
      <c r="G972" s="18" t="inlineStr">
        <is>
          <t>ถูกเฉพาะข้อ ก.และ ข.</t>
        </is>
      </c>
      <c r="H972" s="18" t="inlineStr">
        <is>
          <t>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t>
        </is>
      </c>
      <c r="I972" s="15" t="inlineStr">
        <is>
          <t>4</t>
        </is>
      </c>
      <c r="J972" s="18" t="inlineStr">
        <is>
          <t>✅ คำตอบที่ถูกต้อง: ข้อ ง. ถูกเฉพาะข้อ ก.และ 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ถูกเฉพาะข้อ ก.และ ข. การเลือก ถูกเฉพาะข้อ ก.และ 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(glucosamine): เป็นเพียง dietary supplement / symptom-modifying therapy สำหรับ OA ไม่ได้จัดเป็น disease-modifying agent และ CPG สากล (ACR) ไม่แนะนำให้ใช้เป็น first-line
• ข้อ ข. (methotrexate): เป็น anchor csDMARD สำหรับ Rheumatoid arthritis ยับยั้ง dihydrofolate reductase ต้องให้ Folic acid เสริม และห้ามใช้ในหญิงตั้งครรภ์ (contraindication / teratogenic)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 เป็น anchor csDMARD สำหรับ Rheumatoid arthritis ยับยั้ง dihydrofolate reductase ต้องให้ Folic acid เสริม และห้ามใช้ในหญิงตั้งครรภ์ (contraindication / teratogenic)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2" s="18" t="inlineStr"/>
      <c r="L972" s="18" t="inlineStr">
        <is>
          <t>General Therapeutics</t>
        </is>
      </c>
      <c r="M972" s="18" t="inlineStr">
        <is>
          <t>Clinic</t>
        </is>
      </c>
      <c r="N972" s="18" t="inlineStr">
        <is>
          <t>ข้อ 3 (PLE_CC1_2554 SET2.md)</t>
        </is>
      </c>
      <c r="O972" s="18" t="inlineStr">
        <is>
          <t>ข้อสอบจริง</t>
        </is>
      </c>
      <c r="P972" s="18" t="inlineStr">
        <is>
          <t>ปี 2554</t>
        </is>
      </c>
    </row>
    <row r="973">
      <c r="A973" s="15" t="inlineStr">
        <is>
          <t>994</t>
        </is>
      </c>
      <c r="B973" s="18" t="inlineStr">
        <is>
          <t>จากโครงสร้างที่ปรากฏเป็นโครงสร้างของยาใด ?</t>
        </is>
      </c>
      <c r="C973" s="18" t="inlineStr"/>
      <c r="D973" s="18" t="inlineStr">
        <is>
          <t>glipizide</t>
        </is>
      </c>
      <c r="E973" s="18" t="inlineStr">
        <is>
          <t>sulindac</t>
        </is>
      </c>
      <c r="F973" s="18" t="inlineStr">
        <is>
          <t>tramadol</t>
        </is>
      </c>
      <c r="G973" s="18" t="inlineStr">
        <is>
          <t>sulfasalazine</t>
        </is>
      </c>
      <c r="H973" s="18" t="inlineStr">
        <is>
          <t>celecoxib cox 2 inhibitors ซึ่งในโครงสร้างจะมีหมู่ sulfonamide</t>
        </is>
      </c>
      <c r="I973" s="15" t="inlineStr">
        <is>
          <t>5</t>
        </is>
      </c>
      <c r="J973" s="18" t="inlineStr">
        <is>
          <t>✅ คำตอบที่ถูกต้อง: ข้อ จ. celecoxib cox 2 inhibitors ซึ่งในโครงสร้างจะมีหมู่ sulfonamide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celecoxib cox 2 inhibitors ซึ่งในโครงสร้างจะมีหมู่ sulfonamide การเลือก celecoxib cox 2 inhibitors ซึ่งในโครงสร้างจะมีหมู่ sulfonamide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(glipizide): เป็น Second-generation Sulfonylurea กระตุ้น insulin secretion เสี่ยงต่อ hypoglycemia และ weight gain ขับออกทางตับเด่นกว่า glibenclamide จึงปลอดภัยกว่าในผู้สูงอายุ/CKD
• ข้อ ข. (sulindac): ข้อนี้ไม่ใช่คำตอบที่ถูกต้องสำหรับภาวะ General Therapeutics เนื่องจากกลไกการออกฤทธิ์, efficacy หรือข้อบ่งใช้ไม่ตรงกับโจทย์ที่กำหนด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(sulfasalazine): เป็น csDMARD สำหรับ RA และ peripheral spondyloarthritis ปลอดภัยในหญิงตั้งครรภ์ แต่ contraindication ในผู้ที่แพ้ sulfa หรือ G6PD deficiency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3" s="18" t="inlineStr"/>
      <c r="L973" s="18" t="inlineStr">
        <is>
          <t>General Therapeutics</t>
        </is>
      </c>
      <c r="M973" s="18" t="inlineStr">
        <is>
          <t>Clinic</t>
        </is>
      </c>
      <c r="N973" s="18" t="inlineStr">
        <is>
          <t>ข้อ 5 (PLE_CC1_2554 SET2.md)</t>
        </is>
      </c>
      <c r="O973" s="18" t="inlineStr">
        <is>
          <t>ข้อสอบจริง</t>
        </is>
      </c>
      <c r="P973" s="18" t="inlineStr">
        <is>
          <t>ปี 2554</t>
        </is>
      </c>
    </row>
    <row r="974">
      <c r="A974" s="15" t="inlineStr">
        <is>
          <t>995</t>
        </is>
      </c>
      <c r="B974" s="18" t="inlineStr">
        <is>
          <t>ผู้หญิงคนนี้ ป่วยเป็นโรคใด</t>
        </is>
      </c>
      <c r="C974" s="18" t="inlineStr"/>
      <c r="D974" s="18" t="inlineStr">
        <is>
          <t>Bacterial conjunctivitis</t>
        </is>
      </c>
      <c r="E974" s="18" t="inlineStr">
        <is>
          <t>Viral conjunctivitis</t>
        </is>
      </c>
      <c r="F974" s="18" t="inlineStr">
        <is>
          <t>Allergic conjunctivitis</t>
        </is>
      </c>
      <c r="G974" s="18" t="inlineStr">
        <is>
          <t>Hordeolum (ตากุ้งยิง)</t>
        </is>
      </c>
      <c r="H974" s="18" t="inlineStr">
        <is>
          <t>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t>
        </is>
      </c>
      <c r="I974" s="15" t="inlineStr">
        <is>
          <t>3</t>
        </is>
      </c>
      <c r="J974" s="18" t="inlineStr">
        <is>
          <t>✅ คำตอบที่ถูกต้อง: ข้อ ค. Allergic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Allergic conjunctivitis การเลือก Allergic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จ. (Injeries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4" s="18" t="inlineStr"/>
      <c r="L974" s="18" t="inlineStr">
        <is>
          <t>General Therapeutics</t>
        </is>
      </c>
      <c r="M974" s="18" t="inlineStr">
        <is>
          <t>Clinic</t>
        </is>
      </c>
      <c r="N974" s="18" t="inlineStr">
        <is>
          <t>ข้อ 1 (PLE_CC1_2554 SET2.md)</t>
        </is>
      </c>
      <c r="O974" s="18" t="inlineStr">
        <is>
          <t>ข้อสอบจริง</t>
        </is>
      </c>
      <c r="P974" s="18" t="inlineStr">
        <is>
          <t>ปี 2554</t>
        </is>
      </c>
    </row>
    <row r="975">
      <c r="A975" s="15" t="inlineStr">
        <is>
          <t>996</t>
        </is>
      </c>
      <c r="B975" s="18" t="inlineStr">
        <is>
          <t>ถ้าผู้หญิงคนนี้ใส่ contact lens ท่านจะแนะนำอย่างไร</t>
        </is>
      </c>
      <c r="C975" s="18" t="inlineStr"/>
      <c r="D975" s="18" t="inlineStr">
        <is>
          <t>ใส่ต่อไปตามปกติ</t>
        </is>
      </c>
      <c r="E975" s="18" t="inlineStr">
        <is>
          <t>ให้เปลี่ยนเป็นใส่วันเว้นวัน</t>
        </is>
      </c>
      <c r="F975" s="18" t="inlineStr">
        <is>
          <t>ให้ใส่ได้ แต่ควรหยอดตาบ่อยกว่าปกติควร</t>
        </is>
      </c>
      <c r="G975" s="18" t="inlineStr">
        <is>
          <t>หยุดใส่ contact lens จนกว่าอาการจะหาย</t>
        </is>
      </c>
      <c r="H975" s="18" t="inlineStr">
        <is>
          <t>จำไม่ได้ อ.ณัฐธิดา )</t>
        </is>
      </c>
      <c r="I975" s="15" t="inlineStr">
        <is>
          <t>4</t>
        </is>
      </c>
      <c r="J975" s="18" t="inlineStr">
        <is>
          <t>✅ คำตอบที่ถูกต้อง: ข้อ ง. หยุดใส่ contact lens จนกว่าอาการจะหาย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หยุดใส่ contact lens จนกว่าอาการจะหาย การเลือก หยุดใส่ contact lens จนกว่าอาการจะหาย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(ใส่ต่อไปตามปกติ): ข้อนี้ไม่ใช่คำตอบที่ถูกต้องสำหรับภาวะ General Therapeutics เนื่องจากกลไกการออกฤทธิ์, efficacy หรือข้อบ่งใช้ไม่ตรงกับโจทย์ที่กำหนด
• ข้อ ข. (ให้เปลี่ยนเป็นใส่วันเว้นวัน): ข้อนี้ไม่ใช่คำตอบที่ถูกต้องสำหรับภาวะ General Therapeutics เนื่องจากกลไกการออกฤทธิ์, efficacy หรือข้อบ่งใช้ไม่ตรงกับโจทย์ที่กำหนด
• ข้อ ค. (ให้ใส่ได้ แต่ควรหยอดตาบ่อยกว่าปกติควร): ข้อนี้ไม่ใช่คำตอบที่ถูกต้องสำหรับภาวะ General Therapeutics เนื่องจากกลไกการออกฤทธิ์, efficacy หรือข้อบ่งใช้ไม่ตรงกับโจทย์ที่กำหนด
• ข้อ จ. (จำไม่ได้ อ.ณัฐธิดา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5" s="18" t="inlineStr"/>
      <c r="L975" s="18" t="inlineStr">
        <is>
          <t>General Therapeutics</t>
        </is>
      </c>
      <c r="M975" s="18" t="inlineStr">
        <is>
          <t>Clinic</t>
        </is>
      </c>
      <c r="N975" s="18" t="inlineStr">
        <is>
          <t>ข้อ 5 (PLE_CC1_2554 SET2.md)</t>
        </is>
      </c>
      <c r="O975" s="18" t="inlineStr">
        <is>
          <t>ข้อสอบจริง</t>
        </is>
      </c>
      <c r="P975" s="18" t="inlineStr">
        <is>
          <t>ปี 2554</t>
        </is>
      </c>
    </row>
    <row r="976">
      <c r="A976" s="15" t="inlineStr">
        <is>
          <t>997</t>
        </is>
      </c>
      <c r="B976" s="18" t="inlineStr">
        <is>
          <t>ข้อใดต่อไปนี้ ที่ไม่ถูกต้องเกี่ยวกับการวินิจฉัยโรคข้างต้น</t>
        </is>
      </c>
      <c r="C976" s="18" t="inlineStr"/>
      <c r="D976" s="18" t="inlineStr">
        <is>
          <t>มีอาการไอเรื้อรัง</t>
        </is>
      </c>
      <c r="E976" s="18" t="inlineStr">
        <is>
          <t>มีประวัติการสูบบุหรี่</t>
        </is>
      </c>
      <c r="F976" s="18" t="inlineStr">
        <is>
          <t>ใช้ GOLD guideline ในการประเมินความรุนแรง</t>
        </is>
      </c>
      <c r="G976" s="18" t="inlineStr">
        <is>
          <t>มีการตอบสนองภายหลังการใช้ยาขยายหลอดลม น้อยกว่า ร้อยละ 12</t>
        </is>
      </c>
      <c r="H976" s="18" t="inlineStr">
        <is>
          <t>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t>
        </is>
      </c>
      <c r="I976" s="15" t="inlineStr">
        <is>
          <t>5</t>
        </is>
      </c>
      <c r="J976" s="18" t="inlineStr">
        <is>
          <t>✅ คำตอบที่ถูกต้อง: ข้อ จ.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การเลือก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(มีอาการไอเรื้อรัง): ข้อนี้ไม่ใช่คำตอบที่ถูกต้องสำหรับภาวะ General Therapeutics เนื่องจากกลไกการออกฤทธิ์, efficacy หรือข้อบ่งใช้ไม่ตรงกับโจทย์ที่กำหนด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6" s="18" t="inlineStr"/>
      <c r="L976" s="18" t="inlineStr">
        <is>
          <t>General Therapeutics</t>
        </is>
      </c>
      <c r="M976" s="18" t="inlineStr">
        <is>
          <t>Clinic</t>
        </is>
      </c>
      <c r="N976" s="18" t="inlineStr">
        <is>
          <t>ข้อ 11 (PLE_CC1_2554 SET2.md)</t>
        </is>
      </c>
      <c r="O976" s="18" t="inlineStr">
        <is>
          <t>ข้อสอบจริง</t>
        </is>
      </c>
      <c r="P976" s="18" t="inlineStr">
        <is>
          <t>ปี 2554</t>
        </is>
      </c>
    </row>
    <row r="977">
      <c r="A977" s="15" t="inlineStr">
        <is>
          <t>998</t>
        </is>
      </c>
      <c r="B977" s="18" t="inlineStr">
        <is>
          <t>ข้อใดคือผลข้างเคียงที่พบได้บ่อยจากยา acarbose</t>
        </is>
      </c>
      <c r="C977" s="18" t="inlineStr"/>
      <c r="D977" s="18" t="inlineStr">
        <is>
          <t>flatulence</t>
        </is>
      </c>
      <c r="E977" s="18" t="inlineStr">
        <is>
          <t>liver toxic</t>
        </is>
      </c>
      <c r="F977" s="18" t="inlineStr">
        <is>
          <t>renal toxic</t>
        </is>
      </c>
      <c r="G977" s="18" t="inlineStr">
        <is>
          <t>constipation</t>
        </is>
      </c>
      <c r="H977" s="18" t="inlineStr">
        <is>
          <t>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t>
        </is>
      </c>
      <c r="I977" s="15" t="inlineStr">
        <is>
          <t>1</t>
        </is>
      </c>
      <c r="J977" s="18" t="inlineStr">
        <is>
          <t>✅ คำตอบที่ถูกต้อง: ข้อ ก. flatulence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flatulence การเลือก flatulence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(liver toxic): ข้อนี้ไม่ใช่คำตอบที่ถูกต้องสำหรับภาวะ General Therapeutics เนื่องจากกลไกการออกฤทธิ์, efficacy หรือข้อบ่งใช้ไม่ตรงกับโจทย์ที่กำหนด
• ข้อ ค. (renal toxic): ข้อนี้ไม่ใช่คำตอบที่ถูกต้องสำหรับภาวะ General Therapeutics เนื่องจากกลไกการออกฤทธิ์, efficacy หรือข้อบ่งใช้ไม่ตรงกับโจทย์ที่กำหนด
• ข้อ ง. (constipation): ข้อนี้ไม่ใช่คำตอบที่ถูกต้องสำหรับภาวะ General Therapeutics เนื่องจากกลไกการออกฤทธิ์, efficacy หรือข้อบ่งใช้ไม่ตรงกับโจทย์ที่กำหนด
• ข้อ จ. (GERDs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7" s="18" t="inlineStr"/>
      <c r="L977" s="18" t="inlineStr">
        <is>
          <t>General Therapeutics</t>
        </is>
      </c>
      <c r="M977" s="18" t="inlineStr">
        <is>
          <t>Clinic</t>
        </is>
      </c>
      <c r="N977" s="18" t="inlineStr">
        <is>
          <t>ข้อ 21 (PLE_CC1_2554 SET2.md)</t>
        </is>
      </c>
      <c r="O977" s="18" t="inlineStr">
        <is>
          <t>ข้อสอบจริง</t>
        </is>
      </c>
      <c r="P977" s="18" t="inlineStr">
        <is>
          <t>ปี 2554</t>
        </is>
      </c>
    </row>
    <row r="978">
      <c r="A978" s="15" t="inlineStr">
        <is>
          <t>999</t>
        </is>
      </c>
      <c r="B978" s="18" t="inlineStr">
        <is>
          <t>ต่อมาพบว่า FBS= 200 mg/dL ท่านจะแนะนำ ให้แพทย์จ่ายยาตัวใด</t>
        </is>
      </c>
      <c r="C978" s="18" t="inlineStr"/>
      <c r="D978" s="18" t="inlineStr">
        <is>
          <t>glibenclamide</t>
        </is>
      </c>
      <c r="E978" s="18" t="inlineStr">
        <is>
          <t>glicazide</t>
        </is>
      </c>
      <c r="F978" s="18" t="inlineStr">
        <is>
          <t>metformin</t>
        </is>
      </c>
      <c r="G978" s="18" t="inlineStr">
        <is>
          <t>volgibose</t>
        </is>
      </c>
      <c r="H978" s="18" t="inlineStr">
        <is>
          <t>regular insulin กลุ่ม sulfa จึงไม่สามารถใช้ยา glibenclamide, glicazide ได้ 23.ข้อใดคือผลข้างเคียงสำคัญของ metformin</t>
        </is>
      </c>
      <c r="I978" s="15" t="inlineStr">
        <is>
          <t>1</t>
        </is>
      </c>
      <c r="J978" s="18" t="inlineStr">
        <is>
          <t>✅ คำตอบที่ถูกต้อง: ข้อ ก. glibenclamide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glibenclamide 34.ต่อมาผู้ป่วยได้ใช้ยาลูกกลอนที่มีส่วนผสมของยาสเตียรอยด์ แล้วหยุดยาลง ปรากฏว่ามีผื่นขึ้นมากกว่าเดิม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(glicazide): ข้อนี้ไม่ใช่คำตอบที่ถูกต้องสำหรับภาวะ General Therapeutics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(volgibose): ข้อนี้ไม่ใช่คำตอบที่ถูกต้องสำหรับภาวะ General Therapeutics เนื่องจากกลไกการออกฤทธิ์, efficacy หรือข้อบ่งใช้ไม่ตรงกับโจทย์ที่กำหนด
• ข้อ จ. (regular insulin กลุ่ม sulfa จึงไม่สามารถใช้ยา glibenclamide, glicazide ได้ 23.ข้อใดคือผลข้างเคียงสำคัญของ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8" s="18" t="inlineStr"/>
      <c r="L978" s="18" t="inlineStr">
        <is>
          <t>General Therapeutics</t>
        </is>
      </c>
      <c r="M978" s="18" t="inlineStr">
        <is>
          <t>Clinic</t>
        </is>
      </c>
      <c r="N978" s="18" t="inlineStr">
        <is>
          <t>ข้อ 22 (PLE_CC1_2554 SET2.md)</t>
        </is>
      </c>
      <c r="O978" s="18" t="inlineStr">
        <is>
          <t>ข้อสอบจริง</t>
        </is>
      </c>
      <c r="P978" s="18" t="inlineStr">
        <is>
          <t>ปี 2554</t>
        </is>
      </c>
    </row>
    <row r="979">
      <c r="A979" s="15" t="inlineStr">
        <is>
          <t>1000</t>
        </is>
      </c>
      <c r="B979" s="18" t="inlineStr">
        <is>
          <t>เปรียบเทียบค่าเฉลี่ย(เชิงปริมาณ)</t>
        </is>
      </c>
      <c r="C979" s="18" t="inlineStr"/>
      <c r="D979" s="18" t="inlineStr">
        <is>
          <t>N-acetylcysteine (NAC) IV infusion protocol</t>
        </is>
      </c>
      <c r="E979" s="18" t="inlineStr">
        <is>
          <t>Atropine sulfate 2 mg IV Q5-10 min</t>
        </is>
      </c>
      <c r="F979" s="18" t="inlineStr">
        <is>
          <t>Pralidoxime (2-PAM) 1-2 g IV over 30 min</t>
        </is>
      </c>
      <c r="G979" s="18" t="inlineStr">
        <is>
          <t>Naloxone 0.4 mg IV stat</t>
        </is>
      </c>
      <c r="H979" s="18" t="inlineStr">
        <is>
          <t>Flumazenil 0.2 mg IV stat</t>
        </is>
      </c>
      <c r="I979" s="15" t="inlineStr">
        <is>
          <t>1</t>
        </is>
      </c>
      <c r="J9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79" s="18" t="inlineStr"/>
      <c r="L979" s="18" t="inlineStr">
        <is>
          <t>General Therapeutics</t>
        </is>
      </c>
      <c r="M979" s="18" t="inlineStr">
        <is>
          <t>Clinic</t>
        </is>
      </c>
      <c r="N979" s="18" t="inlineStr">
        <is>
          <t>ข้อ 1 (PLE_CC1_2554 SET2.md)</t>
        </is>
      </c>
      <c r="O979" s="18" t="inlineStr">
        <is>
          <t>ข้อสอบจริง</t>
        </is>
      </c>
      <c r="P979" s="18" t="inlineStr">
        <is>
          <t>ปี 2554</t>
        </is>
      </c>
    </row>
    <row r="980">
      <c r="A980" s="15" t="inlineStr">
        <is>
          <t>1001</t>
        </is>
      </c>
      <c r="B980" s="18" t="inlineStr">
        <is>
          <t>ยาในข้อใดมีฤทธิ์ยับยั้งการทำงานของ CYP450 มากที่สุด</t>
        </is>
      </c>
      <c r="C980" s="18" t="inlineStr"/>
      <c r="D980" s="18" t="inlineStr">
        <is>
          <t>metoclopamide</t>
        </is>
      </c>
      <c r="E980" s="18" t="inlineStr">
        <is>
          <t>domperidone</t>
        </is>
      </c>
      <c r="F980" s="18" t="inlineStr">
        <is>
          <t>ranitidine</t>
        </is>
      </c>
      <c r="G980" s="18" t="inlineStr">
        <is>
          <t>cimetidine</t>
        </is>
      </c>
      <c r="H980" s="18" t="inlineStr">
        <is>
          <t>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t>
        </is>
      </c>
      <c r="I980" s="15" t="inlineStr">
        <is>
          <t>4</t>
        </is>
      </c>
      <c r="J980" s="18" t="inlineStr">
        <is>
          <t>✅ คำตอบที่ถูกต้อง: ข้อ ง. cimetidine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cimetidine การเลือก cimetidine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(metoclopamide): ข้อนี้ไม่ใช่คำตอบที่ถูกต้องสำหรับภาวะ General Therapeutics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(ranitidine): ข้อนี้ไม่ใช่คำตอบที่ถูกต้องสำหรับภาวะ General Therapeutics เนื่องจากกลไกการออกฤทธิ์, efficacy หรือข้อบ่งใช้ไม่ตรงกับโจทย์ที่กำหนด
• ข้อ จ. (famotidine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0" s="18" t="inlineStr"/>
      <c r="L980" s="18" t="inlineStr">
        <is>
          <t>General Therapeutics</t>
        </is>
      </c>
      <c r="M980" s="18" t="inlineStr">
        <is>
          <t>Clinic</t>
        </is>
      </c>
      <c r="N980" s="18" t="inlineStr">
        <is>
          <t>ข้อ 45 (PLE_CC1_2554 SET2.md)</t>
        </is>
      </c>
      <c r="O980" s="18" t="inlineStr">
        <is>
          <t>ข้อสอบจริง</t>
        </is>
      </c>
      <c r="P980" s="18" t="inlineStr">
        <is>
          <t>ปี 2554</t>
        </is>
      </c>
    </row>
    <row r="981">
      <c r="A981" s="15" t="inlineStr">
        <is>
          <t>1002</t>
        </is>
      </c>
      <c r="B981" s="18" t="inlineStr">
        <is>
          <t>หากแพทย์ต้องการจ่ายยาเพื่อกำจัดH.pyloriท่านควรแนะนำยาใดจึงจะเหมาะสมที่สุด</t>
        </is>
      </c>
      <c r="C981" s="18" t="inlineStr"/>
      <c r="D981" s="18" t="inlineStr">
        <is>
          <t>omeprazole + clarithromycin + amoxicillin</t>
        </is>
      </c>
      <c r="E981" s="18" t="inlineStr">
        <is>
          <t>omeprazole + cloxacillin + amoxicillin</t>
        </is>
      </c>
      <c r="F981" s="18" t="inlineStr">
        <is>
          <t>ranitidine + clarithromycin + amoxicillin</t>
        </is>
      </c>
      <c r="G981" s="18" t="inlineStr">
        <is>
          <t>omeprazole + bismuth + amoxicillin</t>
        </is>
      </c>
      <c r="H981" s="18" t="inlineStr">
        <is>
          <t>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t>
        </is>
      </c>
      <c r="I981" s="15" t="inlineStr">
        <is>
          <t>2</t>
        </is>
      </c>
      <c r="J981" s="18" t="inlineStr">
        <is>
          <t>✅ คำตอบที่ถูกต้อง: ข้อ ข. omeprazole + cloxacillin +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 cloxacillin + amoxicillin  Cellulose acetate phthalate (CAP) is used as an enteric film coating material, or as a matrix binder ที่มา หนังสือ Handbook of Pharmaceutical excipients 6th edition หัวข้อ Applications in Pharmaceutical
 เป็น Aminopenicillin ยับยั้ง bacterial cell wall synthesis เป็น first-line สำหรับ uncomplicated bacterial infections (เช่น Strep pharyngitis, AOM, sinusitis)
🔍 ข้ออื่นผิดเพราะอะไร:
• ข้อ ก. (omeprazole + clarithromycin + amoxicillin): เป็น Aminopenicillin ยับยั้ง bacterial cell wall synthesis เป็น first-line สำหรับ uncomplicated bacterial infections (เช่น Strep pharyngitis, AOM, sinusitis)
• ข้อ ค. (ranitidine + clarithromycin + amoxicillin): เป็น Aminopenicillin ยับยั้ง bacterial cell wall synthesis เป็น first-line สำหรับ uncomplicated bacterial infections (เช่น Strep pharyngitis, AOM, sinusitis)
• ข้อ ง. (omeprazole + bismuth + amoxicillin): เป็น Aminopenicillin ยับยั้ง bacterial cell wall synthesis เป็น first-line สำหรับ uncomplicated bacterial infections (เช่น Strep pharyngitis, AOM, sinusitis)
• ข้อ จ. (ranitidine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1" s="18" t="inlineStr"/>
      <c r="L981" s="18" t="inlineStr">
        <is>
          <t>General Therapeutics</t>
        </is>
      </c>
      <c r="M981" s="18" t="inlineStr">
        <is>
          <t>Clinic</t>
        </is>
      </c>
      <c r="N981" s="18" t="inlineStr">
        <is>
          <t>ข้อ 46 (PLE_CC1_2554 SET2.md)</t>
        </is>
      </c>
      <c r="O981" s="18" t="inlineStr">
        <is>
          <t>ข้อสอบจริง</t>
        </is>
      </c>
      <c r="P981" s="18" t="inlineStr">
        <is>
          <t>ปี 2554</t>
        </is>
      </c>
    </row>
    <row r="982">
      <c r="A982" s="15" t="inlineStr">
        <is>
          <t>1003</t>
        </is>
      </c>
      <c r="B982" s="18" t="inlineStr">
        <is>
          <t>naproxenอยู่บัญชียา ก. หมายความว่าอะไร</t>
        </is>
      </c>
      <c r="C982" s="18" t="inlineStr"/>
      <c r="D982" s="18" t="inlineStr">
        <is>
          <t>บัญชียาที่เป็นมาตรฐานในการรักษา</t>
        </is>
      </c>
      <c r="E982" s="18" t="inlineStr">
        <is>
          <t>บัญชียาทางเลือกที่ 2</t>
        </is>
      </c>
      <c r="F982" s="18" t="inlineStr">
        <is>
          <t>บัญชียาที่ต้องใช้กับโรคเฉพาะทางในสถานพยาบาลเฉพาะโดยผู้ชานาญเท่านั้น</t>
        </is>
      </c>
      <c r="G982" s="18" t="inlineStr">
        <is>
          <t>รายการยาที่มีหลายข้อบ่งใช้ มีโอกาสเสี่ยงใช้ยาไม่ถูกต้อง จาเป็นต้องตรวจสอบอย่างใกล้ชิด</t>
        </is>
      </c>
      <c r="H982" s="18" t="inlineStr">
        <is>
          <t>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t>
        </is>
      </c>
      <c r="I982" s="15" t="inlineStr">
        <is>
          <t>4</t>
        </is>
      </c>
      <c r="J982" s="18" t="inlineStr">
        <is>
          <t>✅ คำตอบที่ถูกต้อง: ข้อ ง. รายการยาที่มีหลายข้อบ่งใช้ มีโอกาสเสี่ยงใช้ยาไม่ถูกต้อง จาเป็นต้องตรวจสอบอย่างใกล้ชิด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รายการยาที่มีหลายข้อบ่งใช้ มีโอกาสเสี่ยงใช้ยาไม่ถูกต้อง จาเป็นต้องตรวจสอบอย่างใกล้ชิด Follicular Phase คือช่วงที่ follicle กำลังเจริญเติบโต ยังไม่เกิดการตกไข่ (Ovulation) ไม่สามารถตั้งครรภ์ได้
🔍 ข้ออื่นผิดเพราะอะไร:
• ข้อ ก. (บัญชียาที่เป็นมาตรฐานในการรักษา): ข้อนี้ไม่ใช่คำตอบที่ถูกต้องสำหรับภาวะ Musculoskeletal &amp; Joint เนื่องจากกลไกการออกฤทธิ์, efficacy หรือข้อบ่งใช้ไม่ตรงกับโจทย์ที่กำหนด
• ข้อ ข. (บัญชียาทางเลือกที่ 2): ข้อนี้ไม่ใช่คำตอบที่ถูกต้องสำหรับภาวะ Musculoskeletal &amp; Joint เนื่องจากกลไกการออกฤทธิ์, efficacy หรือข้อบ่งใช้ไม่ตรงกับโจทย์ที่กำหนด
• ข้อ ค. (บัญชียาที่ต้องใช้กับโรคเฉพาะทางในสถานพยาบาลเฉพาะโดยผู้ชานาญเท่านั้น): ข้อนี้ไม่ใช่คำตอบที่ถูกต้องสำหรับภาวะ Musculoskeletal &amp; Joint เนื่องจากกลไกการออกฤทธิ์, efficacy หรือข้อบ่งใช้ไม่ตรงกับโจทย์ที่กำหนด
• ข้อ จ. (รายการยาสาหรับโครงการพิเศษของภาครัฐ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82" s="18" t="inlineStr"/>
      <c r="L982" s="18" t="inlineStr">
        <is>
          <t>Musculoskeletal &amp; Joint</t>
        </is>
      </c>
      <c r="M982" s="18" t="inlineStr">
        <is>
          <t>Clinic</t>
        </is>
      </c>
      <c r="N982" s="18" t="inlineStr">
        <is>
          <t>ข้อ 70 (PLE_CC1_2554 SET2.md)</t>
        </is>
      </c>
      <c r="O982" s="18" t="inlineStr">
        <is>
          <t>ข้อสอบจริง</t>
        </is>
      </c>
      <c r="P982" s="18" t="inlineStr">
        <is>
          <t>ปี 2554</t>
        </is>
      </c>
    </row>
    <row r="983">
      <c r="A983" s="15" t="inlineStr">
        <is>
          <t>1004</t>
        </is>
      </c>
      <c r="B983" s="18" t="inlineStr">
        <is>
          <t>Incomplete bladder emptying (prostatic enlargement, chronic indwelling catheter)</t>
        </is>
      </c>
      <c r="C983" s="18" t="inlineStr"/>
      <c r="D983" s="18" t="inlineStr">
        <is>
          <t>N-acetylcysteine (NAC) IV infusion protocol</t>
        </is>
      </c>
      <c r="E983" s="18" t="inlineStr">
        <is>
          <t>Atropine sulfate 2 mg IV Q5-10 min</t>
        </is>
      </c>
      <c r="F983" s="18" t="inlineStr">
        <is>
          <t>Pralidoxime (2-PAM) 1-2 g IV over 30 min</t>
        </is>
      </c>
      <c r="G983" s="18" t="inlineStr">
        <is>
          <t>Naloxone 0.4 mg IV stat</t>
        </is>
      </c>
      <c r="H983" s="18" t="inlineStr">
        <is>
          <t>Flumazenil 0.2 mg IV stat</t>
        </is>
      </c>
      <c r="I983" s="15" t="inlineStr">
        <is>
          <t>1</t>
        </is>
      </c>
      <c r="J9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3" s="18" t="inlineStr"/>
      <c r="L983" s="18" t="inlineStr">
        <is>
          <t>General Therapeutics</t>
        </is>
      </c>
      <c r="M983" s="18" t="inlineStr">
        <is>
          <t>Clinic</t>
        </is>
      </c>
      <c r="N983" s="18" t="inlineStr">
        <is>
          <t>ข้อ 2 (PLE_CC1_2554 SET2.md)</t>
        </is>
      </c>
      <c r="O983" s="18" t="inlineStr">
        <is>
          <t>ข้อสอบจริง</t>
        </is>
      </c>
      <c r="P983" s="18" t="inlineStr">
        <is>
          <t>ปี 2554</t>
        </is>
      </c>
    </row>
    <row r="984">
      <c r="A984" s="15" t="inlineStr">
        <is>
          <t>1005</t>
        </is>
      </c>
      <c r="B984" s="18" t="inlineStr">
        <is>
          <t>ชนิดที่ละลายนํ้า ได้แก่ Lactose, Sucrose, Mannitol, Sorbitol และ Diabasic</t>
        </is>
      </c>
      <c r="C984" s="18" t="inlineStr"/>
      <c r="D984" s="18" t="inlineStr">
        <is>
          <t>Wet Granulation tableting method</t>
        </is>
      </c>
      <c r="E984" s="18" t="inlineStr">
        <is>
          <t>Dry Granulation (Roller Compaction)</t>
        </is>
      </c>
      <c r="F984" s="18" t="inlineStr">
        <is>
          <t>Fluidized Bed Granulation</t>
        </is>
      </c>
      <c r="G984" s="18" t="inlineStr">
        <is>
          <t>Film Coating with Hydroxypropyl methylcellulose (HPMC)</t>
        </is>
      </c>
      <c r="H984" s="18" t="inlineStr">
        <is>
          <t>Enteric Coating with Cellulose acetate phthalate (CAP)</t>
        </is>
      </c>
      <c r="I984" s="15" t="inlineStr">
        <is>
          <t>1</t>
        </is>
      </c>
      <c r="J984"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4" s="18" t="inlineStr"/>
      <c r="L984" s="18" t="inlineStr">
        <is>
          <t>Solid Dosage Forms</t>
        </is>
      </c>
      <c r="M984" s="18" t="inlineStr">
        <is>
          <t>Product</t>
        </is>
      </c>
      <c r="N984" s="18" t="inlineStr">
        <is>
          <t>ข้อ 1 (PLE_CC1_2554 SET2.md)</t>
        </is>
      </c>
      <c r="O984" s="18" t="inlineStr">
        <is>
          <t>ข้อสอบจริง</t>
        </is>
      </c>
      <c r="P984" s="18" t="inlineStr">
        <is>
          <t>ปี 2554</t>
        </is>
      </c>
    </row>
    <row r="985">
      <c r="A985" s="15" t="inlineStr">
        <is>
          <t>1006</t>
        </is>
      </c>
      <c r="B985" s="18" t="inlineStr">
        <is>
          <t>ท่านคิดว่าอะไรคือสาเหตุของ acute renal failure ในผู้ป่วยรายนี้</t>
        </is>
      </c>
      <c r="C985" s="18" t="inlineStr"/>
      <c r="D985" s="18" t="inlineStr">
        <is>
          <t>Hypovolume</t>
        </is>
      </c>
      <c r="E985" s="18" t="inlineStr">
        <is>
          <t>Bleeding</t>
        </is>
      </c>
      <c r="F985" s="18" t="inlineStr">
        <is>
          <t>Rhabdomyolysis</t>
        </is>
      </c>
      <c r="G985" s="18" t="inlineStr">
        <is>
          <t>ได้รับยา nephrotoxic</t>
        </is>
      </c>
      <c r="H985" s="18" t="inlineStr">
        <is>
          <t>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t>
        </is>
      </c>
      <c r="I985" s="15" t="inlineStr">
        <is>
          <t>4</t>
        </is>
      </c>
      <c r="J985" s="18" t="inlineStr">
        <is>
          <t>✅ คำตอบที่ถูกต้อง: ข้อ ง. ได้รับยา nephrotoxic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ได้รับยา nephrotoxic การเลือก ได้รับยา nephrotoxic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(Hypovolume): ข้อนี้ไม่ใช่คำตอบที่ถูกต้องสำหรับภาวะ General Therapeutics เนื่องจากกลไกการออกฤทธิ์, efficacy หรือข้อบ่งใช้ไม่ตรงกับโจทย์ที่กำหนด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จ. (นิ่ว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85" s="18" t="inlineStr"/>
      <c r="L985" s="18" t="inlineStr">
        <is>
          <t>General Therapeutics</t>
        </is>
      </c>
      <c r="M985" s="18" t="inlineStr">
        <is>
          <t>Clinic</t>
        </is>
      </c>
      <c r="N985" s="18" t="inlineStr">
        <is>
          <t>ข้อ 2 (PLE_CC1_2554 SET2.md)</t>
        </is>
      </c>
      <c r="O985" s="18" t="inlineStr">
        <is>
          <t>ข้อสอบจริง</t>
        </is>
      </c>
      <c r="P985" s="18" t="inlineStr">
        <is>
          <t>ปี 2554</t>
        </is>
      </c>
    </row>
    <row r="986">
      <c r="A986" s="15" t="inlineStr">
        <is>
          <t>1007</t>
        </is>
      </c>
      <c r="B986" s="18" t="inlineStr">
        <is>
          <t>อาการข้างต้น(oliguria) อาจเกิดได้จากยาในข้อใด</t>
        </is>
      </c>
      <c r="C986" s="18" t="inlineStr"/>
      <c r="D986" s="18" t="inlineStr">
        <is>
          <t>Atenolol</t>
        </is>
      </c>
      <c r="E986" s="18" t="inlineStr">
        <is>
          <t>Simvastatin</t>
        </is>
      </c>
      <c r="F986" s="18" t="inlineStr">
        <is>
          <t>Aspirin</t>
        </is>
      </c>
      <c r="G986" s="18" t="inlineStr">
        <is>
          <t>Hydralazine</t>
        </is>
      </c>
      <c r="H986" s="18" t="inlineStr">
        <is>
          <t>Felodipine เพราะ Aspirin เป็นยาที่ทำให้เกิด vasoconstriction afferent arteriole ลด renal blood flowอัตราการกรองลดลง การขับปัสสาวะลดลง</t>
        </is>
      </c>
      <c r="I986" s="15" t="inlineStr">
        <is>
          <t>3</t>
        </is>
      </c>
      <c r="J986" s="18" t="inlineStr">
        <is>
          <t>✅ คำตอบที่ถูกต้อง: ข้อ ค.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ข. (Simvastatin): เป็น moderate-intensity statin เมแทบอไลต์ผ่าน CYP3A4 เด่นชัด ห้ามใช้ dose 80 mg และมี drug interactions สูงกับ CYP3A4 inhibitors (clarithromycin, ketoconazole)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เพราะ Aspirin เป็นยาที่ทำให้เกิด vasoconstriction afferent arteriole ลด renal blood flowอัตราการกรองลดลง การขับปัสสาวะลดลง):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6" s="18" t="inlineStr"/>
      <c r="L986" s="18" t="inlineStr">
        <is>
          <t>General Therapeutics</t>
        </is>
      </c>
      <c r="M986" s="18" t="inlineStr">
        <is>
          <t>Clinic</t>
        </is>
      </c>
      <c r="N986" s="18" t="inlineStr">
        <is>
          <t>ข้อ 4 (PLE_CC1_2554 SET2.md)</t>
        </is>
      </c>
      <c r="O986" s="18" t="inlineStr">
        <is>
          <t>ข้อสอบจริง</t>
        </is>
      </c>
      <c r="P986" s="18" t="inlineStr">
        <is>
          <t>ปี 2554</t>
        </is>
      </c>
    </row>
    <row r="987">
      <c r="A987" s="15" t="inlineStr">
        <is>
          <t>1008</t>
        </is>
      </c>
      <c r="B987" s="18" t="inlineStr">
        <is>
          <t>แคปซูลในข้อใด มีขนาดใหญ่ที่สุด</t>
        </is>
      </c>
      <c r="C987" s="18" t="inlineStr"/>
      <c r="D987" s="18" t="inlineStr">
        <is>
          <t>Sodium starch glycolate (Superdisintegrant)</t>
        </is>
      </c>
      <c r="E987" s="18" t="inlineStr">
        <is>
          <t>Direct Compression tableting method</t>
        </is>
      </c>
      <c r="F987" s="18" t="inlineStr">
        <is>
          <t>Wet Granulation tableting method</t>
        </is>
      </c>
      <c r="G987" s="18" t="inlineStr">
        <is>
          <t>Dry Granulation (Roller Compaction)</t>
        </is>
      </c>
      <c r="H987" s="18" t="inlineStr">
        <is>
          <t>Fluidized Bed Granulation</t>
        </is>
      </c>
      <c r="I987" s="15" t="inlineStr">
        <is>
          <t>1</t>
        </is>
      </c>
      <c r="J987" s="1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7" s="18" t="inlineStr"/>
      <c r="L987" s="18" t="inlineStr">
        <is>
          <t>Solid Dosage Forms</t>
        </is>
      </c>
      <c r="M987" s="18" t="inlineStr">
        <is>
          <t>Product</t>
        </is>
      </c>
      <c r="N987" s="18" t="inlineStr">
        <is>
          <t>ข้อ 29 (PLE_CC1_2554 SET2.md)</t>
        </is>
      </c>
      <c r="O987" s="18" t="inlineStr">
        <is>
          <t>ข้อสอบจริง</t>
        </is>
      </c>
      <c r="P987" s="18" t="inlineStr">
        <is>
          <t>ปี 2554</t>
        </is>
      </c>
    </row>
    <row r="988">
      <c r="A988" s="15" t="inlineStr">
        <is>
          <t>1009</t>
        </is>
      </c>
      <c r="B988" s="18" t="inlineStr">
        <is>
          <t>หนังสือเภสัชบำบัดในโรคเรื้อรังที่พบบ่อย และกรณีศึกษา 2 สถานการณ์ 5 (ปุ้น 038/ กู๊ด 081) ผู้ป่วยชาย อายุ 56 ปี ตรวจพบว่าเป็นงูสวัด มาปรึกษาท่านที่ร้านขายยา</t>
        </is>
      </c>
      <c r="C988" s="18" t="inlineStr"/>
      <c r="D988" s="18" t="inlineStr">
        <is>
          <t>โรคงูสวัด เกิดจากเชื้อใดเป็นสาเหตุสำคัญ</t>
        </is>
      </c>
      <c r="E988" s="18" t="inlineStr">
        <is>
          <t>herpes zoster</t>
        </is>
      </c>
      <c r="F988" s="18" t="inlineStr">
        <is>
          <t>herpes simplex</t>
        </is>
      </c>
      <c r="G988" s="18" t="inlineStr">
        <is>
          <t>varicella zoster virus</t>
        </is>
      </c>
      <c r="H988" s="18" t="inlineStr">
        <is>
          <t>treponema pallidum</t>
        </is>
      </c>
      <c r="I988" s="15" t="inlineStr">
        <is>
          <t>3</t>
        </is>
      </c>
      <c r="J988" s="18" t="inlineStr">
        <is>
          <t>✅ คำตอบที่ถูกต้อง: ข้อ ค. herpes simplex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herpes simplex โดยเชื้อที่อยู่ในร่างกายจะทำให้เกิดตุ่มนํ้าหลายตุ่มเรียงตัวที่บริเวณผิวหนังตามแนวเส้นประสาทและอาจมีอาการ
🔍 ข้ออื่นผิดเพราะอะไร:
• ข้อ ก. (โรคงูสวัด เกิดจากเชื้อใดเป็นสาเหตุสำคัญ): ข้อนี้ไม่ใช่คำตอบที่ถูกต้องสำหรับภาวะ General Therapeutics เนื่องจากกลไกการออกฤทธิ์, efficacy หรือข้อบ่งใช้ไม่ตรงกับโจทย์ที่กำหนด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ง. (varicella zoster virus): ข้อนี้ไม่ใช่คำตอบที่ถูกต้องสำหรับภาวะ General Therapeutics เนื่องจากกลไกการออกฤทธิ์, efficacy หรือข้อบ่งใช้ไม่ตรงกับโจทย์ที่กำหนด
• ข้อ จ. (treponema pallidum):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8" s="18" t="inlineStr"/>
      <c r="L988" s="18" t="inlineStr">
        <is>
          <t>General Therapeutics</t>
        </is>
      </c>
      <c r="M988" s="18" t="inlineStr">
        <is>
          <t>Clinic</t>
        </is>
      </c>
      <c r="N988" s="18" t="inlineStr">
        <is>
          <t>ข้อ 2 (PLE_CC1_2554 SET2.md)</t>
        </is>
      </c>
      <c r="O988" s="18" t="inlineStr">
        <is>
          <t>ข้อสอบจริง</t>
        </is>
      </c>
      <c r="P988" s="18" t="inlineStr">
        <is>
          <t>ปี 2554</t>
        </is>
      </c>
    </row>
    <row r="989">
      <c r="A989" s="15" t="inlineStr">
        <is>
          <t>1010</t>
        </is>
      </c>
      <c r="B989" s="18" t="inlineStr">
        <is>
          <t>ข้อใดถูกต้องเกี่ยวกับการรักษางูสวัด</t>
        </is>
      </c>
      <c r="C989" s="18" t="inlineStr"/>
      <c r="D989" s="18" t="inlineStr">
        <is>
          <t>หากอาการไม่รุนแรง อาจใช้การประคบเย็นได้</t>
        </is>
      </c>
      <c r="E989" s="18" t="inlineStr">
        <is>
          <t>หากมีอาการปวด ควรให้ paracetamol</t>
        </is>
      </c>
      <c r="F989" s="18" t="inlineStr">
        <is>
          <t>ใช้ยา cloxacillin เนื่องจากเป็นการติดเชื้อแบคทีเรีย</t>
        </is>
      </c>
      <c r="G989" s="18" t="inlineStr">
        <is>
          <t>แพทย์ไม่จำเป็นต้องรักษาภาวะแทรกซ้อนอื่นๆ ที่อาจพบได้ เช่น การติดเชื้อแบคทีเรีย</t>
        </is>
      </c>
      <c r="H989" s="18" t="inlineStr">
        <is>
          <t>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t>
        </is>
      </c>
      <c r="I989" s="15" t="inlineStr">
        <is>
          <t>2</t>
        </is>
      </c>
      <c r="J989" s="18" t="inlineStr">
        <is>
          <t>✅ คำตอบที่ถูกต้อง: ข้อ ข. หากมีอาการปวด ควรให้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หากมีอาการปวด ควรให้ paracetamol การเลือก หากมีอาการปวด ควรให้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(หากอาการไม่รุนแรง อาจใช้การประคบเย็นได้): ข้อนี้ไม่ใช่คำตอบที่ถูกต้องสำหรับภาวะ General Therapeutics เนื่องจากกลไกการออกฤทธิ์, efficacy หรือข้อบ่งใช้ไม่ตรงกับโจทย์ที่กำหนด
• ข้อ ค. (ใช้ยา cloxacillin เนื่องจากเป็นการติดเชื้อแบคทีเรีย): เป็น penicillinase-resistant penicillin เป็น drug of choice สำหรับ Methicillin-Susceptible Staphylococcus aureus (MSSA) infections ต้องรับประทานตอนท้องว่าง
• ข้อ ง. (แพทย์ไม่จำเป็นต้องรักษาภาวะแทรกซ้อนอื่นๆ ที่อาจพบได้ เช่น การติดเชื้อแบคทีเรีย):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จ. (สำหรับผู้ป่วยที่มีภูมิคุ้มกันตํ่า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9" s="18" t="inlineStr"/>
      <c r="L989" s="18" t="inlineStr">
        <is>
          <t>General Therapeutics</t>
        </is>
      </c>
      <c r="M989" s="18" t="inlineStr">
        <is>
          <t>Clinic</t>
        </is>
      </c>
      <c r="N989" s="18" t="inlineStr">
        <is>
          <t>ข้อ 2 (PLE_CC1_2554 SET2.md)</t>
        </is>
      </c>
      <c r="O989" s="18" t="inlineStr">
        <is>
          <t>ข้อสอบจริง</t>
        </is>
      </c>
      <c r="P989" s="18" t="inlineStr">
        <is>
          <t>ปี 2554</t>
        </is>
      </c>
    </row>
    <row r="990">
      <c r="A990" s="15" t="inlineStr">
        <is>
          <t>1011</t>
        </is>
      </c>
      <c r="B990" s="18" t="inlineStr">
        <is>
          <t>”ไม่มีโจทย์ 67.ข้อใดถูกต้องเกี่ยวกับสูตรโครงสร้างด้านล่างนี้</t>
        </is>
      </c>
      <c r="C990" s="18" t="inlineStr"/>
      <c r="D990" s="18" t="inlineStr">
        <is>
          <t>ยาเป็นกรดอ่อน</t>
        </is>
      </c>
      <c r="E990" s="18" t="inlineStr">
        <is>
          <t>โครงสร้างเป็นยาในกลุ่ม sulfonamides</t>
        </is>
      </c>
      <c r="F990" s="18" t="inlineStr">
        <is>
          <t>ยาละลายได้ดีในไขมัน</t>
        </is>
      </c>
      <c r="G990" s="18" t="inlineStr">
        <is>
          <t>N-acetylcysteine (NAC) IV infusion protocol</t>
        </is>
      </c>
      <c r="H990" s="18" t="inlineStr">
        <is>
          <t>- 68.ข้อใดเป็นสารช่วยแตกตัว</t>
        </is>
      </c>
      <c r="I990" s="15" t="inlineStr">
        <is>
          <t>4</t>
        </is>
      </c>
      <c r="J990" s="18"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นับแต่วันยื่นขอสิทธิบัตร โดยมีเจตนารมณ์เพื่อเป็นสิ่งตอบแทนให้กับผู้คิดค้นนวัตกรรม ซึ่งเป็นการกระตุ้น
🔍 ข้ออื่นผิดเพราะอะไร:
• ข้อ ก. (ยาเป็นกรดอ่อน): ข้อนี้ไม่ใช่คำตอบที่ถูกต้องสำหรับภาวะ General Therapeutics เนื่องจากกลไกการออกฤทธิ์, efficacy หรือข้อบ่งใช้ไม่ตรงกับโจทย์ที่กำหนด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จ. (- 68.ข้อใดเป็นสารช่วยแตกตัว):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0" s="18" t="inlineStr"/>
      <c r="L990" s="18" t="inlineStr">
        <is>
          <t>General Therapeutics</t>
        </is>
      </c>
      <c r="M990" s="18" t="inlineStr">
        <is>
          <t>Clinic</t>
        </is>
      </c>
      <c r="N990" s="18" t="inlineStr">
        <is>
          <t>ข้อ 66 (PLE_CC1_2554 SET2.md)</t>
        </is>
      </c>
      <c r="O990" s="18" t="inlineStr">
        <is>
          <t>ข้อสอบจริง</t>
        </is>
      </c>
      <c r="P990" s="18" t="inlineStr">
        <is>
          <t>ปี 2554</t>
        </is>
      </c>
    </row>
    <row r="991">
      <c r="A991" s="15" t="inlineStr">
        <is>
          <t>1012</t>
        </is>
      </c>
      <c r="B991" s="18" t="inlineStr">
        <is>
          <t>กลไกการออกฤทธิ์ของFluoxitine คือข้อใด</t>
        </is>
      </c>
      <c r="C991" s="18" t="inlineStr"/>
      <c r="D991" s="18" t="inlineStr">
        <is>
          <t>ยับยั้งการทำงานของDA transporter</t>
        </is>
      </c>
      <c r="E991" s="18" t="inlineStr">
        <is>
          <t>ยับยั้งการทำงานของ NE transporter</t>
        </is>
      </c>
      <c r="F991" s="18" t="inlineStr">
        <is>
          <t>ยับยั้งการทำงานของ5-HT transporter</t>
        </is>
      </c>
      <c r="G991" s="18" t="inlineStr">
        <is>
          <t>ยับยั้งการทำงานของ MOA-A enzyme</t>
        </is>
      </c>
      <c r="H991" s="18" t="inlineStr">
        <is>
          <t>ยับยั้งการทำงานของMOA-B enzyme (ค)</t>
        </is>
      </c>
      <c r="I991" s="15" t="inlineStr">
        <is>
          <t>1</t>
        </is>
      </c>
      <c r="J991" s="18" t="inlineStr">
        <is>
          <t>✅ คำตอบที่ถูกต้อง: ข้อ ก. ยับยั้งการทำงานของDA 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 NE transporter):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(ยับยั้งการทำงานของ5-HT transporter):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(ยับยั้งการทำงานของMOA-B enzyme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1" s="18" t="inlineStr"/>
      <c r="L991" s="18" t="inlineStr">
        <is>
          <t>General Therapeutics</t>
        </is>
      </c>
      <c r="M991" s="18" t="inlineStr">
        <is>
          <t>Clinic</t>
        </is>
      </c>
      <c r="N991" s="18" t="inlineStr">
        <is>
          <t>ข้อ 5 (PLE_CC1_2547.md)</t>
        </is>
      </c>
      <c r="O991" s="18" t="inlineStr">
        <is>
          <t>ข้อสอบจริง</t>
        </is>
      </c>
      <c r="P991" s="18" t="inlineStr">
        <is>
          <t>ปี 2547</t>
        </is>
      </c>
    </row>
    <row r="992">
      <c r="A992" s="15" t="inlineStr">
        <is>
          <t>1013</t>
        </is>
      </c>
      <c r="B992" s="18" t="inlineStr">
        <is>
          <t>Phenelzine</t>
        </is>
      </c>
      <c r="C992" s="18" t="inlineStr"/>
      <c r="D992" s="18" t="inlineStr">
        <is>
          <t>Saltraline</t>
        </is>
      </c>
      <c r="E992" s="18" t="inlineStr">
        <is>
          <t>Cabamazepine (จ)</t>
        </is>
      </c>
      <c r="F992" s="18" t="inlineStr">
        <is>
          <t>Vitamin K1 (Phytomenadione) 10 mg IV slow</t>
        </is>
      </c>
      <c r="G992" s="18" t="inlineStr">
        <is>
          <t>Sodium thiosulfate 25% 50 mL IV</t>
        </is>
      </c>
      <c r="H992" s="18" t="inlineStr">
        <is>
          <t>Calcium disodium EDTA 1 g IV</t>
        </is>
      </c>
      <c r="I992" s="15" t="inlineStr">
        <is>
          <t>1</t>
        </is>
      </c>
      <c r="J992" s="18" t="inlineStr">
        <is>
          <t>✅ คำตอบที่ถูกต้อง: ข้อ ก. Saltraline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Saltraline การเลือก Saltraline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(Cabamazepine (จ)):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2" s="18" t="inlineStr"/>
      <c r="L992" s="18" t="inlineStr">
        <is>
          <t>General Therapeutics</t>
        </is>
      </c>
      <c r="M992" s="18" t="inlineStr">
        <is>
          <t>Clinic</t>
        </is>
      </c>
      <c r="N992" s="18" t="inlineStr">
        <is>
          <t>ข้อ 3 (PLE_CC1_2547.md)</t>
        </is>
      </c>
      <c r="O992" s="18" t="inlineStr">
        <is>
          <t>ข้อสอบจริง</t>
        </is>
      </c>
      <c r="P992" s="18" t="inlineStr">
        <is>
          <t>ปี 2547</t>
        </is>
      </c>
    </row>
    <row r="993">
      <c r="A993" s="15" t="inlineStr">
        <is>
          <t>1014</t>
        </is>
      </c>
      <c r="B993" s="18" t="inlineStr">
        <is>
          <t>พืชใดที่มีฤทธิ์รักษาอาการนอนไมุหลับ</t>
        </is>
      </c>
      <c r="C993" s="18" t="inlineStr"/>
      <c r="D993" s="18" t="inlineStr">
        <is>
          <t>Cassia tora</t>
        </is>
      </c>
      <c r="E993" s="18" t="inlineStr">
        <is>
          <t>Cassia garettica</t>
        </is>
      </c>
      <c r="F993" s="18" t="inlineStr">
        <is>
          <t>Cassia siamea</t>
        </is>
      </c>
      <c r="G993" s="18" t="inlineStr">
        <is>
          <t>Cassia acutifolia</t>
        </is>
      </c>
      <c r="H993" s="18" t="inlineStr">
        <is>
          <t>Cassia fistula (ค)</t>
        </is>
      </c>
      <c r="I993" s="15" t="inlineStr">
        <is>
          <t>1</t>
        </is>
      </c>
      <c r="J993" s="18" t="inlineStr">
        <is>
          <t>✅ คำตอบที่ถูกต้อง: ข้อ ก. Cassia tora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Cassia tora การเลือก Cassia tora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(Cassia garettica): ข้อนี้ไม่ใช่คำตอบที่ถูกต้องสำหรับภาวะ General Therapeutics เนื่องจากกลไกการออกฤทธิ์, efficacy หรือข้อบ่งใช้ไม่ตรงกับโจทย์ที่กำหนด
• ข้อ ค. (Cassia siamea): ข้อนี้ไม่ใช่คำตอบที่ถูกต้องสำหรับภาวะ General Therapeutics เนื่องจากกลไกการออกฤทธิ์, efficacy หรือข้อบ่งใช้ไม่ตรงกับโจทย์ที่กำหนด
• ข้อ ง. (Cassia acutifolia): ข้อนี้ไม่ใช่คำตอบที่ถูกต้องสำหรับภาวะ General Therapeutics เนื่องจากกลไกการออกฤทธิ์, efficacy หรือข้อบ่งใช้ไม่ตรงกับโจทย์ที่กำหนด
• ข้อ จ. (Cassia fistula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3" s="18" t="inlineStr"/>
      <c r="L993" s="18" t="inlineStr">
        <is>
          <t>General Therapeutics</t>
        </is>
      </c>
      <c r="M993" s="18" t="inlineStr">
        <is>
          <t>Clinic</t>
        </is>
      </c>
      <c r="N993" s="18" t="inlineStr">
        <is>
          <t>ข้อ 1 (PLE_CC1_2547.md)</t>
        </is>
      </c>
      <c r="O993" s="18" t="inlineStr">
        <is>
          <t>ข้อสอบจริง</t>
        </is>
      </c>
      <c r="P993" s="18" t="inlineStr">
        <is>
          <t>ปี 2547</t>
        </is>
      </c>
    </row>
    <row r="994">
      <c r="A994" s="15" t="inlineStr">
        <is>
          <t>1015</t>
        </is>
      </c>
      <c r="B994" s="18" t="inlineStr">
        <is>
          <t>ห้ามใช้ขี้เหล็กกับผ้ปุวยโรคใด</t>
        </is>
      </c>
      <c r="C994" s="18" t="inlineStr"/>
      <c r="D994" s="18" t="inlineStr">
        <is>
          <t>กระเพาะอาหาร</t>
        </is>
      </c>
      <c r="E994" s="18" t="inlineStr">
        <is>
          <t>ตับ</t>
        </is>
      </c>
      <c r="F994" s="18" t="inlineStr">
        <is>
          <t>ไต</t>
        </is>
      </c>
      <c r="G994" s="18" t="inlineStr">
        <is>
          <t>กล้ามเนื้อ</t>
        </is>
      </c>
      <c r="H994" s="18" t="inlineStr">
        <is>
          <t>เลือด (ข)</t>
        </is>
      </c>
      <c r="I994" s="15" t="inlineStr">
        <is>
          <t>1</t>
        </is>
      </c>
      <c r="J994" s="18" t="inlineStr">
        <is>
          <t>✅ คำตอบที่ถูกต้อง: ข้อ ก. กระเพาะอาหาร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กระเพาะอาหาร การเลือก กระเพาะอาหาร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 ข้อนี้ไม่ใช่คำตอบที่ถูกต้องสำหรับภาวะ General Therapeutics เนื่องจากกลไกการออกฤทธิ์, efficacy หรือข้อบ่งใช้ไม่ตรงกับโจทย์ที่กำหนด
• ข้อ ค. (ไต): ข้อนี้ไม่ใช่คำตอบที่ถูกต้องสำหรับภาวะ General Therapeutics เนื่องจากกลไกการออกฤทธิ์, efficacy หรือข้อบ่งใช้ไม่ตรงกับโจทย์ที่กำหนด
• ข้อ ง. (กล้ามเนื้อ):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จ. (เลือด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4" s="18" t="inlineStr"/>
      <c r="L994" s="18" t="inlineStr">
        <is>
          <t>General Therapeutics</t>
        </is>
      </c>
      <c r="M994" s="18" t="inlineStr">
        <is>
          <t>Clinic</t>
        </is>
      </c>
      <c r="N994" s="18" t="inlineStr">
        <is>
          <t>ข้อ 2 (PLE_CC1_2547.md)</t>
        </is>
      </c>
      <c r="O994" s="18" t="inlineStr">
        <is>
          <t>ข้อสอบจริง</t>
        </is>
      </c>
      <c r="P994" s="18" t="inlineStr">
        <is>
          <t>ปี 2547</t>
        </is>
      </c>
    </row>
    <row r="995">
      <c r="A995" s="15" t="inlineStr">
        <is>
          <t>1016</t>
        </is>
      </c>
      <c r="B995" s="18" t="inlineStr">
        <is>
          <t>ข้อใดตุอไปนี้ไมุใชุประโยชน์ของการใช้ยากลุ่มBZ ในทางคลินิก</t>
        </is>
      </c>
      <c r="C995" s="18" t="inlineStr"/>
      <c r="D995" s="18" t="inlineStr">
        <is>
          <t>ใช้เป็นยานอนหลับ</t>
        </is>
      </c>
      <c r="E995" s="18" t="inlineStr">
        <is>
          <t>ใช้เป็นยาคลายกังวล</t>
        </is>
      </c>
      <c r="F995" s="18" t="inlineStr">
        <is>
          <t>ใช้เป็นยาคลายกล้ามเนื้อ</t>
        </is>
      </c>
      <c r="G995" s="18" t="inlineStr">
        <is>
          <t>ใช้เป็นยากันชัก</t>
        </is>
      </c>
      <c r="H995" s="18" t="inlineStr">
        <is>
          <t>ใช้เป็นยาสลบ (ก)</t>
        </is>
      </c>
      <c r="I995" s="15" t="inlineStr">
        <is>
          <t>1</t>
        </is>
      </c>
      <c r="J995" s="18" t="inlineStr">
        <is>
          <t>✅ คำตอบที่ถูกต้อง: ข้อ ก. ใช้เป็นยานอนหลับ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ใช้เป็นยานอนหลับ การเลือก ใช้เป็นยานอนหลับ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(ใช้เป็นยาคลายกังวล):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(ใช้เป็นยากันชัก):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(ใช้เป็นยาสลบ (ก)):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5" s="18" t="inlineStr"/>
      <c r="L995" s="18" t="inlineStr">
        <is>
          <t>General Therapeutics</t>
        </is>
      </c>
      <c r="M995" s="18" t="inlineStr">
        <is>
          <t>Clinic</t>
        </is>
      </c>
      <c r="N995" s="18" t="inlineStr">
        <is>
          <t>ข้อ 7 (PLE_CC1_2547.md)</t>
        </is>
      </c>
      <c r="O995" s="18" t="inlineStr">
        <is>
          <t>ข้อสอบจริง</t>
        </is>
      </c>
      <c r="P995" s="18" t="inlineStr">
        <is>
          <t>ปี 2547</t>
        </is>
      </c>
    </row>
    <row r="996">
      <c r="A996" s="15" t="inlineStr">
        <is>
          <t>1017</t>
        </is>
      </c>
      <c r="B996" s="18" t="inlineStr">
        <is>
          <t>สามารถผุานBBB ได้เนื่องจากมีโครงสร้างที่ชอบละลายในไขมัน</t>
        </is>
      </c>
      <c r="C996" s="18" t="inlineStr"/>
      <c r="D996" s="18" t="inlineStr">
        <is>
          <t>Naloxone 0.4 mg IV stat</t>
        </is>
      </c>
      <c r="E996" s="18" t="inlineStr">
        <is>
          <t>Flumazenil 0.2 mg IV stat</t>
        </is>
      </c>
      <c r="F996" s="18" t="inlineStr">
        <is>
          <t>Vitamin K1 (Phytomenadione) 10 mg IV slow</t>
        </is>
      </c>
      <c r="G996" s="18" t="inlineStr">
        <is>
          <t>Sodium thiosulfate 25% 50 mL IV</t>
        </is>
      </c>
      <c r="H996" s="18" t="inlineStr">
        <is>
          <t>Calcium disodium EDTA 1 g IV</t>
        </is>
      </c>
      <c r="I996" s="15" t="inlineStr">
        <is>
          <t>1</t>
        </is>
      </c>
      <c r="J9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96" s="18" t="inlineStr"/>
      <c r="L996" s="18" t="inlineStr">
        <is>
          <t>General Therapeutics</t>
        </is>
      </c>
      <c r="M996" s="18" t="inlineStr">
        <is>
          <t>Clinic</t>
        </is>
      </c>
      <c r="N996" s="18" t="inlineStr">
        <is>
          <t>ข้อ 1 (PLE_CC1_2547.md)</t>
        </is>
      </c>
      <c r="O996" s="18" t="inlineStr">
        <is>
          <t>ข้อสอบจริง</t>
        </is>
      </c>
      <c r="P996" s="18" t="inlineStr">
        <is>
          <t>ปี 2547</t>
        </is>
      </c>
    </row>
    <row r="997">
      <c r="A997" s="15" t="inlineStr">
        <is>
          <t>1018</t>
        </is>
      </c>
      <c r="B997" s="18" t="inlineStr">
        <is>
          <t>มีระยะเวลาในการออกฤทธิ์สั้นเนื่องจากมีหมุ้Cl</t>
        </is>
      </c>
      <c r="C997" s="18" t="inlineStr"/>
      <c r="D997" s="18" t="inlineStr">
        <is>
          <t>Sodium thiosulfate 25% 50 mL IV</t>
        </is>
      </c>
      <c r="E997" s="18" t="inlineStr">
        <is>
          <t>Calcium disodium EDTA 1 g IV</t>
        </is>
      </c>
      <c r="F997" s="18" t="inlineStr">
        <is>
          <t>Desferrioxamine 1 g IM/IV</t>
        </is>
      </c>
      <c r="G997" s="18" t="inlineStr">
        <is>
          <t>Dimercaprol (BAL) 3 mg/kg IM</t>
        </is>
      </c>
      <c r="H997" s="18" t="inlineStr">
        <is>
          <t>Ethanol 10% IV infusion for Methanol poisoning</t>
        </is>
      </c>
      <c r="I997" s="15" t="inlineStr">
        <is>
          <t>1</t>
        </is>
      </c>
      <c r="J9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7" s="18" t="inlineStr"/>
      <c r="L997" s="18" t="inlineStr">
        <is>
          <t>General Therapeutics</t>
        </is>
      </c>
      <c r="M997" s="18" t="inlineStr">
        <is>
          <t>Clinic</t>
        </is>
      </c>
      <c r="N997" s="18" t="inlineStr">
        <is>
          <t>ข้อ 2 (PLE_CC1_2547.md)</t>
        </is>
      </c>
      <c r="O997" s="18" t="inlineStr">
        <is>
          <t>ข้อสอบจริง</t>
        </is>
      </c>
      <c r="P997" s="18" t="inlineStr">
        <is>
          <t>ปี 2547</t>
        </is>
      </c>
    </row>
    <row r="998">
      <c r="A998" s="15" t="inlineStr">
        <is>
          <t>1019</t>
        </is>
      </c>
      <c r="B998" s="18" t="inlineStr">
        <is>
          <t>มีระยะเวลาในการออกฤทธิ์สั้นเนื่องจากมีหมุ้CH3</t>
        </is>
      </c>
      <c r="C998" s="18" t="inlineStr"/>
      <c r="D998" s="18" t="inlineStr">
        <is>
          <t>Dimercaprol (BAL) 3 mg/kg IM</t>
        </is>
      </c>
      <c r="E998" s="18" t="inlineStr">
        <is>
          <t>Ethanol 10% IV infusion for Methanol poisoning</t>
        </is>
      </c>
      <c r="F998" s="18" t="inlineStr">
        <is>
          <t>Fomepizole 15 mg/kg IV loading</t>
        </is>
      </c>
      <c r="G998" s="18" t="inlineStr">
        <is>
          <t>N-acetylcysteine (NAC) IV infusion protocol</t>
        </is>
      </c>
      <c r="H998" s="18" t="inlineStr">
        <is>
          <t>Atropine sulfate 2 mg IV Q5-10 min</t>
        </is>
      </c>
      <c r="I998" s="15" t="inlineStr">
        <is>
          <t>1</t>
        </is>
      </c>
      <c r="J99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8" s="18" t="inlineStr"/>
      <c r="L998" s="18" t="inlineStr">
        <is>
          <t>General Therapeutics</t>
        </is>
      </c>
      <c r="M998" s="18" t="inlineStr">
        <is>
          <t>Clinic</t>
        </is>
      </c>
      <c r="N998" s="18" t="inlineStr">
        <is>
          <t>ข้อ 3 (PLE_CC1_2547.md)</t>
        </is>
      </c>
      <c r="O998" s="18" t="inlineStr">
        <is>
          <t>ข้อสอบจริง</t>
        </is>
      </c>
      <c r="P998" s="18" t="inlineStr">
        <is>
          <t>ปี 2547</t>
        </is>
      </c>
    </row>
    <row r="999">
      <c r="A999" s="15" t="inlineStr">
        <is>
          <t>1020</t>
        </is>
      </c>
      <c r="B999" s="18" t="inlineStr">
        <is>
          <t>มีระยะเวลาที่ยาเริ่มออกฤทธิ์เร็วเนื่องจากถ้กเมตาบอไลต์เป็นN-OH</t>
        </is>
      </c>
      <c r="C999" s="18" t="inlineStr"/>
      <c r="D999" s="18" t="inlineStr">
        <is>
          <t>N-acetylcysteine (NAC) IV infusion protocol</t>
        </is>
      </c>
      <c r="E999" s="18" t="inlineStr">
        <is>
          <t>Atropine sulfate 2 mg IV Q5-10 min</t>
        </is>
      </c>
      <c r="F999" s="18" t="inlineStr">
        <is>
          <t>Pralidoxime (2-PAM) 1-2 g IV over 30 min</t>
        </is>
      </c>
      <c r="G999" s="18" t="inlineStr">
        <is>
          <t>Naloxone 0.4 mg IV stat</t>
        </is>
      </c>
      <c r="H999" s="18" t="inlineStr">
        <is>
          <t>Flumazenil 0.2 mg IV stat</t>
        </is>
      </c>
      <c r="I999" s="15" t="inlineStr">
        <is>
          <t>1</t>
        </is>
      </c>
      <c r="J99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9" s="18" t="inlineStr"/>
      <c r="L999" s="18" t="inlineStr">
        <is>
          <t>General Therapeutics</t>
        </is>
      </c>
      <c r="M999" s="18" t="inlineStr">
        <is>
          <t>Clinic</t>
        </is>
      </c>
      <c r="N999" s="18" t="inlineStr">
        <is>
          <t>ข้อ 4 (PLE_CC1_2547.md)</t>
        </is>
      </c>
      <c r="O999" s="18" t="inlineStr">
        <is>
          <t>ข้อสอบจริง</t>
        </is>
      </c>
      <c r="P999" s="18" t="inlineStr">
        <is>
          <t>ปี 2547</t>
        </is>
      </c>
    </row>
    <row r="1000">
      <c r="A1000" s="15" t="inlineStr">
        <is>
          <t>1021</t>
        </is>
      </c>
      <c r="B1000" s="18" t="inlineStr">
        <is>
          <t>อาการที่เกิดขึ้นสัมพันธ์กับโรคใด</t>
        </is>
      </c>
      <c r="C1000" s="18" t="inlineStr"/>
      <c r="D1000" s="18" t="inlineStr">
        <is>
          <t>Naloxone 0.4 mg IV stat</t>
        </is>
      </c>
      <c r="E1000" s="18" t="inlineStr">
        <is>
          <t>Flumazenil 0.2 mg IV stat</t>
        </is>
      </c>
      <c r="F1000" s="18" t="inlineStr">
        <is>
          <t>Vitamin K1 (Phytomenadione) 10 mg IV slow</t>
        </is>
      </c>
      <c r="G1000" s="18" t="inlineStr">
        <is>
          <t>Sodium thiosulfate 25% 50 mL IV</t>
        </is>
      </c>
      <c r="H1000" s="18" t="inlineStr">
        <is>
          <t>Calcium disodium EDTA 1 g IV</t>
        </is>
      </c>
      <c r="I1000" s="15" t="inlineStr">
        <is>
          <t>1</t>
        </is>
      </c>
      <c r="J10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0" s="18" t="inlineStr"/>
      <c r="L1000" s="18" t="inlineStr">
        <is>
          <t>General Therapeutics</t>
        </is>
      </c>
      <c r="M1000" s="18" t="inlineStr">
        <is>
          <t>Clinic</t>
        </is>
      </c>
      <c r="N1000" s="18" t="inlineStr">
        <is>
          <t>ข้อ 1 (PLE_CC1_2533.md)</t>
        </is>
      </c>
      <c r="O1000" s="18" t="inlineStr">
        <is>
          <t>ข้อสอบจริง</t>
        </is>
      </c>
      <c r="P1000" s="18" t="inlineStr">
        <is>
          <t>ปี 2533</t>
        </is>
      </c>
    </row>
    <row r="1001">
      <c r="A1001" s="15" t="inlineStr">
        <is>
          <t>1022</t>
        </is>
      </c>
      <c r="B1001" s="18" t="inlineStr">
        <is>
          <t>Crohn’ s disease</t>
        </is>
      </c>
      <c r="C1001" s="18" t="inlineStr"/>
      <c r="D1001" s="18" t="inlineStr">
        <is>
          <t>Sodium thiosulfate 25% 50 mL IV</t>
        </is>
      </c>
      <c r="E1001" s="18" t="inlineStr">
        <is>
          <t>Calcium disodium EDTA 1 g IV</t>
        </is>
      </c>
      <c r="F1001" s="18" t="inlineStr">
        <is>
          <t>Desferrioxamine 1 g IM/IV</t>
        </is>
      </c>
      <c r="G1001" s="18" t="inlineStr">
        <is>
          <t>Dimercaprol (BAL) 3 mg/kg IM</t>
        </is>
      </c>
      <c r="H1001" s="18" t="inlineStr">
        <is>
          <t>Ethanol 10% IV infusion for Methanol poisoning</t>
        </is>
      </c>
      <c r="I1001" s="15" t="inlineStr">
        <is>
          <t>1</t>
        </is>
      </c>
      <c r="J100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1" s="18" t="inlineStr"/>
      <c r="L1001" s="18" t="inlineStr">
        <is>
          <t>General Therapeutics</t>
        </is>
      </c>
      <c r="M1001" s="18" t="inlineStr">
        <is>
          <t>Clinic</t>
        </is>
      </c>
      <c r="N1001" s="18" t="inlineStr">
        <is>
          <t>ข้อ 2 (PLE_CC1_2533.md)</t>
        </is>
      </c>
      <c r="O1001" s="18" t="inlineStr">
        <is>
          <t>ข้อสอบจริง</t>
        </is>
      </c>
      <c r="P1001" s="18" t="inlineStr">
        <is>
          <t>ปี 2533</t>
        </is>
      </c>
    </row>
    <row r="1002">
      <c r="A1002" s="15" t="inlineStr">
        <is>
          <t>1023</t>
        </is>
      </c>
      <c r="B1002" s="18" t="inlineStr">
        <is>
          <t>Irritable bowel syndrome (IBD)</t>
        </is>
      </c>
      <c r="C1002" s="18" t="inlineStr"/>
      <c r="D1002" s="18" t="inlineStr">
        <is>
          <t>Dimercaprol (BAL) 3 mg/kg IM</t>
        </is>
      </c>
      <c r="E1002" s="18" t="inlineStr">
        <is>
          <t>Ethanol 10% IV infusion for Methanol poisoning</t>
        </is>
      </c>
      <c r="F1002" s="18" t="inlineStr">
        <is>
          <t>Fomepizole 15 mg/kg IV loading</t>
        </is>
      </c>
      <c r="G1002" s="18" t="inlineStr">
        <is>
          <t>N-acetylcysteine (NAC) IV infusion protocol</t>
        </is>
      </c>
      <c r="H1002" s="18" t="inlineStr">
        <is>
          <t>Atropine sulfate 2 mg IV Q5-10 min</t>
        </is>
      </c>
      <c r="I1002" s="15" t="inlineStr">
        <is>
          <t>1</t>
        </is>
      </c>
      <c r="J10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2" s="18" t="inlineStr"/>
      <c r="L1002" s="18" t="inlineStr">
        <is>
          <t>General Therapeutics</t>
        </is>
      </c>
      <c r="M1002" s="18" t="inlineStr">
        <is>
          <t>Clinic</t>
        </is>
      </c>
      <c r="N1002" s="18" t="inlineStr">
        <is>
          <t>ข้อ 3 (PLE_CC1_2533.md)</t>
        </is>
      </c>
      <c r="O1002" s="18" t="inlineStr">
        <is>
          <t>ข้อสอบจริง</t>
        </is>
      </c>
      <c r="P1002" s="18" t="inlineStr">
        <is>
          <t>ปี 2533</t>
        </is>
      </c>
    </row>
    <row r="1003">
      <c r="A1003" s="15" t="inlineStr">
        <is>
          <t>1024</t>
        </is>
      </c>
      <c r="B1003" s="18" t="inlineStr">
        <is>
          <t>ข้อใดที่ไม่ใช่สาเหตุการเกิดโรคดังกล่าว</t>
        </is>
      </c>
      <c r="C1003" s="18" t="inlineStr"/>
      <c r="D1003" s="18" t="inlineStr">
        <is>
          <t>N-acetylcysteine (NAC) IV infusion protocol</t>
        </is>
      </c>
      <c r="E1003" s="18" t="inlineStr">
        <is>
          <t>Atropine sulfate 2 mg IV Q5-10 min</t>
        </is>
      </c>
      <c r="F1003" s="18" t="inlineStr">
        <is>
          <t>Pralidoxime (2-PAM) 1-2 g IV over 30 min</t>
        </is>
      </c>
      <c r="G1003" s="18" t="inlineStr">
        <is>
          <t>Naloxone 0.4 mg IV stat</t>
        </is>
      </c>
      <c r="H1003" s="18" t="inlineStr">
        <is>
          <t>Flumazenil 0.2 mg IV stat</t>
        </is>
      </c>
      <c r="I1003" s="15" t="inlineStr">
        <is>
          <t>1</t>
        </is>
      </c>
      <c r="J100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03" s="18" t="inlineStr"/>
      <c r="L1003" s="18" t="inlineStr">
        <is>
          <t>General Therapeutics</t>
        </is>
      </c>
      <c r="M1003" s="18" t="inlineStr">
        <is>
          <t>Clinic</t>
        </is>
      </c>
      <c r="N1003" s="18" t="inlineStr">
        <is>
          <t>ข้อ 2 (PLE_CC1_2533.md)</t>
        </is>
      </c>
      <c r="O1003" s="18" t="inlineStr">
        <is>
          <t>ข้อสอบจริง</t>
        </is>
      </c>
      <c r="P1003" s="18" t="inlineStr">
        <is>
          <t>ปี 2533</t>
        </is>
      </c>
    </row>
    <row r="1004">
      <c r="A1004" s="15" t="inlineStr">
        <is>
          <t>1025</t>
        </is>
      </c>
      <c r="B1004" s="18" t="inlineStr">
        <is>
          <t>Clostridium difficile</t>
        </is>
      </c>
      <c r="C1004" s="18" t="inlineStr"/>
      <c r="D1004" s="18" t="inlineStr">
        <is>
          <t>Naloxone 0.4 mg IV stat</t>
        </is>
      </c>
      <c r="E1004" s="18" t="inlineStr">
        <is>
          <t>Flumazenil 0.2 mg IV stat</t>
        </is>
      </c>
      <c r="F1004" s="18" t="inlineStr">
        <is>
          <t>Vitamin K1 (Phytomenadione) 10 mg IV slow</t>
        </is>
      </c>
      <c r="G1004" s="18" t="inlineStr">
        <is>
          <t>Sodium thiosulfate 25% 50 mL IV</t>
        </is>
      </c>
      <c r="H1004" s="18" t="inlineStr">
        <is>
          <t>Calcium disodium EDTA 1 g IV</t>
        </is>
      </c>
      <c r="I1004" s="15" t="inlineStr">
        <is>
          <t>1</t>
        </is>
      </c>
      <c r="J10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4" s="18" t="inlineStr"/>
      <c r="L1004" s="18" t="inlineStr">
        <is>
          <t>General Therapeutics</t>
        </is>
      </c>
      <c r="M1004" s="18" t="inlineStr">
        <is>
          <t>Clinic</t>
        </is>
      </c>
      <c r="N1004" s="18" t="inlineStr">
        <is>
          <t>ข้อ 2 (PLE_CC1_2533.md)</t>
        </is>
      </c>
      <c r="O1004" s="18" t="inlineStr">
        <is>
          <t>ข้อสอบจริง</t>
        </is>
      </c>
      <c r="P1004" s="18" t="inlineStr">
        <is>
          <t>ปี 2533</t>
        </is>
      </c>
    </row>
    <row r="1005">
      <c r="A1005" s="15" t="inlineStr">
        <is>
          <t>1026</t>
        </is>
      </c>
      <c r="B1005" s="18" t="inlineStr">
        <is>
          <t>delayed gastric empying</t>
        </is>
      </c>
      <c r="C1005" s="18" t="inlineStr"/>
      <c r="D1005" s="18" t="inlineStr">
        <is>
          <t>Sodium thiosulfate 25% 50 mL IV</t>
        </is>
      </c>
      <c r="E1005" s="18" t="inlineStr">
        <is>
          <t>Calcium disodium EDTA 1 g IV</t>
        </is>
      </c>
      <c r="F1005" s="18" t="inlineStr">
        <is>
          <t>Desferrioxamine 1 g IM/IV</t>
        </is>
      </c>
      <c r="G1005" s="18" t="inlineStr">
        <is>
          <t>Dimercaprol (BAL) 3 mg/kg IM</t>
        </is>
      </c>
      <c r="H1005" s="18" t="inlineStr">
        <is>
          <t>Ethanol 10% IV infusion for Methanol poisoning</t>
        </is>
      </c>
      <c r="I1005" s="15" t="inlineStr">
        <is>
          <t>1</t>
        </is>
      </c>
      <c r="J10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5" s="18" t="inlineStr"/>
      <c r="L1005" s="18" t="inlineStr">
        <is>
          <t>General Therapeutics</t>
        </is>
      </c>
      <c r="M1005" s="18" t="inlineStr">
        <is>
          <t>Clinic</t>
        </is>
      </c>
      <c r="N1005" s="18" t="inlineStr">
        <is>
          <t>ข้อ 4 (PLE_CC1_2533.md)</t>
        </is>
      </c>
      <c r="O1005" s="18" t="inlineStr">
        <is>
          <t>ข้อสอบจริง</t>
        </is>
      </c>
      <c r="P1005" s="18" t="inlineStr">
        <is>
          <t>ปี 2533</t>
        </is>
      </c>
    </row>
    <row r="1006">
      <c r="A1006" s="15" t="inlineStr">
        <is>
          <t>1027</t>
        </is>
      </c>
      <c r="B1006" s="18" t="inlineStr">
        <is>
          <t>ยาใดไม่เหมาะสมผู้ป่วยรายนี้</t>
        </is>
      </c>
      <c r="C1006" s="18" t="inlineStr"/>
      <c r="D1006" s="18" t="inlineStr">
        <is>
          <t>Dimercaprol (BAL) 3 mg/kg IM</t>
        </is>
      </c>
      <c r="E1006" s="18" t="inlineStr">
        <is>
          <t>Ethanol 10% IV infusion for Methanol poisoning</t>
        </is>
      </c>
      <c r="F1006" s="18" t="inlineStr">
        <is>
          <t>Fomepizole 15 mg/kg IV loading</t>
        </is>
      </c>
      <c r="G1006" s="18" t="inlineStr">
        <is>
          <t>N-acetylcysteine (NAC) IV infusion protocol</t>
        </is>
      </c>
      <c r="H1006" s="18" t="inlineStr">
        <is>
          <t>Atropine sulfate 2 mg IV Q5-10 min</t>
        </is>
      </c>
      <c r="I1006" s="15" t="inlineStr">
        <is>
          <t>1</t>
        </is>
      </c>
      <c r="J10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6" s="18" t="inlineStr"/>
      <c r="L1006" s="18" t="inlineStr">
        <is>
          <t>General Therapeutics</t>
        </is>
      </c>
      <c r="M1006" s="18" t="inlineStr">
        <is>
          <t>Clinic</t>
        </is>
      </c>
      <c r="N1006" s="18" t="inlineStr">
        <is>
          <t>ข้อ 3 (PLE_CC1_2533.md)</t>
        </is>
      </c>
      <c r="O1006" s="18" t="inlineStr">
        <is>
          <t>ข้อสอบจริง</t>
        </is>
      </c>
      <c r="P1006" s="18" t="inlineStr">
        <is>
          <t>ปี 2533</t>
        </is>
      </c>
    </row>
    <row r="1007">
      <c r="A1007" s="15" t="inlineStr">
        <is>
          <t>1028</t>
        </is>
      </c>
      <c r="B1007" s="18" t="inlineStr">
        <is>
          <t>Antacid การรักษาทางยา กลุ่มยาที่ใช้ในการรักษาภาวะกรดไหลย้อนได้แก่</t>
        </is>
      </c>
      <c r="C1007" s="18" t="inlineStr"/>
      <c r="D1007" s="18" t="inlineStr">
        <is>
          <t>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t>
        </is>
      </c>
      <c r="E1007" s="18" t="inlineStr">
        <is>
          <t>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t>
        </is>
      </c>
      <c r="F1007" s="18" t="inlineStr">
        <is>
          <t>2.1 Cimetidine (Tagamet) 400mgวันละ 2 ครั้งหรือ 800mg ก่อนนอน สำหรับการใช้ Cimetidine ยาตัวนี้ ลดการดูดซึม B12</t>
        </is>
      </c>
      <c r="G1007" s="18" t="inlineStr">
        <is>
          <t>2.2 Ranitidine (Zantac) ให้ 300mg ต่อวัน</t>
        </is>
      </c>
      <c r="H1007" s="18" t="inlineStr">
        <is>
          <t>2.3 Famotidine (Pepcid) ให้ 20mg วันละ 2 ครั้ง</t>
        </is>
      </c>
      <c r="I1007" s="15" t="inlineStr">
        <is>
          <t>2</t>
        </is>
      </c>
      <c r="J1007" s="18" t="inlineStr">
        <is>
          <t>✅ คำตอบที่ถูกต้อง: ข้อ ข.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Aluminum หรือ  Magnesium-based product ผลข้างเคียงของยาที่มีส่วนผสมของ Aluminum หรือ Calcium carbonate Antacid plus alginic acid ได้แก่  Gaviscon ยาในกลุ่มนี้จะช่วยป้องกัน Reflux หรือ Buffers effects มีทั้งยา ส่งเสริมการหายของหลอดอาหารอักเสบ  และควรรับประทานยาพร้อมอาหาร สำหรับผลข้างเคียงของยาที่พบได้แก่ อ่อนเพลีย , ควรระวังในเรื่องของ  B12 deficiency  ถ้าใช้มากกว่าวันละ 1 ครั้ง ดั้งนั้นถ้าจะใช้แนะนำให้ใช้วันละ 1 ครั้งก่อนนอน เพราะยาไป
🔍 ข้ออื่นผิดเพราะอะไร:
• ข้อ ก. (1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(2.1 Cimetidine (Tagamet) 400mgวันละ 2 ครั้งหรือ 800mg ก่อนนอน สำหรับการใช้ Cimetidine ยาตัวนี้ ลดการดูดซึม B12): ข้อนี้ไม่ใช่คำตอบที่ถูกต้องสำหรับภาวะ GI Disorders เนื่องจากกลไกการออกฤทธิ์, efficacy หรือข้อบ่งใช้ไม่ตรงกับโจทย์ที่กำหนด
• ข้อ ง. (2.2 Ranitidine (Zantac) ให้ 300mg ต่อวัน): ข้อนี้ไม่ใช่คำตอบที่ถูกต้องสำหรับภาวะ GI Disorders เนื่องจากกลไกการออกฤทธิ์, efficacy หรือข้อบ่งใช้ไม่ตรงกับโจทย์ที่กำหนด
• ข้อ จ. (2.3 Famotidine (Pepcid) ให้ 20mg วันละ 2 ครั้ง): ข้อนี้ไม่ใช่คำตอบที่ถูกต้องสำหรับภาวะ GI Disorders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7" s="18" t="inlineStr"/>
      <c r="L1007" s="18" t="inlineStr">
        <is>
          <t>GI Disorders</t>
        </is>
      </c>
      <c r="M1007" s="18" t="inlineStr">
        <is>
          <t>Clinic</t>
        </is>
      </c>
      <c r="N1007" s="18" t="inlineStr">
        <is>
          <t>ข้อ 5 (PLE_CC1_2533.md)</t>
        </is>
      </c>
      <c r="O1007" s="18" t="inlineStr">
        <is>
          <t>ข้อสอบจริง</t>
        </is>
      </c>
      <c r="P1007" s="18" t="inlineStr">
        <is>
          <t>ปี 2533</t>
        </is>
      </c>
    </row>
    <row r="1008">
      <c r="A1008" s="15" t="inlineStr">
        <is>
          <t>1029</t>
        </is>
      </c>
      <c r="B1008" s="18" t="inlineStr">
        <is>
          <t>รับประทานทันทีหลังแกะจากแผง</t>
        </is>
      </c>
      <c r="C1008" s="18" t="inlineStr"/>
      <c r="D1008" s="18" t="inlineStr">
        <is>
          <t>Naloxone 0.4 mg IV stat</t>
        </is>
      </c>
      <c r="E1008" s="18" t="inlineStr">
        <is>
          <t>Flumazenil 0.2 mg IV stat</t>
        </is>
      </c>
      <c r="F1008" s="18" t="inlineStr">
        <is>
          <t>Vitamin K1 (Phytomenadione) 10 mg IV slow</t>
        </is>
      </c>
      <c r="G1008" s="18" t="inlineStr">
        <is>
          <t>Sodium thiosulfate 25% 50 mL IV</t>
        </is>
      </c>
      <c r="H1008" s="18" t="inlineStr">
        <is>
          <t>Calcium disodium EDTA 1 g IV</t>
        </is>
      </c>
      <c r="I1008" s="15" t="inlineStr">
        <is>
          <t>1</t>
        </is>
      </c>
      <c r="J10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8" s="18" t="inlineStr"/>
      <c r="L1008" s="18" t="inlineStr">
        <is>
          <t>General Therapeutics</t>
        </is>
      </c>
      <c r="M1008" s="18" t="inlineStr">
        <is>
          <t>Clinic</t>
        </is>
      </c>
      <c r="N1008" s="18" t="inlineStr">
        <is>
          <t>ข้อ 1 (PLE_CC1_2533.md)</t>
        </is>
      </c>
      <c r="O1008" s="18" t="inlineStr">
        <is>
          <t>ข้อสอบจริง</t>
        </is>
      </c>
      <c r="P1008" s="18" t="inlineStr">
        <is>
          <t>ปี 2533</t>
        </is>
      </c>
    </row>
    <row r="1009">
      <c r="A1009" s="15" t="inlineStr">
        <is>
          <t>1030</t>
        </is>
      </c>
      <c r="B1009" s="18" t="inlineStr">
        <is>
          <t>แนะนำให้รับประทานหลังอาหารจะได้ผลดีที่สุด</t>
        </is>
      </c>
      <c r="C1009" s="18" t="inlineStr"/>
      <c r="D1009" s="18" t="inlineStr">
        <is>
          <t>Sodium thiosulfate 25% 50 mL IV</t>
        </is>
      </c>
      <c r="E1009" s="18" t="inlineStr">
        <is>
          <t>Calcium disodium EDTA 1 g IV</t>
        </is>
      </c>
      <c r="F1009" s="18" t="inlineStr">
        <is>
          <t>Desferrioxamine 1 g IM/IV</t>
        </is>
      </c>
      <c r="G1009" s="18" t="inlineStr">
        <is>
          <t>Dimercaprol (BAL) 3 mg/kg IM</t>
        </is>
      </c>
      <c r="H1009" s="18" t="inlineStr">
        <is>
          <t>Ethanol 10% IV infusion for Methanol poisoning</t>
        </is>
      </c>
      <c r="I1009" s="15" t="inlineStr">
        <is>
          <t>1</t>
        </is>
      </c>
      <c r="J10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9" s="18" t="inlineStr"/>
      <c r="L1009" s="18" t="inlineStr">
        <is>
          <t>General Therapeutics</t>
        </is>
      </c>
      <c r="M1009" s="18" t="inlineStr">
        <is>
          <t>Clinic</t>
        </is>
      </c>
      <c r="N1009" s="18" t="inlineStr">
        <is>
          <t>ข้อ 2 (PLE_CC1_2533.md)</t>
        </is>
      </c>
      <c r="O1009" s="18" t="inlineStr">
        <is>
          <t>ข้อสอบจริง</t>
        </is>
      </c>
      <c r="P1009" s="18" t="inlineStr">
        <is>
          <t>ปี 2533</t>
        </is>
      </c>
    </row>
    <row r="1010">
      <c r="A1010" s="15" t="inlineStr">
        <is>
          <t>1031</t>
        </is>
      </c>
      <c r="B1010" s="18" t="inlineStr">
        <is>
          <t>แนะนำให้เคี้ยวให้ละเอียด</t>
        </is>
      </c>
      <c r="C1010" s="18" t="inlineStr"/>
      <c r="D1010" s="18" t="inlineStr">
        <is>
          <t>Dimercaprol (BAL) 3 mg/kg IM</t>
        </is>
      </c>
      <c r="E1010" s="18" t="inlineStr">
        <is>
          <t>Ethanol 10% IV infusion for Methanol poisoning</t>
        </is>
      </c>
      <c r="F1010" s="18" t="inlineStr">
        <is>
          <t>Fomepizole 15 mg/kg IV loading</t>
        </is>
      </c>
      <c r="G1010" s="18" t="inlineStr">
        <is>
          <t>N-acetylcysteine (NAC) IV infusion protocol</t>
        </is>
      </c>
      <c r="H1010" s="18" t="inlineStr">
        <is>
          <t>Atropine sulfate 2 mg IV Q5-10 min</t>
        </is>
      </c>
      <c r="I1010" s="15" t="inlineStr">
        <is>
          <t>1</t>
        </is>
      </c>
      <c r="J10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0" s="18" t="inlineStr"/>
      <c r="L1010" s="18" t="inlineStr">
        <is>
          <t>General Therapeutics</t>
        </is>
      </c>
      <c r="M1010" s="18" t="inlineStr">
        <is>
          <t>Clinic</t>
        </is>
      </c>
      <c r="N1010" s="18" t="inlineStr">
        <is>
          <t>ข้อ 3 (PLE_CC1_2533.md)</t>
        </is>
      </c>
      <c r="O1010" s="18" t="inlineStr">
        <is>
          <t>ข้อสอบจริง</t>
        </is>
      </c>
      <c r="P1010" s="18" t="inlineStr">
        <is>
          <t>ปี 2533</t>
        </is>
      </c>
    </row>
    <row r="1011">
      <c r="A1011" s="15" t="inlineStr">
        <is>
          <t>1032</t>
        </is>
      </c>
      <c r="B1011" s="18" t="inlineStr">
        <is>
          <t>ยามีกลไกยับยั้ง H+/P+ ATPase</t>
        </is>
      </c>
      <c r="C1011" s="18" t="inlineStr"/>
      <c r="D1011" s="18" t="inlineStr">
        <is>
          <t>N-acetylcysteine (NAC) IV infusion protocol</t>
        </is>
      </c>
      <c r="E1011" s="18" t="inlineStr">
        <is>
          <t>Atropine sulfate 2 mg IV Q5-10 min</t>
        </is>
      </c>
      <c r="F1011" s="18" t="inlineStr">
        <is>
          <t>Pralidoxime (2-PAM) 1-2 g IV over 30 min</t>
        </is>
      </c>
      <c r="G1011" s="18" t="inlineStr">
        <is>
          <t>Naloxone 0.4 mg IV stat</t>
        </is>
      </c>
      <c r="H1011" s="18" t="inlineStr">
        <is>
          <t>Flumazenil 0.2 mg IV stat</t>
        </is>
      </c>
      <c r="I1011" s="15" t="inlineStr">
        <is>
          <t>1</t>
        </is>
      </c>
      <c r="J10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1" s="18" t="inlineStr"/>
      <c r="L1011" s="18" t="inlineStr">
        <is>
          <t>General Therapeutics</t>
        </is>
      </c>
      <c r="M1011" s="18" t="inlineStr">
        <is>
          <t>Clinic</t>
        </is>
      </c>
      <c r="N1011" s="18" t="inlineStr">
        <is>
          <t>ข้อ 4 (PLE_CC1_2533.md)</t>
        </is>
      </c>
      <c r="O1011" s="18" t="inlineStr">
        <is>
          <t>ข้อสอบจริง</t>
        </is>
      </c>
      <c r="P1011" s="18" t="inlineStr">
        <is>
          <t>ปี 2533</t>
        </is>
      </c>
    </row>
    <row r="1012">
      <c r="A1012" s="15" t="inlineStr">
        <is>
          <t>1033</t>
        </is>
      </c>
      <c r="B1012" s="18" t="inlineStr">
        <is>
          <t>คำแนะนำใดไม่เหมาะสมกับผู้ป่วยรายนี้</t>
        </is>
      </c>
      <c r="C1012" s="18" t="inlineStr"/>
      <c r="D1012" s="18" t="inlineStr">
        <is>
          <t>Naloxone 0.4 mg IV stat</t>
        </is>
      </c>
      <c r="E1012" s="18" t="inlineStr">
        <is>
          <t>Flumazenil 0.2 mg IV stat</t>
        </is>
      </c>
      <c r="F1012" s="18" t="inlineStr">
        <is>
          <t>Vitamin K1 (Phytomenadione) 10 mg IV slow</t>
        </is>
      </c>
      <c r="G1012" s="18" t="inlineStr">
        <is>
          <t>Sodium thiosulfate 25% 50 mL IV</t>
        </is>
      </c>
      <c r="H1012" s="18" t="inlineStr">
        <is>
          <t>Calcium disodium EDTA 1 g IV</t>
        </is>
      </c>
      <c r="I1012" s="15" t="inlineStr">
        <is>
          <t>1</t>
        </is>
      </c>
      <c r="J10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12" s="18" t="inlineStr"/>
      <c r="L1012" s="18" t="inlineStr">
        <is>
          <t>General Therapeutics</t>
        </is>
      </c>
      <c r="M1012" s="18" t="inlineStr">
        <is>
          <t>Clinic</t>
        </is>
      </c>
      <c r="N1012" s="18" t="inlineStr">
        <is>
          <t>ข้อ 5 (PLE_CC1_2533.md)</t>
        </is>
      </c>
      <c r="O1012" s="18" t="inlineStr">
        <is>
          <t>ข้อสอบจริง</t>
        </is>
      </c>
      <c r="P1012" s="18" t="inlineStr">
        <is>
          <t>ปี 2533</t>
        </is>
      </c>
    </row>
    <row r="1013">
      <c r="A1013" s="15" t="inlineStr">
        <is>
          <t>1034</t>
        </is>
      </c>
      <c r="B1013" s="18" t="inlineStr">
        <is>
          <t>ไม่ใส่เสื้อผ้ารัดมากเกินไป</t>
        </is>
      </c>
      <c r="C1013" s="18" t="inlineStr"/>
      <c r="D1013" s="18" t="inlineStr">
        <is>
          <t>Sodium thiosulfate 25% 50 mL IV</t>
        </is>
      </c>
      <c r="E1013" s="18" t="inlineStr">
        <is>
          <t>Calcium disodium EDTA 1 g IV</t>
        </is>
      </c>
      <c r="F1013" s="18" t="inlineStr">
        <is>
          <t>Desferrioxamine 1 g IM/IV</t>
        </is>
      </c>
      <c r="G1013" s="18" t="inlineStr">
        <is>
          <t>Dimercaprol (BAL) 3 mg/kg IM</t>
        </is>
      </c>
      <c r="H1013" s="18" t="inlineStr">
        <is>
          <t>Ethanol 10% IV infusion for Methanol poisoning</t>
        </is>
      </c>
      <c r="I1013" s="15" t="inlineStr">
        <is>
          <t>1</t>
        </is>
      </c>
      <c r="J10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3" s="18" t="inlineStr"/>
      <c r="L1013" s="18" t="inlineStr">
        <is>
          <t>General Therapeutics</t>
        </is>
      </c>
      <c r="M1013" s="18" t="inlineStr">
        <is>
          <t>Clinic</t>
        </is>
      </c>
      <c r="N1013" s="18" t="inlineStr">
        <is>
          <t>ข้อ 1 (PLE_CC1_2533.md)</t>
        </is>
      </c>
      <c r="O1013" s="18" t="inlineStr">
        <is>
          <t>ข้อสอบจริง</t>
        </is>
      </c>
      <c r="P1013" s="18" t="inlineStr">
        <is>
          <t>ปี 2533</t>
        </is>
      </c>
    </row>
    <row r="1014">
      <c r="A1014" s="15" t="inlineStr">
        <is>
          <t>1035</t>
        </is>
      </c>
      <c r="B1014" s="18" t="inlineStr">
        <is>
          <t>ไม่ควรรับประทานยาปฏิชีวนะที่ออกฤทธิ์กว้างเป็นเวลานาน</t>
        </is>
      </c>
      <c r="C1014" s="18" t="inlineStr"/>
      <c r="D1014" s="18" t="inlineStr">
        <is>
          <t>Dimercaprol (BAL) 3 mg/kg IM</t>
        </is>
      </c>
      <c r="E1014" s="18" t="inlineStr">
        <is>
          <t>Ethanol 10% IV infusion for Methanol poisoning</t>
        </is>
      </c>
      <c r="F1014" s="18" t="inlineStr">
        <is>
          <t>Fomepizole 15 mg/kg IV loading</t>
        </is>
      </c>
      <c r="G1014" s="18" t="inlineStr">
        <is>
          <t>N-acetylcysteine (NAC) IV infusion protocol</t>
        </is>
      </c>
      <c r="H1014" s="18" t="inlineStr">
        <is>
          <t>Atropine sulfate 2 mg IV Q5-10 min</t>
        </is>
      </c>
      <c r="I1014" s="15" t="inlineStr">
        <is>
          <t>1</t>
        </is>
      </c>
      <c r="J10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4" s="18" t="inlineStr"/>
      <c r="L1014" s="18" t="inlineStr">
        <is>
          <t>General Therapeutics</t>
        </is>
      </c>
      <c r="M1014" s="18" t="inlineStr">
        <is>
          <t>Clinic</t>
        </is>
      </c>
      <c r="N1014" s="18" t="inlineStr">
        <is>
          <t>ข้อ 2 (PLE_CC1_2533.md)</t>
        </is>
      </c>
      <c r="O1014" s="18" t="inlineStr">
        <is>
          <t>ข้อสอบจริง</t>
        </is>
      </c>
      <c r="P1014" s="18" t="inlineStr">
        <is>
          <t>ปี 2533</t>
        </is>
      </c>
    </row>
    <row r="1015">
      <c r="A1015" s="15" t="inlineStr">
        <is>
          <t>1036</t>
        </is>
      </c>
      <c r="B1015" s="18" t="inlineStr">
        <is>
          <t>ไม่กินจนอิ่มเกินไป</t>
        </is>
      </c>
      <c r="C1015" s="18" t="inlineStr"/>
      <c r="D1015" s="18" t="inlineStr">
        <is>
          <t>N-acetylcysteine (NAC) IV infusion protocol</t>
        </is>
      </c>
      <c r="E1015" s="18" t="inlineStr">
        <is>
          <t>Atropine sulfate 2 mg IV Q5-10 min</t>
        </is>
      </c>
      <c r="F1015" s="18" t="inlineStr">
        <is>
          <t>Pralidoxime (2-PAM) 1-2 g IV over 30 min</t>
        </is>
      </c>
      <c r="G1015" s="18" t="inlineStr">
        <is>
          <t>Naloxone 0.4 mg IV stat</t>
        </is>
      </c>
      <c r="H1015" s="18" t="inlineStr">
        <is>
          <t>Flumazenil 0.2 mg IV stat</t>
        </is>
      </c>
      <c r="I1015" s="15" t="inlineStr">
        <is>
          <t>1</t>
        </is>
      </c>
      <c r="J10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5" s="18" t="inlineStr"/>
      <c r="L1015" s="18" t="inlineStr">
        <is>
          <t>General Therapeutics</t>
        </is>
      </c>
      <c r="M1015" s="18" t="inlineStr">
        <is>
          <t>Clinic</t>
        </is>
      </c>
      <c r="N1015" s="18" t="inlineStr">
        <is>
          <t>ข้อ 4 (PLE_CC1_2533.md)</t>
        </is>
      </c>
      <c r="O1015" s="18" t="inlineStr">
        <is>
          <t>ข้อสอบจริง</t>
        </is>
      </c>
      <c r="P1015" s="18" t="inlineStr">
        <is>
          <t>ปี 2533</t>
        </is>
      </c>
    </row>
    <row r="1016">
      <c r="A1016" s="15" t="inlineStr">
        <is>
          <t>1037</t>
        </is>
      </c>
      <c r="B1016" s="18" t="inlineStr">
        <is>
          <t>งดสูบบุหรี่ และดื่มเครื่องดื่มแอลกอฮอล์ เปลี่ยนพฤติกรรมการดำเนินชีวิต ซึ่งสามารถทำได้ดังต่อไปนี้ - หลีกเลี่ยงการสูบบุหรี่ ดื่มสุรา - หลีก เลี่ยงการดิ่มน้ำชา กาแฟ น้ำอัดลม น้ำผลไม้ หรืออาหารที่มีรสเปรี้ยวจัด เผ็ดจัด อาหารไขมันสูง ช็อคโกแลต - ระวังไม่ให้น้ำหนักตัวมากหรืออ้วนเกินไป - ระวังอาหารมื้อเย็น ไม่กินในปริมาณมากและไม่ควรนอนทันทีหลังรับประทานอาหารอย่างน้อย 3 ชั่วโมง - ควรรับประทานอาหารปริมาณน้อยๆแต่บ่อยครั้ง - ไม่ใส่เสื้อรัดรูปเกินไป - ออกกำลังกายสม่ำเสมอ - นอนตะแคงซ้ายและนอนหนุนหัวเตียงให้สูงอย่างน้อย 6 นิ้ว</t>
        </is>
      </c>
      <c r="C1016" s="18" t="inlineStr"/>
      <c r="D1016" s="18" t="inlineStr">
        <is>
          <t>Budesonide/Formoterol 160/4.5 mcg DPI BID</t>
        </is>
      </c>
      <c r="E1016" s="18" t="inlineStr">
        <is>
          <t>Fluticasone/Salmeterol 250/50 mcg DPI BID</t>
        </is>
      </c>
      <c r="F1016" s="18" t="inlineStr">
        <is>
          <t>Tiotropium Respimat 2.5 mcg 2 puffs OD</t>
        </is>
      </c>
      <c r="G1016" s="18" t="inlineStr">
        <is>
          <t>Ipratropium/Fenoterol MDI PRN</t>
        </is>
      </c>
      <c r="H1016" s="18" t="inlineStr">
        <is>
          <t>Montelukast 10 mg HS</t>
        </is>
      </c>
      <c r="I1016" s="15" t="inlineStr">
        <is>
          <t>2</t>
        </is>
      </c>
      <c r="J1016" s="18" t="inlineStr">
        <is>
          <t>✅ คำตอบที่ถูกต้อง: ข้อ ข.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6" s="18" t="inlineStr"/>
      <c r="L1016" s="18" t="inlineStr">
        <is>
          <t>Pulmonary Diseases</t>
        </is>
      </c>
      <c r="M1016" s="18" t="inlineStr">
        <is>
          <t>Clinic</t>
        </is>
      </c>
      <c r="N1016" s="18" t="inlineStr">
        <is>
          <t>ข้อ 5 (PLE_CC1_2533.md)</t>
        </is>
      </c>
      <c r="O1016" s="18" t="inlineStr">
        <is>
          <t>ข้อสอบจริง</t>
        </is>
      </c>
      <c r="P1016" s="18" t="inlineStr">
        <is>
          <t>ปี 2533</t>
        </is>
      </c>
    </row>
    <row r="1017">
      <c r="A1017" s="15" t="inlineStr">
        <is>
          <t>1038</t>
        </is>
      </c>
      <c r="B1017" s="18" t="inlineStr">
        <is>
          <t>Dompridone : D2-receptor</t>
        </is>
      </c>
      <c r="C1017" s="18" t="inlineStr"/>
      <c r="D1017" s="18" t="inlineStr">
        <is>
          <t>Sodium thiosulfate 25% 50 mL IV</t>
        </is>
      </c>
      <c r="E1017" s="18" t="inlineStr">
        <is>
          <t>Calcium disodium EDTA 1 g IV</t>
        </is>
      </c>
      <c r="F1017" s="18" t="inlineStr">
        <is>
          <t>Desferrioxamine 1 g IM/IV</t>
        </is>
      </c>
      <c r="G1017" s="18" t="inlineStr">
        <is>
          <t>Dimercaprol (BAL) 3 mg/kg IM</t>
        </is>
      </c>
      <c r="H1017" s="18" t="inlineStr">
        <is>
          <t>Ethanol 10% IV infusion for Methanol poisoning</t>
        </is>
      </c>
      <c r="I1017" s="15" t="inlineStr">
        <is>
          <t>1</t>
        </is>
      </c>
      <c r="J10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7" s="18" t="inlineStr"/>
      <c r="L1017" s="18" t="inlineStr">
        <is>
          <t>General Therapeutics</t>
        </is>
      </c>
      <c r="M1017" s="18" t="inlineStr">
        <is>
          <t>Clinic</t>
        </is>
      </c>
      <c r="N1017" s="18" t="inlineStr">
        <is>
          <t>ข้อ 3 (PLE_CC1_2533.md)</t>
        </is>
      </c>
      <c r="O1017" s="18" t="inlineStr">
        <is>
          <t>ข้อสอบจริง</t>
        </is>
      </c>
      <c r="P1017" s="18" t="inlineStr">
        <is>
          <t>ปี 2533</t>
        </is>
      </c>
    </row>
    <row r="1018">
      <c r="A1018" s="15" t="inlineStr">
        <is>
          <t>1039</t>
        </is>
      </c>
      <c r="B1018" s="18" t="inlineStr">
        <is>
          <t>Cisapride : QT-prolongation</t>
        </is>
      </c>
      <c r="C1018" s="18" t="inlineStr"/>
      <c r="D1018" s="18" t="inlineStr">
        <is>
          <t>Dimercaprol (BAL) 3 mg/kg IM</t>
        </is>
      </c>
      <c r="E1018" s="18" t="inlineStr">
        <is>
          <t>Ethanol 10% IV infusion for Methanol poisoning</t>
        </is>
      </c>
      <c r="F1018" s="18" t="inlineStr">
        <is>
          <t>Fomepizole 15 mg/kg IV loading</t>
        </is>
      </c>
      <c r="G1018" s="18" t="inlineStr">
        <is>
          <t>N-acetylcysteine (NAC) IV infusion protocol</t>
        </is>
      </c>
      <c r="H1018" s="18" t="inlineStr">
        <is>
          <t>Atropine sulfate 2 mg IV Q5-10 min</t>
        </is>
      </c>
      <c r="I1018" s="15" t="inlineStr">
        <is>
          <t>3</t>
        </is>
      </c>
      <c r="J1018" s="18"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8" s="18" t="inlineStr"/>
      <c r="L1018" s="18" t="inlineStr">
        <is>
          <t>General Therapeutics</t>
        </is>
      </c>
      <c r="M1018" s="18" t="inlineStr">
        <is>
          <t>Clinic</t>
        </is>
      </c>
      <c r="N1018" s="18" t="inlineStr">
        <is>
          <t>ข้อ 5 (PLE_CC1_2533.md)</t>
        </is>
      </c>
      <c r="O1018" s="18" t="inlineStr">
        <is>
          <t>ข้อสอบจริง</t>
        </is>
      </c>
      <c r="P1018" s="18" t="inlineStr">
        <is>
          <t>ปี 2533</t>
        </is>
      </c>
    </row>
    <row r="1019">
      <c r="A1019" s="15" t="inlineStr">
        <is>
          <t>1040</t>
        </is>
      </c>
      <c r="B1019" s="18" t="inlineStr">
        <is>
          <t>ผู้ป่วยนำตัวอย่างยา cisapride มาขอซื้อยาที่ร้านยา จะสามารถจ่ายยาให้กับผู้ป่วยได้หรือไม่</t>
        </is>
      </c>
      <c r="C1019" s="18" t="inlineStr"/>
      <c r="D1019" s="18" t="inlineStr">
        <is>
          <t>พ.ร.บ. ยา พ.ศ. 2510 (การจำหน่ายยาอันตรายและยาควบคุมพิเศษ)</t>
        </is>
      </c>
      <c r="E1019" s="18" t="inlineStr">
        <is>
          <t>พ.ร.บ. ยาเสพติดให้โทษ พ.ศ. 2522 (ยาเสพติดให้โทษประเภท 2 และ 3)</t>
        </is>
      </c>
      <c r="F1019" s="18" t="inlineStr">
        <is>
          <t>พ.ร.บ. วัตถุที่ออกฤทธิ์ต่อจิตและประสาท พ.ศ. 2559 (ประเภท 2 และ 4)</t>
        </is>
      </c>
      <c r="G1019" s="18" t="inlineStr">
        <is>
          <t>พ.ร.บ. วิชาชีพเภสัชกรรม พ.ศ. 2537 และข้อบังคับจรรยาบรรณวิชาชีพ</t>
        </is>
      </c>
      <c r="H1019" s="18" t="inlineStr">
        <is>
          <t>พ.ร.บ. ผลิตภัณฑ์สมุนไพร พ.ศ. 2562</t>
        </is>
      </c>
      <c r="I1019" s="15" t="inlineStr">
        <is>
          <t>1</t>
        </is>
      </c>
      <c r="J1019"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19" s="18" t="inlineStr"/>
      <c r="L1019" s="18" t="inlineStr">
        <is>
          <t>Pharmacy Laws &amp; Ethics</t>
        </is>
      </c>
      <c r="M1019" s="18" t="inlineStr">
        <is>
          <t>SAP</t>
        </is>
      </c>
      <c r="N1019" s="18" t="inlineStr">
        <is>
          <t>ข้อ 9 (PLE_CC1_2533.md)</t>
        </is>
      </c>
      <c r="O1019" s="18" t="inlineStr">
        <is>
          <t>ข้อสอบจริง</t>
        </is>
      </c>
      <c r="P1019" s="18" t="inlineStr">
        <is>
          <t>ปี 2533</t>
        </is>
      </c>
    </row>
    <row r="1020">
      <c r="A1020" s="15" t="inlineStr">
        <is>
          <t>1041</t>
        </is>
      </c>
      <c r="B1020" s="18" t="inlineStr">
        <is>
          <t>ได้ เพราะ เป็นยาอันตราย</t>
        </is>
      </c>
      <c r="C1020" s="18" t="inlineStr"/>
      <c r="D1020" s="18" t="inlineStr">
        <is>
          <t>พ.ร.บ. วิชาชีพเภสัชกรรม พ.ศ. 2537 และข้อบังคับจรรยาบรรณวิชาชีพ</t>
        </is>
      </c>
      <c r="E1020" s="18" t="inlineStr">
        <is>
          <t>พ.ร.บ. ผลิตภัณฑ์สมุนไพร พ.ศ. 2562</t>
        </is>
      </c>
      <c r="F1020" s="18" t="inlineStr">
        <is>
          <t>พ.ร.บ. เครื่องสำอาง พ.ศ. 2558</t>
        </is>
      </c>
      <c r="G1020" s="18" t="inlineStr">
        <is>
          <t>พ.ร.บ. หลักประกันสุขภาพแห่งชาติ พ.ศ. 2545</t>
        </is>
      </c>
      <c r="H1020" s="18" t="inlineStr">
        <is>
          <t>การปฏิบัติทางเภสัชกรรมชุมชน (Good Pharmacy Practice: GPP)</t>
        </is>
      </c>
      <c r="I1020" s="15" t="inlineStr">
        <is>
          <t>1</t>
        </is>
      </c>
      <c r="J1020"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0" s="18" t="inlineStr"/>
      <c r="L1020" s="18" t="inlineStr">
        <is>
          <t>Pharmacy Laws &amp; Ethics</t>
        </is>
      </c>
      <c r="M1020" s="18" t="inlineStr">
        <is>
          <t>SAP</t>
        </is>
      </c>
      <c r="N1020" s="18" t="inlineStr">
        <is>
          <t>ข้อ 1 (PLE_CC1_2533.md)</t>
        </is>
      </c>
      <c r="O1020" s="18" t="inlineStr">
        <is>
          <t>ข้อสอบจริง</t>
        </is>
      </c>
      <c r="P1020" s="18" t="inlineStr">
        <is>
          <t>ปี 2533</t>
        </is>
      </c>
    </row>
    <row r="1021">
      <c r="A1021" s="15" t="inlineStr">
        <is>
          <t>1042</t>
        </is>
      </c>
      <c r="B1021" s="18" t="inlineStr">
        <is>
          <t>ได้ เพราะ แพทย์สั่งใช้</t>
        </is>
      </c>
      <c r="C1021" s="18" t="inlineStr"/>
      <c r="D1021" s="18" t="inlineStr">
        <is>
          <t>Sodium thiosulfate 25% 50 mL IV</t>
        </is>
      </c>
      <c r="E1021" s="18" t="inlineStr">
        <is>
          <t>Calcium disodium EDTA 1 g IV</t>
        </is>
      </c>
      <c r="F1021" s="18" t="inlineStr">
        <is>
          <t>Desferrioxamine 1 g IM/IV</t>
        </is>
      </c>
      <c r="G1021" s="18" t="inlineStr">
        <is>
          <t>Dimercaprol (BAL) 3 mg/kg IM</t>
        </is>
      </c>
      <c r="H1021" s="18" t="inlineStr">
        <is>
          <t>Ethanol 10% IV infusion for Methanol poisoning</t>
        </is>
      </c>
      <c r="I1021" s="15" t="inlineStr">
        <is>
          <t>1</t>
        </is>
      </c>
      <c r="J10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1" s="18" t="inlineStr"/>
      <c r="L1021" s="18" t="inlineStr">
        <is>
          <t>General Therapeutics</t>
        </is>
      </c>
      <c r="M1021" s="18" t="inlineStr">
        <is>
          <t>Clinic</t>
        </is>
      </c>
      <c r="N1021" s="18" t="inlineStr">
        <is>
          <t>ข้อ 2 (PLE_CC1_2533.md)</t>
        </is>
      </c>
      <c r="O1021" s="18" t="inlineStr">
        <is>
          <t>ข้อสอบจริง</t>
        </is>
      </c>
      <c r="P1021" s="18" t="inlineStr">
        <is>
          <t>ปี 2533</t>
        </is>
      </c>
    </row>
    <row r="1022">
      <c r="A1022" s="15" t="inlineStr">
        <is>
          <t>1043</t>
        </is>
      </c>
      <c r="B1022" s="18" t="inlineStr">
        <is>
          <t>ไม่ได้ เพราะเป็นยาควบคุมพิเศษ</t>
        </is>
      </c>
      <c r="C1022" s="18" t="inlineStr"/>
      <c r="D1022" s="18" t="inlineStr">
        <is>
          <t>เกณฑ์จริยธรรมว่าด้วยการส่งเสริมการขายยาของกระทรวงสาธารณสุข</t>
        </is>
      </c>
      <c r="E1022" s="18" t="inlineStr">
        <is>
          <t>พ.ร.บ. ยา พ.ศ. 2510 (การจำหน่ายยาอันตรายและยาควบคุมพิเศษ)</t>
        </is>
      </c>
      <c r="F1022" s="18" t="inlineStr">
        <is>
          <t>พ.ร.บ. ยาเสพติดให้โทษ พ.ศ. 2522 (ยาเสพติดให้โทษประเภท 2 และ 3)</t>
        </is>
      </c>
      <c r="G1022" s="18" t="inlineStr">
        <is>
          <t>พ.ร.บ. วัตถุที่ออกฤทธิ์ต่อจิตและประสาท พ.ศ. 2559 (ประเภท 2 และ 4)</t>
        </is>
      </c>
      <c r="H1022" s="18" t="inlineStr">
        <is>
          <t>พ.ร.บ. วิชาชีพเภสัชกรรม พ.ศ. 2537 และข้อบังคับจรรยาบรรณวิชาชีพ</t>
        </is>
      </c>
      <c r="I1022" s="15" t="inlineStr">
        <is>
          <t>1</t>
        </is>
      </c>
      <c r="J102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2" s="18" t="inlineStr"/>
      <c r="L1022" s="18" t="inlineStr">
        <is>
          <t>Pharmacy Laws &amp; Ethics</t>
        </is>
      </c>
      <c r="M1022" s="18" t="inlineStr">
        <is>
          <t>SAP</t>
        </is>
      </c>
      <c r="N1022" s="18" t="inlineStr">
        <is>
          <t>ข้อ 3 (PLE_CC1_2533.md)</t>
        </is>
      </c>
      <c r="O1022" s="18" t="inlineStr">
        <is>
          <t>ข้อสอบจริง</t>
        </is>
      </c>
      <c r="P1022" s="18" t="inlineStr">
        <is>
          <t>ปี 2533</t>
        </is>
      </c>
    </row>
    <row r="1023">
      <c r="A1023" s="15" t="inlineStr">
        <is>
          <t>1044</t>
        </is>
      </c>
      <c r="B1023" s="18" t="inlineStr">
        <is>
          <t>ไม่ได้ เพราะ เป็นวัตถุออกฤทธิ์ต่อจิตและประสาท</t>
        </is>
      </c>
      <c r="C1023" s="18" t="inlineStr"/>
      <c r="D1023" s="18" t="inlineStr">
        <is>
          <t>พ.ร.บ. วัตถุที่ออกฤทธิ์ต่อจิตและประสาท พ.ศ. 2559 (ประเภท 2 และ 4)</t>
        </is>
      </c>
      <c r="E1023" s="18" t="inlineStr">
        <is>
          <t>พ.ร.บ. วิชาชีพเภสัชกรรม พ.ศ. 2537 และข้อบังคับจรรยาบรรณวิชาชีพ</t>
        </is>
      </c>
      <c r="F1023" s="18" t="inlineStr">
        <is>
          <t>พ.ร.บ. ผลิตภัณฑ์สมุนไพร พ.ศ. 2562</t>
        </is>
      </c>
      <c r="G1023" s="18" t="inlineStr">
        <is>
          <t>พ.ร.บ. เครื่องสำอาง พ.ศ. 2558</t>
        </is>
      </c>
      <c r="H1023" s="18" t="inlineStr">
        <is>
          <t>พ.ร.บ. หลักประกันสุขภาพแห่งชาติ พ.ศ. 2545</t>
        </is>
      </c>
      <c r="I1023" s="15" t="inlineStr">
        <is>
          <t>1</t>
        </is>
      </c>
      <c r="J1023" s="18"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3" s="18" t="inlineStr"/>
      <c r="L1023" s="18" t="inlineStr">
        <is>
          <t>Pharmacy Laws &amp; Ethics</t>
        </is>
      </c>
      <c r="M1023" s="18" t="inlineStr">
        <is>
          <t>SAP</t>
        </is>
      </c>
      <c r="N1023" s="18" t="inlineStr">
        <is>
          <t>ข้อ 4 (PLE_CC1_2533.md)</t>
        </is>
      </c>
      <c r="O1023" s="18" t="inlineStr">
        <is>
          <t>ข้อสอบจริง</t>
        </is>
      </c>
      <c r="P1023" s="18" t="inlineStr">
        <is>
          <t>ปี 2533</t>
        </is>
      </c>
    </row>
    <row r="1024">
      <c r="A1024" s="15" t="inlineStr">
        <is>
          <t>1045</t>
        </is>
      </c>
      <c r="B1024" s="18" t="inlineStr">
        <is>
          <t>ไม่ได้ เพราะ เป็นยาเสพติดให้โทษ</t>
        </is>
      </c>
      <c r="C1024" s="18" t="inlineStr"/>
      <c r="D1024" s="18" t="inlineStr">
        <is>
          <t>พ.ร.บ. เครื่องสำอาง พ.ศ. 2558</t>
        </is>
      </c>
      <c r="E1024" s="18" t="inlineStr">
        <is>
          <t>พ.ร.บ. หลักประกันสุขภาพแห่งชาติ พ.ศ. 2545</t>
        </is>
      </c>
      <c r="F1024" s="18" t="inlineStr">
        <is>
          <t>การปฏิบัติทางเภสัชกรรมชุมชน (Good Pharmacy Practice: GPP)</t>
        </is>
      </c>
      <c r="G1024" s="18" t="inlineStr">
        <is>
          <t>บัญชียาหลักแห่งชาติ (National List of Essential Medicines: NLEM)</t>
        </is>
      </c>
      <c r="H1024" s="18" t="inlineStr">
        <is>
          <t>เกณฑ์จริยธรรมว่าด้วยการส่งเสริมการขายยาของกระทรวงสาธารณสุข</t>
        </is>
      </c>
      <c r="I1024" s="15" t="inlineStr">
        <is>
          <t>2</t>
        </is>
      </c>
      <c r="J1024" s="18" t="inlineStr">
        <is>
          <t>✅ คำตอบที่ถูกต้อง: ข้อ ข.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4" s="18" t="inlineStr"/>
      <c r="L1024" s="18" t="inlineStr">
        <is>
          <t>Pharmacy Laws &amp; Ethics</t>
        </is>
      </c>
      <c r="M1024" s="18" t="inlineStr">
        <is>
          <t>SAP</t>
        </is>
      </c>
      <c r="N1024" s="18" t="inlineStr">
        <is>
          <t>ข้อ 5 (PLE_CC1_2533.md)</t>
        </is>
      </c>
      <c r="O1024" s="18" t="inlineStr">
        <is>
          <t>ข้อสอบจริง</t>
        </is>
      </c>
      <c r="P1024" s="18" t="inlineStr">
        <is>
          <t>ปี 2533</t>
        </is>
      </c>
    </row>
    <row r="1025">
      <c r="A1025" s="15" t="inlineStr">
        <is>
          <t>1046</t>
        </is>
      </c>
      <c r="B1025" s="18" t="inlineStr">
        <is>
          <t>Independent t-test</t>
        </is>
      </c>
      <c r="C1025" s="18" t="inlineStr"/>
      <c r="D1025" s="18" t="inlineStr">
        <is>
          <t>Student t-test for comparing two independent means</t>
        </is>
      </c>
      <c r="E1025" s="18" t="inlineStr">
        <is>
          <t>Chi-Square Test for Categorical Independence (p &lt; 0.05)</t>
        </is>
      </c>
      <c r="F1025" s="18" t="inlineStr">
        <is>
          <t>Randomized Controlled Trial (Double-blind RCT)</t>
        </is>
      </c>
      <c r="G1025" s="18" t="inlineStr">
        <is>
          <t>Prospective Cohort Study (Relative Risk: RR)</t>
        </is>
      </c>
      <c r="H1025" s="18" t="inlineStr">
        <is>
          <t>Case-Control Study (Odds Ratio: OR)</t>
        </is>
      </c>
      <c r="I1025" s="15" t="inlineStr">
        <is>
          <t>1</t>
        </is>
      </c>
      <c r="J1025" s="18"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ข้อ จ.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5" s="18" t="inlineStr"/>
      <c r="L1025" s="18" t="inlineStr">
        <is>
          <t>Biostats &amp; Research</t>
        </is>
      </c>
      <c r="M1025" s="18" t="inlineStr">
        <is>
          <t>SAP</t>
        </is>
      </c>
      <c r="N1025" s="18" t="inlineStr">
        <is>
          <t>ข้อ 2 (PLE_CC1_2533.md)</t>
        </is>
      </c>
      <c r="O1025" s="18" t="inlineStr">
        <is>
          <t>ข้อสอบจริง</t>
        </is>
      </c>
      <c r="P1025" s="18" t="inlineStr">
        <is>
          <t>ปี 2533</t>
        </is>
      </c>
    </row>
    <row r="1026">
      <c r="A1026" s="15" t="inlineStr">
        <is>
          <t>1047</t>
        </is>
      </c>
      <c r="B1026" s="18" t="inlineStr">
        <is>
          <t>Dependent t-test</t>
        </is>
      </c>
      <c r="C1026" s="18" t="inlineStr"/>
      <c r="D1026" s="18" t="inlineStr">
        <is>
          <t>Prospective Cohort Study (Relative Risk: RR)</t>
        </is>
      </c>
      <c r="E1026" s="18" t="inlineStr">
        <is>
          <t>Case-Control Study (Odds Ratio: OR)</t>
        </is>
      </c>
      <c r="F1026" s="18" t="inlineStr">
        <is>
          <t>Cross-Sectional Survey Prevalence Study</t>
        </is>
      </c>
      <c r="G1026" s="18" t="inlineStr">
        <is>
          <t>Cost-Effectiveness Analysis (Incremental Cost-Effectiveness Ratio: ICER)</t>
        </is>
      </c>
      <c r="H1026" s="18" t="inlineStr">
        <is>
          <t>Cost-Utility Analysis (Quality-Adjusted Life Years: QALY)</t>
        </is>
      </c>
      <c r="I1026" s="15" t="inlineStr">
        <is>
          <t>1</t>
        </is>
      </c>
      <c r="J1026" s="18"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6" s="18" t="inlineStr"/>
      <c r="L1026" s="18" t="inlineStr">
        <is>
          <t>Biostats &amp; Research</t>
        </is>
      </c>
      <c r="M1026" s="18" t="inlineStr">
        <is>
          <t>SAP</t>
        </is>
      </c>
      <c r="N1026" s="18" t="inlineStr">
        <is>
          <t>ข้อ 3 (PLE_CC1_2533.md)</t>
        </is>
      </c>
      <c r="O1026" s="18" t="inlineStr">
        <is>
          <t>ข้อสอบจริง</t>
        </is>
      </c>
      <c r="P1026" s="18" t="inlineStr">
        <is>
          <t>ปี 2533</t>
        </is>
      </c>
    </row>
    <row r="1027">
      <c r="A1027" s="15" t="inlineStr">
        <is>
          <t>1048</t>
        </is>
      </c>
      <c r="B1027" s="18" t="inlineStr">
        <is>
          <t>ผู้ป่วยรายนี้น่าจะถูกวินิจฉัยว่าเป็นโรคใด</t>
        </is>
      </c>
      <c r="C1027" s="18" t="inlineStr"/>
      <c r="D1027" s="18" t="inlineStr">
        <is>
          <t>N-acetylcysteine (NAC) IV infusion protocol</t>
        </is>
      </c>
      <c r="E1027" s="18" t="inlineStr">
        <is>
          <t>Atropine sulfate 2 mg IV Q5-10 min</t>
        </is>
      </c>
      <c r="F1027" s="18" t="inlineStr">
        <is>
          <t>Pralidoxime (2-PAM) 1-2 g IV over 30 min</t>
        </is>
      </c>
      <c r="G1027" s="18" t="inlineStr">
        <is>
          <t>Naloxone 0.4 mg IV stat</t>
        </is>
      </c>
      <c r="H1027" s="18" t="inlineStr">
        <is>
          <t>Flumazenil 0.2 mg IV stat</t>
        </is>
      </c>
      <c r="I1027" s="15" t="inlineStr">
        <is>
          <t>1</t>
        </is>
      </c>
      <c r="J10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27" s="18" t="inlineStr"/>
      <c r="L1027" s="18" t="inlineStr">
        <is>
          <t>General Therapeutics</t>
        </is>
      </c>
      <c r="M1027" s="18" t="inlineStr">
        <is>
          <t>Clinic</t>
        </is>
      </c>
      <c r="N1027" s="18" t="inlineStr">
        <is>
          <t>ข้อ 1 (PLE_CC1_2533.md)</t>
        </is>
      </c>
      <c r="O1027" s="18" t="inlineStr">
        <is>
          <t>ข้อสอบจริง</t>
        </is>
      </c>
      <c r="P1027" s="18" t="inlineStr">
        <is>
          <t>ปี 2533</t>
        </is>
      </c>
    </row>
    <row r="1028">
      <c r="A1028" s="15" t="inlineStr">
        <is>
          <t>1049</t>
        </is>
      </c>
      <c r="B1028" s="18" t="inlineStr">
        <is>
          <t>ผลทางห้องปฏิบัติการใดที่ใช้ในการติดตามผู้ป่วยรายนี้</t>
        </is>
      </c>
      <c r="C1028" s="18" t="inlineStr"/>
      <c r="D1028" s="18" t="inlineStr">
        <is>
          <t>Naloxone 0.4 mg IV stat</t>
        </is>
      </c>
      <c r="E1028" s="18" t="inlineStr">
        <is>
          <t>Flumazenil 0.2 mg IV stat</t>
        </is>
      </c>
      <c r="F1028" s="18" t="inlineStr">
        <is>
          <t>Vitamin K1 (Phytomenadione) 10 mg IV slow</t>
        </is>
      </c>
      <c r="G1028" s="18" t="inlineStr">
        <is>
          <t>Sodium thiosulfate 25% 50 mL IV</t>
        </is>
      </c>
      <c r="H1028" s="18" t="inlineStr">
        <is>
          <t>Calcium disodium EDTA 1 g IV</t>
        </is>
      </c>
      <c r="I1028" s="15" t="inlineStr">
        <is>
          <t>1</t>
        </is>
      </c>
      <c r="J10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28" s="18" t="inlineStr"/>
      <c r="L1028" s="18" t="inlineStr">
        <is>
          <t>General Therapeutics</t>
        </is>
      </c>
      <c r="M1028" s="18" t="inlineStr">
        <is>
          <t>Clinic</t>
        </is>
      </c>
      <c r="N1028" s="18" t="inlineStr">
        <is>
          <t>ข้อ 2 (PLE_CC1_2533.md)</t>
        </is>
      </c>
      <c r="O1028" s="18" t="inlineStr">
        <is>
          <t>ข้อสอบจริง</t>
        </is>
      </c>
      <c r="P1028" s="18" t="inlineStr">
        <is>
          <t>ปี 2533</t>
        </is>
      </c>
    </row>
    <row r="1029">
      <c r="A1029" s="15" t="inlineStr">
        <is>
          <t>1050</t>
        </is>
      </c>
      <c r="B1029" s="18" t="inlineStr">
        <is>
          <t>ยาใดต่อไปนี้ไม่ควรให้ในผู้ป่วย เนื่องจากจะทำให้อาการของผู้ป่วยแย่ลง</t>
        </is>
      </c>
      <c r="C1029" s="18" t="inlineStr"/>
      <c r="D1029" s="18" t="inlineStr">
        <is>
          <t>Sodium thiosulfate 25% 50 mL IV</t>
        </is>
      </c>
      <c r="E1029" s="18" t="inlineStr">
        <is>
          <t>Calcium disodium EDTA 1 g IV</t>
        </is>
      </c>
      <c r="F1029" s="18" t="inlineStr">
        <is>
          <t>Desferrioxamine 1 g IM/IV</t>
        </is>
      </c>
      <c r="G1029" s="18" t="inlineStr">
        <is>
          <t>Dimercaprol (BAL) 3 mg/kg IM</t>
        </is>
      </c>
      <c r="H1029" s="18" t="inlineStr">
        <is>
          <t>Ethanol 10% IV infusion for Methanol poisoning</t>
        </is>
      </c>
      <c r="I1029" s="15" t="inlineStr">
        <is>
          <t>1</t>
        </is>
      </c>
      <c r="J10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9" s="18" t="inlineStr"/>
      <c r="L1029" s="18" t="inlineStr">
        <is>
          <t>General Therapeutics</t>
        </is>
      </c>
      <c r="M1029" s="18" t="inlineStr">
        <is>
          <t>Clinic</t>
        </is>
      </c>
      <c r="N1029" s="18" t="inlineStr">
        <is>
          <t>ข้อ 3 (PLE_CC1_2533.md)</t>
        </is>
      </c>
      <c r="O1029" s="18" t="inlineStr">
        <is>
          <t>ข้อสอบจริง</t>
        </is>
      </c>
      <c r="P1029" s="18" t="inlineStr">
        <is>
          <t>ปี 2533</t>
        </is>
      </c>
    </row>
    <row r="1030">
      <c r="A1030" s="15" t="inlineStr">
        <is>
          <t>1051</t>
        </is>
      </c>
      <c r="B1030" s="18" t="inlineStr">
        <is>
          <t>ข้อใดคือคำแนะนำที่เหมาะสมในการให้คำแนะนำกับผู้ป่วยรายนี้ (หมายถึงโรคเก๊าฑ์)</t>
        </is>
      </c>
      <c r="C1030" s="18" t="inlineStr"/>
      <c r="D1030" s="18" t="inlineStr">
        <is>
          <t>Dimercaprol (BAL) 3 mg/kg IM</t>
        </is>
      </c>
      <c r="E1030" s="18" t="inlineStr">
        <is>
          <t>Ethanol 10% IV infusion for Methanol poisoning</t>
        </is>
      </c>
      <c r="F1030" s="18" t="inlineStr">
        <is>
          <t>Fomepizole 15 mg/kg IV loading</t>
        </is>
      </c>
      <c r="G1030" s="18" t="inlineStr">
        <is>
          <t>N-acetylcysteine (NAC) IV infusion protocol</t>
        </is>
      </c>
      <c r="H1030" s="18" t="inlineStr">
        <is>
          <t>Atropine sulfate 2 mg IV Q5-10 min</t>
        </is>
      </c>
      <c r="I1030" s="15" t="inlineStr">
        <is>
          <t>1</t>
        </is>
      </c>
      <c r="J10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0" s="18" t="inlineStr"/>
      <c r="L1030" s="18" t="inlineStr">
        <is>
          <t>General Therapeutics</t>
        </is>
      </c>
      <c r="M1030" s="18" t="inlineStr">
        <is>
          <t>Clinic</t>
        </is>
      </c>
      <c r="N1030" s="18" t="inlineStr">
        <is>
          <t>ข้อ 6 (PLE_CC1_2533.md)</t>
        </is>
      </c>
      <c r="O1030" s="18" t="inlineStr">
        <is>
          <t>ข้อสอบจริง</t>
        </is>
      </c>
      <c r="P1030" s="18" t="inlineStr">
        <is>
          <t>ปี 2533</t>
        </is>
      </c>
    </row>
    <row r="1031">
      <c r="A1031" s="15" t="inlineStr">
        <is>
          <t>1052</t>
        </is>
      </c>
      <c r="B1031" s="18" t="inlineStr">
        <is>
          <t>ออกกำลังกายอย่างสม่ำเสมอ</t>
        </is>
      </c>
      <c r="C1031" s="18" t="inlineStr"/>
      <c r="D1031" s="18" t="inlineStr">
        <is>
          <t>N-acetylcysteine (NAC) IV infusion protocol</t>
        </is>
      </c>
      <c r="E1031" s="18" t="inlineStr">
        <is>
          <t>Atropine sulfate 2 mg IV Q5-10 min</t>
        </is>
      </c>
      <c r="F1031" s="18" t="inlineStr">
        <is>
          <t>Pralidoxime (2-PAM) 1-2 g IV over 30 min</t>
        </is>
      </c>
      <c r="G1031" s="18" t="inlineStr">
        <is>
          <t>Naloxone 0.4 mg IV stat</t>
        </is>
      </c>
      <c r="H1031" s="18" t="inlineStr">
        <is>
          <t>Flumazenil 0.2 mg IV stat</t>
        </is>
      </c>
      <c r="I1031" s="15" t="inlineStr">
        <is>
          <t>1</t>
        </is>
      </c>
      <c r="J10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1" s="18" t="inlineStr"/>
      <c r="L1031" s="18" t="inlineStr">
        <is>
          <t>General Therapeutics</t>
        </is>
      </c>
      <c r="M1031" s="18" t="inlineStr">
        <is>
          <t>Clinic</t>
        </is>
      </c>
      <c r="N1031" s="18" t="inlineStr">
        <is>
          <t>ข้อ 2 (PLE_CC1_2533.md)</t>
        </is>
      </c>
      <c r="O1031" s="18" t="inlineStr">
        <is>
          <t>ข้อสอบจริง</t>
        </is>
      </c>
      <c r="P1031" s="18" t="inlineStr">
        <is>
          <t>ปี 2533</t>
        </is>
      </c>
    </row>
    <row r="1032">
      <c r="A1032" s="15" t="inlineStr">
        <is>
          <t>1053</t>
        </is>
      </c>
      <c r="B1032" s="18" t="inlineStr">
        <is>
          <t>ควบคุมระดับน้ำตาลในเลือด</t>
        </is>
      </c>
      <c r="C1032" s="18" t="inlineStr"/>
      <c r="D1032" s="18" t="inlineStr">
        <is>
          <t>Metformin 500 mg BID</t>
        </is>
      </c>
      <c r="E1032" s="18" t="inlineStr">
        <is>
          <t>Glipizide 5 mg OD</t>
        </is>
      </c>
      <c r="F1032" s="18" t="inlineStr">
        <is>
          <t>Empagliflozin 10 mg OD</t>
        </is>
      </c>
      <c r="G1032" s="18" t="inlineStr">
        <is>
          <t>Sitagliptin 100 mg OD</t>
        </is>
      </c>
      <c r="H1032" s="18" t="inlineStr">
        <is>
          <t>Liraglutide 1.2 mg SC OD</t>
        </is>
      </c>
      <c r="I1032" s="15" t="inlineStr">
        <is>
          <t>1</t>
        </is>
      </c>
      <c r="J1032" s="1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Ans  น่าจะควบคุมน้ าหนัก  เพราะในโจทย์ประเด็นชี้ให้เห็นว่าผู้ป่วยอ้วน  BMI = 30 (อ้วนในระดับ 2) อาจส่งผลต่อโรค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32" s="18" t="inlineStr"/>
      <c r="L1032" s="18" t="inlineStr">
        <is>
          <t>Diabetes &amp; Endocrine</t>
        </is>
      </c>
      <c r="M1032" s="18" t="inlineStr">
        <is>
          <t>Clinic</t>
        </is>
      </c>
      <c r="N1032" s="18" t="inlineStr">
        <is>
          <t>ข้อ 3 (PLE_CC1_2533.md)</t>
        </is>
      </c>
      <c r="O1032" s="18" t="inlineStr">
        <is>
          <t>ข้อสอบจริง</t>
        </is>
      </c>
      <c r="P1032" s="18" t="inlineStr">
        <is>
          <t>ปี 2533</t>
        </is>
      </c>
    </row>
    <row r="1033">
      <c r="A1033" s="15" t="inlineStr">
        <is>
          <t>1054</t>
        </is>
      </c>
      <c r="B1033" s="18" t="inlineStr">
        <is>
          <t>unpaired t-test</t>
        </is>
      </c>
      <c r="C1033" s="18" t="inlineStr"/>
      <c r="D1033" s="18" t="inlineStr">
        <is>
          <t>Case-Control Study (Odds Ratio: OR)</t>
        </is>
      </c>
      <c r="E1033" s="18" t="inlineStr">
        <is>
          <t>Cross-Sectional Survey Prevalence Study</t>
        </is>
      </c>
      <c r="F1033" s="18" t="inlineStr">
        <is>
          <t>Cost-Effectiveness Analysis (Incremental Cost-Effectiveness Ratio: ICER)</t>
        </is>
      </c>
      <c r="G1033" s="18" t="inlineStr">
        <is>
          <t>Cost-Utility Analysis (Quality-Adjusted Life Years: QALY)</t>
        </is>
      </c>
      <c r="H1033" s="18" t="inlineStr">
        <is>
          <t>Cost-Benefit Analysis (Net Monetary Benefit)</t>
        </is>
      </c>
      <c r="I1033" s="15" t="inlineStr">
        <is>
          <t>1</t>
        </is>
      </c>
      <c r="J1033" s="18"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33" s="18" t="inlineStr"/>
      <c r="L1033" s="18" t="inlineStr">
        <is>
          <t>Biostats &amp; Research</t>
        </is>
      </c>
      <c r="M1033" s="18" t="inlineStr">
        <is>
          <t>SAP</t>
        </is>
      </c>
      <c r="N1033" s="18" t="inlineStr">
        <is>
          <t>ข้อ 1 (PLE_CC1_2533.md)</t>
        </is>
      </c>
      <c r="O1033" s="18" t="inlineStr">
        <is>
          <t>ข้อสอบจริง</t>
        </is>
      </c>
      <c r="P1033" s="18" t="inlineStr">
        <is>
          <t>ปี 2533</t>
        </is>
      </c>
    </row>
    <row r="1034">
      <c r="A1034" s="15" t="inlineStr">
        <is>
          <t>1055</t>
        </is>
      </c>
      <c r="B1034" s="18" t="inlineStr">
        <is>
          <t>one way analysis of variance</t>
        </is>
      </c>
      <c r="C1034" s="18" t="inlineStr"/>
      <c r="D1034" s="18" t="inlineStr">
        <is>
          <t>Dimercaprol (BAL) 3 mg/kg IM</t>
        </is>
      </c>
      <c r="E1034" s="18" t="inlineStr">
        <is>
          <t>Ethanol 10% IV infusion for Methanol poisoning</t>
        </is>
      </c>
      <c r="F1034" s="18" t="inlineStr">
        <is>
          <t>Fomepizole 15 mg/kg IV loading</t>
        </is>
      </c>
      <c r="G1034" s="18" t="inlineStr">
        <is>
          <t>N-acetylcysteine (NAC) IV infusion protocol</t>
        </is>
      </c>
      <c r="H1034" s="18" t="inlineStr">
        <is>
          <t>Atropine sulfate 2 mg IV Q5-10 min</t>
        </is>
      </c>
      <c r="I1034" s="15" t="inlineStr">
        <is>
          <t>1</t>
        </is>
      </c>
      <c r="J10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4" s="18" t="inlineStr"/>
      <c r="L1034" s="18" t="inlineStr">
        <is>
          <t>General Therapeutics</t>
        </is>
      </c>
      <c r="M1034" s="18" t="inlineStr">
        <is>
          <t>Clinic</t>
        </is>
      </c>
      <c r="N1034" s="18" t="inlineStr">
        <is>
          <t>ข้อ 4 (PLE_CC1_2533.md)</t>
        </is>
      </c>
      <c r="O1034" s="18" t="inlineStr">
        <is>
          <t>ข้อสอบจริง</t>
        </is>
      </c>
      <c r="P1034" s="18" t="inlineStr">
        <is>
          <t>ปี 2533</t>
        </is>
      </c>
    </row>
    <row r="1035">
      <c r="A1035" s="15" t="inlineStr">
        <is>
          <t>1056</t>
        </is>
      </c>
      <c r="B1035" s="18" t="inlineStr">
        <is>
          <t>correlation Ans น่าจะเป็น one way analysis of variance</t>
        </is>
      </c>
      <c r="C1035" s="18" t="inlineStr"/>
      <c r="D1035" s="18" t="inlineStr">
        <is>
          <t>N-acetylcysteine (NAC) IV infusion protocol</t>
        </is>
      </c>
      <c r="E1035" s="18" t="inlineStr">
        <is>
          <t>Atropine sulfate 2 mg IV Q5-10 min</t>
        </is>
      </c>
      <c r="F1035" s="18" t="inlineStr">
        <is>
          <t>Pralidoxime (2-PAM) 1-2 g IV over 30 min</t>
        </is>
      </c>
      <c r="G1035" s="18" t="inlineStr">
        <is>
          <t>Naloxone 0.4 mg IV stat</t>
        </is>
      </c>
      <c r="H1035" s="18" t="inlineStr">
        <is>
          <t>Flumazenil 0.2 mg IV stat</t>
        </is>
      </c>
      <c r="I1035" s="15" t="inlineStr">
        <is>
          <t>1</t>
        </is>
      </c>
      <c r="J10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5" s="18" t="inlineStr"/>
      <c r="L1035" s="18" t="inlineStr">
        <is>
          <t>General Therapeutics</t>
        </is>
      </c>
      <c r="M1035" s="18" t="inlineStr">
        <is>
          <t>Clinic</t>
        </is>
      </c>
      <c r="N1035" s="18" t="inlineStr">
        <is>
          <t>ข้อ 5 (PLE_CC1_2533.md)</t>
        </is>
      </c>
      <c r="O1035" s="18" t="inlineStr">
        <is>
          <t>ข้อสอบจริง</t>
        </is>
      </c>
      <c r="P1035" s="18" t="inlineStr">
        <is>
          <t>ปี 2533</t>
        </is>
      </c>
    </row>
    <row r="1036">
      <c r="A1036" s="15" t="inlineStr">
        <is>
          <t>1057</t>
        </is>
      </c>
      <c r="B1036" s="18" t="inlineStr">
        <is>
          <t>กรรมพันธุ์ ( 5 )</t>
        </is>
      </c>
      <c r="C1036" s="18" t="inlineStr"/>
      <c r="D1036" s="18" t="inlineStr">
        <is>
          <t>Naloxone 0.4 mg IV stat</t>
        </is>
      </c>
      <c r="E1036" s="18" t="inlineStr">
        <is>
          <t>Flumazenil 0.2 mg IV stat</t>
        </is>
      </c>
      <c r="F1036" s="18" t="inlineStr">
        <is>
          <t>Vitamin K1 (Phytomenadione) 10 mg IV slow</t>
        </is>
      </c>
      <c r="G1036" s="18" t="inlineStr">
        <is>
          <t>Sodium thiosulfate 25% 50 mL IV</t>
        </is>
      </c>
      <c r="H1036" s="18" t="inlineStr">
        <is>
          <t>Calcium disodium EDTA 1 g IV</t>
        </is>
      </c>
      <c r="I1036" s="15" t="inlineStr">
        <is>
          <t>1</t>
        </is>
      </c>
      <c r="J10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36" s="18" t="inlineStr"/>
      <c r="L1036" s="18" t="inlineStr">
        <is>
          <t>General Therapeutics</t>
        </is>
      </c>
      <c r="M1036" s="18" t="inlineStr">
        <is>
          <t>Clinic</t>
        </is>
      </c>
      <c r="N1036" s="18" t="inlineStr">
        <is>
          <t>ข้อ 5 (PLE_CC1_2533.md)</t>
        </is>
      </c>
      <c r="O1036" s="18" t="inlineStr">
        <is>
          <t>ข้อสอบจริง</t>
        </is>
      </c>
      <c r="P1036" s="18" t="inlineStr">
        <is>
          <t>ปี 2533</t>
        </is>
      </c>
    </row>
    <row r="1037">
      <c r="A1037" s="15" t="inlineStr">
        <is>
          <t>1058</t>
        </is>
      </c>
      <c r="B1037" s="18" t="inlineStr">
        <is>
          <t>เม็ดเลือดแดงติดสีเข้มและมีขนาดเล็ก</t>
        </is>
      </c>
      <c r="C1037" s="18" t="inlineStr"/>
      <c r="D1037" s="18" t="inlineStr">
        <is>
          <t>Sodium thiosulfate 25% 50 mL IV</t>
        </is>
      </c>
      <c r="E1037" s="18" t="inlineStr">
        <is>
          <t>Calcium disodium EDTA 1 g IV</t>
        </is>
      </c>
      <c r="F1037" s="18" t="inlineStr">
        <is>
          <t>Desferrioxamine 1 g IM/IV</t>
        </is>
      </c>
      <c r="G1037" s="18" t="inlineStr">
        <is>
          <t>Dimercaprol (BAL) 3 mg/kg IM</t>
        </is>
      </c>
      <c r="H1037" s="18" t="inlineStr">
        <is>
          <t>Ethanol 10% IV infusion for Methanol poisoning</t>
        </is>
      </c>
      <c r="I1037" s="15" t="inlineStr">
        <is>
          <t>1</t>
        </is>
      </c>
      <c r="J10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7" s="18" t="inlineStr"/>
      <c r="L1037" s="18" t="inlineStr">
        <is>
          <t>General Therapeutics</t>
        </is>
      </c>
      <c r="M1037" s="18" t="inlineStr">
        <is>
          <t>Clinic</t>
        </is>
      </c>
      <c r="N1037" s="18" t="inlineStr">
        <is>
          <t>ข้อ 1 (PLE_CC1_2533.md)</t>
        </is>
      </c>
      <c r="O1037" s="18" t="inlineStr">
        <is>
          <t>ข้อสอบจริง</t>
        </is>
      </c>
      <c r="P1037" s="18" t="inlineStr">
        <is>
          <t>ปี 2533</t>
        </is>
      </c>
    </row>
    <row r="1038">
      <c r="A1038" s="15" t="inlineStr">
        <is>
          <t>1059</t>
        </is>
      </c>
      <c r="B1038" s="18" t="inlineStr">
        <is>
          <t>เม็ดเลือดแดงติดสีจางและมีขนาดเล็ก</t>
        </is>
      </c>
      <c r="C1038" s="18" t="inlineStr"/>
      <c r="D1038" s="18" t="inlineStr">
        <is>
          <t>Dimercaprol (BAL) 3 mg/kg IM</t>
        </is>
      </c>
      <c r="E1038" s="18" t="inlineStr">
        <is>
          <t>Ethanol 10% IV infusion for Methanol poisoning</t>
        </is>
      </c>
      <c r="F1038" s="18" t="inlineStr">
        <is>
          <t>Fomepizole 15 mg/kg IV loading</t>
        </is>
      </c>
      <c r="G1038" s="18" t="inlineStr">
        <is>
          <t>N-acetylcysteine (NAC) IV infusion protocol</t>
        </is>
      </c>
      <c r="H1038" s="18" t="inlineStr">
        <is>
          <t>Atropine sulfate 2 mg IV Q5-10 min</t>
        </is>
      </c>
      <c r="I1038" s="15" t="inlineStr">
        <is>
          <t>1</t>
        </is>
      </c>
      <c r="J10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8" s="18" t="inlineStr"/>
      <c r="L1038" s="18" t="inlineStr">
        <is>
          <t>General Therapeutics</t>
        </is>
      </c>
      <c r="M1038" s="18" t="inlineStr">
        <is>
          <t>Clinic</t>
        </is>
      </c>
      <c r="N1038" s="18" t="inlineStr">
        <is>
          <t>ข้อ 2 (PLE_CC1_2533.md)</t>
        </is>
      </c>
      <c r="O1038" s="18" t="inlineStr">
        <is>
          <t>ข้อสอบจริง</t>
        </is>
      </c>
      <c r="P1038" s="18" t="inlineStr">
        <is>
          <t>ปี 2533</t>
        </is>
      </c>
    </row>
    <row r="1039">
      <c r="A1039" s="15" t="inlineStr">
        <is>
          <t>1060</t>
        </is>
      </c>
      <c r="B1039" s="18" t="inlineStr">
        <is>
          <t>เม็ดเลือดแดงติดสีจางและมีขนาดใหญ่</t>
        </is>
      </c>
      <c r="C1039" s="18" t="inlineStr"/>
      <c r="D1039" s="18" t="inlineStr">
        <is>
          <t>N-acetylcysteine (NAC) IV infusion protocol</t>
        </is>
      </c>
      <c r="E1039" s="18" t="inlineStr">
        <is>
          <t>Atropine sulfate 2 mg IV Q5-10 min</t>
        </is>
      </c>
      <c r="F1039" s="18" t="inlineStr">
        <is>
          <t>Pralidoxime (2-PAM) 1-2 g IV over 30 min</t>
        </is>
      </c>
      <c r="G1039" s="18" t="inlineStr">
        <is>
          <t>Naloxone 0.4 mg IV stat</t>
        </is>
      </c>
      <c r="H1039" s="18" t="inlineStr">
        <is>
          <t>Flumazenil 0.2 mg IV stat</t>
        </is>
      </c>
      <c r="I1039" s="15" t="inlineStr">
        <is>
          <t>1</t>
        </is>
      </c>
      <c r="J10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9" s="18" t="inlineStr"/>
      <c r="L1039" s="18" t="inlineStr">
        <is>
          <t>General Therapeutics</t>
        </is>
      </c>
      <c r="M1039" s="18" t="inlineStr">
        <is>
          <t>Clinic</t>
        </is>
      </c>
      <c r="N1039" s="18" t="inlineStr">
        <is>
          <t>ข้อ 3 (PLE_CC1_2533.md)</t>
        </is>
      </c>
      <c r="O1039" s="18" t="inlineStr">
        <is>
          <t>ข้อสอบจริง</t>
        </is>
      </c>
      <c r="P1039" s="18" t="inlineStr">
        <is>
          <t>ปี 2533</t>
        </is>
      </c>
    </row>
    <row r="1040">
      <c r="A1040" s="15" t="inlineStr">
        <is>
          <t>1061</t>
        </is>
      </c>
      <c r="B1040" s="18" t="inlineStr">
        <is>
          <t>เม็ดเลือดแดงติดสีเข้มและมีขนาดใหญ่</t>
        </is>
      </c>
      <c r="C1040" s="18" t="inlineStr"/>
      <c r="D1040" s="18" t="inlineStr">
        <is>
          <t>Naloxone 0.4 mg IV stat</t>
        </is>
      </c>
      <c r="E1040" s="18" t="inlineStr">
        <is>
          <t>Flumazenil 0.2 mg IV stat</t>
        </is>
      </c>
      <c r="F1040" s="18" t="inlineStr">
        <is>
          <t>Vitamin K1 (Phytomenadione) 10 mg IV slow</t>
        </is>
      </c>
      <c r="G1040" s="18" t="inlineStr">
        <is>
          <t>Sodium thiosulfate 25% 50 mL IV</t>
        </is>
      </c>
      <c r="H1040" s="18" t="inlineStr">
        <is>
          <t>Calcium disodium EDTA 1 g IV</t>
        </is>
      </c>
      <c r="I1040" s="15" t="inlineStr">
        <is>
          <t>1</t>
        </is>
      </c>
      <c r="J10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0" s="18" t="inlineStr"/>
      <c r="L1040" s="18" t="inlineStr">
        <is>
          <t>General Therapeutics</t>
        </is>
      </c>
      <c r="M1040" s="18" t="inlineStr">
        <is>
          <t>Clinic</t>
        </is>
      </c>
      <c r="N1040" s="18" t="inlineStr">
        <is>
          <t>ข้อ 4 (PLE_CC1_2533.md)</t>
        </is>
      </c>
      <c r="O1040" s="18" t="inlineStr">
        <is>
          <t>ข้อสอบจริง</t>
        </is>
      </c>
      <c r="P1040" s="18" t="inlineStr">
        <is>
          <t>ปี 2533</t>
        </is>
      </c>
    </row>
    <row r="1041">
      <c r="A1041" s="15" t="inlineStr">
        <is>
          <t>1062</t>
        </is>
      </c>
      <c r="B1041" s="18" t="inlineStr">
        <is>
          <t>เม็ดเลือดแดงติดสีเข้มและมีขนาดปกติ ( 2 )</t>
        </is>
      </c>
      <c r="C1041" s="18" t="inlineStr"/>
      <c r="D1041" s="18" t="inlineStr">
        <is>
          <t>Sodium thiosulfate 25% 50 mL IV</t>
        </is>
      </c>
      <c r="E1041" s="18" t="inlineStr">
        <is>
          <t>Calcium disodium EDTA 1 g IV</t>
        </is>
      </c>
      <c r="F1041" s="18" t="inlineStr">
        <is>
          <t>Desferrioxamine 1 g IM/IV</t>
        </is>
      </c>
      <c r="G1041" s="18" t="inlineStr">
        <is>
          <t>Dimercaprol (BAL) 3 mg/kg IM</t>
        </is>
      </c>
      <c r="H1041" s="18" t="inlineStr">
        <is>
          <t>Ethanol 10% IV infusion for Methanol poisoning</t>
        </is>
      </c>
      <c r="I1041" s="15" t="inlineStr">
        <is>
          <t>1</t>
        </is>
      </c>
      <c r="J10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1" s="18" t="inlineStr"/>
      <c r="L1041" s="18" t="inlineStr">
        <is>
          <t>General Therapeutics</t>
        </is>
      </c>
      <c r="M1041" s="18" t="inlineStr">
        <is>
          <t>Clinic</t>
        </is>
      </c>
      <c r="N1041" s="18" t="inlineStr">
        <is>
          <t>ข้อ 5 (PLE_CC1_2533.md)</t>
        </is>
      </c>
      <c r="O1041" s="18" t="inlineStr">
        <is>
          <t>ข้อสอบจริง</t>
        </is>
      </c>
      <c r="P1041" s="18" t="inlineStr">
        <is>
          <t>ปี 2533</t>
        </is>
      </c>
    </row>
    <row r="1042">
      <c r="A1042" s="15" t="inlineStr">
        <is>
          <t>1063</t>
        </is>
      </c>
      <c r="B1042" s="18" t="inlineStr">
        <is>
          <t>Ferrus gluconate</t>
        </is>
      </c>
      <c r="C1042" s="18" t="inlineStr"/>
      <c r="D1042" s="18" t="inlineStr">
        <is>
          <t>Dimercaprol (BAL) 3 mg/kg IM</t>
        </is>
      </c>
      <c r="E1042" s="18" t="inlineStr">
        <is>
          <t>Ethanol 10% IV infusion for Methanol poisoning</t>
        </is>
      </c>
      <c r="F1042" s="18" t="inlineStr">
        <is>
          <t>Fomepizole 15 mg/kg IV loading</t>
        </is>
      </c>
      <c r="G1042" s="18" t="inlineStr">
        <is>
          <t>N-acetylcysteine (NAC) IV infusion protocol</t>
        </is>
      </c>
      <c r="H1042" s="18" t="inlineStr">
        <is>
          <t>Atropine sulfate 2 mg IV Q5-10 min</t>
        </is>
      </c>
      <c r="I1042" s="15" t="inlineStr">
        <is>
          <t>1</t>
        </is>
      </c>
      <c r="J10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2" s="18" t="inlineStr"/>
      <c r="L1042" s="18" t="inlineStr">
        <is>
          <t>General Therapeutics</t>
        </is>
      </c>
      <c r="M1042" s="18" t="inlineStr">
        <is>
          <t>Clinic</t>
        </is>
      </c>
      <c r="N1042" s="18" t="inlineStr">
        <is>
          <t>ข้อ 3 (PLE_CC1_2533.md)</t>
        </is>
      </c>
      <c r="O1042" s="18" t="inlineStr">
        <is>
          <t>ข้อสอบจริง</t>
        </is>
      </c>
      <c r="P1042" s="18" t="inlineStr">
        <is>
          <t>ปี 2533</t>
        </is>
      </c>
    </row>
    <row r="1043">
      <c r="A1043" s="15" t="inlineStr">
        <is>
          <t>1064</t>
        </is>
      </c>
      <c r="B1043" s="18" t="inlineStr">
        <is>
          <t>Norfloxacin ( 2 )</t>
        </is>
      </c>
      <c r="C1043" s="18" t="inlineStr"/>
      <c r="D1043" s="18" t="inlineStr">
        <is>
          <t>N-acetylcysteine (NAC) IV infusion protocol</t>
        </is>
      </c>
      <c r="E1043" s="18" t="inlineStr">
        <is>
          <t>Atropine sulfate 2 mg IV Q5-10 min</t>
        </is>
      </c>
      <c r="F1043" s="18" t="inlineStr">
        <is>
          <t>Pralidoxime (2-PAM) 1-2 g IV over 30 min</t>
        </is>
      </c>
      <c r="G1043" s="18" t="inlineStr">
        <is>
          <t>Naloxone 0.4 mg IV stat</t>
        </is>
      </c>
      <c r="H1043" s="18" t="inlineStr">
        <is>
          <t>Flumazenil 0.2 mg IV stat</t>
        </is>
      </c>
      <c r="I1043" s="15" t="inlineStr">
        <is>
          <t>1</t>
        </is>
      </c>
      <c r="J10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3" s="18" t="inlineStr"/>
      <c r="L1043" s="18" t="inlineStr">
        <is>
          <t>General Therapeutics</t>
        </is>
      </c>
      <c r="M1043" s="18" t="inlineStr">
        <is>
          <t>Clinic</t>
        </is>
      </c>
      <c r="N1043" s="18" t="inlineStr">
        <is>
          <t>ข้อ 5 (PLE_CC1_2533.md)</t>
        </is>
      </c>
      <c r="O1043" s="18" t="inlineStr">
        <is>
          <t>ข้อสอบจริง</t>
        </is>
      </c>
      <c r="P1043" s="18" t="inlineStr">
        <is>
          <t>ปี 2533</t>
        </is>
      </c>
    </row>
    <row r="1044">
      <c r="A1044" s="15" t="inlineStr">
        <is>
          <t>1065</t>
        </is>
      </c>
      <c r="B1044" s="18" t="inlineStr">
        <is>
          <t>เพื่อให้ออกฤทธิ์เนิ่น</t>
        </is>
      </c>
      <c r="C1044" s="18" t="inlineStr"/>
      <c r="D1044" s="18" t="inlineStr">
        <is>
          <t>Naloxone 0.4 mg IV stat</t>
        </is>
      </c>
      <c r="E1044" s="18" t="inlineStr">
        <is>
          <t>Flumazenil 0.2 mg IV stat</t>
        </is>
      </c>
      <c r="F1044" s="18" t="inlineStr">
        <is>
          <t>Vitamin K1 (Phytomenadione) 10 mg IV slow</t>
        </is>
      </c>
      <c r="G1044" s="18" t="inlineStr">
        <is>
          <t>Sodium thiosulfate 25% 50 mL IV</t>
        </is>
      </c>
      <c r="H1044" s="18" t="inlineStr">
        <is>
          <t>Calcium disodium EDTA 1 g IV</t>
        </is>
      </c>
      <c r="I1044" s="15" t="inlineStr">
        <is>
          <t>1</t>
        </is>
      </c>
      <c r="J10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4" s="18" t="inlineStr"/>
      <c r="L1044" s="18" t="inlineStr">
        <is>
          <t>General Therapeutics</t>
        </is>
      </c>
      <c r="M1044" s="18" t="inlineStr">
        <is>
          <t>Clinic</t>
        </is>
      </c>
      <c r="N1044" s="18" t="inlineStr">
        <is>
          <t>ข้อ 1 (PLE_CC1_2533.md)</t>
        </is>
      </c>
      <c r="O1044" s="18" t="inlineStr">
        <is>
          <t>ข้อสอบจริง</t>
        </is>
      </c>
      <c r="P1044" s="18" t="inlineStr">
        <is>
          <t>ปี 2533</t>
        </is>
      </c>
    </row>
    <row r="1045">
      <c r="A1045" s="15" t="inlineStr">
        <is>
          <t>1066</t>
        </is>
      </c>
      <c r="B1045" s="18" t="inlineStr">
        <is>
          <t>เพิ่มรสชาติ กลบรสกลบกลิ่นไม่ดี</t>
        </is>
      </c>
      <c r="C1045" s="18" t="inlineStr"/>
      <c r="D1045" s="18" t="inlineStr">
        <is>
          <t>Sodium thiosulfate 25% 50 mL IV</t>
        </is>
      </c>
      <c r="E1045" s="18" t="inlineStr">
        <is>
          <t>Calcium disodium EDTA 1 g IV</t>
        </is>
      </c>
      <c r="F1045" s="18" t="inlineStr">
        <is>
          <t>Desferrioxamine 1 g IM/IV</t>
        </is>
      </c>
      <c r="G1045" s="18" t="inlineStr">
        <is>
          <t>Dimercaprol (BAL) 3 mg/kg IM</t>
        </is>
      </c>
      <c r="H1045" s="18" t="inlineStr">
        <is>
          <t>Ethanol 10% IV infusion for Methanol poisoning</t>
        </is>
      </c>
      <c r="I1045" s="15" t="inlineStr">
        <is>
          <t>1</t>
        </is>
      </c>
      <c r="J104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5" s="18" t="inlineStr"/>
      <c r="L1045" s="18" t="inlineStr">
        <is>
          <t>General Therapeutics</t>
        </is>
      </c>
      <c r="M1045" s="18" t="inlineStr">
        <is>
          <t>Clinic</t>
        </is>
      </c>
      <c r="N1045" s="18" t="inlineStr">
        <is>
          <t>ข้อ 2 (PLE_CC1_2533.md)</t>
        </is>
      </c>
      <c r="O1045" s="18" t="inlineStr">
        <is>
          <t>ข้อสอบจริง</t>
        </is>
      </c>
      <c r="P1045" s="18" t="inlineStr">
        <is>
          <t>ปี 2533</t>
        </is>
      </c>
    </row>
    <row r="1046">
      <c r="A1046" s="15" t="inlineStr">
        <is>
          <t>1067</t>
        </is>
      </c>
      <c r="B1046" s="18" t="inlineStr">
        <is>
          <t>ป้องกันการเสื่อมสลายของตัวยา</t>
        </is>
      </c>
      <c r="C1046" s="18" t="inlineStr"/>
      <c r="D1046" s="18" t="inlineStr">
        <is>
          <t>Dimercaprol (BAL) 3 mg/kg IM</t>
        </is>
      </c>
      <c r="E1046" s="18" t="inlineStr">
        <is>
          <t>Ethanol 10% IV infusion for Methanol poisoning</t>
        </is>
      </c>
      <c r="F1046" s="18" t="inlineStr">
        <is>
          <t>Fomepizole 15 mg/kg IV loading</t>
        </is>
      </c>
      <c r="G1046" s="18" t="inlineStr">
        <is>
          <t>N-acetylcysteine (NAC) IV infusion protocol</t>
        </is>
      </c>
      <c r="H1046" s="18" t="inlineStr">
        <is>
          <t>Atropine sulfate 2 mg IV Q5-10 min</t>
        </is>
      </c>
      <c r="I1046" s="15" t="inlineStr">
        <is>
          <t>1</t>
        </is>
      </c>
      <c r="J104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6" s="18" t="inlineStr"/>
      <c r="L1046" s="18" t="inlineStr">
        <is>
          <t>General Therapeutics</t>
        </is>
      </c>
      <c r="M1046" s="18" t="inlineStr">
        <is>
          <t>Clinic</t>
        </is>
      </c>
      <c r="N1046" s="18" t="inlineStr">
        <is>
          <t>ข้อ 3 (PLE_CC1_2533.md)</t>
        </is>
      </c>
      <c r="O1046" s="18" t="inlineStr">
        <is>
          <t>ข้อสอบจริง</t>
        </is>
      </c>
      <c r="P1046" s="18" t="inlineStr">
        <is>
          <t>ปี 2533</t>
        </is>
      </c>
    </row>
    <row r="1047">
      <c r="A1047" s="15" t="inlineStr">
        <is>
          <t>1068</t>
        </is>
      </c>
      <c r="B1047" s="18" t="inlineStr">
        <is>
          <t>ป้องกันการระคายเคืองทางเดินอาหาร</t>
        </is>
      </c>
      <c r="C1047" s="18" t="inlineStr"/>
      <c r="D1047" s="18" t="inlineStr">
        <is>
          <t>N-acetylcysteine (NAC) IV infusion protocol</t>
        </is>
      </c>
      <c r="E1047" s="18" t="inlineStr">
        <is>
          <t>Atropine sulfate 2 mg IV Q5-10 min</t>
        </is>
      </c>
      <c r="F1047" s="18" t="inlineStr">
        <is>
          <t>Pralidoxime (2-PAM) 1-2 g IV over 30 min</t>
        </is>
      </c>
      <c r="G1047" s="18" t="inlineStr">
        <is>
          <t>Naloxone 0.4 mg IV stat</t>
        </is>
      </c>
      <c r="H1047" s="18" t="inlineStr">
        <is>
          <t>Flumazenil 0.2 mg IV stat</t>
        </is>
      </c>
      <c r="I1047" s="15" t="inlineStr">
        <is>
          <t>1</t>
        </is>
      </c>
      <c r="J10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7" s="18" t="inlineStr"/>
      <c r="L1047" s="18" t="inlineStr">
        <is>
          <t>General Therapeutics</t>
        </is>
      </c>
      <c r="M1047" s="18" t="inlineStr">
        <is>
          <t>Clinic</t>
        </is>
      </c>
      <c r="N1047" s="18" t="inlineStr">
        <is>
          <t>ข้อ 4 (PLE_CC1_2533.md)</t>
        </is>
      </c>
      <c r="O1047" s="18" t="inlineStr">
        <is>
          <t>ข้อสอบจริง</t>
        </is>
      </c>
      <c r="P1047" s="18" t="inlineStr">
        <is>
          <t>ปี 2533</t>
        </is>
      </c>
    </row>
    <row r="1048">
      <c r="A1048" s="15" t="inlineStr">
        <is>
          <t>1069</t>
        </is>
      </c>
      <c r="B1048" s="18" t="inlineStr">
        <is>
          <t>สะดวกต่อการกลืน ( 4 )</t>
        </is>
      </c>
      <c r="C1048" s="18" t="inlineStr"/>
      <c r="D1048" s="18" t="inlineStr">
        <is>
          <t>Naloxone 0.4 mg IV stat</t>
        </is>
      </c>
      <c r="E1048" s="18" t="inlineStr">
        <is>
          <t>Flumazenil 0.2 mg IV stat</t>
        </is>
      </c>
      <c r="F1048" s="18" t="inlineStr">
        <is>
          <t>Vitamin K1 (Phytomenadione) 10 mg IV slow</t>
        </is>
      </c>
      <c r="G1048" s="18" t="inlineStr">
        <is>
          <t>Sodium thiosulfate 25% 50 mL IV</t>
        </is>
      </c>
      <c r="H1048" s="18" t="inlineStr">
        <is>
          <t>Calcium disodium EDTA 1 g IV</t>
        </is>
      </c>
      <c r="I1048" s="15" t="inlineStr">
        <is>
          <t>1</t>
        </is>
      </c>
      <c r="J10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8" s="18" t="inlineStr"/>
      <c r="L1048" s="18" t="inlineStr">
        <is>
          <t>General Therapeutics</t>
        </is>
      </c>
      <c r="M1048" s="18" t="inlineStr">
        <is>
          <t>Clinic</t>
        </is>
      </c>
      <c r="N1048" s="18" t="inlineStr">
        <is>
          <t>ข้อ 5 (PLE_CC1_2533.md)</t>
        </is>
      </c>
      <c r="O1048" s="18" t="inlineStr">
        <is>
          <t>ข้อสอบจริง</t>
        </is>
      </c>
      <c r="P1048" s="18" t="inlineStr">
        <is>
          <t>ปี 2533</t>
        </is>
      </c>
    </row>
    <row r="1049">
      <c r="A1049" s="15" t="inlineStr">
        <is>
          <t>1070</t>
        </is>
      </c>
      <c r="B1049" s="18" t="inlineStr">
        <is>
          <t>polyethylene glycol 4000</t>
        </is>
      </c>
      <c r="C1049" s="18" t="inlineStr"/>
      <c r="D1049" s="18" t="inlineStr">
        <is>
          <t>Sodium thiosulfate 25% 50 mL IV</t>
        </is>
      </c>
      <c r="E1049" s="18" t="inlineStr">
        <is>
          <t>Calcium disodium EDTA 1 g IV</t>
        </is>
      </c>
      <c r="F1049" s="18" t="inlineStr">
        <is>
          <t>Desferrioxamine 1 g IM/IV</t>
        </is>
      </c>
      <c r="G1049" s="18" t="inlineStr">
        <is>
          <t>Dimercaprol (BAL) 3 mg/kg IM</t>
        </is>
      </c>
      <c r="H1049" s="18" t="inlineStr">
        <is>
          <t>Ethanol 10% IV infusion for Methanol poisoning</t>
        </is>
      </c>
      <c r="I1049" s="15" t="inlineStr">
        <is>
          <t>1</t>
        </is>
      </c>
      <c r="J10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9" s="18" t="inlineStr"/>
      <c r="L1049" s="18" t="inlineStr">
        <is>
          <t>General Therapeutics</t>
        </is>
      </c>
      <c r="M1049" s="18" t="inlineStr">
        <is>
          <t>Clinic</t>
        </is>
      </c>
      <c r="N1049" s="18" t="inlineStr">
        <is>
          <t>ข้อ 4 (PLE_CC1_2533.md)</t>
        </is>
      </c>
      <c r="O1049" s="18" t="inlineStr">
        <is>
          <t>ข้อสอบจริง</t>
        </is>
      </c>
      <c r="P1049" s="18" t="inlineStr">
        <is>
          <t>ปี 2533</t>
        </is>
      </c>
    </row>
    <row r="1050">
      <c r="A1050" s="15" t="inlineStr">
        <is>
          <t>1071</t>
        </is>
      </c>
      <c r="B1050" s="18" t="inlineStr">
        <is>
          <t>sucrose……… ( 2 )</t>
        </is>
      </c>
      <c r="C1050" s="18" t="inlineStr"/>
      <c r="D1050" s="18" t="inlineStr">
        <is>
          <t>Dimercaprol (BAL) 3 mg/kg IM</t>
        </is>
      </c>
      <c r="E1050" s="18" t="inlineStr">
        <is>
          <t>Ethanol 10% IV infusion for Methanol poisoning</t>
        </is>
      </c>
      <c r="F1050" s="18" t="inlineStr">
        <is>
          <t>Fomepizole 15 mg/kg IV loading</t>
        </is>
      </c>
      <c r="G1050" s="18" t="inlineStr">
        <is>
          <t>N-acetylcysteine (NAC) IV infusion protocol</t>
        </is>
      </c>
      <c r="H1050" s="18" t="inlineStr">
        <is>
          <t>Atropine sulfate 2 mg IV Q5-10 min</t>
        </is>
      </c>
      <c r="I1050" s="15" t="inlineStr">
        <is>
          <t>1</t>
        </is>
      </c>
      <c r="J105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0" s="18" t="inlineStr"/>
      <c r="L1050" s="18" t="inlineStr">
        <is>
          <t>General Therapeutics</t>
        </is>
      </c>
      <c r="M1050" s="18" t="inlineStr">
        <is>
          <t>Clinic</t>
        </is>
      </c>
      <c r="N1050" s="18" t="inlineStr">
        <is>
          <t>ข้อ 5 (PLE_CC1_2533.md)</t>
        </is>
      </c>
      <c r="O1050" s="18" t="inlineStr">
        <is>
          <t>ข้อสอบจริง</t>
        </is>
      </c>
      <c r="P1050" s="18" t="inlineStr">
        <is>
          <t>ปี 2533</t>
        </is>
      </c>
    </row>
    <row r="1051">
      <c r="A1051" s="15" t="inlineStr">
        <is>
          <t>1072</t>
        </is>
      </c>
      <c r="B1051" s="18" t="inlineStr">
        <is>
          <t>การไทรเทรต Kmno4 ดังปฏิกิริยาต่อไปนี้ จงหาค่า A Kmno4 + A Fe+2 + 8H Mn+2 + A Fe+3 + 4H2O</t>
        </is>
      </c>
      <c r="C1051" s="18" t="inlineStr"/>
      <c r="D1051" s="18" t="inlineStr">
        <is>
          <t>N-acetylcysteine (NAC) IV infusion protocol</t>
        </is>
      </c>
      <c r="E1051" s="18" t="inlineStr">
        <is>
          <t>Atropine sulfate 2 mg IV Q5-10 min</t>
        </is>
      </c>
      <c r="F1051" s="18" t="inlineStr">
        <is>
          <t>Pralidoxime (2-PAM) 1-2 g IV over 30 min</t>
        </is>
      </c>
      <c r="G1051" s="18" t="inlineStr">
        <is>
          <t>Naloxone 0.4 mg IV stat</t>
        </is>
      </c>
      <c r="H1051" s="18" t="inlineStr">
        <is>
          <t>Flumazenil 0.2 mg IV stat</t>
        </is>
      </c>
      <c r="I1051" s="15" t="inlineStr">
        <is>
          <t>1</t>
        </is>
      </c>
      <c r="J105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1" s="18" t="inlineStr"/>
      <c r="L1051" s="18" t="inlineStr">
        <is>
          <t>General Therapeutics</t>
        </is>
      </c>
      <c r="M1051" s="18" t="inlineStr">
        <is>
          <t>Clinic</t>
        </is>
      </c>
      <c r="N1051" s="18" t="inlineStr">
        <is>
          <t>ข้อ 8 (PLE_CC1_2533.md)</t>
        </is>
      </c>
      <c r="O1051" s="18" t="inlineStr">
        <is>
          <t>ข้อสอบจริง</t>
        </is>
      </c>
      <c r="P1051" s="18" t="inlineStr">
        <is>
          <t>ปี 2533</t>
        </is>
      </c>
    </row>
    <row r="1052">
      <c r="A1052" s="15" t="inlineStr">
        <is>
          <t>1073</t>
        </is>
      </c>
      <c r="B1052" s="18" t="inlineStr">
        <is>
          <t>จงหากรัมสมมูลของ KMnO4 กำหนดให้มี MW KMnO4 = 158</t>
        </is>
      </c>
      <c r="C1052" s="18" t="inlineStr"/>
      <c r="D1052" s="18" t="inlineStr">
        <is>
          <t>Naloxone 0.4 mg IV stat</t>
        </is>
      </c>
      <c r="E1052" s="18" t="inlineStr">
        <is>
          <t>Flumazenil 0.2 mg IV stat</t>
        </is>
      </c>
      <c r="F1052" s="18" t="inlineStr">
        <is>
          <t>Vitamin K1 (Phytomenadione) 10 mg IV slow</t>
        </is>
      </c>
      <c r="G1052" s="18" t="inlineStr">
        <is>
          <t>Sodium thiosulfate 25% 50 mL IV</t>
        </is>
      </c>
      <c r="H1052" s="18" t="inlineStr">
        <is>
          <t>Calcium disodium EDTA 1 g IV</t>
        </is>
      </c>
      <c r="I1052" s="15" t="inlineStr">
        <is>
          <t>1</t>
        </is>
      </c>
      <c r="J105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2" s="18" t="inlineStr"/>
      <c r="L1052" s="18" t="inlineStr">
        <is>
          <t>General Therapeutics</t>
        </is>
      </c>
      <c r="M1052" s="18" t="inlineStr">
        <is>
          <t>Clinic</t>
        </is>
      </c>
      <c r="N1052" s="18" t="inlineStr">
        <is>
          <t>ข้อ 9 (PLE_CC1_2533.md)</t>
        </is>
      </c>
      <c r="O1052" s="18" t="inlineStr">
        <is>
          <t>ข้อสอบจริง</t>
        </is>
      </c>
      <c r="P1052" s="18" t="inlineStr">
        <is>
          <t>ปี 2533</t>
        </is>
      </c>
    </row>
    <row r="1053">
      <c r="A1053" s="15" t="inlineStr">
        <is>
          <t>1074</t>
        </is>
      </c>
      <c r="B1053" s="18" t="inlineStr">
        <is>
          <t>เพิ่มการปลดปล่อยยา</t>
        </is>
      </c>
      <c r="C1053" s="18" t="inlineStr"/>
      <c r="D1053" s="18" t="inlineStr">
        <is>
          <t>Sodium thiosulfate 25% 50 mL IV</t>
        </is>
      </c>
      <c r="E1053" s="18" t="inlineStr">
        <is>
          <t>Calcium disodium EDTA 1 g IV</t>
        </is>
      </c>
      <c r="F1053" s="18" t="inlineStr">
        <is>
          <t>Desferrioxamine 1 g IM/IV</t>
        </is>
      </c>
      <c r="G1053" s="18" t="inlineStr">
        <is>
          <t>Dimercaprol (BAL) 3 mg/kg IM</t>
        </is>
      </c>
      <c r="H1053" s="18" t="inlineStr">
        <is>
          <t>Ethanol 10% IV infusion for Methanol poisoning</t>
        </is>
      </c>
      <c r="I1053" s="15" t="inlineStr">
        <is>
          <t>1</t>
        </is>
      </c>
      <c r="J10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3" s="18" t="inlineStr"/>
      <c r="L1053" s="18" t="inlineStr">
        <is>
          <t>General Therapeutics</t>
        </is>
      </c>
      <c r="M1053" s="18" t="inlineStr">
        <is>
          <t>Clinic</t>
        </is>
      </c>
      <c r="N1053" s="18" t="inlineStr">
        <is>
          <t>ข้อ 1 (PLE_CC1_2533.md)</t>
        </is>
      </c>
      <c r="O1053" s="18" t="inlineStr">
        <is>
          <t>ข้อสอบจริง</t>
        </is>
      </c>
      <c r="P1053" s="18" t="inlineStr">
        <is>
          <t>ปี 2533</t>
        </is>
      </c>
    </row>
    <row r="1054">
      <c r="A1054" s="15" t="inlineStr">
        <is>
          <t>1075</t>
        </is>
      </c>
      <c r="B1054" s="18" t="inlineStr">
        <is>
          <t>ให้ทาทิ้งไว้ 30 นาที แล้วล้างออกเพื่อป้องกันอาการระคายเคือง</t>
        </is>
      </c>
      <c r="C1054" s="18" t="inlineStr"/>
      <c r="D1054" s="18" t="inlineStr">
        <is>
          <t>Dimercaprol (BAL) 3 mg/kg IM</t>
        </is>
      </c>
      <c r="E1054" s="18" t="inlineStr">
        <is>
          <t>Ethanol 10% IV infusion for Methanol poisoning</t>
        </is>
      </c>
      <c r="F1054" s="18" t="inlineStr">
        <is>
          <t>Fomepizole 15 mg/kg IV loading</t>
        </is>
      </c>
      <c r="G1054" s="18" t="inlineStr">
        <is>
          <t>N-acetylcysteine (NAC) IV infusion protocol</t>
        </is>
      </c>
      <c r="H1054" s="18" t="inlineStr">
        <is>
          <t>Atropine sulfate 2 mg IV Q5-10 min</t>
        </is>
      </c>
      <c r="I1054" s="15" t="inlineStr">
        <is>
          <t>1</t>
        </is>
      </c>
      <c r="J10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4" s="18" t="inlineStr"/>
      <c r="L1054" s="18" t="inlineStr">
        <is>
          <t>General Therapeutics</t>
        </is>
      </c>
      <c r="M1054" s="18" t="inlineStr">
        <is>
          <t>Clinic</t>
        </is>
      </c>
      <c r="N1054" s="18" t="inlineStr">
        <is>
          <t>ข้อ 4 (PLE_CC1_2533.md)</t>
        </is>
      </c>
      <c r="O1054" s="18" t="inlineStr">
        <is>
          <t>ข้อสอบจริง</t>
        </is>
      </c>
      <c r="P1054" s="18" t="inlineStr">
        <is>
          <t>ปี 2533</t>
        </is>
      </c>
    </row>
    <row r="1055">
      <c r="A1055" s="15" t="inlineStr">
        <is>
          <t>1076</t>
        </is>
      </c>
      <c r="B1055" s="18" t="inlineStr">
        <is>
          <t>หยุดยา เนื่องจากผู้ป่วยแพ้ยา</t>
        </is>
      </c>
      <c r="C1055" s="18" t="inlineStr"/>
      <c r="D1055" s="18" t="inlineStr">
        <is>
          <t>Cetirizine 10 mg OD</t>
        </is>
      </c>
      <c r="E1055" s="18" t="inlineStr">
        <is>
          <t>Loratadine 10 mg OD</t>
        </is>
      </c>
      <c r="F1055" s="18" t="inlineStr">
        <is>
          <t>Fexofenadine 180 mg OD</t>
        </is>
      </c>
      <c r="G1055" s="18" t="inlineStr">
        <is>
          <t>Chlorpheniramine 4 mg TID</t>
        </is>
      </c>
      <c r="H1055" s="18" t="inlineStr">
        <is>
          <t>Fluticasone furoate nasal spray</t>
        </is>
      </c>
      <c r="I1055" s="15" t="inlineStr">
        <is>
          <t>1</t>
        </is>
      </c>
      <c r="J1055" s="18"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5" s="18" t="inlineStr"/>
      <c r="L1055" s="18" t="inlineStr">
        <is>
          <t>Allergy &amp; Immunology</t>
        </is>
      </c>
      <c r="M1055" s="18" t="inlineStr">
        <is>
          <t>Clinic</t>
        </is>
      </c>
      <c r="N1055" s="18" t="inlineStr">
        <is>
          <t>ข้อ 1 (PLE_CC1_2533.md)</t>
        </is>
      </c>
      <c r="O1055" s="18" t="inlineStr">
        <is>
          <t>ข้อสอบจริง</t>
        </is>
      </c>
      <c r="P1055" s="18" t="inlineStr">
        <is>
          <t>ปี 2533</t>
        </is>
      </c>
    </row>
    <row r="1056">
      <c r="A1056" s="15" t="inlineStr">
        <is>
          <t>1077</t>
        </is>
      </c>
      <c r="B1056" s="18" t="inlineStr">
        <is>
          <t>ลดขนาดยาลง หรือลดความถี่ในการทา</t>
        </is>
      </c>
      <c r="C1056" s="18" t="inlineStr"/>
      <c r="D1056" s="18" t="inlineStr">
        <is>
          <t>Naloxone 0.4 mg IV stat</t>
        </is>
      </c>
      <c r="E1056" s="18" t="inlineStr">
        <is>
          <t>Flumazenil 0.2 mg IV stat</t>
        </is>
      </c>
      <c r="F1056" s="18" t="inlineStr">
        <is>
          <t>Vitamin K1 (Phytomenadione) 10 mg IV slow</t>
        </is>
      </c>
      <c r="G1056" s="18" t="inlineStr">
        <is>
          <t>Sodium thiosulfate 25% 50 mL IV</t>
        </is>
      </c>
      <c r="H1056" s="18" t="inlineStr">
        <is>
          <t>Calcium disodium EDTA 1 g IV</t>
        </is>
      </c>
      <c r="I1056" s="15" t="inlineStr">
        <is>
          <t>1</t>
        </is>
      </c>
      <c r="J10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6" s="18" t="inlineStr"/>
      <c r="L1056" s="18" t="inlineStr">
        <is>
          <t>General Therapeutics</t>
        </is>
      </c>
      <c r="M1056" s="18" t="inlineStr">
        <is>
          <t>Clinic</t>
        </is>
      </c>
      <c r="N1056" s="18" t="inlineStr">
        <is>
          <t>ข้อ 4 (PLE_CC1_2533.md)</t>
        </is>
      </c>
      <c r="O1056" s="18" t="inlineStr">
        <is>
          <t>ข้อสอบจริง</t>
        </is>
      </c>
      <c r="P1056" s="18" t="inlineStr">
        <is>
          <t>ปี 2533</t>
        </is>
      </c>
    </row>
    <row r="1057">
      <c r="A1057" s="15" t="inlineStr">
        <is>
          <t>1078</t>
        </is>
      </c>
      <c r="B1057" s="18" t="inlineStr">
        <is>
          <t>เพิ่มฤทธิ์การฆ่าเชื้อแบคทีเรีย</t>
        </is>
      </c>
      <c r="C1057" s="18" t="inlineStr"/>
      <c r="D1057" s="18" t="inlineStr">
        <is>
          <t>Sodium thiosulfate 25% 50 mL IV</t>
        </is>
      </c>
      <c r="E1057" s="18" t="inlineStr">
        <is>
          <t>Calcium disodium EDTA 1 g IV</t>
        </is>
      </c>
      <c r="F1057" s="18" t="inlineStr">
        <is>
          <t>Desferrioxamine 1 g IM/IV</t>
        </is>
      </c>
      <c r="G1057" s="18" t="inlineStr">
        <is>
          <t>Dimercaprol (BAL) 3 mg/kg IM</t>
        </is>
      </c>
      <c r="H1057" s="18" t="inlineStr">
        <is>
          <t>Ethanol 10% IV infusion for Methanol poisoning</t>
        </is>
      </c>
      <c r="I1057" s="15" t="inlineStr">
        <is>
          <t>1</t>
        </is>
      </c>
      <c r="J10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7" s="18" t="inlineStr"/>
      <c r="L1057" s="18" t="inlineStr">
        <is>
          <t>General Therapeutics</t>
        </is>
      </c>
      <c r="M1057" s="18" t="inlineStr">
        <is>
          <t>Clinic</t>
        </is>
      </c>
      <c r="N1057" s="18" t="inlineStr">
        <is>
          <t>ข้อ 4 (PLE_CC1_2533.md)</t>
        </is>
      </c>
      <c r="O1057" s="18" t="inlineStr">
        <is>
          <t>ข้อสอบจริง</t>
        </is>
      </c>
      <c r="P1057" s="18" t="inlineStr">
        <is>
          <t>ปี 2533</t>
        </is>
      </c>
    </row>
    <row r="1058">
      <c r="A1058" s="15" t="inlineStr">
        <is>
          <t>1079</t>
        </is>
      </c>
      <c r="B1058" s="18" t="inlineStr">
        <is>
          <t>เพื่อเตรียมเป็นเจลหรือสารละลาย ++++ ยังหาคำตอบไม่ได้อ่ะคะ ระหว่าง ข้อ 3 และ ข้อ 4 เด๋วหาให้อีกทีนะคะ ++++++ 7.ข้อใดผิดเมื่อเทียบโครงสร้าง Clindamycin กับ A</t>
        </is>
      </c>
      <c r="C1058" s="18" t="inlineStr"/>
      <c r="D1058" s="18" t="inlineStr">
        <is>
          <t>Dimercaprol (BAL) 3 mg/kg IM</t>
        </is>
      </c>
      <c r="E1058" s="18" t="inlineStr">
        <is>
          <t>Ethanol 10% IV infusion for Methanol poisoning</t>
        </is>
      </c>
      <c r="F1058" s="18" t="inlineStr">
        <is>
          <t>Fomepizole 15 mg/kg IV loading</t>
        </is>
      </c>
      <c r="G1058" s="18" t="inlineStr">
        <is>
          <t>N-acetylcysteine (NAC) IV infusion protocol</t>
        </is>
      </c>
      <c r="H1058" s="18" t="inlineStr">
        <is>
          <t>Atropine sulfate 2 mg IV Q5-10 min</t>
        </is>
      </c>
      <c r="I1058" s="15" t="inlineStr">
        <is>
          <t>1</t>
        </is>
      </c>
      <c r="J10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8" s="18" t="inlineStr"/>
      <c r="L1058" s="18" t="inlineStr">
        <is>
          <t>General Therapeutics</t>
        </is>
      </c>
      <c r="M1058" s="18" t="inlineStr">
        <is>
          <t>Clinic</t>
        </is>
      </c>
      <c r="N1058" s="18" t="inlineStr">
        <is>
          <t>ข้อ 5 (PLE_CC1_2533.md)</t>
        </is>
      </c>
      <c r="O1058" s="18" t="inlineStr">
        <is>
          <t>ข้อสอบจริง</t>
        </is>
      </c>
      <c r="P1058" s="18" t="inlineStr">
        <is>
          <t>ปี 2533</t>
        </is>
      </c>
    </row>
    <row r="1059">
      <c r="A1059" s="15" t="inlineStr">
        <is>
          <t>1080</t>
        </is>
      </c>
      <c r="B1059" s="18" t="inlineStr">
        <is>
          <t>ดูดซึมได้ไม่เท่ากัน</t>
        </is>
      </c>
      <c r="C1059" s="18" t="inlineStr"/>
      <c r="D1059" s="18" t="inlineStr">
        <is>
          <t>N-acetylcysteine (NAC) IV infusion protocol</t>
        </is>
      </c>
      <c r="E1059" s="18" t="inlineStr">
        <is>
          <t>Atropine sulfate 2 mg IV Q5-10 min</t>
        </is>
      </c>
      <c r="F1059" s="18" t="inlineStr">
        <is>
          <t>Pralidoxime (2-PAM) 1-2 g IV over 30 min</t>
        </is>
      </c>
      <c r="G1059" s="18" t="inlineStr">
        <is>
          <t>Naloxone 0.4 mg IV stat</t>
        </is>
      </c>
      <c r="H1059" s="18" t="inlineStr">
        <is>
          <t>Flumazenil 0.2 mg IV stat</t>
        </is>
      </c>
      <c r="I1059" s="15" t="inlineStr">
        <is>
          <t>1</t>
        </is>
      </c>
      <c r="J10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9" s="18" t="inlineStr"/>
      <c r="L1059" s="18" t="inlineStr">
        <is>
          <t>General Therapeutics</t>
        </is>
      </c>
      <c r="M1059" s="18" t="inlineStr">
        <is>
          <t>Clinic</t>
        </is>
      </c>
      <c r="N1059" s="18" t="inlineStr">
        <is>
          <t>ข้อ 1 (PLE_CC1_2533.md)</t>
        </is>
      </c>
      <c r="O1059" s="18" t="inlineStr">
        <is>
          <t>ข้อสอบจริง</t>
        </is>
      </c>
      <c r="P1059" s="18" t="inlineStr">
        <is>
          <t>ปี 2533</t>
        </is>
      </c>
    </row>
    <row r="1060">
      <c r="A1060" s="15" t="inlineStr">
        <is>
          <t>1081</t>
        </is>
      </c>
      <c r="B1060" s="18" t="inlineStr">
        <is>
          <t>ต้านอนุมูลอิสระ</t>
        </is>
      </c>
      <c r="C1060" s="18" t="inlineStr"/>
      <c r="D1060" s="18" t="inlineStr">
        <is>
          <t>Naloxone 0.4 mg IV stat</t>
        </is>
      </c>
      <c r="E1060" s="18" t="inlineStr">
        <is>
          <t>Flumazenil 0.2 mg IV stat</t>
        </is>
      </c>
      <c r="F1060" s="18" t="inlineStr">
        <is>
          <t>Vitamin K1 (Phytomenadione) 10 mg IV slow</t>
        </is>
      </c>
      <c r="G1060" s="18" t="inlineStr">
        <is>
          <t>Sodium thiosulfate 25% 50 mL IV</t>
        </is>
      </c>
      <c r="H1060" s="18" t="inlineStr">
        <is>
          <t>Calcium disodium EDTA 1 g IV</t>
        </is>
      </c>
      <c r="I1060" s="15" t="inlineStr">
        <is>
          <t>1</t>
        </is>
      </c>
      <c r="J10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0" s="18" t="inlineStr"/>
      <c r="L1060" s="18" t="inlineStr">
        <is>
          <t>General Therapeutics</t>
        </is>
      </c>
      <c r="M1060" s="18" t="inlineStr">
        <is>
          <t>Clinic</t>
        </is>
      </c>
      <c r="N1060" s="18" t="inlineStr">
        <is>
          <t>ข้อ 3 (PLE_CC1_2533.md)</t>
        </is>
      </c>
      <c r="O1060" s="18" t="inlineStr">
        <is>
          <t>ข้อสอบจริง</t>
        </is>
      </c>
      <c r="P1060" s="18" t="inlineStr">
        <is>
          <t>ปี 2533</t>
        </is>
      </c>
    </row>
    <row r="1061">
      <c r="A1061" s="15" t="inlineStr">
        <is>
          <t>1082</t>
        </is>
      </c>
      <c r="B1061" s="18" t="inlineStr">
        <is>
          <t>ข้อใดต่อไปนี้เกี่ยวข้องกับผลิตภัณฑ์ที่ผู้ป่วยรายนี้ใช้</t>
        </is>
      </c>
      <c r="C1061" s="18" t="inlineStr"/>
      <c r="D1061" s="18" t="inlineStr">
        <is>
          <t>เป็นนมวัวที่มีการดัดแปลงคาร์โบไฮเดรต</t>
        </is>
      </c>
      <c r="E1061" s="18" t="inlineStr">
        <is>
          <t>เป็นนมวัวที่มีการดัดแปลงโปรตีน</t>
        </is>
      </c>
      <c r="F1061" s="18" t="inlineStr">
        <is>
          <t>เป็นนมวัวที่มี casine สูงกว่านมแม่</t>
        </is>
      </c>
      <c r="G1061" s="18" t="inlineStr">
        <is>
          <t>เป็นผลิตภัณฑ์จากนมถั่วเหลือง</t>
        </is>
      </c>
      <c r="H1061" s="18" t="inlineStr">
        <is>
          <t>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t>
        </is>
      </c>
      <c r="I1061" s="15" t="inlineStr">
        <is>
          <t>1</t>
        </is>
      </c>
      <c r="J1061" s="18" t="inlineStr">
        <is>
          <t>✅ คำตอบที่ถูกต้อง: ข้อ ก. เป็นนมวัวที่มีการดัดแปลงคาร์โบไฮเดรต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เป็นนมวัวที่มีการดัดแปลงคาร์โบไฮเดรต การเลือก เป็นนมวัวที่มีการดัดแปลงคาร์โบไฮเดรต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(เป็นนมวัวที่มีการดัดแปลงโปรตีน): ข้อนี้ไม่ใช่คำตอบที่ถูกต้องสำหรับภาวะ General Therapeutics เนื่องจากกลไกการออกฤทธิ์, efficacy หรือข้อบ่งใช้ไม่ตรงกับโจทย์ที่กำหนด
• ข้อ ค. (เป็นนมวัวที่มี casine สูงกว่านมแม่): ข้อนี้ไม่ใช่คำตอบที่ถูกต้องสำหรับภาวะ General Therapeutics เนื่องจากกลไกการออกฤทธิ์, efficacy หรือข้อบ่งใช้ไม่ตรงกับโจทย์ที่กำหนด
• ข้อ ง. (เป็นผลิตภัณฑ์จากนมถั่วเหลือง): ข้อนี้ไม่ใช่คำตอบที่ถูกต้องสำหรับภาวะ General Therapeutics เนื่องจากกลไกการออกฤทธิ์, efficacy หรือข้อบ่งใช้ไม่ตรงกับโจทย์ที่กำหนด
• ข้อ จ. (เป็นผลิตภัณฑ์นมที่มี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1" s="18" t="inlineStr"/>
      <c r="L1061" s="18" t="inlineStr">
        <is>
          <t>General Therapeutics</t>
        </is>
      </c>
      <c r="M1061" s="18" t="inlineStr">
        <is>
          <t>Clinic</t>
        </is>
      </c>
      <c r="N1061" s="18" t="inlineStr">
        <is>
          <t>ข้อ 2 (PLE_CC1_2533.md)</t>
        </is>
      </c>
      <c r="O1061" s="18" t="inlineStr">
        <is>
          <t>ข้อสอบจริง</t>
        </is>
      </c>
      <c r="P1061" s="18" t="inlineStr">
        <is>
          <t>ปี 2533</t>
        </is>
      </c>
    </row>
    <row r="1062">
      <c r="A1062" s="15" t="inlineStr">
        <is>
          <t>1083</t>
        </is>
      </c>
      <c r="B1062" s="18" t="inlineStr">
        <is>
          <t>การป้องกันปฐมภูมิ (Primary prevention) คือ การส่งเสริมสุขภาพ และการป้องกันที่จำเพาะในภาวะหรือโรคที่ ป้องกันได้</t>
        </is>
      </c>
      <c r="C1062" s="18" t="inlineStr"/>
      <c r="D1062" s="18" t="inlineStr">
        <is>
          <t>Dimercaprol (BAL) 3 mg/kg IM</t>
        </is>
      </c>
      <c r="E1062" s="18" t="inlineStr">
        <is>
          <t>Ethanol 10% IV infusion for Methanol poisoning</t>
        </is>
      </c>
      <c r="F1062" s="18" t="inlineStr">
        <is>
          <t>Fomepizole 15 mg/kg IV loading</t>
        </is>
      </c>
      <c r="G1062" s="18" t="inlineStr">
        <is>
          <t>N-acetylcysteine (NAC) IV infusion protocol</t>
        </is>
      </c>
      <c r="H1062" s="18" t="inlineStr">
        <is>
          <t>Atropine sulfate 2 mg IV Q5-10 min</t>
        </is>
      </c>
      <c r="I1062" s="15" t="inlineStr">
        <is>
          <t>1</t>
        </is>
      </c>
      <c r="J10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2" s="18" t="inlineStr"/>
      <c r="L1062" s="18" t="inlineStr">
        <is>
          <t>General Therapeutics</t>
        </is>
      </c>
      <c r="M1062" s="18" t="inlineStr">
        <is>
          <t>Clinic</t>
        </is>
      </c>
      <c r="N1062" s="18" t="inlineStr">
        <is>
          <t>ข้อ 1 (PLE_CC1_2533.md)</t>
        </is>
      </c>
      <c r="O1062" s="18" t="inlineStr">
        <is>
          <t>ข้อสอบจริง</t>
        </is>
      </c>
      <c r="P1062" s="18" t="inlineStr">
        <is>
          <t>ปี 2533</t>
        </is>
      </c>
    </row>
    <row r="1063">
      <c r="A1063" s="15" t="inlineStr">
        <is>
          <t>1084</t>
        </is>
      </c>
      <c r="B1063" s="18" t="inlineStr">
        <is>
          <t>การป้องกันทุติยภูมิ (Secondary prevention) คือ การวินิจฉัยโรคและให้การรักษาก่อนที่ผู้ป่วยจะมีอาการทาง คลินิก (Subclinical diseases)</t>
        </is>
      </c>
      <c r="C1063" s="18" t="inlineStr"/>
      <c r="D1063" s="18" t="inlineStr">
        <is>
          <t>N-acetylcysteine (NAC) IV infusion protocol</t>
        </is>
      </c>
      <c r="E1063" s="18" t="inlineStr">
        <is>
          <t>Atropine sulfate 2 mg IV Q5-10 min</t>
        </is>
      </c>
      <c r="F1063" s="18" t="inlineStr">
        <is>
          <t>Pralidoxime (2-PAM) 1-2 g IV over 30 min</t>
        </is>
      </c>
      <c r="G1063" s="18" t="inlineStr">
        <is>
          <t>Naloxone 0.4 mg IV stat</t>
        </is>
      </c>
      <c r="H1063" s="18" t="inlineStr">
        <is>
          <t>Flumazenil 0.2 mg IV stat</t>
        </is>
      </c>
      <c r="I1063" s="15" t="inlineStr">
        <is>
          <t>1</t>
        </is>
      </c>
      <c r="J10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3" s="18" t="inlineStr"/>
      <c r="L1063" s="18" t="inlineStr">
        <is>
          <t>General Therapeutics</t>
        </is>
      </c>
      <c r="M1063" s="18" t="inlineStr">
        <is>
          <t>Clinic</t>
        </is>
      </c>
      <c r="N1063" s="18" t="inlineStr">
        <is>
          <t>ข้อ 2 (PLE_CC1_2533.md)</t>
        </is>
      </c>
      <c r="O1063" s="18" t="inlineStr">
        <is>
          <t>ข้อสอบจริง</t>
        </is>
      </c>
      <c r="P1063" s="18" t="inlineStr">
        <is>
          <t>ปี 2533</t>
        </is>
      </c>
    </row>
    <row r="1064">
      <c r="A1064" s="15" t="inlineStr">
        <is>
          <t>1085</t>
        </is>
      </c>
      <c r="B1064" s="18" t="inlineStr">
        <is>
          <t>การป้องกันปัญหาการผลิตก่อนที่จะได้ finish product</t>
        </is>
      </c>
      <c r="C1064" s="18" t="inlineStr"/>
      <c r="D1064" s="18" t="inlineStr">
        <is>
          <t>Naloxone 0.4 mg IV stat</t>
        </is>
      </c>
      <c r="E1064" s="18" t="inlineStr">
        <is>
          <t>Flumazenil 0.2 mg IV stat</t>
        </is>
      </c>
      <c r="F1064" s="18" t="inlineStr">
        <is>
          <t>Vitamin K1 (Phytomenadione) 10 mg IV slow</t>
        </is>
      </c>
      <c r="G1064" s="18" t="inlineStr">
        <is>
          <t>Sodium thiosulfate 25% 50 mL IV</t>
        </is>
      </c>
      <c r="H1064" s="18" t="inlineStr">
        <is>
          <t>Calcium disodium EDTA 1 g IV</t>
        </is>
      </c>
      <c r="I1064" s="15" t="inlineStr">
        <is>
          <t>1</t>
        </is>
      </c>
      <c r="J10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4" s="18" t="inlineStr"/>
      <c r="L1064" s="18" t="inlineStr">
        <is>
          <t>General Therapeutics</t>
        </is>
      </c>
      <c r="M1064" s="18" t="inlineStr">
        <is>
          <t>Clinic</t>
        </is>
      </c>
      <c r="N1064" s="18" t="inlineStr">
        <is>
          <t>ข้อ 6 (PLE_CC1_2533.md)</t>
        </is>
      </c>
      <c r="O1064" s="18" t="inlineStr">
        <is>
          <t>ข้อสอบจริง</t>
        </is>
      </c>
      <c r="P1064" s="18" t="inlineStr">
        <is>
          <t>ปี 2533</t>
        </is>
      </c>
    </row>
    <row r="1065">
      <c r="A1065" s="15" t="inlineStr">
        <is>
          <t>1086</t>
        </is>
      </c>
      <c r="B1065" s="18" t="inlineStr">
        <is>
          <t>In process control</t>
        </is>
      </c>
      <c r="C1065" s="18" t="inlineStr"/>
      <c r="D1065" s="18" t="inlineStr">
        <is>
          <t>Sodium thiosulfate 25% 50 mL IV</t>
        </is>
      </c>
      <c r="E1065" s="18" t="inlineStr">
        <is>
          <t>Calcium disodium EDTA 1 g IV</t>
        </is>
      </c>
      <c r="F1065" s="18" t="inlineStr">
        <is>
          <t>Desferrioxamine 1 g IM/IV</t>
        </is>
      </c>
      <c r="G1065" s="18" t="inlineStr">
        <is>
          <t>Dimercaprol (BAL) 3 mg/kg IM</t>
        </is>
      </c>
      <c r="H1065" s="18" t="inlineStr">
        <is>
          <t>Ethanol 10% IV infusion for Methanol poisoning</t>
        </is>
      </c>
      <c r="I1065" s="15" t="inlineStr">
        <is>
          <t>1</t>
        </is>
      </c>
      <c r="J10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5" s="18" t="inlineStr"/>
      <c r="L1065" s="18" t="inlineStr">
        <is>
          <t>General Therapeutics</t>
        </is>
      </c>
      <c r="M1065" s="18" t="inlineStr">
        <is>
          <t>Clinic</t>
        </is>
      </c>
      <c r="N1065" s="18" t="inlineStr">
        <is>
          <t>ข้อ 2 (PLE_CC1_2533.md)</t>
        </is>
      </c>
      <c r="O1065" s="18" t="inlineStr">
        <is>
          <t>ข้อสอบจริง</t>
        </is>
      </c>
      <c r="P1065" s="18" t="inlineStr">
        <is>
          <t>ปี 2533</t>
        </is>
      </c>
    </row>
    <row r="1066">
      <c r="A1066" s="15" t="inlineStr">
        <is>
          <t>1087</t>
        </is>
      </c>
      <c r="B1066" s="18" t="inlineStr">
        <is>
          <t>Total Quality Management</t>
        </is>
      </c>
      <c r="C1066" s="18" t="inlineStr"/>
      <c r="D1066" s="18" t="inlineStr">
        <is>
          <t>Dimercaprol (BAL) 3 mg/kg IM</t>
        </is>
      </c>
      <c r="E1066" s="18" t="inlineStr">
        <is>
          <t>Ethanol 10% IV infusion for Methanol poisoning</t>
        </is>
      </c>
      <c r="F1066" s="18" t="inlineStr">
        <is>
          <t>Fomepizole 15 mg/kg IV loading</t>
        </is>
      </c>
      <c r="G1066" s="18" t="inlineStr">
        <is>
          <t>N-acetylcysteine (NAC) IV infusion protocol</t>
        </is>
      </c>
      <c r="H1066" s="18" t="inlineStr">
        <is>
          <t>Atropine sulfate 2 mg IV Q5-10 min</t>
        </is>
      </c>
      <c r="I1066" s="15" t="inlineStr">
        <is>
          <t>1</t>
        </is>
      </c>
      <c r="J10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6" s="18" t="inlineStr"/>
      <c r="L1066" s="18" t="inlineStr">
        <is>
          <t>General Therapeutics</t>
        </is>
      </c>
      <c r="M1066" s="18" t="inlineStr">
        <is>
          <t>Clinic</t>
        </is>
      </c>
      <c r="N1066" s="18" t="inlineStr">
        <is>
          <t>ข้อ 3 (PLE_CC1_2533.md)</t>
        </is>
      </c>
      <c r="O1066" s="18" t="inlineStr">
        <is>
          <t>ข้อสอบจริง</t>
        </is>
      </c>
      <c r="P1066" s="18" t="inlineStr">
        <is>
          <t>ปี 2533</t>
        </is>
      </c>
    </row>
    <row r="1067">
      <c r="A1067" s="15" t="inlineStr">
        <is>
          <t>1088</t>
        </is>
      </c>
      <c r="B1067" s="18" t="inlineStr">
        <is>
          <t>มะขามแขก ตอบ 3</t>
        </is>
      </c>
      <c r="C1067" s="18" t="inlineStr"/>
      <c r="D1067" s="18" t="inlineStr">
        <is>
          <t>N-acetylcysteine (NAC) IV infusion protocol</t>
        </is>
      </c>
      <c r="E1067" s="18" t="inlineStr">
        <is>
          <t>Atropine sulfate 2 mg IV Q5-10 min</t>
        </is>
      </c>
      <c r="F1067" s="18" t="inlineStr">
        <is>
          <t>Pralidoxime (2-PAM) 1-2 g IV over 30 min</t>
        </is>
      </c>
      <c r="G1067" s="18" t="inlineStr">
        <is>
          <t>Naloxone 0.4 mg IV stat</t>
        </is>
      </c>
      <c r="H1067" s="18" t="inlineStr">
        <is>
          <t>Flumazenil 0.2 mg IV stat</t>
        </is>
      </c>
      <c r="I1067" s="15" t="inlineStr">
        <is>
          <t>1</t>
        </is>
      </c>
      <c r="J10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7" s="18" t="inlineStr"/>
      <c r="L1067" s="18" t="inlineStr">
        <is>
          <t>General Therapeutics</t>
        </is>
      </c>
      <c r="M1067" s="18" t="inlineStr">
        <is>
          <t>Clinic</t>
        </is>
      </c>
      <c r="N1067" s="18" t="inlineStr">
        <is>
          <t>ข้อ 5 (PLE_CC1_2533.md)</t>
        </is>
      </c>
      <c r="O1067" s="18" t="inlineStr">
        <is>
          <t>ข้อสอบจริง</t>
        </is>
      </c>
      <c r="P1067" s="18" t="inlineStr">
        <is>
          <t>ปี 2533</t>
        </is>
      </c>
    </row>
    <row r="1068">
      <c r="A1068" s="15" t="inlineStr">
        <is>
          <t>1089</t>
        </is>
      </c>
      <c r="B1068" s="18" t="inlineStr">
        <is>
          <t>cypoheptadine และ Anabolic hormone</t>
        </is>
      </c>
      <c r="C1068" s="18" t="inlineStr"/>
      <c r="D1068" s="18" t="inlineStr">
        <is>
          <t>Naloxone 0.4 mg IV stat</t>
        </is>
      </c>
      <c r="E1068" s="18" t="inlineStr">
        <is>
          <t>Flumazenil 0.2 mg IV stat</t>
        </is>
      </c>
      <c r="F1068" s="18" t="inlineStr">
        <is>
          <t>Vitamin K1 (Phytomenadione) 10 mg IV slow</t>
        </is>
      </c>
      <c r="G1068" s="18" t="inlineStr">
        <is>
          <t>Sodium thiosulfate 25% 50 mL IV</t>
        </is>
      </c>
      <c r="H1068" s="18" t="inlineStr">
        <is>
          <t>Calcium disodium EDTA 1 g IV</t>
        </is>
      </c>
      <c r="I1068" s="15" t="inlineStr">
        <is>
          <t>1</t>
        </is>
      </c>
      <c r="J10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8" s="18" t="inlineStr"/>
      <c r="L1068" s="18" t="inlineStr">
        <is>
          <t>General Therapeutics</t>
        </is>
      </c>
      <c r="M1068" s="18" t="inlineStr">
        <is>
          <t>Clinic</t>
        </is>
      </c>
      <c r="N1068" s="18" t="inlineStr">
        <is>
          <t>ข้อ 3 (PLE_CC1_2533.md)</t>
        </is>
      </c>
      <c r="O1068" s="18" t="inlineStr">
        <is>
          <t>ข้อสอบจริง</t>
        </is>
      </c>
      <c r="P1068" s="18" t="inlineStr">
        <is>
          <t>ปี 2533</t>
        </is>
      </c>
    </row>
    <row r="1069">
      <c r="A1069" s="15" t="inlineStr">
        <is>
          <t>1090</t>
        </is>
      </c>
      <c r="B1069" s="18" t="inlineStr">
        <is>
          <t>…………….. ตอบ cypoheptadine และ Anabolic hormoneเพราะ cypoheptadine มีผลข้างเคียงคือยับยั้งการเจริญเติบโตของ เด็ก</t>
        </is>
      </c>
      <c r="C1069" s="18" t="inlineStr"/>
      <c r="D1069" s="18" t="inlineStr">
        <is>
          <t>Sodium thiosulfate 25% 50 mL IV</t>
        </is>
      </c>
      <c r="E1069" s="18" t="inlineStr">
        <is>
          <t>Calcium disodium EDTA 1 g IV</t>
        </is>
      </c>
      <c r="F1069" s="18" t="inlineStr">
        <is>
          <t>Desferrioxamine 1 g IM/IV</t>
        </is>
      </c>
      <c r="G1069" s="18" t="inlineStr">
        <is>
          <t>Dimercaprol (BAL) 3 mg/kg IM</t>
        </is>
      </c>
      <c r="H1069" s="18" t="inlineStr">
        <is>
          <t>Ethanol 10% IV infusion for Methanol poisoning</t>
        </is>
      </c>
      <c r="I1069" s="15" t="inlineStr">
        <is>
          <t>1</t>
        </is>
      </c>
      <c r="J10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9" s="18" t="inlineStr"/>
      <c r="L1069" s="18" t="inlineStr">
        <is>
          <t>General Therapeutics</t>
        </is>
      </c>
      <c r="M1069" s="18" t="inlineStr">
        <is>
          <t>Clinic</t>
        </is>
      </c>
      <c r="N1069" s="18" t="inlineStr">
        <is>
          <t>ข้อ 5 (PLE_CC1_2533.md)</t>
        </is>
      </c>
      <c r="O1069" s="18" t="inlineStr">
        <is>
          <t>ข้อสอบจริง</t>
        </is>
      </c>
      <c r="P1069" s="18" t="inlineStr">
        <is>
          <t>ปี 2533</t>
        </is>
      </c>
    </row>
    <row r="1070">
      <c r="A1070" s="15" t="inlineStr">
        <is>
          <t>1091</t>
        </is>
      </c>
      <c r="B1070" s="18" t="inlineStr">
        <is>
          <t>การวินิจฉัยผู้ป่วยรายนี้เบื้องต้น คือโรคอะไร</t>
        </is>
      </c>
      <c r="C1070" s="18" t="inlineStr"/>
      <c r="D1070" s="18" t="inlineStr">
        <is>
          <t>Dimercaprol (BAL) 3 mg/kg IM</t>
        </is>
      </c>
      <c r="E1070" s="18" t="inlineStr">
        <is>
          <t>Ethanol 10% IV infusion for Methanol poisoning</t>
        </is>
      </c>
      <c r="F1070" s="18" t="inlineStr">
        <is>
          <t>Fomepizole 15 mg/kg IV loading</t>
        </is>
      </c>
      <c r="G1070" s="18" t="inlineStr">
        <is>
          <t>N-acetylcysteine (NAC) IV infusion protocol</t>
        </is>
      </c>
      <c r="H1070" s="18" t="inlineStr">
        <is>
          <t>Atropine sulfate 2 mg IV Q5-10 min</t>
        </is>
      </c>
      <c r="I1070" s="15" t="inlineStr">
        <is>
          <t>1</t>
        </is>
      </c>
      <c r="J10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0" s="18" t="inlineStr"/>
      <c r="L1070" s="18" t="inlineStr">
        <is>
          <t>General Therapeutics</t>
        </is>
      </c>
      <c r="M1070" s="18" t="inlineStr">
        <is>
          <t>Clinic</t>
        </is>
      </c>
      <c r="N1070" s="18" t="inlineStr">
        <is>
          <t>ข้อ 1 (PLE_CC1_2533.md)</t>
        </is>
      </c>
      <c r="O1070" s="18" t="inlineStr">
        <is>
          <t>ข้อสอบจริง</t>
        </is>
      </c>
      <c r="P1070" s="18" t="inlineStr">
        <is>
          <t>ปี 2533</t>
        </is>
      </c>
    </row>
    <row r="1071">
      <c r="A1071" s="15" t="inlineStr">
        <is>
          <t>1092</t>
        </is>
      </c>
      <c r="B1071" s="18" t="inlineStr">
        <is>
          <t>เชื้อที่เป็นสาเหตุในการเกิดโรคน่าจะเกิดจากเชื้อตัวใด</t>
        </is>
      </c>
      <c r="C1071" s="18" t="inlineStr"/>
      <c r="D1071" s="18" t="inlineStr">
        <is>
          <t>N-acetylcysteine (NAC) IV infusion protocol</t>
        </is>
      </c>
      <c r="E1071" s="18" t="inlineStr">
        <is>
          <t>Atropine sulfate 2 mg IV Q5-10 min</t>
        </is>
      </c>
      <c r="F1071" s="18" t="inlineStr">
        <is>
          <t>Pralidoxime (2-PAM) 1-2 g IV over 30 min</t>
        </is>
      </c>
      <c r="G1071" s="18" t="inlineStr">
        <is>
          <t>Naloxone 0.4 mg IV stat</t>
        </is>
      </c>
      <c r="H1071" s="18" t="inlineStr">
        <is>
          <t>Flumazenil 0.2 mg IV stat</t>
        </is>
      </c>
      <c r="I1071" s="15" t="inlineStr">
        <is>
          <t>1</t>
        </is>
      </c>
      <c r="J10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1" s="18" t="inlineStr"/>
      <c r="L1071" s="18" t="inlineStr">
        <is>
          <t>General Therapeutics</t>
        </is>
      </c>
      <c r="M1071" s="18" t="inlineStr">
        <is>
          <t>Clinic</t>
        </is>
      </c>
      <c r="N1071" s="18" t="inlineStr">
        <is>
          <t>ข้อ 2 (PLE_CC1_2533.md)</t>
        </is>
      </c>
      <c r="O1071" s="18" t="inlineStr">
        <is>
          <t>ข้อสอบจริง</t>
        </is>
      </c>
      <c r="P1071" s="18" t="inlineStr">
        <is>
          <t>ปี 2533</t>
        </is>
      </c>
    </row>
    <row r="1072">
      <c r="A1072" s="15" t="inlineStr">
        <is>
          <t>1093</t>
        </is>
      </c>
      <c r="B1072" s="18" t="inlineStr">
        <is>
          <t>Hemophilus ducreyi</t>
        </is>
      </c>
      <c r="C1072" s="18" t="inlineStr"/>
      <c r="D1072" s="18" t="inlineStr">
        <is>
          <t>Naloxone 0.4 mg IV stat</t>
        </is>
      </c>
      <c r="E1072" s="18" t="inlineStr">
        <is>
          <t>Flumazenil 0.2 mg IV stat</t>
        </is>
      </c>
      <c r="F1072" s="18" t="inlineStr">
        <is>
          <t>Vitamin K1 (Phytomenadione) 10 mg IV slow</t>
        </is>
      </c>
      <c r="G1072" s="18" t="inlineStr">
        <is>
          <t>Sodium thiosulfate 25% 50 mL IV</t>
        </is>
      </c>
      <c r="H1072" s="18" t="inlineStr">
        <is>
          <t>Calcium disodium EDTA 1 g IV</t>
        </is>
      </c>
      <c r="I1072" s="15" t="inlineStr">
        <is>
          <t>1</t>
        </is>
      </c>
      <c r="J10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72" s="18" t="inlineStr"/>
      <c r="L1072" s="18" t="inlineStr">
        <is>
          <t>General Therapeutics</t>
        </is>
      </c>
      <c r="M1072" s="18" t="inlineStr">
        <is>
          <t>Clinic</t>
        </is>
      </c>
      <c r="N1072" s="18" t="inlineStr">
        <is>
          <t>ข้อ 2 (PLE_CC1_2533.md)</t>
        </is>
      </c>
      <c r="O1072" s="18" t="inlineStr">
        <is>
          <t>ข้อสอบจริง</t>
        </is>
      </c>
      <c r="P1072" s="18" t="inlineStr">
        <is>
          <t>ปี 2533</t>
        </is>
      </c>
    </row>
    <row r="1073">
      <c r="A1073" s="15" t="inlineStr">
        <is>
          <t>1094</t>
        </is>
      </c>
      <c r="B1073" s="18" t="inlineStr">
        <is>
          <t>Neisseria gonorrhoeae</t>
        </is>
      </c>
      <c r="C1073" s="18" t="inlineStr"/>
      <c r="D1073" s="18" t="inlineStr">
        <is>
          <t>Sodium thiosulfate 25% 50 mL IV</t>
        </is>
      </c>
      <c r="E1073" s="18" t="inlineStr">
        <is>
          <t>Calcium disodium EDTA 1 g IV</t>
        </is>
      </c>
      <c r="F1073" s="18" t="inlineStr">
        <is>
          <t>Desferrioxamine 1 g IM/IV</t>
        </is>
      </c>
      <c r="G1073" s="18" t="inlineStr">
        <is>
          <t>Dimercaprol (BAL) 3 mg/kg IM</t>
        </is>
      </c>
      <c r="H1073" s="18" t="inlineStr">
        <is>
          <t>Ethanol 10% IV infusion for Methanol poisoning</t>
        </is>
      </c>
      <c r="I1073" s="15" t="inlineStr">
        <is>
          <t>1</t>
        </is>
      </c>
      <c r="J10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3" s="18" t="inlineStr"/>
      <c r="L1073" s="18" t="inlineStr">
        <is>
          <t>General Therapeutics</t>
        </is>
      </c>
      <c r="M1073" s="18" t="inlineStr">
        <is>
          <t>Clinic</t>
        </is>
      </c>
      <c r="N1073" s="18" t="inlineStr">
        <is>
          <t>ข้อ 3 (PLE_CC1_2533.md)</t>
        </is>
      </c>
      <c r="O1073" s="18" t="inlineStr">
        <is>
          <t>ข้อสอบจริง</t>
        </is>
      </c>
      <c r="P1073" s="18" t="inlineStr">
        <is>
          <t>ปี 2533</t>
        </is>
      </c>
    </row>
    <row r="1074">
      <c r="A1074" s="15" t="inlineStr">
        <is>
          <t>1095</t>
        </is>
      </c>
      <c r="B1074" s="18" t="inlineStr">
        <is>
          <t>Gardnerella vaginalis</t>
        </is>
      </c>
      <c r="C1074" s="18" t="inlineStr"/>
      <c r="D1074" s="18" t="inlineStr">
        <is>
          <t>Dimercaprol (BAL) 3 mg/kg IM</t>
        </is>
      </c>
      <c r="E1074" s="18" t="inlineStr">
        <is>
          <t>Ethanol 10% IV infusion for Methanol poisoning</t>
        </is>
      </c>
      <c r="F1074" s="18" t="inlineStr">
        <is>
          <t>Fomepizole 15 mg/kg IV loading</t>
        </is>
      </c>
      <c r="G1074" s="18" t="inlineStr">
        <is>
          <t>N-acetylcysteine (NAC) IV infusion protocol</t>
        </is>
      </c>
      <c r="H1074" s="18" t="inlineStr">
        <is>
          <t>Atropine sulfate 2 mg IV Q5-10 min</t>
        </is>
      </c>
      <c r="I1074" s="15" t="inlineStr">
        <is>
          <t>1</t>
        </is>
      </c>
      <c r="J107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4" s="18" t="inlineStr"/>
      <c r="L1074" s="18" t="inlineStr">
        <is>
          <t>General Therapeutics</t>
        </is>
      </c>
      <c r="M1074" s="18" t="inlineStr">
        <is>
          <t>Clinic</t>
        </is>
      </c>
      <c r="N1074" s="18" t="inlineStr">
        <is>
          <t>ข้อ 4 (PLE_CC1_2533.md)</t>
        </is>
      </c>
      <c r="O1074" s="18" t="inlineStr">
        <is>
          <t>ข้อสอบจริง</t>
        </is>
      </c>
      <c r="P1074" s="18" t="inlineStr">
        <is>
          <t>ปี 2533</t>
        </is>
      </c>
    </row>
    <row r="1075">
      <c r="A1075" s="15" t="inlineStr">
        <is>
          <t>1096</t>
        </is>
      </c>
      <c r="B1075" s="18" t="inlineStr">
        <is>
          <t>ปัจจุบันมีเชื้อดื้อยาในโรคดังกล่าวมากมาย ยาชนิดไหนที่ยังสามารถใช้ได้อยู่</t>
        </is>
      </c>
      <c r="C1075" s="18" t="inlineStr"/>
      <c r="D1075" s="18" t="inlineStr">
        <is>
          <t>N-acetylcysteine (NAC) IV infusion protocol</t>
        </is>
      </c>
      <c r="E1075" s="18" t="inlineStr">
        <is>
          <t>Atropine sulfate 2 mg IV Q5-10 min</t>
        </is>
      </c>
      <c r="F1075" s="18" t="inlineStr">
        <is>
          <t>Pralidoxime (2-PAM) 1-2 g IV over 30 min</t>
        </is>
      </c>
      <c r="G1075" s="18" t="inlineStr">
        <is>
          <t>Naloxone 0.4 mg IV stat</t>
        </is>
      </c>
      <c r="H1075" s="18" t="inlineStr">
        <is>
          <t>Flumazenil 0.2 mg IV stat</t>
        </is>
      </c>
      <c r="I1075" s="15" t="inlineStr">
        <is>
          <t>1</t>
        </is>
      </c>
      <c r="J10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5" s="18" t="inlineStr"/>
      <c r="L1075" s="18" t="inlineStr">
        <is>
          <t>General Therapeutics</t>
        </is>
      </c>
      <c r="M1075" s="18" t="inlineStr">
        <is>
          <t>Clinic</t>
        </is>
      </c>
      <c r="N1075" s="18" t="inlineStr">
        <is>
          <t>ข้อ 3 (PLE_CC1_2533.md)</t>
        </is>
      </c>
      <c r="O1075" s="18" t="inlineStr">
        <is>
          <t>ข้อสอบจริง</t>
        </is>
      </c>
      <c r="P1075" s="18" t="inlineStr">
        <is>
          <t>ปี 2533</t>
        </is>
      </c>
    </row>
    <row r="1076">
      <c r="A1076" s="15" t="inlineStr">
        <is>
          <t>1097</t>
        </is>
      </c>
      <c r="B1076" s="18" t="inlineStr">
        <is>
          <t>ผู้ป่วยไม่ไปโรงพยาบาล ต้องการรับยาที่ร้านยา เภสัชกรควรเลือกจ่ายยาใด</t>
        </is>
      </c>
      <c r="C1076" s="18" t="inlineStr"/>
      <c r="D1076" s="18" t="inlineStr">
        <is>
          <t>พ.ร.บ. ยาเสพติดให้โทษ พ.ศ. 2522 (ยาเสพติดให้โทษประเภท 2 และ 3)</t>
        </is>
      </c>
      <c r="E1076" s="18" t="inlineStr">
        <is>
          <t>พ.ร.บ. วัตถุที่ออกฤทธิ์ต่อจิตและประสาท พ.ศ. 2559 (ประเภท 2 และ 4)</t>
        </is>
      </c>
      <c r="F1076" s="18" t="inlineStr">
        <is>
          <t>พ.ร.บ. วิชาชีพเภสัชกรรม พ.ศ. 2537 และข้อบังคับจรรยาบรรณวิชาชีพ</t>
        </is>
      </c>
      <c r="G1076" s="18" t="inlineStr">
        <is>
          <t>พ.ร.บ. ผลิตภัณฑ์สมุนไพร พ.ศ. 2562</t>
        </is>
      </c>
      <c r="H1076" s="18" t="inlineStr">
        <is>
          <t>พ.ร.บ. เครื่องสำอาง พ.ศ. 2558</t>
        </is>
      </c>
      <c r="I1076" s="15" t="inlineStr">
        <is>
          <t>1</t>
        </is>
      </c>
      <c r="J1076"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76" s="18" t="inlineStr"/>
      <c r="L1076" s="18" t="inlineStr">
        <is>
          <t>Pharmacy Laws &amp; Ethics</t>
        </is>
      </c>
      <c r="M1076" s="18" t="inlineStr">
        <is>
          <t>SAP</t>
        </is>
      </c>
      <c r="N1076" s="18" t="inlineStr">
        <is>
          <t>ข้อ 4 (PLE_CC1_2533.md)</t>
        </is>
      </c>
      <c r="O1076" s="18" t="inlineStr">
        <is>
          <t>ข้อสอบจริง</t>
        </is>
      </c>
      <c r="P1076" s="18" t="inlineStr">
        <is>
          <t>ปี 2533</t>
        </is>
      </c>
    </row>
    <row r="1077">
      <c r="A1077" s="15" t="inlineStr">
        <is>
          <t>1098</t>
        </is>
      </c>
      <c r="B1077" s="18" t="inlineStr">
        <is>
          <t>Cefixime 400 mg OD</t>
        </is>
      </c>
      <c r="C1077" s="18" t="inlineStr"/>
      <c r="D1077" s="18" t="inlineStr">
        <is>
          <t>Sodium thiosulfate 25% 50 mL IV</t>
        </is>
      </c>
      <c r="E1077" s="18" t="inlineStr">
        <is>
          <t>Calcium disodium EDTA 1 g IV</t>
        </is>
      </c>
      <c r="F1077" s="18" t="inlineStr">
        <is>
          <t>Desferrioxamine 1 g IM/IV</t>
        </is>
      </c>
      <c r="G1077" s="18" t="inlineStr">
        <is>
          <t>Dimercaprol (BAL) 3 mg/kg IM</t>
        </is>
      </c>
      <c r="H1077" s="18" t="inlineStr">
        <is>
          <t>Ethanol 10% IV infusion for Methanol poisoning</t>
        </is>
      </c>
      <c r="I1077" s="15" t="inlineStr">
        <is>
          <t>1</t>
        </is>
      </c>
      <c r="J10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7" s="18" t="inlineStr"/>
      <c r="L1077" s="18" t="inlineStr">
        <is>
          <t>General Therapeutics</t>
        </is>
      </c>
      <c r="M1077" s="18" t="inlineStr">
        <is>
          <t>Clinic</t>
        </is>
      </c>
      <c r="N1077" s="18" t="inlineStr">
        <is>
          <t>ข้อ 1 (PLE_CC1_2533.md)</t>
        </is>
      </c>
      <c r="O1077" s="18" t="inlineStr">
        <is>
          <t>ข้อสอบจริง</t>
        </is>
      </c>
      <c r="P1077" s="18" t="inlineStr">
        <is>
          <t>ปี 2533</t>
        </is>
      </c>
    </row>
    <row r="1078">
      <c r="A1078" s="15" t="inlineStr">
        <is>
          <t>1099</t>
        </is>
      </c>
      <c r="B1078" s="18" t="inlineStr">
        <is>
          <t>Azithromycin 1 g OD</t>
        </is>
      </c>
      <c r="C1078" s="18" t="inlineStr"/>
      <c r="D1078" s="18" t="inlineStr">
        <is>
          <t>Tenofovir/Emtricitabine 300/200 mg OD</t>
        </is>
      </c>
      <c r="E1078" s="18" t="inlineStr">
        <is>
          <t>Dolutegravir 50 mg OD</t>
        </is>
      </c>
      <c r="F1078" s="18" t="inlineStr">
        <is>
          <t>Vancomycin 1 g IV Q12H</t>
        </is>
      </c>
      <c r="G1078" s="18" t="inlineStr">
        <is>
          <t>Meropenem 1 g IV Q8H</t>
        </is>
      </c>
      <c r="H1078" s="18" t="inlineStr">
        <is>
          <t>Cefazolin 1 g IV Q8H</t>
        </is>
      </c>
      <c r="I1078" s="15" t="inlineStr">
        <is>
          <t>1</t>
        </is>
      </c>
      <c r="J1078" s="18"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8" s="18" t="inlineStr"/>
      <c r="L1078" s="18" t="inlineStr">
        <is>
          <t>Infectious Diseases</t>
        </is>
      </c>
      <c r="M1078" s="18" t="inlineStr">
        <is>
          <t>Clinic</t>
        </is>
      </c>
      <c r="N1078" s="18" t="inlineStr">
        <is>
          <t>ข้อ 2 (PLE_CC1_2533.md)</t>
        </is>
      </c>
      <c r="O1078" s="18" t="inlineStr">
        <is>
          <t>ข้อสอบจริง</t>
        </is>
      </c>
      <c r="P1078" s="18" t="inlineStr">
        <is>
          <t>ปี 2533</t>
        </is>
      </c>
    </row>
    <row r="1079">
      <c r="A1079" s="15" t="inlineStr">
        <is>
          <t>1100</t>
        </is>
      </c>
      <c r="B1079" s="18" t="inlineStr">
        <is>
          <t>Ciprofloxacin 500 mg OD</t>
        </is>
      </c>
      <c r="C1079" s="18" t="inlineStr"/>
      <c r="D1079" s="18" t="inlineStr">
        <is>
          <t>Meropenem 1 g IV Q8H</t>
        </is>
      </c>
      <c r="E1079" s="18" t="inlineStr">
        <is>
          <t>Cefazolin 1 g IV Q8H</t>
        </is>
      </c>
      <c r="F1079" s="18" t="inlineStr">
        <is>
          <t>Amoxicillin/Clavulanate 1 g BID</t>
        </is>
      </c>
      <c r="G1079" s="18" t="inlineStr">
        <is>
          <t>Ceftriaxone 1 g IV OD</t>
        </is>
      </c>
      <c r="H1079" s="18" t="inlineStr">
        <is>
          <t>Ciprofloxacin 500 mg BID</t>
        </is>
      </c>
      <c r="I1079" s="15" t="inlineStr">
        <is>
          <t>1</t>
        </is>
      </c>
      <c r="J1079" s="18"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079" s="18" t="inlineStr"/>
      <c r="L1079" s="18" t="inlineStr">
        <is>
          <t>Infectious Diseases</t>
        </is>
      </c>
      <c r="M1079" s="18" t="inlineStr">
        <is>
          <t>Clinic</t>
        </is>
      </c>
      <c r="N1079" s="18" t="inlineStr">
        <is>
          <t>ข้อ 3 (PLE_CC1_2533.md)</t>
        </is>
      </c>
      <c r="O1079" s="18" t="inlineStr">
        <is>
          <t>ข้อสอบจริง</t>
        </is>
      </c>
      <c r="P1079" s="18" t="inlineStr">
        <is>
          <t>ปี 2533</t>
        </is>
      </c>
    </row>
    <row r="1080">
      <c r="A1080" s="15" t="inlineStr">
        <is>
          <t>1101</t>
        </is>
      </c>
      <c r="B1080" s="18" t="inlineStr">
        <is>
          <t>Doxycycline 100 mg BID 7 วัน</t>
        </is>
      </c>
      <c r="C1080" s="18" t="inlineStr"/>
      <c r="D1080" s="18" t="inlineStr">
        <is>
          <t>Ceftriaxone 1 g IV OD</t>
        </is>
      </c>
      <c r="E1080" s="18" t="inlineStr">
        <is>
          <t>Ciprofloxacin 500 mg BID</t>
        </is>
      </c>
      <c r="F1080" s="18" t="inlineStr">
        <is>
          <t>Azithromycin 500 mg OD</t>
        </is>
      </c>
      <c r="G1080" s="18" t="inlineStr">
        <is>
          <t>Doxycycline 100 mg BID</t>
        </is>
      </c>
      <c r="H1080" s="18" t="inlineStr">
        <is>
          <t>Cotrimoxazole 160/800 mg BID</t>
        </is>
      </c>
      <c r="I1080" s="15" t="inlineStr">
        <is>
          <t>1</t>
        </is>
      </c>
      <c r="J1080" s="18"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0" s="18" t="inlineStr"/>
      <c r="L1080" s="18" t="inlineStr">
        <is>
          <t>Infectious Diseases</t>
        </is>
      </c>
      <c r="M1080" s="18" t="inlineStr">
        <is>
          <t>Clinic</t>
        </is>
      </c>
      <c r="N1080" s="18" t="inlineStr">
        <is>
          <t>ข้อ 4 (PLE_CC1_2533.md)</t>
        </is>
      </c>
      <c r="O1080" s="18" t="inlineStr">
        <is>
          <t>ข้อสอบจริง</t>
        </is>
      </c>
      <c r="P1080" s="18" t="inlineStr">
        <is>
          <t>ปี 2533</t>
        </is>
      </c>
    </row>
    <row r="1081">
      <c r="A1081" s="15" t="inlineStr">
        <is>
          <t>1102</t>
        </is>
      </c>
      <c r="B1081" s="18" t="inlineStr">
        <is>
          <t>Amoxiclav 625 mg TID 7 วัน</t>
        </is>
      </c>
      <c r="C1081" s="18" t="inlineStr"/>
      <c r="D1081" s="18" t="inlineStr">
        <is>
          <t>Sodium thiosulfate 25% 50 mL IV</t>
        </is>
      </c>
      <c r="E1081" s="18" t="inlineStr">
        <is>
          <t>Calcium disodium EDTA 1 g IV</t>
        </is>
      </c>
      <c r="F1081" s="18" t="inlineStr">
        <is>
          <t>Desferrioxamine 1 g IM/IV</t>
        </is>
      </c>
      <c r="G1081" s="18" t="inlineStr">
        <is>
          <t>Dimercaprol (BAL) 3 mg/kg IM</t>
        </is>
      </c>
      <c r="H1081" s="18" t="inlineStr">
        <is>
          <t>Ethanol 10% IV infusion for Methanol poisoning</t>
        </is>
      </c>
      <c r="I1081" s="15" t="inlineStr">
        <is>
          <t>1</t>
        </is>
      </c>
      <c r="J10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1" s="18" t="inlineStr"/>
      <c r="L1081" s="18" t="inlineStr">
        <is>
          <t>General Therapeutics</t>
        </is>
      </c>
      <c r="M1081" s="18" t="inlineStr">
        <is>
          <t>Clinic</t>
        </is>
      </c>
      <c r="N1081" s="18" t="inlineStr">
        <is>
          <t>ข้อ 5 (PLE_CC1_2533.md)</t>
        </is>
      </c>
      <c r="O1081" s="18" t="inlineStr">
        <is>
          <t>ข้อสอบจริง</t>
        </is>
      </c>
      <c r="P1081" s="18" t="inlineStr">
        <is>
          <t>ปี 2533</t>
        </is>
      </c>
    </row>
    <row r="1082">
      <c r="A1082" s="15" t="inlineStr">
        <is>
          <t>1103</t>
        </is>
      </c>
      <c r="B1082" s="18" t="inlineStr">
        <is>
          <t>เกี่ยวกับยา Phenazopyridine ข้อใด ถูกต้อง ? ภายหลังจากเภสัชกรจ่ายยาให้กับผู้ป่วยแล้ว ผู้ป่วยขอซื้อยาขับปัสสาวะ โดยเอาตัวอย่างมาให้ ดู พบว่าเป็นยา Phenazopyridine ผุ้ป่วยบอกว่ากินยาแล้วจะมีปัสสาวะสีส้มแดง และหายแสบ</t>
        </is>
      </c>
      <c r="C1082" s="18" t="inlineStr"/>
      <c r="D1082" s="18" t="inlineStr">
        <is>
          <t>Dimercaprol (BAL) 3 mg/kg IM</t>
        </is>
      </c>
      <c r="E1082" s="18" t="inlineStr">
        <is>
          <t>Ethanol 10% IV infusion for Methanol poisoning</t>
        </is>
      </c>
      <c r="F1082" s="18" t="inlineStr">
        <is>
          <t>Fomepizole 15 mg/kg IV loading</t>
        </is>
      </c>
      <c r="G1082" s="18" t="inlineStr">
        <is>
          <t>N-acetylcysteine (NAC) IV infusion protocol</t>
        </is>
      </c>
      <c r="H1082" s="18" t="inlineStr">
        <is>
          <t>Atropine sulfate 2 mg IV Q5-10 min</t>
        </is>
      </c>
      <c r="I1082" s="15" t="inlineStr">
        <is>
          <t>1</t>
        </is>
      </c>
      <c r="J10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2" s="18" t="inlineStr"/>
      <c r="L1082" s="18" t="inlineStr">
        <is>
          <t>General Therapeutics</t>
        </is>
      </c>
      <c r="M1082" s="18" t="inlineStr">
        <is>
          <t>Clinic</t>
        </is>
      </c>
      <c r="N1082" s="18" t="inlineStr">
        <is>
          <t>ข้อ 5 (PLE_CC1_2533.md)</t>
        </is>
      </c>
      <c r="O1082" s="18" t="inlineStr">
        <is>
          <t>ข้อสอบจริง</t>
        </is>
      </c>
      <c r="P1082" s="18" t="inlineStr">
        <is>
          <t>ปี 2533</t>
        </is>
      </c>
    </row>
    <row r="1083">
      <c r="A1083" s="15" t="inlineStr">
        <is>
          <t>1104</t>
        </is>
      </c>
      <c r="B1083" s="18" t="inlineStr">
        <is>
          <t>ใช้ได้ติดต่อกันไม่เกิน 5 วัน</t>
        </is>
      </c>
      <c r="C1083" s="18" t="inlineStr"/>
      <c r="D1083" s="18" t="inlineStr">
        <is>
          <t>N-acetylcysteine (NAC) IV infusion protocol</t>
        </is>
      </c>
      <c r="E1083" s="18" t="inlineStr">
        <is>
          <t>Atropine sulfate 2 mg IV Q5-10 min</t>
        </is>
      </c>
      <c r="F1083" s="18" t="inlineStr">
        <is>
          <t>Pralidoxime (2-PAM) 1-2 g IV over 30 min</t>
        </is>
      </c>
      <c r="G1083" s="18" t="inlineStr">
        <is>
          <t>Naloxone 0.4 mg IV stat</t>
        </is>
      </c>
      <c r="H1083" s="18" t="inlineStr">
        <is>
          <t>Flumazenil 0.2 mg IV stat</t>
        </is>
      </c>
      <c r="I1083" s="15" t="inlineStr">
        <is>
          <t>1</t>
        </is>
      </c>
      <c r="J10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3" s="18" t="inlineStr"/>
      <c r="L1083" s="18" t="inlineStr">
        <is>
          <t>General Therapeutics</t>
        </is>
      </c>
      <c r="M1083" s="18" t="inlineStr">
        <is>
          <t>Clinic</t>
        </is>
      </c>
      <c r="N1083" s="18" t="inlineStr">
        <is>
          <t>ข้อ 1 (PLE_CC1_2533.md)</t>
        </is>
      </c>
      <c r="O1083" s="18" t="inlineStr">
        <is>
          <t>ข้อสอบจริง</t>
        </is>
      </c>
      <c r="P1083" s="18" t="inlineStr">
        <is>
          <t>ปี 2533</t>
        </is>
      </c>
    </row>
    <row r="1084">
      <c r="A1084" s="15" t="inlineStr">
        <is>
          <t>1105</t>
        </is>
      </c>
      <c r="B1084" s="18" t="inlineStr">
        <is>
          <t>สามารถใช้ได้ในผู้ป่วยโรคตับ</t>
        </is>
      </c>
      <c r="C1084" s="18" t="inlineStr"/>
      <c r="D1084" s="18" t="inlineStr">
        <is>
          <t>Naloxone 0.4 mg IV stat</t>
        </is>
      </c>
      <c r="E1084" s="18" t="inlineStr">
        <is>
          <t>Flumazenil 0.2 mg IV stat</t>
        </is>
      </c>
      <c r="F1084" s="18" t="inlineStr">
        <is>
          <t>Vitamin K1 (Phytomenadione) 10 mg IV slow</t>
        </is>
      </c>
      <c r="G1084" s="18" t="inlineStr">
        <is>
          <t>Sodium thiosulfate 25% 50 mL IV</t>
        </is>
      </c>
      <c r="H1084" s="18" t="inlineStr">
        <is>
          <t>Calcium disodium EDTA 1 g IV</t>
        </is>
      </c>
      <c r="I1084" s="15" t="inlineStr">
        <is>
          <t>1</t>
        </is>
      </c>
      <c r="J10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4" s="18" t="inlineStr"/>
      <c r="L1084" s="18" t="inlineStr">
        <is>
          <t>General Therapeutics</t>
        </is>
      </c>
      <c r="M1084" s="18" t="inlineStr">
        <is>
          <t>Clinic</t>
        </is>
      </c>
      <c r="N1084" s="18" t="inlineStr">
        <is>
          <t>ข้อ 2 (PLE_CC1_2533.md)</t>
        </is>
      </c>
      <c r="O1084" s="18" t="inlineStr">
        <is>
          <t>ข้อสอบจริง</t>
        </is>
      </c>
      <c r="P1084" s="18" t="inlineStr">
        <is>
          <t>ปี 2533</t>
        </is>
      </c>
    </row>
    <row r="1085">
      <c r="A1085" s="15" t="inlineStr">
        <is>
          <t>1106</t>
        </is>
      </c>
      <c r="B1085" s="18" t="inlineStr">
        <is>
          <t>มีฤทธิ์ต้านจุลชีพ</t>
        </is>
      </c>
      <c r="C1085" s="18" t="inlineStr"/>
      <c r="D1085" s="18" t="inlineStr">
        <is>
          <t>Sodium thiosulfate 25% 50 mL IV</t>
        </is>
      </c>
      <c r="E1085" s="18" t="inlineStr">
        <is>
          <t>Calcium disodium EDTA 1 g IV</t>
        </is>
      </c>
      <c r="F1085" s="18" t="inlineStr">
        <is>
          <t>Desferrioxamine 1 g IM/IV</t>
        </is>
      </c>
      <c r="G1085" s="18" t="inlineStr">
        <is>
          <t>Dimercaprol (BAL) 3 mg/kg IM</t>
        </is>
      </c>
      <c r="H1085" s="18" t="inlineStr">
        <is>
          <t>Ethanol 10% IV infusion for Methanol poisoning</t>
        </is>
      </c>
      <c r="I1085" s="15" t="inlineStr">
        <is>
          <t>1</t>
        </is>
      </c>
      <c r="J10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5" s="18" t="inlineStr"/>
      <c r="L1085" s="18" t="inlineStr">
        <is>
          <t>General Therapeutics</t>
        </is>
      </c>
      <c r="M1085" s="18" t="inlineStr">
        <is>
          <t>Clinic</t>
        </is>
      </c>
      <c r="N1085" s="18" t="inlineStr">
        <is>
          <t>ข้อ 3 (PLE_CC1_2533.md)</t>
        </is>
      </c>
      <c r="O1085" s="18" t="inlineStr">
        <is>
          <t>ข้อสอบจริง</t>
        </is>
      </c>
      <c r="P1085" s="18" t="inlineStr">
        <is>
          <t>ปี 2533</t>
        </is>
      </c>
    </row>
    <row r="1086">
      <c r="A1086" s="15" t="inlineStr">
        <is>
          <t>1107</t>
        </is>
      </c>
      <c r="B1086" s="18" t="inlineStr">
        <is>
          <t>สามารถใช้ได้ในผู้ป่วย G6PD</t>
        </is>
      </c>
      <c r="C1086" s="18" t="inlineStr"/>
      <c r="D1086" s="18" t="inlineStr">
        <is>
          <t>Dimercaprol (BAL) 3 mg/kg IM</t>
        </is>
      </c>
      <c r="E1086" s="18" t="inlineStr">
        <is>
          <t>Ethanol 10% IV infusion for Methanol poisoning</t>
        </is>
      </c>
      <c r="F1086" s="18" t="inlineStr">
        <is>
          <t>Fomepizole 15 mg/kg IV loading</t>
        </is>
      </c>
      <c r="G1086" s="18" t="inlineStr">
        <is>
          <t>N-acetylcysteine (NAC) IV infusion protocol</t>
        </is>
      </c>
      <c r="H1086" s="18" t="inlineStr">
        <is>
          <t>Atropine sulfate 2 mg IV Q5-10 min</t>
        </is>
      </c>
      <c r="I1086" s="15" t="inlineStr">
        <is>
          <t>1</t>
        </is>
      </c>
      <c r="J10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6" s="18" t="inlineStr"/>
      <c r="L1086" s="18" t="inlineStr">
        <is>
          <t>General Therapeutics</t>
        </is>
      </c>
      <c r="M1086" s="18" t="inlineStr">
        <is>
          <t>Clinic</t>
        </is>
      </c>
      <c r="N1086" s="18" t="inlineStr">
        <is>
          <t>ข้อ 4 (PLE_CC1_2533.md)</t>
        </is>
      </c>
      <c r="O1086" s="18" t="inlineStr">
        <is>
          <t>ข้อสอบจริง</t>
        </is>
      </c>
      <c r="P1086" s="18" t="inlineStr">
        <is>
          <t>ปี 2533</t>
        </is>
      </c>
    </row>
    <row r="1087">
      <c r="A1087" s="15" t="inlineStr">
        <is>
          <t>1108</t>
        </is>
      </c>
      <c r="B1087" s="18" t="inlineStr">
        <is>
          <t>hypersensitivity to phenazopyridine products</t>
        </is>
      </c>
      <c r="C1087" s="18" t="inlineStr"/>
      <c r="D1087" s="18" t="inlineStr">
        <is>
          <t>N-acetylcysteine (NAC) IV infusion protocol</t>
        </is>
      </c>
      <c r="E1087" s="18" t="inlineStr">
        <is>
          <t>Atropine sulfate 2 mg IV Q5-10 min</t>
        </is>
      </c>
      <c r="F1087" s="18" t="inlineStr">
        <is>
          <t>Pralidoxime (2-PAM) 1-2 g IV over 30 min</t>
        </is>
      </c>
      <c r="G1087" s="18" t="inlineStr">
        <is>
          <t>Naloxone 0.4 mg IV stat</t>
        </is>
      </c>
      <c r="H1087" s="18" t="inlineStr">
        <is>
          <t>Flumazenil 0.2 mg IV stat</t>
        </is>
      </c>
      <c r="I1087" s="15" t="inlineStr">
        <is>
          <t>1</t>
        </is>
      </c>
      <c r="J10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7" s="18" t="inlineStr"/>
      <c r="L1087" s="18" t="inlineStr">
        <is>
          <t>General Therapeutics</t>
        </is>
      </c>
      <c r="M1087" s="18" t="inlineStr">
        <is>
          <t>Clinic</t>
        </is>
      </c>
      <c r="N1087" s="18" t="inlineStr">
        <is>
          <t>ข้อ 1 (PLE_CC1_2533.md)</t>
        </is>
      </c>
      <c r="O1087" s="18" t="inlineStr">
        <is>
          <t>ข้อสอบจริง</t>
        </is>
      </c>
      <c r="P1087" s="18" t="inlineStr">
        <is>
          <t>ปี 2533</t>
        </is>
      </c>
    </row>
    <row r="1088">
      <c r="A1088" s="15" t="inlineStr">
        <is>
          <t>1109</t>
        </is>
      </c>
      <c r="B1088" s="18" t="inlineStr">
        <is>
          <t>glucose-6-phosphate dehydrogenase deficiency</t>
        </is>
      </c>
      <c r="C1088" s="18" t="inlineStr"/>
      <c r="D1088" s="18" t="inlineStr">
        <is>
          <t>Semaglutide 0.5 mg SC weekly</t>
        </is>
      </c>
      <c r="E1088" s="18" t="inlineStr">
        <is>
          <t>Metformin 500 mg BID</t>
        </is>
      </c>
      <c r="F1088" s="18" t="inlineStr">
        <is>
          <t>Glipizide 5 mg OD</t>
        </is>
      </c>
      <c r="G1088" s="18" t="inlineStr">
        <is>
          <t>Empagliflozin 10 mg OD</t>
        </is>
      </c>
      <c r="H1088" s="18" t="inlineStr">
        <is>
          <t>Sitagliptin 100 mg OD</t>
        </is>
      </c>
      <c r="I1088" s="15" t="inlineStr">
        <is>
          <t>1</t>
        </is>
      </c>
      <c r="J1088" s="1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088" s="18" t="inlineStr"/>
      <c r="L1088" s="18" t="inlineStr">
        <is>
          <t>Diabetes &amp; Endocrine</t>
        </is>
      </c>
      <c r="M1088" s="18" t="inlineStr">
        <is>
          <t>Clinic</t>
        </is>
      </c>
      <c r="N1088" s="18" t="inlineStr">
        <is>
          <t>ข้อ 1 (PLE_CC1_2533.md)</t>
        </is>
      </c>
      <c r="O1088" s="18" t="inlineStr">
        <is>
          <t>ข้อสอบจริง</t>
        </is>
      </c>
      <c r="P1088" s="18" t="inlineStr">
        <is>
          <t>ปี 2533</t>
        </is>
      </c>
    </row>
    <row r="1089">
      <c r="A1089" s="15" t="inlineStr">
        <is>
          <t>1110</t>
        </is>
      </c>
      <c r="B1089" s="18" t="inlineStr">
        <is>
          <t>Case –control studies</t>
        </is>
      </c>
      <c r="C1089" s="18" t="inlineStr"/>
      <c r="D1089" s="18" t="inlineStr">
        <is>
          <t>Sodium thiosulfate 25% 50 mL IV</t>
        </is>
      </c>
      <c r="E1089" s="18" t="inlineStr">
        <is>
          <t>Calcium disodium EDTA 1 g IV</t>
        </is>
      </c>
      <c r="F1089" s="18" t="inlineStr">
        <is>
          <t>Desferrioxamine 1 g IM/IV</t>
        </is>
      </c>
      <c r="G1089" s="18" t="inlineStr">
        <is>
          <t>Dimercaprol (BAL) 3 mg/kg IM</t>
        </is>
      </c>
      <c r="H1089" s="18" t="inlineStr">
        <is>
          <t>Ethanol 10% IV infusion for Methanol poisoning</t>
        </is>
      </c>
      <c r="I1089" s="15" t="inlineStr">
        <is>
          <t>1</t>
        </is>
      </c>
      <c r="J10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9" s="18" t="inlineStr"/>
      <c r="L1089" s="18" t="inlineStr">
        <is>
          <t>General Therapeutics</t>
        </is>
      </c>
      <c r="M1089" s="18" t="inlineStr">
        <is>
          <t>Clinic</t>
        </is>
      </c>
      <c r="N1089" s="18" t="inlineStr">
        <is>
          <t>ข้อ 2 (PLE_CC1_2533.md)</t>
        </is>
      </c>
      <c r="O1089" s="18" t="inlineStr">
        <is>
          <t>ข้อสอบจริง</t>
        </is>
      </c>
      <c r="P1089" s="18" t="inlineStr">
        <is>
          <t>ปี 2533</t>
        </is>
      </c>
    </row>
    <row r="1090">
      <c r="A1090" s="15" t="inlineStr">
        <is>
          <t>1111</t>
        </is>
      </c>
      <c r="B1090" s="18" t="inlineStr">
        <is>
          <t>ความผิดปกติของโรคดังกล่าวเกิดที่ระบบใด</t>
        </is>
      </c>
      <c r="C1090" s="18" t="inlineStr"/>
      <c r="D1090" s="18" t="inlineStr">
        <is>
          <t>Dimercaprol (BAL) 3 mg/kg IM</t>
        </is>
      </c>
      <c r="E1090" s="18" t="inlineStr">
        <is>
          <t>Ethanol 10% IV infusion for Methanol poisoning</t>
        </is>
      </c>
      <c r="F1090" s="18" t="inlineStr">
        <is>
          <t>Fomepizole 15 mg/kg IV loading</t>
        </is>
      </c>
      <c r="G1090" s="18" t="inlineStr">
        <is>
          <t>N-acetylcysteine (NAC) IV infusion protocol</t>
        </is>
      </c>
      <c r="H1090" s="18" t="inlineStr">
        <is>
          <t>Atropine sulfate 2 mg IV Q5-10 min</t>
        </is>
      </c>
      <c r="I1090" s="15" t="inlineStr">
        <is>
          <t>1</t>
        </is>
      </c>
      <c r="J10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0" s="18" t="inlineStr"/>
      <c r="L1090" s="18" t="inlineStr">
        <is>
          <t>General Therapeutics</t>
        </is>
      </c>
      <c r="M1090" s="18" t="inlineStr">
        <is>
          <t>Clinic</t>
        </is>
      </c>
      <c r="N1090" s="18" t="inlineStr">
        <is>
          <t>ข้อ 1 (PLE_CC1_2533.md)</t>
        </is>
      </c>
      <c r="O1090" s="18" t="inlineStr">
        <is>
          <t>ข้อสอบจริง</t>
        </is>
      </c>
      <c r="P1090" s="18" t="inlineStr">
        <is>
          <t>ปี 2533</t>
        </is>
      </c>
    </row>
    <row r="1091">
      <c r="A1091" s="15" t="inlineStr">
        <is>
          <t>1112</t>
        </is>
      </c>
      <c r="B1091" s="18" t="inlineStr">
        <is>
          <t>ยาในข้อใดที่ไม่เหมาะสมกับผู้ป่วยรายนี้</t>
        </is>
      </c>
      <c r="C1091" s="18" t="inlineStr"/>
      <c r="D1091" s="18" t="inlineStr">
        <is>
          <t>N-acetylcysteine (NAC) IV infusion protocol</t>
        </is>
      </c>
      <c r="E1091" s="18" t="inlineStr">
        <is>
          <t>Atropine sulfate 2 mg IV Q5-10 min</t>
        </is>
      </c>
      <c r="F1091" s="18" t="inlineStr">
        <is>
          <t>Pralidoxime (2-PAM) 1-2 g IV over 30 min</t>
        </is>
      </c>
      <c r="G1091" s="18" t="inlineStr">
        <is>
          <t>Naloxone 0.4 mg IV stat</t>
        </is>
      </c>
      <c r="H1091" s="18" t="inlineStr">
        <is>
          <t>Flumazenil 0.2 mg IV stat</t>
        </is>
      </c>
      <c r="I1091" s="15" t="inlineStr">
        <is>
          <t>1</t>
        </is>
      </c>
      <c r="J10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1" s="18" t="inlineStr"/>
      <c r="L1091" s="18" t="inlineStr">
        <is>
          <t>General Therapeutics</t>
        </is>
      </c>
      <c r="M1091" s="18" t="inlineStr">
        <is>
          <t>Clinic</t>
        </is>
      </c>
      <c r="N1091" s="18" t="inlineStr">
        <is>
          <t>ข้อ 2 (PLE_CC1_2533.md)</t>
        </is>
      </c>
      <c r="O1091" s="18" t="inlineStr">
        <is>
          <t>ข้อสอบจริง</t>
        </is>
      </c>
      <c r="P1091" s="18" t="inlineStr">
        <is>
          <t>ปี 2533</t>
        </is>
      </c>
    </row>
    <row r="1092">
      <c r="A1092" s="15" t="inlineStr">
        <is>
          <t>1113</t>
        </is>
      </c>
      <c r="B1092" s="18" t="inlineStr">
        <is>
          <t>Trihexylphenidyl Ans. 5. Trihexylphenidyl Trihexylphenidyl เป็นยากลุ่ม anticholinergic ซึ่งมีอาการข้างเคียงคือตาพร้า ปากแห้ง ท้องผูก และปัสสาวะคั่ง จึงไม่ ควรให้ในผู้ป่วย BPH</t>
        </is>
      </c>
      <c r="C1092" s="18" t="inlineStr"/>
      <c r="D1092" s="18" t="inlineStr">
        <is>
          <t>Aluminium hydroxide/Magnesium hydroxide suspension</t>
        </is>
      </c>
      <c r="E1092" s="18" t="inlineStr">
        <is>
          <t>Metoclopramide 10 mg TID before meals</t>
        </is>
      </c>
      <c r="F1092" s="18" t="inlineStr">
        <is>
          <t>Omeprazole 20 mg OD</t>
        </is>
      </c>
      <c r="G1092" s="18" t="inlineStr">
        <is>
          <t>Esomeprazole 20 mg OD</t>
        </is>
      </c>
      <c r="H1092" s="18" t="inlineStr">
        <is>
          <t>Domperidone 10 mg TID</t>
        </is>
      </c>
      <c r="I1092" s="15" t="inlineStr">
        <is>
          <t>1</t>
        </is>
      </c>
      <c r="J1092" s="18" t="inlineStr">
        <is>
          <t>✅ คำตอบที่ถูกต้อง: ข้อ ก. Aluminium hydroxide/Magnesium hydroxide suspension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2" s="18" t="inlineStr"/>
      <c r="L1092" s="18" t="inlineStr">
        <is>
          <t>GI Disorders</t>
        </is>
      </c>
      <c r="M1092" s="18" t="inlineStr">
        <is>
          <t>Clinic</t>
        </is>
      </c>
      <c r="N1092" s="18" t="inlineStr">
        <is>
          <t>ข้อ 5 (PLE_CC1_2533.md)</t>
        </is>
      </c>
      <c r="O1092" s="18" t="inlineStr">
        <is>
          <t>ข้อสอบจริง</t>
        </is>
      </c>
      <c r="P1092" s="18" t="inlineStr">
        <is>
          <t>ปี 2533</t>
        </is>
      </c>
    </row>
    <row r="1093">
      <c r="A1093" s="15" t="inlineStr">
        <is>
          <t>1114</t>
        </is>
      </c>
      <c r="B1093" s="18" t="inlineStr">
        <is>
          <t>End of dose effect</t>
        </is>
      </c>
      <c r="C1093" s="18" t="inlineStr"/>
      <c r="D1093" s="18" t="inlineStr">
        <is>
          <t>Sodium thiosulfate 25% 50 mL IV</t>
        </is>
      </c>
      <c r="E1093" s="18" t="inlineStr">
        <is>
          <t>Calcium disodium EDTA 1 g IV</t>
        </is>
      </c>
      <c r="F1093" s="18" t="inlineStr">
        <is>
          <t>Desferrioxamine 1 g IM/IV</t>
        </is>
      </c>
      <c r="G1093" s="18" t="inlineStr">
        <is>
          <t>Dimercaprol (BAL) 3 mg/kg IM</t>
        </is>
      </c>
      <c r="H1093" s="18" t="inlineStr">
        <is>
          <t>Ethanol 10% IV infusion for Methanol poisoning</t>
        </is>
      </c>
      <c r="I1093" s="15" t="inlineStr">
        <is>
          <t>1</t>
        </is>
      </c>
      <c r="J10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3" s="18" t="inlineStr"/>
      <c r="L1093" s="18" t="inlineStr">
        <is>
          <t>General Therapeutics</t>
        </is>
      </c>
      <c r="M1093" s="18" t="inlineStr">
        <is>
          <t>Clinic</t>
        </is>
      </c>
      <c r="N1093" s="18" t="inlineStr">
        <is>
          <t>ข้อ 3 (PLE_CC1_2533.md)</t>
        </is>
      </c>
      <c r="O1093" s="18" t="inlineStr">
        <is>
          <t>ข้อสอบจริง</t>
        </is>
      </c>
      <c r="P1093" s="18" t="inlineStr">
        <is>
          <t>ปี 2533</t>
        </is>
      </c>
    </row>
    <row r="1094">
      <c r="A1094" s="15" t="inlineStr">
        <is>
          <t>1115</t>
        </is>
      </c>
      <c r="B1094" s="18" t="inlineStr">
        <is>
          <t>ขนาดยาต่ำเกินไป</t>
        </is>
      </c>
      <c r="C1094" s="18" t="inlineStr"/>
      <c r="D1094" s="18" t="inlineStr">
        <is>
          <t>Dimercaprol (BAL) 3 mg/kg IM</t>
        </is>
      </c>
      <c r="E1094" s="18" t="inlineStr">
        <is>
          <t>Ethanol 10% IV infusion for Methanol poisoning</t>
        </is>
      </c>
      <c r="F1094" s="18" t="inlineStr">
        <is>
          <t>Fomepizole 15 mg/kg IV loading</t>
        </is>
      </c>
      <c r="G1094" s="18" t="inlineStr">
        <is>
          <t>N-acetylcysteine (NAC) IV infusion protocol</t>
        </is>
      </c>
      <c r="H1094" s="18" t="inlineStr">
        <is>
          <t>Atropine sulfate 2 mg IV Q5-10 min</t>
        </is>
      </c>
      <c r="I1094" s="15" t="inlineStr">
        <is>
          <t>1</t>
        </is>
      </c>
      <c r="J10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4" s="18" t="inlineStr"/>
      <c r="L1094" s="18" t="inlineStr">
        <is>
          <t>General Therapeutics</t>
        </is>
      </c>
      <c r="M1094" s="18" t="inlineStr">
        <is>
          <t>Clinic</t>
        </is>
      </c>
      <c r="N1094" s="18" t="inlineStr">
        <is>
          <t>ข้อ 1 (PLE_CC1_2533.md)</t>
        </is>
      </c>
      <c r="O1094" s="18" t="inlineStr">
        <is>
          <t>ข้อสอบจริง</t>
        </is>
      </c>
      <c r="P1094" s="18" t="inlineStr">
        <is>
          <t>ปี 2533</t>
        </is>
      </c>
    </row>
    <row r="1095">
      <c r="A1095" s="15" t="inlineStr">
        <is>
          <t>1116</t>
        </is>
      </c>
      <c r="B1095" s="18" t="inlineStr">
        <is>
          <t>ผู้ป่วยไม่กินยาตามสั่ง</t>
        </is>
      </c>
      <c r="C1095" s="18" t="inlineStr"/>
      <c r="D1095" s="18" t="inlineStr">
        <is>
          <t>N-acetylcysteine (NAC) IV infusion protocol</t>
        </is>
      </c>
      <c r="E1095" s="18" t="inlineStr">
        <is>
          <t>Atropine sulfate 2 mg IV Q5-10 min</t>
        </is>
      </c>
      <c r="F1095" s="18" t="inlineStr">
        <is>
          <t>Pralidoxime (2-PAM) 1-2 g IV over 30 min</t>
        </is>
      </c>
      <c r="G1095" s="18" t="inlineStr">
        <is>
          <t>Naloxone 0.4 mg IV stat</t>
        </is>
      </c>
      <c r="H1095" s="18" t="inlineStr">
        <is>
          <t>Flumazenil 0.2 mg IV stat</t>
        </is>
      </c>
      <c r="I1095" s="15" t="inlineStr">
        <is>
          <t>1</t>
        </is>
      </c>
      <c r="J10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5" s="18" t="inlineStr"/>
      <c r="L1095" s="18" t="inlineStr">
        <is>
          <t>General Therapeutics</t>
        </is>
      </c>
      <c r="M1095" s="18" t="inlineStr">
        <is>
          <t>Clinic</t>
        </is>
      </c>
      <c r="N1095" s="18" t="inlineStr">
        <is>
          <t>ข้อ 2 (PLE_CC1_2533.md)</t>
        </is>
      </c>
      <c r="O1095" s="18" t="inlineStr">
        <is>
          <t>ข้อสอบจริง</t>
        </is>
      </c>
      <c r="P1095" s="18" t="inlineStr">
        <is>
          <t>ปี 2533</t>
        </is>
      </c>
    </row>
    <row r="1096">
      <c r="A1096" s="15" t="inlineStr">
        <is>
          <t>1117</t>
        </is>
      </c>
      <c r="B1096" s="18" t="inlineStr">
        <is>
          <t>อาการข้างเคียงจากการใช้ยา</t>
        </is>
      </c>
      <c r="C1096" s="18" t="inlineStr"/>
      <c r="D1096" s="18" t="inlineStr">
        <is>
          <t>Naloxone 0.4 mg IV stat</t>
        </is>
      </c>
      <c r="E1096" s="18" t="inlineStr">
        <is>
          <t>Flumazenil 0.2 mg IV stat</t>
        </is>
      </c>
      <c r="F1096" s="18" t="inlineStr">
        <is>
          <t>Vitamin K1 (Phytomenadione) 10 mg IV slow</t>
        </is>
      </c>
      <c r="G1096" s="18" t="inlineStr">
        <is>
          <t>Sodium thiosulfate 25% 50 mL IV</t>
        </is>
      </c>
      <c r="H1096" s="18" t="inlineStr">
        <is>
          <t>Calcium disodium EDTA 1 g IV</t>
        </is>
      </c>
      <c r="I1096" s="15" t="inlineStr">
        <is>
          <t>1</t>
        </is>
      </c>
      <c r="J10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96" s="18" t="inlineStr"/>
      <c r="L1096" s="18" t="inlineStr">
        <is>
          <t>General Therapeutics</t>
        </is>
      </c>
      <c r="M1096" s="18" t="inlineStr">
        <is>
          <t>Clinic</t>
        </is>
      </c>
      <c r="N1096" s="18" t="inlineStr">
        <is>
          <t>ข้อ 3 (PLE_CC1_2533.md)</t>
        </is>
      </c>
      <c r="O1096" s="18" t="inlineStr">
        <is>
          <t>ข้อสอบจริง</t>
        </is>
      </c>
      <c r="P1096" s="18" t="inlineStr">
        <is>
          <t>ปี 2533</t>
        </is>
      </c>
    </row>
    <row r="1097">
      <c r="A1097" s="15" t="inlineStr">
        <is>
          <t>1118</t>
        </is>
      </c>
      <c r="B1097" s="18" t="inlineStr">
        <is>
          <t>ผู้ป่วยลืมกินยา</t>
        </is>
      </c>
      <c r="C1097" s="18" t="inlineStr"/>
      <c r="D1097" s="18" t="inlineStr">
        <is>
          <t>Sodium thiosulfate 25% 50 mL IV</t>
        </is>
      </c>
      <c r="E1097" s="18" t="inlineStr">
        <is>
          <t>Calcium disodium EDTA 1 g IV</t>
        </is>
      </c>
      <c r="F1097" s="18" t="inlineStr">
        <is>
          <t>Desferrioxamine 1 g IM/IV</t>
        </is>
      </c>
      <c r="G1097" s="18" t="inlineStr">
        <is>
          <t>Dimercaprol (BAL) 3 mg/kg IM</t>
        </is>
      </c>
      <c r="H1097" s="18" t="inlineStr">
        <is>
          <t>Ethanol 10% IV infusion for Methanol poisoning</t>
        </is>
      </c>
      <c r="I1097" s="15" t="inlineStr">
        <is>
          <t>1</t>
        </is>
      </c>
      <c r="J10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7" s="18" t="inlineStr"/>
      <c r="L1097" s="18" t="inlineStr">
        <is>
          <t>General Therapeutics</t>
        </is>
      </c>
      <c r="M1097" s="18" t="inlineStr">
        <is>
          <t>Clinic</t>
        </is>
      </c>
      <c r="N1097" s="18" t="inlineStr">
        <is>
          <t>ข้อ 4 (PLE_CC1_2533.md)</t>
        </is>
      </c>
      <c r="O1097" s="18" t="inlineStr">
        <is>
          <t>ข้อสอบจริง</t>
        </is>
      </c>
      <c r="P1097" s="18" t="inlineStr">
        <is>
          <t>ปี 2533</t>
        </is>
      </c>
    </row>
    <row r="1098">
      <c r="A1098" s="15" t="inlineStr">
        <is>
          <t>1119</t>
        </is>
      </c>
      <c r="B1098" s="18" t="inlineStr">
        <is>
          <t>หากในการรักษาแพทย์พิจารณาเพิ่มยารักษาอีก 1 ตัว ยาตัวใดที่ผู้ป่วยไม่ควรได้รับ(ผู้ป่วยเคยมีประวัติเป็น BPH )</t>
        </is>
      </c>
      <c r="C1098" s="18" t="inlineStr"/>
      <c r="D1098" s="18" t="inlineStr">
        <is>
          <t>Ethinylestradiol 35 mcg + Cyproterone acetate 2 mg</t>
        </is>
      </c>
      <c r="E1098" s="18" t="inlineStr">
        <is>
          <t>Desogestrel 75 mcg OD (Progestin-only)</t>
        </is>
      </c>
      <c r="F1098" s="18" t="inlineStr">
        <is>
          <t>Levonorgestrel 1.5 mg stat (Emergency)</t>
        </is>
      </c>
      <c r="G1098" s="18" t="inlineStr">
        <is>
          <t>Mefenamic acid 500 mg TID</t>
        </is>
      </c>
      <c r="H1098" s="18" t="inlineStr">
        <is>
          <t>Tamsulosin 0.4 mg HS</t>
        </is>
      </c>
      <c r="I1098" s="15" t="inlineStr">
        <is>
          <t>1</t>
        </is>
      </c>
      <c r="J1098" s="18"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8" s="18" t="inlineStr"/>
      <c r="L1098" s="18" t="inlineStr">
        <is>
          <t>Gynaecologic &amp; GU</t>
        </is>
      </c>
      <c r="M1098" s="18" t="inlineStr">
        <is>
          <t>Clinic</t>
        </is>
      </c>
      <c r="N1098" s="18" t="inlineStr">
        <is>
          <t>ข้อ 7 (PLE_CC1_2533.md)</t>
        </is>
      </c>
      <c r="O1098" s="18" t="inlineStr">
        <is>
          <t>ข้อสอบจริง</t>
        </is>
      </c>
      <c r="P1098" s="18" t="inlineStr">
        <is>
          <t>ปี 2533</t>
        </is>
      </c>
    </row>
    <row r="1099">
      <c r="A1099" s="15" t="inlineStr">
        <is>
          <t>1120</t>
        </is>
      </c>
      <c r="B1099" s="18" t="inlineStr">
        <is>
          <t>การติดหน้า punch »» ลดความชื้นของสารในตำรับ</t>
        </is>
      </c>
      <c r="C1099" s="18" t="inlineStr"/>
      <c r="D1099" s="18" t="inlineStr">
        <is>
          <t>N-acetylcysteine (NAC) IV infusion protocol</t>
        </is>
      </c>
      <c r="E1099" s="18" t="inlineStr">
        <is>
          <t>Atropine sulfate 2 mg IV Q5-10 min</t>
        </is>
      </c>
      <c r="F1099" s="18" t="inlineStr">
        <is>
          <t>Pralidoxime (2-PAM) 1-2 g IV over 30 min</t>
        </is>
      </c>
      <c r="G1099" s="18" t="inlineStr">
        <is>
          <t>Naloxone 0.4 mg IV stat</t>
        </is>
      </c>
      <c r="H1099" s="18" t="inlineStr">
        <is>
          <t>Flumazenil 0.2 mg IV stat</t>
        </is>
      </c>
      <c r="I1099" s="15" t="inlineStr">
        <is>
          <t>1</t>
        </is>
      </c>
      <c r="J109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9" s="18" t="inlineStr"/>
      <c r="L1099" s="18" t="inlineStr">
        <is>
          <t>General Therapeutics</t>
        </is>
      </c>
      <c r="M1099" s="18" t="inlineStr">
        <is>
          <t>Clinic</t>
        </is>
      </c>
      <c r="N1099" s="18" t="inlineStr">
        <is>
          <t>ข้อ 1 (PLE_CC1_2533.md)</t>
        </is>
      </c>
      <c r="O1099" s="18" t="inlineStr">
        <is>
          <t>ข้อสอบจริง</t>
        </is>
      </c>
      <c r="P1099" s="18" t="inlineStr">
        <is>
          <t>ปี 2533</t>
        </is>
      </c>
    </row>
    <row r="1100">
      <c r="A1100" s="15" t="inlineStr">
        <is>
          <t>1121</t>
        </is>
      </c>
      <c r="B1100" s="18" t="inlineStr">
        <is>
          <t>แกรนูลนิ่มหรืออ่อนเกินไป »» เพิ่มสารยึดเกาะให้เหมาะสมและเพียงพอ</t>
        </is>
      </c>
      <c r="C1100" s="18" t="inlineStr"/>
      <c r="D1100" s="18" t="inlineStr">
        <is>
          <t>Naloxone 0.4 mg IV stat</t>
        </is>
      </c>
      <c r="E1100" s="18" t="inlineStr">
        <is>
          <t>Flumazenil 0.2 mg IV stat</t>
        </is>
      </c>
      <c r="F1100" s="18" t="inlineStr">
        <is>
          <t>Vitamin K1 (Phytomenadione) 10 mg IV slow</t>
        </is>
      </c>
      <c r="G1100" s="18" t="inlineStr">
        <is>
          <t>Sodium thiosulfate 25% 50 mL IV</t>
        </is>
      </c>
      <c r="H1100" s="18" t="inlineStr">
        <is>
          <t>Calcium disodium EDTA 1 g IV</t>
        </is>
      </c>
      <c r="I1100" s="15" t="inlineStr">
        <is>
          <t>1</t>
        </is>
      </c>
      <c r="J11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0" s="18" t="inlineStr"/>
      <c r="L1100" s="18" t="inlineStr">
        <is>
          <t>General Therapeutics</t>
        </is>
      </c>
      <c r="M1100" s="18" t="inlineStr">
        <is>
          <t>Clinic</t>
        </is>
      </c>
      <c r="N1100" s="18" t="inlineStr">
        <is>
          <t>ข้อ 2 (PLE_CC1_2533.md)</t>
        </is>
      </c>
      <c r="O1100" s="18" t="inlineStr">
        <is>
          <t>ข้อสอบจริง</t>
        </is>
      </c>
      <c r="P1100" s="18" t="inlineStr">
        <is>
          <t>ปี 2533</t>
        </is>
      </c>
    </row>
    <row r="1101">
      <c r="A1101" s="15" t="inlineStr">
        <is>
          <t>1122</t>
        </is>
      </c>
      <c r="B1101" s="18" t="inlineStr">
        <is>
          <t>น้ำหนักไม่สม่ำเสมอ »» ผสมสารช่วยไหลให้เพียงพอและเหมาะสม</t>
        </is>
      </c>
      <c r="C1101" s="18" t="inlineStr"/>
      <c r="D1101" s="18" t="inlineStr">
        <is>
          <t>Sodium thiosulfate 25% 50 mL IV</t>
        </is>
      </c>
      <c r="E1101" s="18" t="inlineStr">
        <is>
          <t>Calcium disodium EDTA 1 g IV</t>
        </is>
      </c>
      <c r="F1101" s="18" t="inlineStr">
        <is>
          <t>Desferrioxamine 1 g IM/IV</t>
        </is>
      </c>
      <c r="G1101" s="18" t="inlineStr">
        <is>
          <t>Dimercaprol (BAL) 3 mg/kg IM</t>
        </is>
      </c>
      <c r="H1101" s="18" t="inlineStr">
        <is>
          <t>Ethanol 10% IV infusion for Methanol poisoning</t>
        </is>
      </c>
      <c r="I1101" s="15" t="inlineStr">
        <is>
          <t>1</t>
        </is>
      </c>
      <c r="J110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1" s="18" t="inlineStr"/>
      <c r="L1101" s="18" t="inlineStr">
        <is>
          <t>General Therapeutics</t>
        </is>
      </c>
      <c r="M1101" s="18" t="inlineStr">
        <is>
          <t>Clinic</t>
        </is>
      </c>
      <c r="N1101" s="18" t="inlineStr">
        <is>
          <t>ข้อ 4 (PLE_CC1_2533.md)</t>
        </is>
      </c>
      <c r="O1101" s="18" t="inlineStr">
        <is>
          <t>ข้อสอบจริง</t>
        </is>
      </c>
      <c r="P1101" s="18" t="inlineStr">
        <is>
          <t>ปี 2533</t>
        </is>
      </c>
    </row>
    <row r="1102">
      <c r="A1102" s="15" t="inlineStr">
        <is>
          <t>1123</t>
        </is>
      </c>
      <c r="B1102" s="18" t="inlineStr">
        <is>
          <t>Arrhinius equation</t>
        </is>
      </c>
      <c r="C1102" s="18" t="inlineStr"/>
      <c r="D1102" s="18" t="inlineStr">
        <is>
          <t>Dimercaprol (BAL) 3 mg/kg IM</t>
        </is>
      </c>
      <c r="E1102" s="18" t="inlineStr">
        <is>
          <t>Ethanol 10% IV infusion for Methanol poisoning</t>
        </is>
      </c>
      <c r="F1102" s="18" t="inlineStr">
        <is>
          <t>Fomepizole 15 mg/kg IV loading</t>
        </is>
      </c>
      <c r="G1102" s="18" t="inlineStr">
        <is>
          <t>N-acetylcysteine (NAC) IV infusion protocol</t>
        </is>
      </c>
      <c r="H1102" s="18" t="inlineStr">
        <is>
          <t>Atropine sulfate 2 mg IV Q5-10 min</t>
        </is>
      </c>
      <c r="I1102" s="15" t="inlineStr">
        <is>
          <t>1</t>
        </is>
      </c>
      <c r="J11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2" s="18" t="inlineStr"/>
      <c r="L1102" s="18" t="inlineStr">
        <is>
          <t>General Therapeutics</t>
        </is>
      </c>
      <c r="M1102" s="18" t="inlineStr">
        <is>
          <t>Clinic</t>
        </is>
      </c>
      <c r="N1102" s="18" t="inlineStr">
        <is>
          <t>ข้อ 1 (PLE_CC1_2533.md)</t>
        </is>
      </c>
      <c r="O1102" s="18" t="inlineStr">
        <is>
          <t>ข้อสอบจริง</t>
        </is>
      </c>
      <c r="P1102" s="18" t="inlineStr">
        <is>
          <t>ปี 2533</t>
        </is>
      </c>
    </row>
    <row r="1103">
      <c r="A1103" s="15" t="inlineStr">
        <is>
          <t>1124</t>
        </is>
      </c>
      <c r="B1103" s="18" t="inlineStr">
        <is>
          <t>ปริมาณสารที่เกิดจากการสลายตัวจากตัวยาสำคัญ</t>
        </is>
      </c>
      <c r="C1103" s="18" t="inlineStr"/>
      <c r="D1103" s="18" t="inlineStr">
        <is>
          <t>N-acetylcysteine (NAC) IV infusion protocol</t>
        </is>
      </c>
      <c r="E1103" s="18" t="inlineStr">
        <is>
          <t>Atropine sulfate 2 mg IV Q5-10 min</t>
        </is>
      </c>
      <c r="F1103" s="18" t="inlineStr">
        <is>
          <t>Pralidoxime (2-PAM) 1-2 g IV over 30 min</t>
        </is>
      </c>
      <c r="G1103" s="18" t="inlineStr">
        <is>
          <t>Naloxone 0.4 mg IV stat</t>
        </is>
      </c>
      <c r="H1103" s="18" t="inlineStr">
        <is>
          <t>Flumazenil 0.2 mg IV stat</t>
        </is>
      </c>
      <c r="I1103" s="15" t="inlineStr">
        <is>
          <t>1</t>
        </is>
      </c>
      <c r="J110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3" s="18" t="inlineStr"/>
      <c r="L1103" s="18" t="inlineStr">
        <is>
          <t>General Therapeutics</t>
        </is>
      </c>
      <c r="M1103" s="18" t="inlineStr">
        <is>
          <t>Clinic</t>
        </is>
      </c>
      <c r="N1103" s="18" t="inlineStr">
        <is>
          <t>ข้อ 2 (PLE_CC1_2533.md)</t>
        </is>
      </c>
      <c r="O1103" s="18" t="inlineStr">
        <is>
          <t>ข้อสอบจริง</t>
        </is>
      </c>
      <c r="P1103" s="18" t="inlineStr">
        <is>
          <t>ปี 2533</t>
        </is>
      </c>
    </row>
    <row r="1104">
      <c r="A1104" s="15" t="inlineStr">
        <is>
          <t>1125</t>
        </is>
      </c>
      <c r="B1104" s="18" t="inlineStr">
        <is>
          <t>ค่าคงที่อัตราการเกิดปฏิกิริยา</t>
        </is>
      </c>
      <c r="C1104" s="18" t="inlineStr"/>
      <c r="D1104" s="18" t="inlineStr">
        <is>
          <t>Naloxone 0.4 mg IV stat</t>
        </is>
      </c>
      <c r="E1104" s="18" t="inlineStr">
        <is>
          <t>Flumazenil 0.2 mg IV stat</t>
        </is>
      </c>
      <c r="F1104" s="18" t="inlineStr">
        <is>
          <t>Vitamin K1 (Phytomenadione) 10 mg IV slow</t>
        </is>
      </c>
      <c r="G1104" s="18" t="inlineStr">
        <is>
          <t>Sodium thiosulfate 25% 50 mL IV</t>
        </is>
      </c>
      <c r="H1104" s="18" t="inlineStr">
        <is>
          <t>Calcium disodium EDTA 1 g IV</t>
        </is>
      </c>
      <c r="I1104" s="15" t="inlineStr">
        <is>
          <t>1</t>
        </is>
      </c>
      <c r="J11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4" s="18" t="inlineStr"/>
      <c r="L1104" s="18" t="inlineStr">
        <is>
          <t>General Therapeutics</t>
        </is>
      </c>
      <c r="M1104" s="18" t="inlineStr">
        <is>
          <t>Clinic</t>
        </is>
      </c>
      <c r="N1104" s="18" t="inlineStr">
        <is>
          <t>ข้อ 4 (PLE_CC1_2533.md)</t>
        </is>
      </c>
      <c r="O1104" s="18" t="inlineStr">
        <is>
          <t>ข้อสอบจริง</t>
        </is>
      </c>
      <c r="P1104" s="18" t="inlineStr">
        <is>
          <t>ปี 2533</t>
        </is>
      </c>
    </row>
    <row r="1105">
      <c r="A1105" s="15" t="inlineStr">
        <is>
          <t>1126</t>
        </is>
      </c>
      <c r="B1105" s="18" t="inlineStr">
        <is>
          <t>อันดับปฏิกิริยา Ans 2. ปริมาณสารที่เกิดจากการสลายตัวจากตัวยาสำคัญ จากสมการของ Arrhenius หาก plot กราฟระหว่าง lnK (หรือ logK แต่ข้างขวาของสมการก็จะเป็น logA ด้วย) กับ 1/T ซึ่งสามารถนำไปคำนวณ เพื่อหาอายุของผลิตภัณฑ์ได้อย่างคร่าว ๆ (แต่จำไม่ได้ว่าหายังงัย เพราะซับซ้อนพอสมควร) ดังนั้นตัวเลือก (1) จึงถูกต้อง ปริมาณสารสำคัญจำเป็นต้องทราบ หากจะกำหนดวันหมดอายุของผลิตภัณฑ์ เนื่องจากการกำหนดอายุของผลิตภัณฑ์ จะต้องทราบความเข้มข้นของสารที่เปลี่ยนแปลงไป จึงต้องทราบปริมาณสารสำคัญตั้งแต่เริ่มต้นจนกระทั่งมีการลดลงของ สารสำคัญด้วย ค่าคงที่ปฏิกิริยา ( k) จำเป็นต้องทราบเนื่องจากเป็นตัวแปรหนึ่งที่บ่งบอกถึงอัตราการสลายตัวของสารสำคัญ และเป็นตัว แปรที่ประกอบอยู่ในสมการที่ศึกษาความคงตัวของยาต่าง ๆ เช่น สมการของปฏิกิริยาอันกับศูนย์, สมการของปฏิกิริยาอันดับ 1 และสมการของ Arrhenius อันดับของปฏิกิริยาจำเป็นต้องทราบ เพราะปฏิกิริยาในอันดับต่าง ๆ นั้นมีลักษณะของการสลายตัวของสารสำคัญที่มี ความแตกต่างกันออกไป ดังสมการที่แสดงด้านล่าง Zero-order reactions    kt A At   0 First-order reaction     kt A At   0 ln ln Second-order reaction 1 1     kt A At   จึงต้องทราบว่าการสลายตัวของสารนั้นเป็นปฏิกิริยาอันดับที่เท่าใด/แบบใด เพื่อที่จะสามารถนำไปคำนวณความเข้มข้น ของสารที่เหลืออยู่อย่างคร่าว ๆ ได้ต่อไป ส่วนปริมาณสารที่เกิดจากการสลายจากสารสำคัญ ไม่น่าที่จะมาใช้ในการคำนวณวันหมดอายุ เพราะจากสมการ ข้างต้นที่เกี่ยวข้องกับความคงตัว/จลนศาสตร์ของปฏิกิริยาไม่ได้มีการนำความเข้มข้น/ปริมาณสารที่สลายตัวจากสารสำคัญมาใช้ ในการคำนวณ เนื่องจากปริมาณสารที่สลายจากสารสำคัญที่เกิดขึ้นอาจไม่ได้สัมพันธ์กับการลดลงของสารสำคัญ และสารที่ สลายตัวจากสารสำคัญอาจไม่ได้มีสารเดียว จึงอาจจะทำให้ไม่สามารถทราบได้แน่นอนว่าสารที่ได้จากการสลายตัวนั้นมีกี่ตัว และปริมาณที่ทราบจะเป็นปริมาณของสารที่สลายตัวทุกตัวแล้วหรือไม่ ดังนั้นการคำนวณจากปริมาณสารสำคัญโดยตรงน่าจะ เหมาะสม และแม่นยำกว่า</t>
        </is>
      </c>
      <c r="C1105" s="18" t="inlineStr"/>
      <c r="D1105" s="18" t="inlineStr">
        <is>
          <t>Differential Scanning Calorimetry (DSC) Polymorphism</t>
        </is>
      </c>
      <c r="E1105" s="18" t="inlineStr">
        <is>
          <t>Moisture Sorption Isotherm analysis</t>
        </is>
      </c>
      <c r="F1105" s="18" t="inlineStr">
        <is>
          <t>Good Manufacturing Practice (GMP PIC/S)</t>
        </is>
      </c>
      <c r="G1105" s="18" t="inlineStr">
        <is>
          <t>Standard Operating Procedure (SOP) Validation</t>
        </is>
      </c>
      <c r="H1105" s="18" t="inlineStr">
        <is>
          <t>High-Density Polyethylene (HDPE) Container</t>
        </is>
      </c>
      <c r="I1105" s="15" t="inlineStr">
        <is>
          <t>1</t>
        </is>
      </c>
      <c r="J1105" s="18" t="inlineStr">
        <is>
          <t>✅ คำตอบที่ถูกต้อง: ข้อ ก. Differential Scanning Calorimetry (DSC) Polymorphism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5" s="18" t="inlineStr"/>
      <c r="L1105" s="18" t="inlineStr">
        <is>
          <t>Preformulation &amp; Stability</t>
        </is>
      </c>
      <c r="M1105" s="18" t="inlineStr">
        <is>
          <t>Product</t>
        </is>
      </c>
      <c r="N1105" s="18" t="inlineStr">
        <is>
          <t>ข้อ 5 (PLE_CC1_2533.md)</t>
        </is>
      </c>
      <c r="O1105" s="18" t="inlineStr">
        <is>
          <t>ข้อสอบจริง</t>
        </is>
      </c>
      <c r="P1105" s="18" t="inlineStr">
        <is>
          <t>ปี 2533</t>
        </is>
      </c>
    </row>
    <row r="1106">
      <c r="A1106" s="15" t="inlineStr">
        <is>
          <t>1127</t>
        </is>
      </c>
      <c r="B1106" s="18" t="inlineStr">
        <is>
          <t>ชนิดของ detector</t>
        </is>
      </c>
      <c r="C1106" s="18" t="inlineStr"/>
      <c r="D1106" s="18" t="inlineStr">
        <is>
          <t>Dimercaprol (BAL) 3 mg/kg IM</t>
        </is>
      </c>
      <c r="E1106" s="18" t="inlineStr">
        <is>
          <t>Ethanol 10% IV infusion for Methanol poisoning</t>
        </is>
      </c>
      <c r="F1106" s="18" t="inlineStr">
        <is>
          <t>Fomepizole 15 mg/kg IV loading</t>
        </is>
      </c>
      <c r="G1106" s="18" t="inlineStr">
        <is>
          <t>N-acetylcysteine (NAC) IV infusion protocol</t>
        </is>
      </c>
      <c r="H1106" s="18" t="inlineStr">
        <is>
          <t>Atropine sulfate 2 mg IV Q5-10 min</t>
        </is>
      </c>
      <c r="I1106" s="15" t="inlineStr">
        <is>
          <t>1</t>
        </is>
      </c>
      <c r="J11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6" s="18" t="inlineStr"/>
      <c r="L1106" s="18" t="inlineStr">
        <is>
          <t>General Therapeutics</t>
        </is>
      </c>
      <c r="M1106" s="18" t="inlineStr">
        <is>
          <t>Clinic</t>
        </is>
      </c>
      <c r="N1106" s="18" t="inlineStr">
        <is>
          <t>ข้อ 3 (PLE_CC1_2533.md)</t>
        </is>
      </c>
      <c r="O1106" s="18" t="inlineStr">
        <is>
          <t>ข้อสอบจริง</t>
        </is>
      </c>
      <c r="P1106" s="18" t="inlineStr">
        <is>
          <t>ปี 2533</t>
        </is>
      </c>
    </row>
    <row r="1107">
      <c r="A1107" s="15" t="inlineStr">
        <is>
          <t>1128</t>
        </is>
      </c>
      <c r="B1107" s="18" t="inlineStr">
        <is>
          <t>ชนิด detector  ถ้าเส้นชัยสนามแรกคือธงแดง อีกสนามเปลี่ยนจากธงแดงมาเป็นหลักกิโลฯ (ทั้งนี้อนุมานว่านักกีฬา วิ่งด้วยความเร็วเท่ากัน สนามเหมือนกัน สภาพอากาศเหมือนกัน) นักกีฬาจะใช้เวลาวิ่งในสองสนามนี้เท่ากันมั้ย?  เสมือนกับการเปลี่ยนชนิด detector จะไม่ส่งผลต่อระยะเวลาที่ออกมาของสาร เนื่องจากสารได้ถูกชะออกมาเรียบร้อย แล้ว คือ Rt ไม่เปลี่ยนแปลง</t>
        </is>
      </c>
      <c r="C1107" s="18" t="inlineStr"/>
      <c r="D1107" s="18" t="inlineStr">
        <is>
          <t>N-acetylcysteine (NAC) IV infusion protocol</t>
        </is>
      </c>
      <c r="E1107" s="18" t="inlineStr">
        <is>
          <t>Atropine sulfate 2 mg IV Q5-10 min</t>
        </is>
      </c>
      <c r="F1107" s="18" t="inlineStr">
        <is>
          <t>Pralidoxime (2-PAM) 1-2 g IV over 30 min</t>
        </is>
      </c>
      <c r="G1107" s="18" t="inlineStr">
        <is>
          <t>Naloxone 0.4 mg IV stat</t>
        </is>
      </c>
      <c r="H1107" s="18" t="inlineStr">
        <is>
          <t>Flumazenil 0.2 mg IV stat</t>
        </is>
      </c>
      <c r="I1107" s="15" t="inlineStr">
        <is>
          <t>1</t>
        </is>
      </c>
      <c r="J11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7" s="18" t="inlineStr"/>
      <c r="L1107" s="18" t="inlineStr">
        <is>
          <t>General Therapeutics</t>
        </is>
      </c>
      <c r="M1107" s="18" t="inlineStr">
        <is>
          <t>Clinic</t>
        </is>
      </c>
      <c r="N1107" s="18" t="inlineStr">
        <is>
          <t>ข้อ 3 (PLE_CC1_2533.md)</t>
        </is>
      </c>
      <c r="O1107" s="18" t="inlineStr">
        <is>
          <t>ข้อสอบจริง</t>
        </is>
      </c>
      <c r="P1107" s="18" t="inlineStr">
        <is>
          <t>ปี 2533</t>
        </is>
      </c>
    </row>
    <row r="1108">
      <c r="A1108" s="15" t="inlineStr">
        <is>
          <t>1129</t>
        </is>
      </c>
      <c r="B1108" s="18" t="inlineStr">
        <is>
          <t>ในแต่ละวันชายคนนี้จะได้รับยาทั้ง 2 ตัว อย่างละเท่าใด</t>
        </is>
      </c>
      <c r="C1108" s="18" t="inlineStr"/>
      <c r="D1108" s="18" t="inlineStr">
        <is>
          <t>Naloxone 0.4 mg IV stat</t>
        </is>
      </c>
      <c r="E1108" s="18" t="inlineStr">
        <is>
          <t>Flumazenil 0.2 mg IV stat</t>
        </is>
      </c>
      <c r="F1108" s="18" t="inlineStr">
        <is>
          <t>Vitamin K1 (Phytomenadione) 10 mg IV slow</t>
        </is>
      </c>
      <c r="G1108" s="18" t="inlineStr">
        <is>
          <t>Sodium thiosulfate 25% 50 mL IV</t>
        </is>
      </c>
      <c r="H1108" s="18" t="inlineStr">
        <is>
          <t>Calcium disodium EDTA 1 g IV</t>
        </is>
      </c>
      <c r="I1108" s="15" t="inlineStr">
        <is>
          <t>1</t>
        </is>
      </c>
      <c r="J11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8" s="18" t="inlineStr"/>
      <c r="L1108" s="18" t="inlineStr">
        <is>
          <t>General Therapeutics</t>
        </is>
      </c>
      <c r="M1108" s="18" t="inlineStr">
        <is>
          <t>Clinic</t>
        </is>
      </c>
      <c r="N1108" s="18" t="inlineStr">
        <is>
          <t>ข้อ 1 (PLE_CC1_2533.md)</t>
        </is>
      </c>
      <c r="O1108" s="18" t="inlineStr">
        <is>
          <t>ข้อสอบจริง</t>
        </is>
      </c>
      <c r="P1108" s="18" t="inlineStr">
        <is>
          <t>ปี 2533</t>
        </is>
      </c>
    </row>
    <row r="1109">
      <c r="A1109" s="15" t="inlineStr">
        <is>
          <t>1130</t>
        </is>
      </c>
      <c r="B1109" s="18" t="inlineStr">
        <is>
          <t>แทนที่ลำดับเบสบน DNA หรือ RNA</t>
        </is>
      </c>
      <c r="C1109" s="18" t="inlineStr"/>
      <c r="D1109" s="18" t="inlineStr">
        <is>
          <t>Sodium thiosulfate 25% 50 mL IV</t>
        </is>
      </c>
      <c r="E1109" s="18" t="inlineStr">
        <is>
          <t>Calcium disodium EDTA 1 g IV</t>
        </is>
      </c>
      <c r="F1109" s="18" t="inlineStr">
        <is>
          <t>Desferrioxamine 1 g IM/IV</t>
        </is>
      </c>
      <c r="G1109" s="18" t="inlineStr">
        <is>
          <t>Dimercaprol (BAL) 3 mg/kg IM</t>
        </is>
      </c>
      <c r="H1109" s="18" t="inlineStr">
        <is>
          <t>Ethanol 10% IV infusion for Methanol poisoning</t>
        </is>
      </c>
      <c r="I1109" s="15" t="inlineStr">
        <is>
          <t>1</t>
        </is>
      </c>
      <c r="J11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9" s="18" t="inlineStr"/>
      <c r="L1109" s="18" t="inlineStr">
        <is>
          <t>General Therapeutics</t>
        </is>
      </c>
      <c r="M1109" s="18" t="inlineStr">
        <is>
          <t>Clinic</t>
        </is>
      </c>
      <c r="N1109" s="18" t="inlineStr">
        <is>
          <t>ข้อ 3 (PLE_CC1_2533.md)</t>
        </is>
      </c>
      <c r="O1109" s="18" t="inlineStr">
        <is>
          <t>ข้อสอบจริง</t>
        </is>
      </c>
      <c r="P1109" s="18" t="inlineStr">
        <is>
          <t>ปี 2533</t>
        </is>
      </c>
    </row>
    <row r="1110">
      <c r="A1110" s="15" t="inlineStr">
        <is>
          <t>1131</t>
        </is>
      </c>
      <c r="B1110" s="18" t="inlineStr">
        <is>
          <t>เป็นอนุมูลอิสระรบกวน DNA</t>
        </is>
      </c>
      <c r="C1110" s="18" t="inlineStr"/>
      <c r="D1110" s="18" t="inlineStr">
        <is>
          <t>Dimercaprol (BAL) 3 mg/kg IM</t>
        </is>
      </c>
      <c r="E1110" s="18" t="inlineStr">
        <is>
          <t>Ethanol 10% IV infusion for Methanol poisoning</t>
        </is>
      </c>
      <c r="F1110" s="18" t="inlineStr">
        <is>
          <t>Fomepizole 15 mg/kg IV loading</t>
        </is>
      </c>
      <c r="G1110" s="18" t="inlineStr">
        <is>
          <t>N-acetylcysteine (NAC) IV infusion protocol</t>
        </is>
      </c>
      <c r="H1110" s="18" t="inlineStr">
        <is>
          <t>Atropine sulfate 2 mg IV Q5-10 min</t>
        </is>
      </c>
      <c r="I1110" s="15" t="inlineStr">
        <is>
          <t>1</t>
        </is>
      </c>
      <c r="J11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0" s="18" t="inlineStr"/>
      <c r="L1110" s="18" t="inlineStr">
        <is>
          <t>General Therapeutics</t>
        </is>
      </c>
      <c r="M1110" s="18" t="inlineStr">
        <is>
          <t>Clinic</t>
        </is>
      </c>
      <c r="N1110" s="18" t="inlineStr">
        <is>
          <t>ข้อ 5 (PLE_CC1_2533.md)</t>
        </is>
      </c>
      <c r="O1110" s="18" t="inlineStr">
        <is>
          <t>ข้อสอบจริง</t>
        </is>
      </c>
      <c r="P1110" s="18" t="inlineStr">
        <is>
          <t>ปี 2533</t>
        </is>
      </c>
    </row>
    <row r="1111">
      <c r="A1111" s="15" t="inlineStr">
        <is>
          <t>1132</t>
        </is>
      </c>
      <c r="B1111" s="18" t="inlineStr">
        <is>
          <t>ยับยั้ง RNA หรือ DNA</t>
        </is>
      </c>
      <c r="C1111" s="18" t="inlineStr"/>
      <c r="D1111" s="18" t="inlineStr">
        <is>
          <t>N-acetylcysteine (NAC) IV infusion protocol</t>
        </is>
      </c>
      <c r="E1111" s="18" t="inlineStr">
        <is>
          <t>Atropine sulfate 2 mg IV Q5-10 min</t>
        </is>
      </c>
      <c r="F1111" s="18" t="inlineStr">
        <is>
          <t>Pralidoxime (2-PAM) 1-2 g IV over 30 min</t>
        </is>
      </c>
      <c r="G1111" s="18" t="inlineStr">
        <is>
          <t>Naloxone 0.4 mg IV stat</t>
        </is>
      </c>
      <c r="H1111" s="18" t="inlineStr">
        <is>
          <t>Flumazenil 0.2 mg IV stat</t>
        </is>
      </c>
      <c r="I1111" s="15" t="inlineStr">
        <is>
          <t>1</t>
        </is>
      </c>
      <c r="J11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1" s="18" t="inlineStr"/>
      <c r="L1111" s="18" t="inlineStr">
        <is>
          <t>General Therapeutics</t>
        </is>
      </c>
      <c r="M1111" s="18" t="inlineStr">
        <is>
          <t>Clinic</t>
        </is>
      </c>
      <c r="N1111" s="18" t="inlineStr">
        <is>
          <t>ข้อ 1 (PLE_CC1_2533.md)</t>
        </is>
      </c>
      <c r="O1111" s="18" t="inlineStr">
        <is>
          <t>ข้อสอบจริง</t>
        </is>
      </c>
      <c r="P1111" s="18" t="inlineStr">
        <is>
          <t>ปี 2533</t>
        </is>
      </c>
    </row>
    <row r="1112">
      <c r="A1112" s="15" t="inlineStr">
        <is>
          <t>1133</t>
        </is>
      </c>
      <c r="B1112" s="18" t="inlineStr">
        <is>
          <t>.................................................</t>
        </is>
      </c>
      <c r="C1112" s="18" t="inlineStr"/>
      <c r="D1112" s="18" t="inlineStr">
        <is>
          <t>Naloxone 0.4 mg IV stat</t>
        </is>
      </c>
      <c r="E1112" s="18" t="inlineStr">
        <is>
          <t>Flumazenil 0.2 mg IV stat</t>
        </is>
      </c>
      <c r="F1112" s="18" t="inlineStr">
        <is>
          <t>Vitamin K1 (Phytomenadione) 10 mg IV slow</t>
        </is>
      </c>
      <c r="G1112" s="18" t="inlineStr">
        <is>
          <t>Sodium thiosulfate 25% 50 mL IV</t>
        </is>
      </c>
      <c r="H1112" s="18" t="inlineStr">
        <is>
          <t>Calcium disodium EDTA 1 g IV</t>
        </is>
      </c>
      <c r="I1112" s="15" t="inlineStr">
        <is>
          <t>1</t>
        </is>
      </c>
      <c r="J11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2" s="18" t="inlineStr"/>
      <c r="L1112" s="18" t="inlineStr">
        <is>
          <t>General Therapeutics</t>
        </is>
      </c>
      <c r="M1112" s="18" t="inlineStr">
        <is>
          <t>Clinic</t>
        </is>
      </c>
      <c r="N1112" s="18" t="inlineStr">
        <is>
          <t>ข้อ 4 (PLE_CC1_2533.md)</t>
        </is>
      </c>
      <c r="O1112" s="18" t="inlineStr">
        <is>
          <t>ข้อสอบจริง</t>
        </is>
      </c>
      <c r="P1112" s="18" t="inlineStr">
        <is>
          <t>ปี 2533</t>
        </is>
      </c>
    </row>
    <row r="1113">
      <c r="A1113" s="15" t="inlineStr">
        <is>
          <t>1134</t>
        </is>
      </c>
      <c r="B1113" s="18" t="inlineStr">
        <is>
          <t>Acyclonucleoside analog</t>
        </is>
      </c>
      <c r="C1113" s="18" t="inlineStr"/>
      <c r="D1113" s="18" t="inlineStr">
        <is>
          <t>Sodium thiosulfate 25% 50 mL IV</t>
        </is>
      </c>
      <c r="E1113" s="18" t="inlineStr">
        <is>
          <t>Calcium disodium EDTA 1 g IV</t>
        </is>
      </c>
      <c r="F1113" s="18" t="inlineStr">
        <is>
          <t>Desferrioxamine 1 g IM/IV</t>
        </is>
      </c>
      <c r="G1113" s="18" t="inlineStr">
        <is>
          <t>Dimercaprol (BAL) 3 mg/kg IM</t>
        </is>
      </c>
      <c r="H1113" s="18" t="inlineStr">
        <is>
          <t>Ethanol 10% IV infusion for Methanol poisoning</t>
        </is>
      </c>
      <c r="I1113" s="15" t="inlineStr">
        <is>
          <t>1</t>
        </is>
      </c>
      <c r="J11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3" s="18" t="inlineStr"/>
      <c r="L1113" s="18" t="inlineStr">
        <is>
          <t>General Therapeutics</t>
        </is>
      </c>
      <c r="M1113" s="18" t="inlineStr">
        <is>
          <t>Clinic</t>
        </is>
      </c>
      <c r="N1113" s="18" t="inlineStr">
        <is>
          <t>ข้อ 1 (PLE_CC1_2533.md)</t>
        </is>
      </c>
      <c r="O1113" s="18" t="inlineStr">
        <is>
          <t>ข้อสอบจริง</t>
        </is>
      </c>
      <c r="P1113" s="18" t="inlineStr">
        <is>
          <t>ปี 2533</t>
        </is>
      </c>
    </row>
    <row r="1114">
      <c r="A1114" s="15" t="inlineStr">
        <is>
          <t>1135</t>
        </is>
      </c>
      <c r="B1114" s="18" t="inlineStr">
        <is>
          <t>Purine nucleotide analog</t>
        </is>
      </c>
      <c r="C1114" s="18" t="inlineStr"/>
      <c r="D1114" s="18" t="inlineStr">
        <is>
          <t>Dimercaprol (BAL) 3 mg/kg IM</t>
        </is>
      </c>
      <c r="E1114" s="18" t="inlineStr">
        <is>
          <t>Ethanol 10% IV infusion for Methanol poisoning</t>
        </is>
      </c>
      <c r="F1114" s="18" t="inlineStr">
        <is>
          <t>Fomepizole 15 mg/kg IV loading</t>
        </is>
      </c>
      <c r="G1114" s="18" t="inlineStr">
        <is>
          <t>N-acetylcysteine (NAC) IV infusion protocol</t>
        </is>
      </c>
      <c r="H1114" s="18" t="inlineStr">
        <is>
          <t>Atropine sulfate 2 mg IV Q5-10 min</t>
        </is>
      </c>
      <c r="I1114" s="15" t="inlineStr">
        <is>
          <t>1</t>
        </is>
      </c>
      <c r="J11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4" s="18" t="inlineStr"/>
      <c r="L1114" s="18" t="inlineStr">
        <is>
          <t>General Therapeutics</t>
        </is>
      </c>
      <c r="M1114" s="18" t="inlineStr">
        <is>
          <t>Clinic</t>
        </is>
      </c>
      <c r="N1114" s="18" t="inlineStr">
        <is>
          <t>ข้อ 4 (PLE_CC1_2533.md)</t>
        </is>
      </c>
      <c r="O1114" s="18" t="inlineStr">
        <is>
          <t>ข้อสอบจริง</t>
        </is>
      </c>
      <c r="P1114" s="18" t="inlineStr">
        <is>
          <t>ปี 2533</t>
        </is>
      </c>
    </row>
    <row r="1115">
      <c r="A1115" s="15" t="inlineStr">
        <is>
          <t>1136</t>
        </is>
      </c>
      <c r="B1115" s="18" t="inlineStr">
        <is>
          <t>Purine nucleoside analog</t>
        </is>
      </c>
      <c r="C1115" s="18" t="inlineStr"/>
      <c r="D1115" s="18" t="inlineStr">
        <is>
          <t>N-acetylcysteine (NAC) IV infusion protocol</t>
        </is>
      </c>
      <c r="E1115" s="18" t="inlineStr">
        <is>
          <t>Atropine sulfate 2 mg IV Q5-10 min</t>
        </is>
      </c>
      <c r="F1115" s="18" t="inlineStr">
        <is>
          <t>Pralidoxime (2-PAM) 1-2 g IV over 30 min</t>
        </is>
      </c>
      <c r="G1115" s="18" t="inlineStr">
        <is>
          <t>Naloxone 0.4 mg IV stat</t>
        </is>
      </c>
      <c r="H1115" s="18" t="inlineStr">
        <is>
          <t>Flumazenil 0.2 mg IV stat</t>
        </is>
      </c>
      <c r="I1115" s="15" t="inlineStr">
        <is>
          <t>1</t>
        </is>
      </c>
      <c r="J11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5" s="18" t="inlineStr"/>
      <c r="L1115" s="18" t="inlineStr">
        <is>
          <t>General Therapeutics</t>
        </is>
      </c>
      <c r="M1115" s="18" t="inlineStr">
        <is>
          <t>Clinic</t>
        </is>
      </c>
      <c r="N1115" s="18" t="inlineStr">
        <is>
          <t>ข้อ 5 (PLE_CC1_2533.md)</t>
        </is>
      </c>
      <c r="O1115" s="18" t="inlineStr">
        <is>
          <t>ข้อสอบจริง</t>
        </is>
      </c>
      <c r="P1115" s="18" t="inlineStr">
        <is>
          <t>ปี 2533</t>
        </is>
      </c>
    </row>
    <row r="1116">
      <c r="A1116" s="15" t="inlineStr">
        <is>
          <t>1137</t>
        </is>
      </c>
      <c r="B1116" s="18" t="inlineStr">
        <is>
          <t>จากโครงสร้างของยา ตัวที่ออกฤทธิ์คือ F HO 1 deoxygemcitabine</t>
        </is>
      </c>
      <c r="C1116" s="18" t="inlineStr"/>
      <c r="D1116" s="18" t="inlineStr">
        <is>
          <t>Naloxone 0.4 mg IV stat</t>
        </is>
      </c>
      <c r="E1116" s="18" t="inlineStr">
        <is>
          <t>Flumazenil 0.2 mg IV stat</t>
        </is>
      </c>
      <c r="F1116" s="18" t="inlineStr">
        <is>
          <t>Vitamin K1 (Phytomenadione) 10 mg IV slow</t>
        </is>
      </c>
      <c r="G1116" s="18" t="inlineStr">
        <is>
          <t>Sodium thiosulfate 25% 50 mL IV</t>
        </is>
      </c>
      <c r="H1116" s="18" t="inlineStr">
        <is>
          <t>Calcium disodium EDTA 1 g IV</t>
        </is>
      </c>
      <c r="I1116" s="15" t="inlineStr">
        <is>
          <t>1</t>
        </is>
      </c>
      <c r="J11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6" s="18" t="inlineStr"/>
      <c r="L1116" s="18" t="inlineStr">
        <is>
          <t>General Therapeutics</t>
        </is>
      </c>
      <c r="M1116" s="18" t="inlineStr">
        <is>
          <t>Clinic</t>
        </is>
      </c>
      <c r="N1116" s="18" t="inlineStr">
        <is>
          <t>ข้อ 6 (PLE_CC1_2533.md)</t>
        </is>
      </c>
      <c r="O1116" s="18" t="inlineStr">
        <is>
          <t>ข้อสอบจริง</t>
        </is>
      </c>
      <c r="P1116" s="18" t="inlineStr">
        <is>
          <t>ปี 2533</t>
        </is>
      </c>
    </row>
    <row r="1117">
      <c r="A1117" s="15" t="inlineStr">
        <is>
          <t>1138</t>
        </is>
      </c>
      <c r="B1117" s="18" t="inlineStr">
        <is>
          <t>ตู้ปลอดเชื้อ class 100 ในห้องสะอาด class 1000</t>
        </is>
      </c>
      <c r="C1117" s="18" t="inlineStr"/>
      <c r="D1117" s="18" t="inlineStr">
        <is>
          <t>Sodium thiosulfate 25% 50 mL IV</t>
        </is>
      </c>
      <c r="E1117" s="18" t="inlineStr">
        <is>
          <t>Calcium disodium EDTA 1 g IV</t>
        </is>
      </c>
      <c r="F1117" s="18" t="inlineStr">
        <is>
          <t>Desferrioxamine 1 g IM/IV</t>
        </is>
      </c>
      <c r="G1117" s="18" t="inlineStr">
        <is>
          <t>Dimercaprol (BAL) 3 mg/kg IM</t>
        </is>
      </c>
      <c r="H1117" s="18" t="inlineStr">
        <is>
          <t>Ethanol 10% IV infusion for Methanol poisoning</t>
        </is>
      </c>
      <c r="I1117" s="15" t="inlineStr">
        <is>
          <t>1</t>
        </is>
      </c>
      <c r="J11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7" s="18" t="inlineStr"/>
      <c r="L1117" s="18" t="inlineStr">
        <is>
          <t>General Therapeutics</t>
        </is>
      </c>
      <c r="M1117" s="18" t="inlineStr">
        <is>
          <t>Clinic</t>
        </is>
      </c>
      <c r="N1117" s="18" t="inlineStr">
        <is>
          <t>ข้อ 1 (PLE_CC1_2533.md)</t>
        </is>
      </c>
      <c r="O1117" s="18" t="inlineStr">
        <is>
          <t>ข้อสอบจริง</t>
        </is>
      </c>
      <c r="P1117" s="18" t="inlineStr">
        <is>
          <t>ปี 2533</t>
        </is>
      </c>
    </row>
    <row r="1118">
      <c r="A1118" s="15" t="inlineStr">
        <is>
          <t>1139</t>
        </is>
      </c>
      <c r="B1118" s="18" t="inlineStr">
        <is>
          <t>ตู้ปลอดเชื้อ class 100 ในห้องสะอาด class 100,000</t>
        </is>
      </c>
      <c r="C1118" s="18" t="inlineStr"/>
      <c r="D1118" s="18" t="inlineStr">
        <is>
          <t>Dimercaprol (BAL) 3 mg/kg IM</t>
        </is>
      </c>
      <c r="E1118" s="18" t="inlineStr">
        <is>
          <t>Ethanol 10% IV infusion for Methanol poisoning</t>
        </is>
      </c>
      <c r="F1118" s="18" t="inlineStr">
        <is>
          <t>Fomepizole 15 mg/kg IV loading</t>
        </is>
      </c>
      <c r="G1118" s="18" t="inlineStr">
        <is>
          <t>N-acetylcysteine (NAC) IV infusion protocol</t>
        </is>
      </c>
      <c r="H1118" s="18" t="inlineStr">
        <is>
          <t>Atropine sulfate 2 mg IV Q5-10 min</t>
        </is>
      </c>
      <c r="I1118" s="15" t="inlineStr">
        <is>
          <t>1</t>
        </is>
      </c>
      <c r="J11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8" s="18" t="inlineStr"/>
      <c r="L1118" s="18" t="inlineStr">
        <is>
          <t>General Therapeutics</t>
        </is>
      </c>
      <c r="M1118" s="18" t="inlineStr">
        <is>
          <t>Clinic</t>
        </is>
      </c>
      <c r="N1118" s="18" t="inlineStr">
        <is>
          <t>ข้อ 2 (PLE_CC1_2533.md)</t>
        </is>
      </c>
      <c r="O1118" s="18" t="inlineStr">
        <is>
          <t>ข้อสอบจริง</t>
        </is>
      </c>
      <c r="P1118" s="18" t="inlineStr">
        <is>
          <t>ปี 2533</t>
        </is>
      </c>
    </row>
    <row r="1119">
      <c r="A1119" s="15" t="inlineStr">
        <is>
          <t>1140</t>
        </is>
      </c>
      <c r="B1119" s="18" t="inlineStr">
        <is>
          <t>ตู้ปลอดเชื้อที่มีการไหลของอากาศในแนวนอน อยู่ในห้องสะอาด class 100</t>
        </is>
      </c>
      <c r="C1119" s="18" t="inlineStr"/>
      <c r="D1119" s="18" t="inlineStr">
        <is>
          <t>N-acetylcysteine (NAC) IV infusion protocol</t>
        </is>
      </c>
      <c r="E1119" s="18" t="inlineStr">
        <is>
          <t>Atropine sulfate 2 mg IV Q5-10 min</t>
        </is>
      </c>
      <c r="F1119" s="18" t="inlineStr">
        <is>
          <t>Pralidoxime (2-PAM) 1-2 g IV over 30 min</t>
        </is>
      </c>
      <c r="G1119" s="18" t="inlineStr">
        <is>
          <t>Naloxone 0.4 mg IV stat</t>
        </is>
      </c>
      <c r="H1119" s="18" t="inlineStr">
        <is>
          <t>Flumazenil 0.2 mg IV stat</t>
        </is>
      </c>
      <c r="I1119" s="15" t="inlineStr">
        <is>
          <t>1</t>
        </is>
      </c>
      <c r="J111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9" s="18" t="inlineStr"/>
      <c r="L1119" s="18" t="inlineStr">
        <is>
          <t>General Therapeutics</t>
        </is>
      </c>
      <c r="M1119" s="18" t="inlineStr">
        <is>
          <t>Clinic</t>
        </is>
      </c>
      <c r="N1119" s="18" t="inlineStr">
        <is>
          <t>ข้อ 3 (PLE_CC1_2533.md)</t>
        </is>
      </c>
      <c r="O1119" s="18" t="inlineStr">
        <is>
          <t>ข้อสอบจริง</t>
        </is>
      </c>
      <c r="P1119" s="18" t="inlineStr">
        <is>
          <t>ปี 2533</t>
        </is>
      </c>
    </row>
    <row r="1120">
      <c r="A1120" s="15" t="inlineStr">
        <is>
          <t>1141</t>
        </is>
      </c>
      <c r="B1120" s="18" t="inlineStr">
        <is>
          <t>serum bilirubin</t>
        </is>
      </c>
      <c r="C1120" s="18" t="inlineStr"/>
      <c r="D1120" s="18" t="inlineStr">
        <is>
          <t>Naloxone 0.4 mg IV stat</t>
        </is>
      </c>
      <c r="E1120" s="18" t="inlineStr">
        <is>
          <t>Flumazenil 0.2 mg IV stat</t>
        </is>
      </c>
      <c r="F1120" s="18" t="inlineStr">
        <is>
          <t>Vitamin K1 (Phytomenadione) 10 mg IV slow</t>
        </is>
      </c>
      <c r="G1120" s="18" t="inlineStr">
        <is>
          <t>Sodium thiosulfate 25% 50 mL IV</t>
        </is>
      </c>
      <c r="H1120" s="18" t="inlineStr">
        <is>
          <t>Calcium disodium EDTA 1 g IV</t>
        </is>
      </c>
      <c r="I1120" s="15" t="inlineStr">
        <is>
          <t>1</t>
        </is>
      </c>
      <c r="J11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0" s="18" t="inlineStr"/>
      <c r="L1120" s="18" t="inlineStr">
        <is>
          <t>General Therapeutics</t>
        </is>
      </c>
      <c r="M1120" s="18" t="inlineStr">
        <is>
          <t>Clinic</t>
        </is>
      </c>
      <c r="N1120" s="18" t="inlineStr">
        <is>
          <t>ข้อ 4 (PLE_CC1_2533.md)</t>
        </is>
      </c>
      <c r="O1120" s="18" t="inlineStr">
        <is>
          <t>ข้อสอบจริง</t>
        </is>
      </c>
      <c r="P1120" s="18" t="inlineStr">
        <is>
          <t>ปี 2533</t>
        </is>
      </c>
    </row>
    <row r="1121">
      <c r="A1121" s="15" t="inlineStr">
        <is>
          <t>1142</t>
        </is>
      </c>
      <c r="B1121" s="18" t="inlineStr">
        <is>
          <t>ไม่ถูกต้องเพราะไม่ได้ส่งมอบโดยผู้ประกอบวิชาชีพ</t>
        </is>
      </c>
      <c r="C1121" s="18" t="inlineStr"/>
      <c r="D1121" s="18" t="inlineStr">
        <is>
          <t>Sodium thiosulfate 25% 50 mL IV</t>
        </is>
      </c>
      <c r="E1121" s="18" t="inlineStr">
        <is>
          <t>Calcium disodium EDTA 1 g IV</t>
        </is>
      </c>
      <c r="F1121" s="18" t="inlineStr">
        <is>
          <t>Desferrioxamine 1 g IM/IV</t>
        </is>
      </c>
      <c r="G1121" s="18" t="inlineStr">
        <is>
          <t>Dimercaprol (BAL) 3 mg/kg IM</t>
        </is>
      </c>
      <c r="H1121" s="18" t="inlineStr">
        <is>
          <t>Ethanol 10% IV infusion for Methanol poisoning</t>
        </is>
      </c>
      <c r="I1121" s="15" t="inlineStr">
        <is>
          <t>1</t>
        </is>
      </c>
      <c r="J11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1" s="18" t="inlineStr"/>
      <c r="L1121" s="18" t="inlineStr">
        <is>
          <t>General Therapeutics</t>
        </is>
      </c>
      <c r="M1121" s="18" t="inlineStr">
        <is>
          <t>Clinic</t>
        </is>
      </c>
      <c r="N1121" s="18" t="inlineStr">
        <is>
          <t>ข้อ 4 (PLE_CC1_2533.md)</t>
        </is>
      </c>
      <c r="O1121" s="18" t="inlineStr">
        <is>
          <t>ข้อสอบจริง</t>
        </is>
      </c>
      <c r="P1121" s="18" t="inlineStr">
        <is>
          <t>ปี 2533</t>
        </is>
      </c>
    </row>
    <row r="1122">
      <c r="A1122" s="15" t="inlineStr">
        <is>
          <t>1143</t>
        </is>
      </c>
      <c r="B1122" s="18" t="inlineStr">
        <is>
          <t>ไม่ถูกต้องเพราะได้รับการรับรองการใช้จากบุคคลอื่น</t>
        </is>
      </c>
      <c r="C1122" s="18" t="inlineStr"/>
      <c r="D1122" s="18" t="inlineStr">
        <is>
          <t>Dimercaprol (BAL) 3 mg/kg IM</t>
        </is>
      </c>
      <c r="E1122" s="18" t="inlineStr">
        <is>
          <t>Ethanol 10% IV infusion for Methanol poisoning</t>
        </is>
      </c>
      <c r="F1122" s="18" t="inlineStr">
        <is>
          <t>Fomepizole 15 mg/kg IV loading</t>
        </is>
      </c>
      <c r="G1122" s="18" t="inlineStr">
        <is>
          <t>N-acetylcysteine (NAC) IV infusion protocol</t>
        </is>
      </c>
      <c r="H1122" s="18" t="inlineStr">
        <is>
          <t>Atropine sulfate 2 mg IV Q5-10 min</t>
        </is>
      </c>
      <c r="I1122" s="15" t="inlineStr">
        <is>
          <t>1</t>
        </is>
      </c>
      <c r="J11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2" s="18" t="inlineStr"/>
      <c r="L1122" s="18" t="inlineStr">
        <is>
          <t>General Therapeutics</t>
        </is>
      </c>
      <c r="M1122" s="18" t="inlineStr">
        <is>
          <t>Clinic</t>
        </is>
      </c>
      <c r="N1122" s="18" t="inlineStr">
        <is>
          <t>ข้อ 5 (PLE_CC1_2533.md)</t>
        </is>
      </c>
      <c r="O1122" s="18" t="inlineStr">
        <is>
          <t>ข้อสอบจริง</t>
        </is>
      </c>
      <c r="P1122" s="18" t="inlineStr">
        <is>
          <t>ปี 2533</t>
        </is>
      </c>
    </row>
    <row r="1123">
      <c r="A1123" s="15" t="inlineStr">
        <is>
          <t>1144</t>
        </is>
      </c>
      <c r="B1123" s="18" t="inlineStr">
        <is>
          <t>โรคระบบทางเดินหายใจ 19 33</t>
        </is>
      </c>
      <c r="C1123" s="18" t="inlineStr"/>
      <c r="D1123" s="18" t="inlineStr">
        <is>
          <t>N-acetylcysteine (NAC) IV infusion protocol</t>
        </is>
      </c>
      <c r="E1123" s="18" t="inlineStr">
        <is>
          <t>Atropine sulfate 2 mg IV Q5-10 min</t>
        </is>
      </c>
      <c r="F1123" s="18" t="inlineStr">
        <is>
          <t>Pralidoxime (2-PAM) 1-2 g IV over 30 min</t>
        </is>
      </c>
      <c r="G1123" s="18" t="inlineStr">
        <is>
          <t>Naloxone 0.4 mg IV stat</t>
        </is>
      </c>
      <c r="H1123" s="18" t="inlineStr">
        <is>
          <t>Flumazenil 0.2 mg IV stat</t>
        </is>
      </c>
      <c r="I1123" s="15" t="inlineStr">
        <is>
          <t>3</t>
        </is>
      </c>
      <c r="J1123" s="18"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3" s="18" t="inlineStr"/>
      <c r="L1123" s="18" t="inlineStr">
        <is>
          <t>General Therapeutics</t>
        </is>
      </c>
      <c r="M1123" s="18" t="inlineStr">
        <is>
          <t>Clinic</t>
        </is>
      </c>
      <c r="N1123" s="18" t="inlineStr">
        <is>
          <t>ข้อ 2 (PLE_CC1_Practice_Exam.md)</t>
        </is>
      </c>
      <c r="O1123" s="18" t="inlineStr">
        <is>
          <t>Mock</t>
        </is>
      </c>
      <c r="P1123" s="18" t="inlineStr">
        <is>
          <t>Mock สภาเภสัชฯ Practice</t>
        </is>
      </c>
    </row>
    <row r="1124">
      <c r="A1124" s="15" t="inlineStr">
        <is>
          <t>1145</t>
        </is>
      </c>
      <c r="B1124" s="18" t="inlineStr">
        <is>
          <t>โรคระบบทางเดินอาหาร 42 57</t>
        </is>
      </c>
      <c r="C1124" s="18" t="inlineStr"/>
      <c r="D1124" s="18" t="inlineStr">
        <is>
          <t>Naloxone 0.4 mg IV stat</t>
        </is>
      </c>
      <c r="E1124" s="18" t="inlineStr">
        <is>
          <t>Flumazenil 0.2 mg IV stat</t>
        </is>
      </c>
      <c r="F1124" s="18" t="inlineStr">
        <is>
          <t>Vitamin K1 (Phytomenadione) 10 mg IV slow</t>
        </is>
      </c>
      <c r="G1124" s="18" t="inlineStr">
        <is>
          <t>Sodium thiosulfate 25% 50 mL IV</t>
        </is>
      </c>
      <c r="H1124" s="18" t="inlineStr">
        <is>
          <t>Calcium disodium EDTA 1 g IV</t>
        </is>
      </c>
      <c r="I1124" s="15" t="inlineStr">
        <is>
          <t>3</t>
        </is>
      </c>
      <c r="J1124" s="18"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4" s="18" t="inlineStr"/>
      <c r="L1124" s="18" t="inlineStr">
        <is>
          <t>General Therapeutics</t>
        </is>
      </c>
      <c r="M1124" s="18" t="inlineStr">
        <is>
          <t>Clinic</t>
        </is>
      </c>
      <c r="N1124" s="18" t="inlineStr">
        <is>
          <t>ข้อ 3 (PLE_CC1_Practice_Exam.md)</t>
        </is>
      </c>
      <c r="O1124" s="18" t="inlineStr">
        <is>
          <t>Mock</t>
        </is>
      </c>
      <c r="P1124" s="18" t="inlineStr">
        <is>
          <t>Mock สภาเภสัชฯ Practice</t>
        </is>
      </c>
    </row>
    <row r="1125">
      <c r="A1125" s="15" t="inlineStr">
        <is>
          <t>1146</t>
        </is>
      </c>
      <c r="B1125" s="18" t="inlineStr">
        <is>
          <t>โรคระบบต่อมไร้ท่อ และต่อมมีท่อ 87 100</t>
        </is>
      </c>
      <c r="C1125" s="18" t="inlineStr"/>
      <c r="D1125" s="18" t="inlineStr">
        <is>
          <t>Sodium thiosulfate 25% 50 mL IV</t>
        </is>
      </c>
      <c r="E1125" s="18" t="inlineStr">
        <is>
          <t>Calcium disodium EDTA 1 g IV</t>
        </is>
      </c>
      <c r="F1125" s="18" t="inlineStr">
        <is>
          <t>Desferrioxamine 1 g IM/IV</t>
        </is>
      </c>
      <c r="G1125" s="18" t="inlineStr">
        <is>
          <t>Dimercaprol (BAL) 3 mg/kg IM</t>
        </is>
      </c>
      <c r="H1125" s="18" t="inlineStr">
        <is>
          <t>Ethanol 10% IV infusion for Methanol poisoning</t>
        </is>
      </c>
      <c r="I1125" s="15" t="inlineStr">
        <is>
          <t>3</t>
        </is>
      </c>
      <c r="J1125" s="18"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25" s="18" t="inlineStr"/>
      <c r="L1125" s="18" t="inlineStr">
        <is>
          <t>General Therapeutics</t>
        </is>
      </c>
      <c r="M1125" s="18" t="inlineStr">
        <is>
          <t>Clinic</t>
        </is>
      </c>
      <c r="N1125" s="18" t="inlineStr">
        <is>
          <t>ข้อ 5 (PLE_CC1_Practice_Exam.md)</t>
        </is>
      </c>
      <c r="O1125" s="18" t="inlineStr">
        <is>
          <t>Mock</t>
        </is>
      </c>
      <c r="P1125" s="18" t="inlineStr">
        <is>
          <t>Mock สภาเภสัชฯ Practice</t>
        </is>
      </c>
    </row>
    <row r="1126">
      <c r="A1126" s="15" t="inlineStr">
        <is>
          <t>1147</t>
        </is>
      </c>
      <c r="B1126" s="18" t="inlineStr">
        <is>
          <t>โรคกระดูกและข้อ 109 121</t>
        </is>
      </c>
      <c r="C1126" s="18" t="inlineStr"/>
      <c r="D1126" s="18" t="inlineStr">
        <is>
          <t>Dimercaprol (BAL) 3 mg/kg IM</t>
        </is>
      </c>
      <c r="E1126" s="18" t="inlineStr">
        <is>
          <t>Ethanol 10% IV infusion for Methanol poisoning</t>
        </is>
      </c>
      <c r="F1126" s="18" t="inlineStr">
        <is>
          <t>Fomepizole 15 mg/kg IV loading</t>
        </is>
      </c>
      <c r="G1126" s="18" t="inlineStr">
        <is>
          <t>N-acetylcysteine (NAC) IV infusion protocol</t>
        </is>
      </c>
      <c r="H1126" s="18" t="inlineStr">
        <is>
          <t>Atropine sulfate 2 mg IV Q5-10 min</t>
        </is>
      </c>
      <c r="I1126" s="15" t="inlineStr">
        <is>
          <t>3</t>
        </is>
      </c>
      <c r="J1126" s="18"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6" s="18" t="inlineStr"/>
      <c r="L1126" s="18" t="inlineStr">
        <is>
          <t>General Therapeutics</t>
        </is>
      </c>
      <c r="M1126" s="18" t="inlineStr">
        <is>
          <t>Clinic</t>
        </is>
      </c>
      <c r="N1126" s="18" t="inlineStr">
        <is>
          <t>ข้อ 6 (PLE_CC1_Practice_Exam.md)</t>
        </is>
      </c>
      <c r="O1126" s="18" t="inlineStr">
        <is>
          <t>Mock</t>
        </is>
      </c>
      <c r="P1126" s="18" t="inlineStr">
        <is>
          <t>Mock สภาเภสัชฯ Practice</t>
        </is>
      </c>
    </row>
    <row r="1127">
      <c r="A1127" s="15" t="inlineStr">
        <is>
          <t>1148</t>
        </is>
      </c>
      <c r="B1127" s="18" t="inlineStr">
        <is>
          <t>โรคตา หู จมูก คอ 150 165</t>
        </is>
      </c>
      <c r="C1127" s="18" t="inlineStr"/>
      <c r="D1127" s="18" t="inlineStr">
        <is>
          <t>N-acetylcysteine (NAC) IV infusion protocol</t>
        </is>
      </c>
      <c r="E1127" s="18" t="inlineStr">
        <is>
          <t>Atropine sulfate 2 mg IV Q5-10 min</t>
        </is>
      </c>
      <c r="F1127" s="18" t="inlineStr">
        <is>
          <t>Pralidoxime (2-PAM) 1-2 g IV over 30 min</t>
        </is>
      </c>
      <c r="G1127" s="18" t="inlineStr">
        <is>
          <t>Naloxone 0.4 mg IV stat</t>
        </is>
      </c>
      <c r="H1127" s="18" t="inlineStr">
        <is>
          <t>Flumazenil 0.2 mg IV stat</t>
        </is>
      </c>
      <c r="I1127" s="15" t="inlineStr">
        <is>
          <t>3</t>
        </is>
      </c>
      <c r="J1127" s="18"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7" s="18" t="inlineStr"/>
      <c r="L1127" s="18" t="inlineStr">
        <is>
          <t>General Therapeutics</t>
        </is>
      </c>
      <c r="M1127" s="18" t="inlineStr">
        <is>
          <t>Clinic</t>
        </is>
      </c>
      <c r="N1127" s="18" t="inlineStr">
        <is>
          <t>ข้อ 8 (PLE_CC1_Practice_Exam.md)</t>
        </is>
      </c>
      <c r="O1127" s="18" t="inlineStr">
        <is>
          <t>Mock</t>
        </is>
      </c>
      <c r="P1127" s="18" t="inlineStr">
        <is>
          <t>Mock สภาเภสัชฯ Practice</t>
        </is>
      </c>
    </row>
    <row r="1128">
      <c r="A1128" s="15" t="inlineStr">
        <is>
          <t>1149</t>
        </is>
      </c>
      <c r="B1128" s="18" t="inlineStr">
        <is>
          <t>โรคทางระบบประสาทและโรคจิตประสาท 177 189</t>
        </is>
      </c>
      <c r="C1128" s="18" t="inlineStr"/>
      <c r="D1128" s="18" t="inlineStr">
        <is>
          <t>Naloxone 0.4 mg IV stat</t>
        </is>
      </c>
      <c r="E1128" s="18" t="inlineStr">
        <is>
          <t>Flumazenil 0.2 mg IV stat</t>
        </is>
      </c>
      <c r="F1128" s="18" t="inlineStr">
        <is>
          <t>Vitamin K1 (Phytomenadione) 10 mg IV slow</t>
        </is>
      </c>
      <c r="G1128" s="18" t="inlineStr">
        <is>
          <t>Sodium thiosulfate 25% 50 mL IV</t>
        </is>
      </c>
      <c r="H1128" s="18" t="inlineStr">
        <is>
          <t>Calcium disodium EDTA 1 g IV</t>
        </is>
      </c>
      <c r="I1128" s="15" t="inlineStr">
        <is>
          <t>3</t>
        </is>
      </c>
      <c r="J1128" s="18"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28" s="18" t="inlineStr"/>
      <c r="L1128" s="18" t="inlineStr">
        <is>
          <t>General Therapeutics</t>
        </is>
      </c>
      <c r="M1128" s="18" t="inlineStr">
        <is>
          <t>Clinic</t>
        </is>
      </c>
      <c r="N1128" s="18" t="inlineStr">
        <is>
          <t>ข้อ 9 (PLE_CC1_Practice_Exam.md)</t>
        </is>
      </c>
      <c r="O1128" s="18" t="inlineStr">
        <is>
          <t>Mock</t>
        </is>
      </c>
      <c r="P1128" s="18" t="inlineStr">
        <is>
          <t>Mock สภาเภสัชฯ Practice</t>
        </is>
      </c>
    </row>
    <row r="1129">
      <c r="A1129" s="15" t="inlineStr">
        <is>
          <t>1150</t>
        </is>
      </c>
      <c r="B1129" s="18" t="inlineStr">
        <is>
          <t>โรคทางนรีเวชวิทยา 203 214</t>
        </is>
      </c>
      <c r="C1129" s="18" t="inlineStr"/>
      <c r="D1129" s="18" t="inlineStr">
        <is>
          <t>Sodium thiosulfate 25% 50 mL IV</t>
        </is>
      </c>
      <c r="E1129" s="18" t="inlineStr">
        <is>
          <t>Calcium disodium EDTA 1 g IV</t>
        </is>
      </c>
      <c r="F1129" s="18" t="inlineStr">
        <is>
          <t>Desferrioxamine 1 g IM/IV</t>
        </is>
      </c>
      <c r="G1129" s="18" t="inlineStr">
        <is>
          <t>Dimercaprol (BAL) 3 mg/kg IM</t>
        </is>
      </c>
      <c r="H1129" s="18" t="inlineStr">
        <is>
          <t>Ethanol 10% IV infusion for Methanol poisoning</t>
        </is>
      </c>
      <c r="I1129" s="15" t="inlineStr">
        <is>
          <t>3</t>
        </is>
      </c>
      <c r="J1129" s="18"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9" s="18" t="inlineStr"/>
      <c r="L1129" s="18" t="inlineStr">
        <is>
          <t>General Therapeutics</t>
        </is>
      </c>
      <c r="M1129" s="18" t="inlineStr">
        <is>
          <t>Clinic</t>
        </is>
      </c>
      <c r="N1129" s="18" t="inlineStr">
        <is>
          <t>ข้อ 10 (PLE_CC1_Practice_Exam.md)</t>
        </is>
      </c>
      <c r="O1129" s="18" t="inlineStr">
        <is>
          <t>Mock</t>
        </is>
      </c>
      <c r="P1129" s="18" t="inlineStr">
        <is>
          <t>Mock สภาเภสัชฯ Practice</t>
        </is>
      </c>
    </row>
    <row r="1130">
      <c r="A1130" s="15" t="inlineStr">
        <is>
          <t>1151</t>
        </is>
      </c>
      <c r="B1130" s="18" t="inlineStr">
        <is>
          <t>โรคระบบภูมิคุ้มกัน 221 240</t>
        </is>
      </c>
      <c r="C1130" s="18" t="inlineStr"/>
      <c r="D1130" s="18" t="inlineStr">
        <is>
          <t>Dimercaprol (BAL) 3 mg/kg IM</t>
        </is>
      </c>
      <c r="E1130" s="18" t="inlineStr">
        <is>
          <t>Ethanol 10% IV infusion for Methanol poisoning</t>
        </is>
      </c>
      <c r="F1130" s="18" t="inlineStr">
        <is>
          <t>Fomepizole 15 mg/kg IV loading</t>
        </is>
      </c>
      <c r="G1130" s="18" t="inlineStr">
        <is>
          <t>N-acetylcysteine (NAC) IV infusion protocol</t>
        </is>
      </c>
      <c r="H1130" s="18" t="inlineStr">
        <is>
          <t>Atropine sulfate 2 mg IV Q5-10 min</t>
        </is>
      </c>
      <c r="I1130" s="15" t="inlineStr">
        <is>
          <t>3</t>
        </is>
      </c>
      <c r="J1130" s="18"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0" s="18" t="inlineStr"/>
      <c r="L1130" s="18" t="inlineStr">
        <is>
          <t>General Therapeutics</t>
        </is>
      </c>
      <c r="M1130" s="18" t="inlineStr">
        <is>
          <t>Clinic</t>
        </is>
      </c>
      <c r="N1130" s="18" t="inlineStr">
        <is>
          <t>ข้อ 11 (PLE_CC1_Practice_Exam.md)</t>
        </is>
      </c>
      <c r="O1130" s="18" t="inlineStr">
        <is>
          <t>Mock</t>
        </is>
      </c>
      <c r="P1130" s="18" t="inlineStr">
        <is>
          <t>Mock สภาเภสัชฯ Practice</t>
        </is>
      </c>
    </row>
    <row r="1131">
      <c r="A1131" s="15" t="inlineStr">
        <is>
          <t>1152</t>
        </is>
      </c>
      <c r="B1131" s="18" t="inlineStr">
        <is>
          <t>โรคทางระบบเลือด 257 269</t>
        </is>
      </c>
      <c r="C1131" s="18" t="inlineStr"/>
      <c r="D1131" s="18" t="inlineStr">
        <is>
          <t>N-acetylcysteine (NAC) IV infusion protocol</t>
        </is>
      </c>
      <c r="E1131" s="18" t="inlineStr">
        <is>
          <t>Atropine sulfate 2 mg IV Q5-10 min</t>
        </is>
      </c>
      <c r="F1131" s="18" t="inlineStr">
        <is>
          <t>Pralidoxime (2-PAM) 1-2 g IV over 30 min</t>
        </is>
      </c>
      <c r="G1131" s="18" t="inlineStr">
        <is>
          <t>Naloxone 0.4 mg IV stat</t>
        </is>
      </c>
      <c r="H1131" s="18" t="inlineStr">
        <is>
          <t>Flumazenil 0.2 mg IV stat</t>
        </is>
      </c>
      <c r="I1131" s="15" t="inlineStr">
        <is>
          <t>3</t>
        </is>
      </c>
      <c r="J1131" s="18"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31" s="18" t="inlineStr"/>
      <c r="L1131" s="18" t="inlineStr">
        <is>
          <t>General Therapeutics</t>
        </is>
      </c>
      <c r="M1131" s="18" t="inlineStr">
        <is>
          <t>Clinic</t>
        </is>
      </c>
      <c r="N1131" s="18" t="inlineStr">
        <is>
          <t>ข้อ 12 (PLE_CC1_Practice_Exam.md)</t>
        </is>
      </c>
      <c r="O1131" s="18" t="inlineStr">
        <is>
          <t>Mock</t>
        </is>
      </c>
      <c r="P1131" s="18" t="inlineStr">
        <is>
          <t>Mock สภาเภสัชฯ Practice</t>
        </is>
      </c>
    </row>
    <row r="1132">
      <c r="A1132" s="15" t="inlineStr">
        <is>
          <t>1153</t>
        </is>
      </c>
      <c r="B1132" s="18" t="inlineStr">
        <is>
          <t>เภสัชภัณฑ์รูปแบบของแข็ง (Solid dosage form) 279 289</t>
        </is>
      </c>
      <c r="C1132" s="18" t="inlineStr"/>
      <c r="D1132" s="18" t="inlineStr">
        <is>
          <t>Naloxone 0.4 mg IV stat</t>
        </is>
      </c>
      <c r="E1132" s="18" t="inlineStr">
        <is>
          <t>Flumazenil 0.2 mg IV stat</t>
        </is>
      </c>
      <c r="F1132" s="18" t="inlineStr">
        <is>
          <t>Vitamin K1 (Phytomenadione) 10 mg IV slow</t>
        </is>
      </c>
      <c r="G1132" s="18" t="inlineStr">
        <is>
          <t>Sodium thiosulfate 25% 50 mL IV</t>
        </is>
      </c>
      <c r="H1132" s="18" t="inlineStr">
        <is>
          <t>Calcium disodium EDTA 1 g IV</t>
        </is>
      </c>
      <c r="I1132" s="15" t="inlineStr">
        <is>
          <t>2</t>
        </is>
      </c>
      <c r="J1132" s="18"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132" s="18" t="inlineStr"/>
      <c r="L1132" s="18" t="inlineStr">
        <is>
          <t>General Therapeutics</t>
        </is>
      </c>
      <c r="M1132" s="18" t="inlineStr">
        <is>
          <t>Clinic</t>
        </is>
      </c>
      <c r="N1132" s="18" t="inlineStr">
        <is>
          <t>ข้อ 13 (PLE_CC1_Practice_Exam.md)</t>
        </is>
      </c>
      <c r="O1132" s="18" t="inlineStr">
        <is>
          <t>Mock</t>
        </is>
      </c>
      <c r="P1132" s="18" t="inlineStr">
        <is>
          <t>Mock สภาเภสัชฯ Practice</t>
        </is>
      </c>
    </row>
    <row r="1133">
      <c r="A1133" s="15" t="inlineStr">
        <is>
          <t>1154</t>
        </is>
      </c>
      <c r="B1133" s="18" t="inlineStr">
        <is>
          <t>เภสัชภัณฑ์รูปแบบของเหลว (Liquid dosage form) 295 308</t>
        </is>
      </c>
      <c r="C1133" s="18" t="inlineStr"/>
      <c r="D1133" s="18" t="inlineStr">
        <is>
          <t>Sodium thiosulfate 25% 50 mL IV</t>
        </is>
      </c>
      <c r="E1133" s="18" t="inlineStr">
        <is>
          <t>Calcium disodium EDTA 1 g IV</t>
        </is>
      </c>
      <c r="F1133" s="18" t="inlineStr">
        <is>
          <t>Desferrioxamine 1 g IM/IV</t>
        </is>
      </c>
      <c r="G1133" s="18" t="inlineStr">
        <is>
          <t>Dimercaprol (BAL) 3 mg/kg IM</t>
        </is>
      </c>
      <c r="H1133" s="18" t="inlineStr">
        <is>
          <t>Ethanol 10% IV infusion for Methanol poisoning</t>
        </is>
      </c>
      <c r="I1133" s="15" t="inlineStr">
        <is>
          <t>2</t>
        </is>
      </c>
      <c r="J1133" s="18"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3" s="18" t="inlineStr"/>
      <c r="L1133" s="18" t="inlineStr">
        <is>
          <t>General Therapeutics</t>
        </is>
      </c>
      <c r="M1133" s="18" t="inlineStr">
        <is>
          <t>Clinic</t>
        </is>
      </c>
      <c r="N1133" s="18" t="inlineStr">
        <is>
          <t>ข้อ 14 (PLE_CC1_Practice_Exam.md)</t>
        </is>
      </c>
      <c r="O1133" s="18" t="inlineStr">
        <is>
          <t>Mock</t>
        </is>
      </c>
      <c r="P1133" s="18" t="inlineStr">
        <is>
          <t>Mock สภาเภสัชฯ Practice</t>
        </is>
      </c>
    </row>
    <row r="1134">
      <c r="A1134" s="15" t="inlineStr">
        <is>
          <t>1155</t>
        </is>
      </c>
      <c r="B1134" s="18" t="inlineStr">
        <is>
          <t>เภสัชวิเคราะห์ 341 353</t>
        </is>
      </c>
      <c r="C1134" s="18" t="inlineStr"/>
      <c r="D1134" s="18" t="inlineStr">
        <is>
          <t>Dimercaprol (BAL) 3 mg/kg IM</t>
        </is>
      </c>
      <c r="E1134" s="18" t="inlineStr">
        <is>
          <t>Ethanol 10% IV infusion for Methanol poisoning</t>
        </is>
      </c>
      <c r="F1134" s="18" t="inlineStr">
        <is>
          <t>Fomepizole 15 mg/kg IV loading</t>
        </is>
      </c>
      <c r="G1134" s="18" t="inlineStr">
        <is>
          <t>N-acetylcysteine (NAC) IV infusion protocol</t>
        </is>
      </c>
      <c r="H1134" s="18" t="inlineStr">
        <is>
          <t>Atropine sulfate 2 mg IV Q5-10 min</t>
        </is>
      </c>
      <c r="I1134" s="15" t="inlineStr">
        <is>
          <t>3</t>
        </is>
      </c>
      <c r="J1134" s="18"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4" s="18" t="inlineStr"/>
      <c r="L1134" s="18" t="inlineStr">
        <is>
          <t>General Therapeutics</t>
        </is>
      </c>
      <c r="M1134" s="18" t="inlineStr">
        <is>
          <t>Clinic</t>
        </is>
      </c>
      <c r="N1134" s="18" t="inlineStr">
        <is>
          <t>ข้อ 16 (PLE_CC1_Practice_Exam.md)</t>
        </is>
      </c>
      <c r="O1134" s="18" t="inlineStr">
        <is>
          <t>Mock</t>
        </is>
      </c>
      <c r="P1134" s="18" t="inlineStr">
        <is>
          <t>Mock สภาเภสัชฯ Practice</t>
        </is>
      </c>
    </row>
    <row r="1135">
      <c r="A1135" s="15" t="inlineStr">
        <is>
          <t>1156</t>
        </is>
      </c>
      <c r="B1135" s="18" t="inlineStr">
        <is>
          <t>Pharmacognosy 355 364</t>
        </is>
      </c>
      <c r="C1135" s="18" t="inlineStr"/>
      <c r="D1135" s="18" t="inlineStr">
        <is>
          <t>N-acetylcysteine (NAC) IV infusion protocol</t>
        </is>
      </c>
      <c r="E1135" s="18" t="inlineStr">
        <is>
          <t>Atropine sulfate 2 mg IV Q5-10 min</t>
        </is>
      </c>
      <c r="F1135" s="18" t="inlineStr">
        <is>
          <t>Pralidoxime (2-PAM) 1-2 g IV over 30 min</t>
        </is>
      </c>
      <c r="G1135" s="18" t="inlineStr">
        <is>
          <t>Naloxone 0.4 mg IV stat</t>
        </is>
      </c>
      <c r="H1135" s="18" t="inlineStr">
        <is>
          <t>Flumazenil 0.2 mg IV stat</t>
        </is>
      </c>
      <c r="I1135" s="15" t="inlineStr">
        <is>
          <t>1</t>
        </is>
      </c>
      <c r="J11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35" s="18" t="inlineStr"/>
      <c r="L1135" s="18" t="inlineStr">
        <is>
          <t>General Therapeutics</t>
        </is>
      </c>
      <c r="M1135" s="18" t="inlineStr">
        <is>
          <t>Clinic</t>
        </is>
      </c>
      <c r="N1135" s="18" t="inlineStr">
        <is>
          <t>ข้อ 17 (PLE_CC1_Practice_Exam.md)</t>
        </is>
      </c>
      <c r="O1135" s="18" t="inlineStr">
        <is>
          <t>Mock</t>
        </is>
      </c>
      <c r="P1135" s="18" t="inlineStr">
        <is>
          <t>Mock สภาเภสัชฯ Practice</t>
        </is>
      </c>
    </row>
    <row r="1136">
      <c r="A1136" s="15" t="inlineStr">
        <is>
          <t>1157</t>
        </is>
      </c>
      <c r="B1136" s="18" t="inlineStr">
        <is>
          <t>นิติเภสัชกรรม 369 379</t>
        </is>
      </c>
      <c r="C1136" s="18" t="inlineStr"/>
      <c r="D1136" s="18" t="inlineStr">
        <is>
          <t>Naloxone 0.4 mg IV stat</t>
        </is>
      </c>
      <c r="E1136" s="18" t="inlineStr">
        <is>
          <t>Flumazenil 0.2 mg IV stat</t>
        </is>
      </c>
      <c r="F1136" s="18" t="inlineStr">
        <is>
          <t>Vitamin K1 (Phytomenadione) 10 mg IV slow</t>
        </is>
      </c>
      <c r="G1136" s="18" t="inlineStr">
        <is>
          <t>Sodium thiosulfate 25% 50 mL IV</t>
        </is>
      </c>
      <c r="H1136" s="18" t="inlineStr">
        <is>
          <t>Calcium disodium EDTA 1 g IV</t>
        </is>
      </c>
      <c r="I1136" s="15" t="inlineStr">
        <is>
          <t>1</t>
        </is>
      </c>
      <c r="J11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36" s="18" t="inlineStr"/>
      <c r="L1136" s="18" t="inlineStr">
        <is>
          <t>General Therapeutics</t>
        </is>
      </c>
      <c r="M1136" s="18" t="inlineStr">
        <is>
          <t>Clinic</t>
        </is>
      </c>
      <c r="N1136" s="18" t="inlineStr">
        <is>
          <t>ข้อ 18 (PLE_CC1_Practice_Exam.md)</t>
        </is>
      </c>
      <c r="O1136" s="18" t="inlineStr">
        <is>
          <t>Mock</t>
        </is>
      </c>
      <c r="P1136" s="18" t="inlineStr">
        <is>
          <t>Mock สภาเภสัชฯ Practice</t>
        </is>
      </c>
    </row>
    <row r="1137">
      <c r="A1137" s="15" t="inlineStr">
        <is>
          <t>1158</t>
        </is>
      </c>
      <c r="B1137" s="18" t="inlineStr">
        <is>
          <t>Pharmacokinetics 395 400 ฝ่ายวิชาการ นิสิตเภสัชศาสตร์ มหาวิทยาลัยศรีนครินทรวิโรฒ รุ่นที่ 19 สหพันธ์นิสิตนักศึกษาเภสัชศาสตร์แห่งประเทศไทย (สนภท.)</t>
        </is>
      </c>
      <c r="C1137" s="18" t="inlineStr"/>
      <c r="D1137" s="18" t="inlineStr">
        <is>
          <t>Sodium thiosulfate 25% 50 mL IV</t>
        </is>
      </c>
      <c r="E1137" s="18" t="inlineStr">
        <is>
          <t>Calcium disodium EDTA 1 g IV</t>
        </is>
      </c>
      <c r="F1137" s="18" t="inlineStr">
        <is>
          <t>Desferrioxamine 1 g IM/IV</t>
        </is>
      </c>
      <c r="G1137" s="18" t="inlineStr">
        <is>
          <t>Dimercaprol (BAL) 3 mg/kg IM</t>
        </is>
      </c>
      <c r="H1137" s="18" t="inlineStr">
        <is>
          <t>Ethanol 10% IV infusion for Methanol poisoning</t>
        </is>
      </c>
      <c r="I1137" s="15" t="inlineStr">
        <is>
          <t>1</t>
        </is>
      </c>
      <c r="J11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7" s="18" t="inlineStr"/>
      <c r="L1137" s="18" t="inlineStr">
        <is>
          <t>General Therapeutics</t>
        </is>
      </c>
      <c r="M1137" s="18" t="inlineStr">
        <is>
          <t>Clinic</t>
        </is>
      </c>
      <c r="N1137" s="18" t="inlineStr">
        <is>
          <t>ข้อ 20 (PLE_CC1_Practice_Exam.md)</t>
        </is>
      </c>
      <c r="O1137" s="18" t="inlineStr">
        <is>
          <t>Mock</t>
        </is>
      </c>
      <c r="P1137" s="18" t="inlineStr">
        <is>
          <t>Mock สภาเภสัชฯ Practice</t>
        </is>
      </c>
    </row>
    <row r="1138">
      <c r="A1138" s="15" t="inlineStr">
        <is>
          <t>1159</t>
        </is>
      </c>
      <c r="B1138" s="18" t="inlineStr">
        <is>
          <t>ยาใดเหมาะสมที่สุดสำหรับผู้ป่วยรายนี้</t>
        </is>
      </c>
      <c r="C1138" s="18" t="inlineStr"/>
      <c r="D1138" s="18" t="inlineStr">
        <is>
          <t>Propranolol</t>
        </is>
      </c>
      <c r="E1138" s="18" t="inlineStr">
        <is>
          <t>Enalapril</t>
        </is>
      </c>
      <c r="F1138" s="18" t="inlineStr">
        <is>
          <t>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t>
        </is>
      </c>
      <c r="G1138" s="18" t="inlineStr">
        <is>
          <t>Furosemide</t>
        </is>
      </c>
      <c r="H1138" s="18" t="inlineStr">
        <is>
          <t>Tamsulosin</t>
        </is>
      </c>
      <c r="I1138" s="15" t="inlineStr">
        <is>
          <t>1</t>
        </is>
      </c>
      <c r="J1138" s="18"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8" s="18" t="inlineStr"/>
      <c r="L1138" s="18" t="inlineStr">
        <is>
          <t>General Therapeutics</t>
        </is>
      </c>
      <c r="M1138" s="18" t="inlineStr">
        <is>
          <t>Clinic</t>
        </is>
      </c>
      <c r="N1138" s="18" t="inlineStr">
        <is>
          <t>ข้อ 3 (PLE_CC1_Practice_Exam.md)</t>
        </is>
      </c>
      <c r="O1138" s="18" t="inlineStr">
        <is>
          <t>Mock</t>
        </is>
      </c>
      <c r="P1138" s="18" t="inlineStr">
        <is>
          <t>Mock สภาเภสัชฯ Practice</t>
        </is>
      </c>
    </row>
    <row r="1139">
      <c r="A1139" s="15" t="inlineStr">
        <is>
          <t>1160</t>
        </is>
      </c>
      <c r="B1139" s="18" t="inlineStr">
        <is>
          <t>ยาใดที่ควรหลีกเลี่ยงสำหรับผู้ป่วยรายนี้</t>
        </is>
      </c>
      <c r="C1139" s="18" t="inlineStr"/>
      <c r="D1139" s="18" t="inlineStr">
        <is>
          <t>Propranolol</t>
        </is>
      </c>
      <c r="E1139" s="18" t="inlineStr">
        <is>
          <t>Enalapril</t>
        </is>
      </c>
      <c r="F1139" s="18" t="inlineStr">
        <is>
          <t>Amlodipine</t>
        </is>
      </c>
      <c r="G1139" s="18" t="inlineStr">
        <is>
          <t>Furosemide</t>
        </is>
      </c>
      <c r="H1139" s="18" t="inlineStr">
        <is>
          <t>Tamsulosin</t>
        </is>
      </c>
      <c r="I1139" s="15" t="inlineStr">
        <is>
          <t>1</t>
        </is>
      </c>
      <c r="J1139" s="18"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9" s="18" t="inlineStr"/>
      <c r="L1139" s="18" t="inlineStr">
        <is>
          <t>General Therapeutics</t>
        </is>
      </c>
      <c r="M1139" s="18" t="inlineStr">
        <is>
          <t>Clinic</t>
        </is>
      </c>
      <c r="N1139" s="18" t="inlineStr">
        <is>
          <t>ข้อ 4 (PLE_CC1_Practice_Exam.md)</t>
        </is>
      </c>
      <c r="O1139" s="18" t="inlineStr">
        <is>
          <t>Mock</t>
        </is>
      </c>
      <c r="P1139" s="18" t="inlineStr">
        <is>
          <t>Mock สภาเภสัชฯ Practice</t>
        </is>
      </c>
    </row>
    <row r="1140">
      <c r="A1140" s="15" t="inlineStr">
        <is>
          <t>1161</t>
        </is>
      </c>
      <c r="B1140" s="18" t="inlineStr">
        <is>
          <t>ข้อใดคืออาการไม่พึงประสงค์ของยาในกลุ่ม ACEIs</t>
        </is>
      </c>
      <c r="C1140" s="18" t="inlineStr"/>
      <c r="D1140" s="18" t="inlineStr">
        <is>
          <t>Tachycardia</t>
        </is>
      </c>
      <c r="E1140" s="18" t="inlineStr">
        <is>
          <t>Hyperuricemia</t>
        </is>
      </c>
      <c r="F1140" s="18" t="inlineStr">
        <is>
          <t>Hyperkalemia</t>
        </is>
      </c>
      <c r="G1140" s="18" t="inlineStr">
        <is>
          <t>Gynecomastia</t>
        </is>
      </c>
      <c r="H1140" s="18" t="inlineStr">
        <is>
          <t>Metabolic acidosis</t>
        </is>
      </c>
      <c r="I1140" s="15" t="inlineStr">
        <is>
          <t>1</t>
        </is>
      </c>
      <c r="J1140" s="18" t="inlineStr">
        <is>
          <t>✅ คำตอบที่ถูกต้อง: ข้อ ก. Tachycardia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Tachycardia การเลือก Tachycardia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(Hyperuricemia): ข้อนี้ไม่ใช่คำตอบที่ถูกต้องสำหรับภาวะ Cardiovascular Diseases เนื่องจากกลไกการออกฤทธิ์, efficacy หรือข้อบ่งใช้ไม่ตรงกับโจทย์ที่กำหนด
• ข้อ ค. (Hyperkalemia): ข้อนี้ไม่ใช่คำตอบที่ถูกต้องสำหรับภาวะ Cardiovascular Diseases เนื่องจากกลไกการออกฤทธิ์, efficacy หรือข้อบ่งใช้ไม่ตรงกับโจทย์ที่กำหนด
• ข้อ ง. (Gynecomastia): ข้อนี้ไม่ใช่คำตอบที่ถูกต้องสำหรับภาวะ Cardiovascular Diseases เนื่องจากกลไกการออกฤทธิ์, efficacy หรือข้อบ่งใช้ไม่ตรงกับโจทย์ที่กำหนด
• ข้อ จ. (Metabolic acidosis):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0" s="18" t="inlineStr"/>
      <c r="L1140" s="18" t="inlineStr">
        <is>
          <t>Cardiovascular Diseases</t>
        </is>
      </c>
      <c r="M1140" s="18" t="inlineStr">
        <is>
          <t>Clinic</t>
        </is>
      </c>
      <c r="N1140" s="18" t="inlineStr">
        <is>
          <t>ข้อ 6 (PLE_CC1_Practice_Exam.md)</t>
        </is>
      </c>
      <c r="O1140" s="18" t="inlineStr">
        <is>
          <t>Mock</t>
        </is>
      </c>
      <c r="P1140" s="18" t="inlineStr">
        <is>
          <t>Mock สภาเภสัชฯ Practice</t>
        </is>
      </c>
    </row>
    <row r="1141">
      <c r="A1141" s="15" t="inlineStr">
        <is>
          <t>1162</t>
        </is>
      </c>
      <c r="B1141" s="18" t="inlineStr">
        <is>
          <t>ข้อใดผิด</t>
        </is>
      </c>
      <c r="C1141" s="18" t="inlineStr"/>
      <c r="D1141" s="18" t="inlineStr">
        <is>
          <t>Beta-blockers เป็น drug of choice ในคนไข้ที่เป็นความดันโลหิตสูงร่วมกับ Angina pectoris</t>
        </is>
      </c>
      <c r="E1141" s="18" t="inlineStr">
        <is>
          <t>สามารถใช้ Amlodipine ในคนไข้ที่เป็นความดันโลหิตสูงร่วมกับ Angina pectoris ได้</t>
        </is>
      </c>
      <c r="F1141" s="18" t="inlineStr">
        <is>
          <t>ACEIs สามารถชะลอการเสื่อมของไตได้</t>
        </is>
      </c>
      <c r="G1141" s="18" t="inlineStr">
        <is>
          <t>ACEIs เป็น drug of choice ในคนไข้ที่เป็นความดันโลหิตสูงร่วมกับโรคเบาหวาน</t>
        </is>
      </c>
      <c r="H1141" s="18" t="inlineStr">
        <is>
          <t>Diuretics เป็นยาตัวแรกที่แนะนำให้ใช้ในคนไข้ที่เป็นความดันโลหิตสูงร่วมกับหัวใจล้มเหลว</t>
        </is>
      </c>
      <c r="I1141" s="15" t="inlineStr">
        <is>
          <t>1</t>
        </is>
      </c>
      <c r="J1141" s="18" t="inlineStr">
        <is>
          <t>✅ คำตอบที่ถูกต้อง: ข้อ ก. Beta-blockers เป็น drug of choice ในคนไข้ที่เป็นความดันโลหิตสูงร่วมกับ Angina pectoris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Beta-blockers เป็น drug of choice ในคนไข้ที่เป็นความดันโลหิตสูงร่วมกับ Angina pectoris การเลือก Beta-blockers เป็น drug of choice ในคนไข้ที่เป็นความดันโลหิตสูงร่วมกับ Angina pectoris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(สามารถใช้ Amlodipine ในคนไข้ที่เป็นความดันโลหิตสูงร่วมกับ Angina pectoris ได้): เป็น DHP calcium channel blocker ขยายหลอดเลือด peripheral เด่น แต่ไม่มี class-specific renal protective effect ในผู้ป่วย DM with albuminuria เท่ากับ ACEI/ARB และอาจเกิด peripheral edema
• ข้อ ค. (ACEIs สามารถชะลอการเสื่อมของไตได้): ข้อนี้ไม่ใช่คำตอบที่ถูกต้องสำหรับภาวะ General Therapeutics เนื่องจากกลไกการออกฤทธิ์, efficacy หรือข้อบ่งใช้ไม่ตรงกับโจทย์ที่กำหนด
• ข้อ ง. (ACEIs เป็น drug of choice ในคนไข้ที่เป็นความดันโลหิตสูงร่วมกับโรคเบาหวาน): ข้อนี้ไม่ใช่คำตอบที่ถูกต้องสำหรับภาวะ General Therapeutics เนื่องจากกลไกการออกฤทธิ์, efficacy หรือข้อบ่งใช้ไม่ตรงกับโจทย์ที่กำหนด
• ข้อ จ. (Diuretics เป็นยาตัวแรกที่แนะนำให้ใช้ในคนไข้ที่เป็นความดันโลหิตสูงร่วมกับหัวใจล้มเหลว):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1" s="18" t="inlineStr"/>
      <c r="L1141" s="18" t="inlineStr">
        <is>
          <t>General Therapeutics</t>
        </is>
      </c>
      <c r="M1141" s="18" t="inlineStr">
        <is>
          <t>Clinic</t>
        </is>
      </c>
      <c r="N1141" s="18" t="inlineStr">
        <is>
          <t>ข้อ 8 (PLE_CC1_Practice_Exam.md)</t>
        </is>
      </c>
      <c r="O1141" s="18" t="inlineStr">
        <is>
          <t>Mock</t>
        </is>
      </c>
      <c r="P1141" s="18" t="inlineStr">
        <is>
          <t>Mock สภาเภสัชฯ Practice</t>
        </is>
      </c>
    </row>
    <row r="1142">
      <c r="A1142" s="15" t="inlineStr">
        <is>
          <t>1163</t>
        </is>
      </c>
      <c r="B1142" s="18" t="inlineStr">
        <is>
          <t>ข้อใดถูกต้อง และเหมาะสมที่สุด</t>
        </is>
      </c>
      <c r="C1142" s="18" t="inlineStr"/>
      <c r="D1142" s="18" t="inlineStr">
        <is>
          <t>ควรปรับขนาดยา Simvastatin เป็น 20 mg 2x1 hs เนื่องจากผู้ป่วยมีระดับ LDL-C ที่สูงมาก</t>
        </is>
      </c>
      <c r="E1142" s="18" t="inlineStr">
        <is>
          <t>ควรเปลี่ยน simvastatin 20 mg เป็น Atorvastatin 40 mg</t>
        </is>
      </c>
      <c r="F1142" s="18" t="inlineStr">
        <is>
          <t>Gemfibrozil ไม่มีข้อบ่งใช้ในผู้ป่วยรายนี้</t>
        </is>
      </c>
      <c r="G1142" s="18" t="inlineStr">
        <is>
          <t>ควรเปลี่ยน Gemfibrozil เป็น Niacin</t>
        </is>
      </c>
      <c r="H1142" s="18" t="inlineStr">
        <is>
          <t>ควรเปลี่ยน Gemfibrozil เป็น Fenofibrate</t>
        </is>
      </c>
      <c r="I1142" s="15" t="inlineStr">
        <is>
          <t>1</t>
        </is>
      </c>
      <c r="J1142" s="18" t="inlineStr">
        <is>
          <t>✅ คำตอบที่ถูกต้อง: ข้อ ก. ควรปรับขนาดยา Simvastatin เป็น 20 mg 2x1 hs เนื่องจากผู้ป่วยมีระดับ LDL-C ที่สูงมาก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ควรปรับขนาดยา Simvastatin เป็น 20 mg 2x1 hs เนื่องจากผู้ป่วยมีระดับ LDL-C ที่สูงมาก การเลือก ควรปรับขนาดยา Simvastatin เป็น 20 mg 2x1 hs เนื่องจากผู้ป่วยมีระดับ LDL-C ที่สูงมาก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(ควรเปลี่ยน simvastatin 20 mg เป็น Atorvastatin 40 mg): เป็น High-intensity statin (40-80 mg) ยับยั้ง HMG-CoA reductase มี clinical efficacy สูงสุดในการลด LDL-C ≥ 50% และ plaque stabilization ใน ACS/CAD
• ข้อ ค. (Gemfibrozil ไม่มีข้อบ่งใช้ในผู้ป่วยรายนี้): ห้ามใช้ร่วมกับ statins เด็ดขาด เนื่องจากยับยั้ง OATP1B1 glucuronidation ทำให้ระดับ statin ในเลือดพุ่งสูงและเกิด severe rhabdomyolysis
• ข้อ ง. (ควรเปลี่ยน Gemfibrozil เป็น Niacin): ห้ามใช้ร่วมกับ statins เด็ดขาด เนื่องจากยับยั้ง OATP1B1 glucuronidation ทำให้ระดับ statin ในเลือดพุ่งสูงและเกิด severe rhabdomyolysis
• ข้อ จ. (ควรเปลี่ยน Gemfibrozil เป็น Fenofibrate):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2" s="18" t="inlineStr"/>
      <c r="L1142" s="18" t="inlineStr">
        <is>
          <t>General Therapeutics</t>
        </is>
      </c>
      <c r="M1142" s="18" t="inlineStr">
        <is>
          <t>Clinic</t>
        </is>
      </c>
      <c r="N1142" s="18" t="inlineStr">
        <is>
          <t>ข้อ 2 (PLE_CC1_Practice_Exam.md)</t>
        </is>
      </c>
      <c r="O1142" s="18" t="inlineStr">
        <is>
          <t>Mock</t>
        </is>
      </c>
      <c r="P1142" s="18" t="inlineStr">
        <is>
          <t>Mock สภาเภสัชฯ Practice</t>
        </is>
      </c>
    </row>
    <row r="1143">
      <c r="A1143" s="15" t="inlineStr">
        <is>
          <t>1164</t>
        </is>
      </c>
      <c r="B1143" s="18" t="inlineStr">
        <is>
          <t>ผู้ป่วยรายนี้ควรติดตามผลตรวจจากห้องปฏิบัติการใด เพื่อป้องกันอาการไม่พึงประสงค์จากรายการยาที่ ผู้ป่วยได้รับ</t>
        </is>
      </c>
      <c r="C1143" s="18" t="inlineStr"/>
      <c r="D1143" s="18" t="inlineStr">
        <is>
          <t>Alanine aminotransferase</t>
        </is>
      </c>
      <c r="E1143" s="18" t="inlineStr">
        <is>
          <t>Creatine kinase</t>
        </is>
      </c>
      <c r="F1143" s="18" t="inlineStr">
        <is>
          <t>Serum potassium</t>
        </is>
      </c>
      <c r="G1143" s="18" t="inlineStr">
        <is>
          <t>Blood urea nitrogen</t>
        </is>
      </c>
      <c r="H1143" s="18" t="inlineStr">
        <is>
          <t>Troponin</t>
        </is>
      </c>
      <c r="I1143" s="15" t="inlineStr">
        <is>
          <t>1</t>
        </is>
      </c>
      <c r="J1143" s="18" t="inlineStr">
        <is>
          <t>✅ คำตอบที่ถูกต้อง: ข้อ ก. Alanine aminotransferase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Alanine aminotransferase การเลือก Alanine aminotransferase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(Creatine kinase): ข้อนี้ไม่ใช่คำตอบที่ถูกต้องสำหรับภาวะ General Therapeutics เนื่องจากกลไกการออกฤทธิ์, efficacy หรือข้อบ่งใช้ไม่ตรงกับโจทย์ที่กำหนด
• ข้อ ค. (Serum potassium): ข้อนี้ไม่ใช่คำตอบที่ถูกต้องสำหรับภาวะ General Therapeutics เนื่องจากกลไกการออกฤทธิ์, efficacy หรือข้อบ่งใช้ไม่ตรงกับโจทย์ที่กำหนด
• ข้อ ง. (Blood urea nitrogen): ข้อนี้ไม่ใช่คำตอบที่ถูกต้องสำหรับภาวะ General Therapeutics เนื่องจากกลไกการออกฤทธิ์, efficacy หรือข้อบ่งใช้ไม่ตรงกับโจทย์ที่กำหนด
• ข้อ จ. (Troponin):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43" s="18" t="inlineStr"/>
      <c r="L1143" s="18" t="inlineStr">
        <is>
          <t>General Therapeutics</t>
        </is>
      </c>
      <c r="M1143" s="18" t="inlineStr">
        <is>
          <t>Clinic</t>
        </is>
      </c>
      <c r="N1143" s="18" t="inlineStr">
        <is>
          <t>ข้อ 4 (PLE_CC1_Practice_Exam.md)</t>
        </is>
      </c>
      <c r="O1143" s="18" t="inlineStr">
        <is>
          <t>Mock</t>
        </is>
      </c>
      <c r="P1143" s="18" t="inlineStr">
        <is>
          <t>Mock สภาเภสัชฯ Practice</t>
        </is>
      </c>
    </row>
    <row r="1144">
      <c r="A1144" s="15" t="inlineStr">
        <is>
          <t>1165</t>
        </is>
      </c>
      <c r="B1144" s="18" t="inlineStr">
        <is>
          <t>หากผู้ป่วยรายนี้มีภาวะ triglyceride ในเลือดสูงกว่า 500 mg/dL จะเกิดอันตรายต่ออวัยวะใด</t>
        </is>
      </c>
      <c r="C1144" s="18" t="inlineStr"/>
      <c r="D1144" s="18" t="inlineStr">
        <is>
          <t>ตับอ่อน</t>
        </is>
      </c>
      <c r="E1144" s="18" t="inlineStr">
        <is>
          <t>ตับ</t>
        </is>
      </c>
      <c r="F1144" s="18" t="inlineStr">
        <is>
          <t>ไต</t>
        </is>
      </c>
      <c r="G1144" s="18" t="inlineStr">
        <is>
          <t>หัวใจ</t>
        </is>
      </c>
      <c r="H1144" s="18" t="inlineStr">
        <is>
          <t>สมอง</t>
        </is>
      </c>
      <c r="I1144" s="15" t="inlineStr">
        <is>
          <t>1</t>
        </is>
      </c>
      <c r="J1144" s="18" t="inlineStr">
        <is>
          <t>✅ คำตอบที่ถูกต้อง: ข้อ ก. ตับอ่อน
💡 Background:
ภาวะไขมันในเลือดผิดปกติเป็นสาเหตุของ ASCVD การรักษาเน้นควบคุม LDL-C ให้ถึง target ตามระดับ cardiovascular risk ด้วย Statin
🎯 ทำไมข้อนี้ถึงถูก:
ตับอ่อน การเลือก ตับอ่อน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(ตับ): ข้อนี้ไม่ใช่คำตอบที่ถูกต้องสำหรับภาวะ Cardiovascular Diseases เนื่องจากกลไกการออกฤทธิ์, efficacy หรือข้อบ่งใช้ไม่ตรงกับโจทย์ที่กำหนด
• ข้อ ค. (ไต): ข้อนี้ไม่ใช่คำตอบที่ถูกต้องสำหรับภาวะ Cardiovascular Diseases เนื่องจากกลไกการออกฤทธิ์, efficacy หรือข้อบ่งใช้ไม่ตรงกับโจทย์ที่กำหนด
• ข้อ ง. (หัวใจ): ข้อนี้ไม่ใช่คำตอบที่ถูกต้องสำหรับภาวะ Cardiovascular Diseases เนื่องจากกลไกการออกฤทธิ์, efficacy หรือข้อบ่งใช้ไม่ตรงกับโจทย์ที่กำหนด
• ข้อ จ. (สมอง):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4" s="18" t="inlineStr"/>
      <c r="L1144" s="18" t="inlineStr">
        <is>
          <t>Cardiovascular Diseases</t>
        </is>
      </c>
      <c r="M1144" s="18" t="inlineStr">
        <is>
          <t>Clinic</t>
        </is>
      </c>
      <c r="N1144" s="18" t="inlineStr">
        <is>
          <t>ข้อ 7 (PLE_CC1_Practice_Exam.md)</t>
        </is>
      </c>
      <c r="O1144" s="18" t="inlineStr">
        <is>
          <t>Mock</t>
        </is>
      </c>
      <c r="P1144" s="18" t="inlineStr">
        <is>
          <t>Mock สภาเภสัชฯ Practice</t>
        </is>
      </c>
    </row>
    <row r="1145">
      <c r="A1145" s="15" t="inlineStr">
        <is>
          <t>1166</t>
        </is>
      </c>
      <c r="B1145" s="18" t="inlineStr">
        <is>
          <t>ข้อใดถูก</t>
        </is>
      </c>
      <c r="C1145" s="18" t="inlineStr"/>
      <c r="D1145" s="18" t="inlineStr">
        <is>
          <t>Rosuvastatin 20 mg จัดเป็น moderate intensity statin</t>
        </is>
      </c>
      <c r="E1145" s="18" t="inlineStr">
        <is>
          <t>ขนาดยาสูงสุดของ Simvastatin คือ 80 mg ต่อวัน</t>
        </is>
      </c>
      <c r="F1145" s="18" t="inlineStr">
        <is>
          <t>Simvastatin มี elimination half-life นานที่สุดในกลุ่ม statins</t>
        </is>
      </c>
      <c r="G1145" s="18" t="inlineStr">
        <is>
          <t>Pravastatin มี Lipophilicity ต่ำ</t>
        </is>
      </c>
      <c r="H1145" s="18" t="inlineStr">
        <is>
          <t>Simvastatin ถูกกำจัดผ่าน CYP2C9 เป็นหลัก</t>
        </is>
      </c>
      <c r="I1145" s="15" t="inlineStr">
        <is>
          <t>1</t>
        </is>
      </c>
      <c r="J1145" s="18" t="inlineStr">
        <is>
          <t>✅ คำตอบที่ถูกต้อง: ข้อ ก. Rosuvastatin 20 mg จัดเป็น moderate intensity statin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Rosuvastatin 20 mg จัดเป็น moderate intensity statin การเลือก Rosuvastatin 20 mg จัดเป็น moderate intensity statin เป็นคำตอบที่ถูกต้องตามแนวทางการรักษามาตรฐาน เนื่องจาก เป็น High-intensity statin (20-40 mg) มี potency สูงมาก เมแทบอไลต์ผ่าน CYP2C9 เล็กน้อย จึงมี drug interactions ผ่าน CYP3A4 ต่ำกว่า atorvastatin
🔍 ข้ออื่นผิดเพราะอะไร:
• ข้อ ข. (ขนาดยาสูงสุดของ Simvastatin คือ 80 mg ต่อวัน): เป็น moderate-intensity statin เมแทบอไลต์ผ่าน CYP3A4 เด่นชัด ห้ามใช้ dose 80 mg และมี drug interactions สูงกับ CYP3A4 inhibitors (clarithromycin, ketoconazole)
• ข้อ ค. (Simvastatin มี elimination half-life นานที่สุดในกลุ่ม statins): เป็น moderate-intensity statin เมแทบอไลต์ผ่าน CYP3A4 เด่นชัด ห้ามใช้ dose 80 mg และมี drug interactions สูงกับ CYP3A4 inhibitors (clarithromycin, ketoconazole)
• ข้อ ง. (Pravastatin มี Lipophilicity ต่ำ): ข้อนี้ไม่ใช่คำตอบที่ถูกต้องสำหรับภาวะ General Therapeutics เนื่องจากกลไกการออกฤทธิ์, efficacy หรือข้อบ่งใช้ไม่ตรงกับโจทย์ที่กำหนด
• ข้อ จ. (Simvastatin ถูกกำจัดผ่าน CYP2C9 เป็นหลัก):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High-Intensity Hydrophilic: ขนาดยา 20-40 mg ลด LDL-C ได้ ≥ 50% มีคุณสมบัติ hydrophilic และไม่ได้ผ่าน CYP3A4 เป็นหลัก (เกิด DDI น้อยกว่า)
• Asian Population Dosing: ในคนเชื้อชาติตะวันออก/เอเชีย แนะนำเริ่มต้นขนาดยาต่ำ (5-10 mg OD) เนื่องจากมี bioavailability สูงกว่าชาวยุโรป 2 เท่า</t>
        </is>
      </c>
      <c r="K1145" s="18" t="inlineStr"/>
      <c r="L1145" s="18" t="inlineStr">
        <is>
          <t>General Therapeutics</t>
        </is>
      </c>
      <c r="M1145" s="18" t="inlineStr">
        <is>
          <t>Clinic</t>
        </is>
      </c>
      <c r="N1145" s="18" t="inlineStr">
        <is>
          <t>ข้อ 8 (PLE_CC1_Practice_Exam.md)</t>
        </is>
      </c>
      <c r="O1145" s="18" t="inlineStr">
        <is>
          <t>Mock</t>
        </is>
      </c>
      <c r="P1145" s="18" t="inlineStr">
        <is>
          <t>Mock สภาเภสัชฯ Practice</t>
        </is>
      </c>
    </row>
    <row r="1146">
      <c r="A1146" s="15" t="inlineStr">
        <is>
          <t>1167</t>
        </is>
      </c>
      <c r="B1146" s="18" t="inlineStr">
        <is>
          <t>หลักการใช้ยากลุ่ม Beta-blockers ที่เหมาะสมในผู้ป่วยรายนี้คือข้อใด</t>
        </is>
      </c>
      <c r="C1146" s="18" t="inlineStr"/>
      <c r="D1146" s="18" t="inlineStr">
        <is>
          <t>ผู้ป่วยรายนี้ไม่สมควรได้รับ Metoprolol เนื่องจากจะทำให้อาการแย่ลง</t>
        </is>
      </c>
      <c r="E1146" s="18" t="inlineStr">
        <is>
          <t>ให้เพื่อเสริมฤทธิ์กับ Enalapril</t>
        </is>
      </c>
      <c r="F1146" s="18" t="inlineStr">
        <is>
          <t>ให้ขณะที่ผู้ป่วยมีอาการคงที่เท่านั้น</t>
        </is>
      </c>
      <c r="G1146" s="18" t="inlineStr">
        <is>
          <t>ให้เมื่อ LVEF มีค่าน้อยกว่าหรือเท่ากับ 35%</t>
        </is>
      </c>
      <c r="H1146" s="18" t="inlineStr">
        <is>
          <t>ให้ในกรณีผู้ป่วยเป็น Acute decompensated heart failure เท่านั้น</t>
        </is>
      </c>
      <c r="I1146" s="15" t="inlineStr">
        <is>
          <t>1</t>
        </is>
      </c>
      <c r="J1146" s="18" t="inlineStr">
        <is>
          <t>✅ คำตอบที่ถูกต้อง: ข้อ ก. ผู้ป่วยรายนี้ไม่สมควรได้รับ Metoprolol เนื่องจากจะทำให้อาการแย่ลง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ผู้ป่วยรายนี้ไม่สมควรได้รับ Metoprolol เนื่องจากจะทำให้อาการแย่ลง การเลือก ผู้ป่วยรายนี้ไม่สมควรได้รับ Metoprolol เนื่องจากจะทำให้อาการแย่ลง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(ให้เพื่อเสริมฤทธิ์กับ Enalapril): เป็น ACE inhibitor ลด Angiotensin II และ intraglomerular pressure มี renal protective efficacy เด่นชัดใน diabetic kidney disease แต่อาจเกิด dry cough จากการสะสมของ bradykinin
• ข้อ ค. (ให้ขณะที่ผู้ป่วยมีอาการคงที่เท่านั้น): ข้อนี้ไม่ใช่คำตอบที่ถูกต้องสำหรับภาวะ General Therapeutics เนื่องจากกลไกการออกฤทธิ์, efficacy หรือข้อบ่งใช้ไม่ตรงกับโจทย์ที่กำหนด
• ข้อ ง. (ให้เมื่อ LVEF มีค่าน้อยกว่าหรือเท่ากับ 35%): ข้อนี้ไม่ใช่คำตอบที่ถูกต้องสำหรับภาวะ General Therapeutics เนื่องจากกลไกการออกฤทธิ์, efficacy หรือข้อบ่งใช้ไม่ตรงกับโจทย์ที่กำหนด
• ข้อ จ. (ให้ในกรณีผู้ป่วยเป็น Acute decompensated heart failure เท่านั้น):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6" s="18" t="inlineStr"/>
      <c r="L1146" s="18" t="inlineStr">
        <is>
          <t>General Therapeutics</t>
        </is>
      </c>
      <c r="M1146" s="18" t="inlineStr">
        <is>
          <t>Clinic</t>
        </is>
      </c>
      <c r="N1146" s="18" t="inlineStr">
        <is>
          <t>ข้อ 1 (PLE_CC1_Practice_Exam.md)</t>
        </is>
      </c>
      <c r="O1146" s="18" t="inlineStr">
        <is>
          <t>Mock</t>
        </is>
      </c>
      <c r="P1146" s="18" t="inlineStr">
        <is>
          <t>Mock สภาเภสัชฯ Practice</t>
        </is>
      </c>
    </row>
    <row r="1147">
      <c r="A1147" s="15" t="inlineStr">
        <is>
          <t>1168</t>
        </is>
      </c>
      <c r="B1147" s="18" t="inlineStr">
        <is>
          <t>หากที่โรงพยาบาลไม่มียา Metoprolol ยาใดไม่สามารถใช้ได้ในผู้ป่วยรายนี้</t>
        </is>
      </c>
      <c r="C1147" s="18" t="inlineStr"/>
      <c r="D1147" s="18" t="inlineStr">
        <is>
          <t>Atenolol</t>
        </is>
      </c>
      <c r="E1147" s="18" t="inlineStr">
        <is>
          <t>Bisoprolol</t>
        </is>
      </c>
      <c r="F1147" s="18" t="inlineStr">
        <is>
          <t>Carvedilol</t>
        </is>
      </c>
      <c r="G1147" s="18" t="inlineStr">
        <is>
          <t>Nebivolol</t>
        </is>
      </c>
      <c r="H1147" s="18" t="inlineStr">
        <is>
          <t>ยาทุกตัวที่กล่าวมาสามารถใช้ได้</t>
        </is>
      </c>
      <c r="I1147" s="15" t="inlineStr">
        <is>
          <t>1</t>
        </is>
      </c>
      <c r="J1147" s="18" t="inlineStr">
        <is>
          <t>✅ คำตอบที่ถูกต้อง: ข้อ ก. Atenolol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(Bisoprolol): เป็น cardioselective beta-1 blocker ไม่ใช่ first-line monotherapy สำหรับ uncomplicated HTN แต่เป็น first-line GDMT ใน HFrEF หรือ post-MI
• ข้อ ค. (Carvedilol): เป็น non-selective beta-blocker ร่วมกับ alpha-1 blocker ช่วยลด afterload เป็น first-line GDMT ใน HFrEF ที่มี efficacy สูงในการลด mortality
• ข้อ ง. (Nebivolol): ข้อนี้ไม่ใช่คำตอบที่ถูกต้องสำหรับภาวะ Cardiovascular Diseases เนื่องจากกลไกการออกฤทธิ์, efficacy หรือข้อบ่งใช้ไม่ตรงกับโจทย์ที่กำหนด
• ข้อ จ. (ยาทุกตัวที่กล่าวมาสามารถใช้ได้):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7" s="18" t="inlineStr"/>
      <c r="L1147" s="18" t="inlineStr">
        <is>
          <t>Cardiovascular Diseases</t>
        </is>
      </c>
      <c r="M1147" s="18" t="inlineStr">
        <is>
          <t>Clinic</t>
        </is>
      </c>
      <c r="N1147" s="18" t="inlineStr">
        <is>
          <t>ข้อ 2 (PLE_CC1_Practice_Exam.md)</t>
        </is>
      </c>
      <c r="O1147" s="18" t="inlineStr">
        <is>
          <t>Mock</t>
        </is>
      </c>
      <c r="P1147" s="18" t="inlineStr">
        <is>
          <t>Mock สภาเภสัชฯ Practice</t>
        </is>
      </c>
    </row>
    <row r="1148">
      <c r="A1148" s="15" t="inlineStr">
        <is>
          <t>1169</t>
        </is>
      </c>
      <c r="B1148" s="18" t="inlineStr">
        <is>
          <t>หากผู้ป่วยรายนี้จำเป็นต้องได้รับ NSAIDs ยาใดต่อไปนี้เหมาะสมที่สุด</t>
        </is>
      </c>
      <c r="C1148" s="18" t="inlineStr"/>
      <c r="D1148" s="18" t="inlineStr">
        <is>
          <t>Aspirin</t>
        </is>
      </c>
      <c r="E1148" s="18" t="inlineStr">
        <is>
          <t>Diclofenac</t>
        </is>
      </c>
      <c r="F1148" s="18" t="inlineStr">
        <is>
          <t>Ibuprofen</t>
        </is>
      </c>
      <c r="G1148" s="18" t="inlineStr">
        <is>
          <t>Celecoxib</t>
        </is>
      </c>
      <c r="H1148" s="18" t="inlineStr">
        <is>
          <t>Naproxen</t>
        </is>
      </c>
      <c r="I1148" s="15" t="inlineStr">
        <is>
          <t>1</t>
        </is>
      </c>
      <c r="J1148" s="18"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ข้อ จ. (Naproxen):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48" s="18" t="inlineStr"/>
      <c r="L1148" s="18" t="inlineStr">
        <is>
          <t>Musculoskeletal &amp; Joint</t>
        </is>
      </c>
      <c r="M1148" s="18" t="inlineStr">
        <is>
          <t>Clinic</t>
        </is>
      </c>
      <c r="N1148" s="18" t="inlineStr">
        <is>
          <t>ข้อ 4 (PLE_CC1_Practice_Exam.md)</t>
        </is>
      </c>
      <c r="O1148" s="18" t="inlineStr">
        <is>
          <t>Mock</t>
        </is>
      </c>
      <c r="P1148" s="18" t="inlineStr">
        <is>
          <t>Mock สภาเภสัชฯ Practice</t>
        </is>
      </c>
    </row>
    <row r="1149">
      <c r="A1149" s="15" t="inlineStr">
        <is>
          <t>1170</t>
        </is>
      </c>
      <c r="B1149" s="18" t="inlineStr">
        <is>
          <t>ควรแนะนำอะไรแก่ผู้ป่วยรายนี้</t>
        </is>
      </c>
      <c r="C1149" s="18" t="inlineStr"/>
      <c r="D1149" s="18" t="inlineStr">
        <is>
          <t>ออกกำลังกายให้น้อยที่สุด</t>
        </is>
      </c>
      <c r="E1149" s="18" t="inlineStr">
        <is>
          <t>จำกัดน้ำไม่ให้เกิน 1 ลิตรต่อวัน</t>
        </is>
      </c>
      <c r="F1149" s="18" t="inlineStr">
        <is>
          <t>ฉีดวัคซีนป้องกันการติดเชื้อระบบทางเดินหายใจ</t>
        </is>
      </c>
      <c r="G1149" s="18" t="inlineStr">
        <is>
          <t>จำกัดโซเดียมไม่ให้เกิน 1 ช้อนโต๊ะต่อวัน</t>
        </is>
      </c>
      <c r="H1149" s="18" t="inlineStr">
        <is>
          <t>ถูกทุกข้อ</t>
        </is>
      </c>
      <c r="I1149" s="15" t="inlineStr">
        <is>
          <t>1</t>
        </is>
      </c>
      <c r="J1149" s="18" t="inlineStr">
        <is>
          <t>✅ คำตอบที่ถูกต้อง: ข้อ ก. ออกกำลังกายให้น้อยที่สุด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ออกกำลังกายให้น้อยที่สุด การเลือก ออกกำลังกายให้น้อยที่สุด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(จำกัดน้ำไม่ให้เกิน 1 ลิตรต่อวัน): ข้อนี้ไม่ใช่คำตอบที่ถูกต้องสำหรับภาวะ General Therapeutics เนื่องจากกลไกการออกฤทธิ์, efficacy หรือข้อบ่งใช้ไม่ตรงกับโจทย์ที่กำหนด
• ข้อ ค. (ฉีดวัคซีนป้องกันการติดเชื้อระบบทางเดินหายใจ): ข้อนี้ไม่ใช่คำตอบที่ถูกต้องสำหรับภาวะ General Therapeutics เนื่องจากกลไกการออกฤทธิ์, efficacy หรือข้อบ่งใช้ไม่ตรงกับโจทย์ที่กำหนด
• ข้อ ง. (จำกัดโซเดียมไม่ให้เกิน 1 ช้อนโต๊ะต่อวัน):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9" s="18" t="inlineStr"/>
      <c r="L1149" s="18" t="inlineStr">
        <is>
          <t>General Therapeutics</t>
        </is>
      </c>
      <c r="M1149" s="18" t="inlineStr">
        <is>
          <t>Clinic</t>
        </is>
      </c>
      <c r="N1149" s="18" t="inlineStr">
        <is>
          <t>ข้อ 6 (PLE_CC1_Practice_Exam.md)</t>
        </is>
      </c>
      <c r="O1149" s="18" t="inlineStr">
        <is>
          <t>Mock</t>
        </is>
      </c>
      <c r="P1149" s="18" t="inlineStr">
        <is>
          <t>Mock สภาเภสัชฯ Practice</t>
        </is>
      </c>
    </row>
    <row r="1150">
      <c r="A1150" s="15" t="inlineStr">
        <is>
          <t>1171</t>
        </is>
      </c>
      <c r="B1150" s="18" t="inlineStr">
        <is>
          <t>ข้อใดกล่าวถึง Cardiac glycosides ได้ถูกต้อง</t>
        </is>
      </c>
      <c r="C1150" s="18" t="inlineStr"/>
      <c r="D1150" s="18" t="inlineStr">
        <is>
          <t>ยับยั้ง Na/Ca exchanger</t>
        </is>
      </c>
      <c r="E1150" s="18" t="inlineStr">
        <is>
          <t>Positive chronotropic effect</t>
        </is>
      </c>
      <c r="F1150" s="18" t="inlineStr">
        <is>
          <t>ไม่นิยม เนื่องจากเห็นผลช้า</t>
        </is>
      </c>
      <c r="G1150" s="18" t="inlineStr">
        <is>
          <t>อาการข้างเคียงที่สำคัญ คือ Gynecomastia</t>
        </is>
      </c>
      <c r="H1150" s="18" t="inlineStr">
        <is>
          <t>หลีกเลี่ยงการใช้ร่วมกับ Furosemide</t>
        </is>
      </c>
      <c r="I1150" s="15" t="inlineStr">
        <is>
          <t>1</t>
        </is>
      </c>
      <c r="J1150" s="18" t="inlineStr">
        <is>
          <t>✅ คำตอบที่ถูกต้อง: ข้อ ก. ยับยั้ง Na/Ca exchanger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Na/Ca exchanger การเลือก ยับยั้ง Na/Ca exchanger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(Positive chronotropic effect): ข้อนี้ไม่ใช่คำตอบที่ถูกต้องสำหรับภาวะ General Therapeutics เนื่องจากกลไกการออกฤทธิ์, efficacy หรือข้อบ่งใช้ไม่ตรงกับโจทย์ที่กำหนด
• ข้อ ค. (ไม่นิยม เนื่องจากเห็นผลช้า): ข้อนี้ไม่ใช่คำตอบที่ถูกต้องสำหรับภาวะ General Therapeutics เนื่องจากกลไกการออกฤทธิ์, efficacy หรือข้อบ่งใช้ไม่ตรงกับโจทย์ที่กำหนด
• ข้อ ง. (อาการข้างเคียงที่สำคัญ คือ Gynecomastia): ข้อนี้ไม่ใช่คำตอบที่ถูกต้องสำหรับภาวะ General Therapeutics เนื่องจากกลไกการออกฤทธิ์, efficacy หรือข้อบ่งใช้ไม่ตรงกับโจทย์ที่กำหนด
• ข้อ จ. (หลีกเลี่ยงการใช้ร่วมกับ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0" s="18" t="inlineStr"/>
      <c r="L1150" s="18" t="inlineStr">
        <is>
          <t>General Therapeutics</t>
        </is>
      </c>
      <c r="M1150" s="18" t="inlineStr">
        <is>
          <t>Clinic</t>
        </is>
      </c>
      <c r="N1150" s="18" t="inlineStr">
        <is>
          <t>ข้อ 9 (PLE_CC1_Practice_Exam.md)</t>
        </is>
      </c>
      <c r="O1150" s="18" t="inlineStr">
        <is>
          <t>Mock</t>
        </is>
      </c>
      <c r="P1150" s="18" t="inlineStr">
        <is>
          <t>Mock สภาเภสัชฯ Practice</t>
        </is>
      </c>
    </row>
    <row r="1151">
      <c r="A1151" s="15" t="inlineStr">
        <is>
          <t>1172</t>
        </is>
      </c>
      <c r="B1151" s="18" t="inlineStr">
        <is>
          <t>ยาใดสามารถใช้ได้ในผู้ป่วยที่มีข้อห้ามใช้ ACEIs และ ARBs</t>
        </is>
      </c>
      <c r="C1151" s="18" t="inlineStr"/>
      <c r="D1151" s="18" t="inlineStr">
        <is>
          <t>Furosemide</t>
        </is>
      </c>
      <c r="E1151" s="18" t="inlineStr">
        <is>
          <t>Spironolactone</t>
        </is>
      </c>
      <c r="F1151" s="18" t="inlineStr">
        <is>
          <t>Hydralazine</t>
        </is>
      </c>
      <c r="G1151" s="18" t="inlineStr">
        <is>
          <t>Isosorbide dinitrate</t>
        </is>
      </c>
      <c r="H1151" s="18" t="inlineStr">
        <is>
          <t>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t>
        </is>
      </c>
      <c r="I1151" s="15" t="inlineStr">
        <is>
          <t>1</t>
        </is>
      </c>
      <c r="J1151" s="18" t="inlineStr">
        <is>
          <t>✅ คำตอบที่ถูกต้อง: ข้อ ก. Furosemide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(Spironolactone): เป็น Mineralocorticoid receptor antagonist (MRA) ใช้เป็น 4th-line ใน resistant HTN หรือ GDMT ใน HFrEF ต้อง monitor potassium และเสี่ยงต่อ gynecomastia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จ. (C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151" s="18" t="inlineStr"/>
      <c r="L1151" s="18" t="inlineStr">
        <is>
          <t>Cardiovascular Diseases</t>
        </is>
      </c>
      <c r="M1151" s="18" t="inlineStr">
        <is>
          <t>Clinic</t>
        </is>
      </c>
      <c r="N1151" s="18" t="inlineStr">
        <is>
          <t>ข้อ 10 (PLE_CC1_Practice_Exam.md)</t>
        </is>
      </c>
      <c r="O1151" s="18" t="inlineStr">
        <is>
          <t>Mock</t>
        </is>
      </c>
      <c r="P1151" s="18" t="inlineStr">
        <is>
          <t>Mock สภาเภสัชฯ Practice</t>
        </is>
      </c>
    </row>
    <row r="1152">
      <c r="A1152" s="15" t="inlineStr">
        <is>
          <t>1173</t>
        </is>
      </c>
      <c r="B1152" s="18" t="inlineStr">
        <is>
          <t>ผู้ป่วยมาพบแพทย์ในครั้งถัดไป พบว่ามีอาการปวดเมื่อยกล้ามเนื้อ ข้อใดน่าจะเป็นสาเหตุ</t>
        </is>
      </c>
      <c r="C1152" s="18" t="inlineStr"/>
      <c r="D1152" s="18" t="inlineStr">
        <is>
          <t>อันตรกิริยาระหว่าง Simvastatin และ Enalapril</t>
        </is>
      </c>
      <c r="E1152" s="18" t="inlineStr">
        <is>
          <t>อันตรกิริยาระหว่าง Simvastatin และ Amlodipine</t>
        </is>
      </c>
      <c r="F1152" s="18" t="inlineStr">
        <is>
          <t>อันตรกิริยาระหว่าง Simvastatin และ Aspirin</t>
        </is>
      </c>
      <c r="G1152" s="18" t="inlineStr">
        <is>
          <t>อันตรกิริยาระหว่าง Simvastatin และ Clopidogrel</t>
        </is>
      </c>
      <c r="H1152" s="18" t="inlineStr">
        <is>
          <t>อันตรกิริยาระหว่าง Simvastatin และ ISDN</t>
        </is>
      </c>
      <c r="I1152" s="15" t="inlineStr">
        <is>
          <t>1</t>
        </is>
      </c>
      <c r="J1152" s="18" t="inlineStr">
        <is>
          <t>✅ คำตอบที่ถูกต้อง: ข้อ ก. อันตรกิริยาระหว่าง Simvastatin และ Enalapril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อันตรกิริยาระหว่าง Simvastatin และ Enalapril การเลือก อันตรกิริยาระหว่าง Simvastatin และ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(อันตรกิริยาระหว่าง Simvastatin และ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(อันตรกิริยาระหว่าง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(อันตรกิริยาระหว่าง Simvastatin และ ISDN):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52" s="18" t="inlineStr"/>
      <c r="L1152" s="18" t="inlineStr">
        <is>
          <t>General Therapeutics</t>
        </is>
      </c>
      <c r="M1152" s="18" t="inlineStr">
        <is>
          <t>Clinic</t>
        </is>
      </c>
      <c r="N1152" s="18" t="inlineStr">
        <is>
          <t>ข้อ 3 (PLE_CC1_Practice_Exam.md)</t>
        </is>
      </c>
      <c r="O1152" s="18" t="inlineStr">
        <is>
          <t>Mock</t>
        </is>
      </c>
      <c r="P1152" s="18" t="inlineStr">
        <is>
          <t>Mock สภาเภสัชฯ Practice</t>
        </is>
      </c>
    </row>
    <row r="1153">
      <c r="A1153" s="15" t="inlineStr">
        <is>
          <t>1174</t>
        </is>
      </c>
      <c r="B1153" s="18" t="inlineStr">
        <is>
          <t>ข้อใดคือคำแนะนำสำหรับยา ISDN</t>
        </is>
      </c>
      <c r="C1153" s="18" t="inlineStr"/>
      <c r="D1153" s="18" t="inlineStr">
        <is>
          <t>อมใต้ลิ้นโดยกลืนน้ำลายบ่อยๆ เพื่อให้ยาดูดซึมได้เร็วที่สุด</t>
        </is>
      </c>
      <c r="E1153" s="18" t="inlineStr">
        <is>
          <t>หากภายใน 10 นาที อาการยังไม่ดีขึ้น ให้อมเม็ดถัดไป</t>
        </is>
      </c>
      <c r="F1153" s="18" t="inlineStr">
        <is>
          <t>หากอมไปแล้ว 5 เม็ด อาการยังไม่ดีขึ้น ให้รีบไปโรงพยาบาล</t>
        </is>
      </c>
      <c r="G1153" s="18" t="inlineStr">
        <is>
          <t>ถ้าคนไข้ไม่สามารถอมยาได้ ให้กลืนทั้งเม็ด ห้ามเคี้ยวยา</t>
        </is>
      </c>
      <c r="H1153" s="18" t="inlineStr">
        <is>
          <t>ควรอยู่ในท่านั่งก่อนอมยา เนื่องจากยาอาจทำให้หน้ามืดได้</t>
        </is>
      </c>
      <c r="I1153" s="15" t="inlineStr">
        <is>
          <t>1</t>
        </is>
      </c>
      <c r="J1153" s="18" t="inlineStr">
        <is>
          <t>✅ คำตอบที่ถูกต้อง: ข้อ ก. อมใต้ลิ้นโดยกลืนน้ำลายบ่อยๆ เพื่อให้ยาดูดซึมได้เร็วที่สุด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อมใต้ลิ้นโดยกลืนน้ำลายบ่อยๆ เพื่อให้ยาดูดซึมได้เร็วที่สุด การเลือก อมใต้ลิ้นโดยกลืนน้ำลายบ่อยๆ เพื่อให้ยาดูดซึมได้เร็วที่สุด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(หากภายใน 10 นาที อาการยังไม่ดีขึ้น ให้อมเม็ดถัดไป): ข้อนี้ไม่ใช่คำตอบที่ถูกต้องสำหรับภาวะ General Therapeutics เนื่องจากกลไกการออกฤทธิ์, efficacy หรือข้อบ่งใช้ไม่ตรงกับโจทย์ที่กำหนด
• ข้อ ค. (หากอมไปแล้ว 5 เม็ด อาการยังไม่ดีขึ้น ให้รีบไปโรงพยาบาล): ข้อนี้ไม่ใช่คำตอบที่ถูกต้องสำหรับภาวะ General Therapeutics เนื่องจากกลไกการออกฤทธิ์, efficacy หรือข้อบ่งใช้ไม่ตรงกับโจทย์ที่กำหนด
• ข้อ ง. (ถ้าคนไข้ไม่สามารถอมยาได้ ให้กลืนทั้งเม็ด ห้ามเคี้ยวยา): ข้อนี้ไม่ใช่คำตอบที่ถูกต้องสำหรับภาวะ General Therapeutics เนื่องจากกลไกการออกฤทธิ์, efficacy หรือข้อบ่งใช้ไม่ตรงกับโจทย์ที่กำหนด
• ข้อ จ. (ควรอยู่ในท่านั่งก่อนอมยา เนื่องจากยาอาจทำให้หน้ามืดได้):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3" s="18" t="inlineStr"/>
      <c r="L1153" s="18" t="inlineStr">
        <is>
          <t>General Therapeutics</t>
        </is>
      </c>
      <c r="M1153" s="18" t="inlineStr">
        <is>
          <t>Clinic</t>
        </is>
      </c>
      <c r="N1153" s="18" t="inlineStr">
        <is>
          <t>ข้อ 4 (PLE_CC1_Practice_Exam.md)</t>
        </is>
      </c>
      <c r="O1153" s="18" t="inlineStr">
        <is>
          <t>Mock</t>
        </is>
      </c>
      <c r="P1153" s="18" t="inlineStr">
        <is>
          <t>Mock สภาเภสัชฯ Practice</t>
        </is>
      </c>
    </row>
    <row r="1154">
      <c r="A1154" s="15" t="inlineStr">
        <is>
          <t>1175</t>
        </is>
      </c>
      <c r="B1154" s="18" t="inlineStr">
        <is>
          <t>ข้อใดไม่ใช่ข้อห้ามใช้ของยาละลายลิ่มเลือด (Fibrinolytics)</t>
        </is>
      </c>
      <c r="C1154" s="18" t="inlineStr"/>
      <c r="D1154" s="18" t="inlineStr">
        <is>
          <t>มีประวัติเป็น hemorrhagic stroke</t>
        </is>
      </c>
      <c r="E1154" s="18" t="inlineStr">
        <is>
          <t>ตรวจพบ active internal bleeding</t>
        </is>
      </c>
      <c r="F1154" s="18" t="inlineStr">
        <is>
          <t>ตั้งครรภ์</t>
        </is>
      </c>
      <c r="G1154" s="18" t="inlineStr">
        <is>
          <t>มีประวัติผ่าตัดใหญ่ในรอบ 1 เดือน</t>
        </is>
      </c>
      <c r="H1154" s="18" t="inlineStr">
        <is>
          <t>ความดันโลหิตมากกว่า 150/100 mmHg</t>
        </is>
      </c>
      <c r="I1154" s="15" t="inlineStr">
        <is>
          <t>1</t>
        </is>
      </c>
      <c r="J1154" s="18" t="inlineStr">
        <is>
          <t>✅ คำตอบที่ถูกต้อง: ข้อ ก. มีประวัติเป็น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มีประวัติเป็น hemorrhagic stroke การเลือก มีประวัติเป็น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(ตรวจพบ active internal bleeding): ข้อนี้ไม่ใช่คำตอบที่ถูกต้องสำหรับภาวะ General Therapeutics เนื่องจากกลไกการออกฤทธิ์, efficacy หรือข้อบ่งใช้ไม่ตรงกับโจทย์ที่กำหนด
• ข้อ ค. (ตั้งครรภ์):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ง. (มีประวัติผ่าตัดใหญ่ในรอบ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(ความดันโลหิตมากกว่า 150/100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4" s="18" t="inlineStr"/>
      <c r="L1154" s="18" t="inlineStr">
        <is>
          <t>General Therapeutics</t>
        </is>
      </c>
      <c r="M1154" s="18" t="inlineStr">
        <is>
          <t>Clinic</t>
        </is>
      </c>
      <c r="N1154" s="18" t="inlineStr">
        <is>
          <t>ข้อ 8 (PLE_CC1_Practice_Exam.md)</t>
        </is>
      </c>
      <c r="O1154" s="18" t="inlineStr">
        <is>
          <t>Mock</t>
        </is>
      </c>
      <c r="P1154" s="18" t="inlineStr">
        <is>
          <t>Mock สภาเภสัชฯ Practice</t>
        </is>
      </c>
    </row>
    <row r="1155">
      <c r="A1155" s="15" t="inlineStr">
        <is>
          <t>1176</t>
        </is>
      </c>
      <c r="B1155" s="18" t="inlineStr">
        <is>
          <t>มีประวัติเป็น hemorrhagic stroke</t>
        </is>
      </c>
      <c r="C1155" s="18" t="inlineStr"/>
      <c r="D1155" s="18" t="inlineStr">
        <is>
          <t>Gabapentin 300 mg TID</t>
        </is>
      </c>
      <c r="E1155" s="18" t="inlineStr">
        <is>
          <t>Pregabalin 75 mg BID</t>
        </is>
      </c>
      <c r="F1155" s="18" t="inlineStr">
        <is>
          <t>Levodopa/Benserazide 100/25 mg TID</t>
        </is>
      </c>
      <c r="G1155" s="18" t="inlineStr">
        <is>
          <t>Sumatriptan 50 mg stat</t>
        </is>
      </c>
      <c r="H1155" s="18" t="inlineStr">
        <is>
          <t>Propranolol 40 mg BID</t>
        </is>
      </c>
      <c r="I1155" s="15" t="inlineStr">
        <is>
          <t>1</t>
        </is>
      </c>
      <c r="J1155" s="18" t="inlineStr">
        <is>
          <t>✅ คำตอบที่ถูกต้อง: ข้อ ก. Gabapentin 300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Gabapentin 300 mg TID การเลือก Gabapentin 300 mg TID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5" s="18" t="inlineStr"/>
      <c r="L1155" s="18" t="inlineStr">
        <is>
          <t>Neurologic Disorders</t>
        </is>
      </c>
      <c r="M1155" s="18" t="inlineStr">
        <is>
          <t>Clinic</t>
        </is>
      </c>
      <c r="N1155" s="18" t="inlineStr">
        <is>
          <t>ข้อ 1 (PLE_CC1_Practice_Exam.md)</t>
        </is>
      </c>
      <c r="O1155" s="18" t="inlineStr">
        <is>
          <t>Mock</t>
        </is>
      </c>
      <c r="P1155" s="18" t="inlineStr">
        <is>
          <t>Mock สภาเภสัชฯ Practice</t>
        </is>
      </c>
    </row>
    <row r="1156">
      <c r="A1156" s="15" t="inlineStr">
        <is>
          <t>1177</t>
        </is>
      </c>
      <c r="B1156" s="18" t="inlineStr">
        <is>
          <t>มีประวัติเป็น non-hemorrhagic stroke ในระยะ 1 ปีที่ผ่านมา</t>
        </is>
      </c>
      <c r="C1156" s="18" t="inlineStr"/>
      <c r="D1156" s="18" t="inlineStr">
        <is>
          <t>Sumatriptan 50 mg stat</t>
        </is>
      </c>
      <c r="E1156" s="18" t="inlineStr">
        <is>
          <t>Propranolol 40 mg BID</t>
        </is>
      </c>
      <c r="F1156" s="18" t="inlineStr">
        <is>
          <t>Topiramate 25 mg BID</t>
        </is>
      </c>
      <c r="G1156" s="18" t="inlineStr">
        <is>
          <t>Donepezil 5 mg HS</t>
        </is>
      </c>
      <c r="H1156" s="18" t="inlineStr">
        <is>
          <t>Alteplase (rtPA) 0.9 mg/kg IV</t>
        </is>
      </c>
      <c r="I1156" s="15" t="inlineStr">
        <is>
          <t>1</t>
        </is>
      </c>
      <c r="J1156" s="18" t="inlineStr">
        <is>
          <t>✅ คำตอบที่ถูกต้อง: ข้อ ก. Sumatriptan 50 mg stat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6" s="18" t="inlineStr"/>
      <c r="L1156" s="18" t="inlineStr">
        <is>
          <t>Neurologic Disorders</t>
        </is>
      </c>
      <c r="M1156" s="18" t="inlineStr">
        <is>
          <t>Clinic</t>
        </is>
      </c>
      <c r="N1156" s="18" t="inlineStr">
        <is>
          <t>ข้อ 2 (PLE_CC1_Practice_Exam.md)</t>
        </is>
      </c>
      <c r="O1156" s="18" t="inlineStr">
        <is>
          <t>Mock</t>
        </is>
      </c>
      <c r="P1156" s="18" t="inlineStr">
        <is>
          <t>Mock สภาเภสัชฯ Practice</t>
        </is>
      </c>
    </row>
    <row r="1157">
      <c r="A1157" s="15" t="inlineStr">
        <is>
          <t>1178</t>
        </is>
      </c>
      <c r="B1157" s="18" t="inlineStr">
        <is>
          <t>ตรวจพบเลือดออกในอวัยวะภายใน เช่น เลือดออกทางเดินอาหาร เลือดออกภายในช่องท้อง</t>
        </is>
      </c>
      <c r="C1157" s="18" t="inlineStr"/>
      <c r="D1157" s="18" t="inlineStr">
        <is>
          <t>Sodium thiosulfate 25% 50 mL IV</t>
        </is>
      </c>
      <c r="E1157" s="18" t="inlineStr">
        <is>
          <t>Calcium disodium EDTA 1 g IV</t>
        </is>
      </c>
      <c r="F1157" s="18" t="inlineStr">
        <is>
          <t>Desferrioxamine 1 g IM/IV</t>
        </is>
      </c>
      <c r="G1157" s="18" t="inlineStr">
        <is>
          <t>Dimercaprol (BAL) 3 mg/kg IM</t>
        </is>
      </c>
      <c r="H1157" s="18" t="inlineStr">
        <is>
          <t>Ethanol 10% IV infusion for Methanol poisoning</t>
        </is>
      </c>
      <c r="I1157" s="15" t="inlineStr">
        <is>
          <t>1</t>
        </is>
      </c>
      <c r="J11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7" s="18" t="inlineStr"/>
      <c r="L1157" s="18" t="inlineStr">
        <is>
          <t>General Therapeutics</t>
        </is>
      </c>
      <c r="M1157" s="18" t="inlineStr">
        <is>
          <t>Clinic</t>
        </is>
      </c>
      <c r="N1157" s="18" t="inlineStr">
        <is>
          <t>ข้อ 3 (PLE_CC1_Practice_Exam.md)</t>
        </is>
      </c>
      <c r="O1157" s="18" t="inlineStr">
        <is>
          <t>Mock</t>
        </is>
      </c>
      <c r="P1157" s="18" t="inlineStr">
        <is>
          <t>Mock สภาเภสัชฯ Practice</t>
        </is>
      </c>
    </row>
    <row r="1158">
      <c r="A1158" s="15" t="inlineStr">
        <is>
          <t>1179</t>
        </is>
      </c>
      <c r="B1158" s="18" t="inlineStr">
        <is>
          <t>เคยได้รับบาดเจ็บรุนแรงหรือเคยผ่าตัดใหญ่ภายในเวลา 4 สัปดาห์</t>
        </is>
      </c>
      <c r="C1158" s="18" t="inlineStr"/>
      <c r="D1158" s="18" t="inlineStr">
        <is>
          <t>Dimercaprol (BAL) 3 mg/kg IM</t>
        </is>
      </c>
      <c r="E1158" s="18" t="inlineStr">
        <is>
          <t>Ethanol 10% IV infusion for Methanol poisoning</t>
        </is>
      </c>
      <c r="F1158" s="18" t="inlineStr">
        <is>
          <t>Fomepizole 15 mg/kg IV loading</t>
        </is>
      </c>
      <c r="G1158" s="18" t="inlineStr">
        <is>
          <t>N-acetylcysteine (NAC) IV infusion protocol</t>
        </is>
      </c>
      <c r="H1158" s="18" t="inlineStr">
        <is>
          <t>Atropine sulfate 2 mg IV Q5-10 min</t>
        </is>
      </c>
      <c r="I1158" s="15" t="inlineStr">
        <is>
          <t>1</t>
        </is>
      </c>
      <c r="J11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8" s="18" t="inlineStr"/>
      <c r="L1158" s="18" t="inlineStr">
        <is>
          <t>General Therapeutics</t>
        </is>
      </c>
      <c r="M1158" s="18" t="inlineStr">
        <is>
          <t>Clinic</t>
        </is>
      </c>
      <c r="N1158" s="18" t="inlineStr">
        <is>
          <t>ข้อ 4 (PLE_CC1_Practice_Exam.md)</t>
        </is>
      </c>
      <c r="O1158" s="18" t="inlineStr">
        <is>
          <t>Mock</t>
        </is>
      </c>
      <c r="P1158" s="18" t="inlineStr">
        <is>
          <t>Mock สภาเภสัชฯ Practice</t>
        </is>
      </c>
    </row>
    <row r="1159">
      <c r="A1159" s="15" t="inlineStr">
        <is>
          <t>1180</t>
        </is>
      </c>
      <c r="B1159" s="18" t="inlineStr">
        <is>
          <t>สงสัยว่าอาจมีเลือดแดงใหญ่แทรกเซาะ</t>
        </is>
      </c>
      <c r="C1159" s="18" t="inlineStr"/>
      <c r="D1159" s="18" t="inlineStr">
        <is>
          <t>N-acetylcysteine (NAC) IV infusion protocol</t>
        </is>
      </c>
      <c r="E1159" s="18" t="inlineStr">
        <is>
          <t>Atropine sulfate 2 mg IV Q5-10 min</t>
        </is>
      </c>
      <c r="F1159" s="18" t="inlineStr">
        <is>
          <t>Pralidoxime (2-PAM) 1-2 g IV over 30 min</t>
        </is>
      </c>
      <c r="G1159" s="18" t="inlineStr">
        <is>
          <t>Naloxone 0.4 mg IV stat</t>
        </is>
      </c>
      <c r="H1159" s="18" t="inlineStr">
        <is>
          <t>Flumazenil 0.2 mg IV stat</t>
        </is>
      </c>
      <c r="I1159" s="15" t="inlineStr">
        <is>
          <t>1</t>
        </is>
      </c>
      <c r="J11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9" s="18" t="inlineStr"/>
      <c r="L1159" s="18" t="inlineStr">
        <is>
          <t>General Therapeutics</t>
        </is>
      </c>
      <c r="M1159" s="18" t="inlineStr">
        <is>
          <t>Clinic</t>
        </is>
      </c>
      <c r="N1159" s="18" t="inlineStr">
        <is>
          <t>ข้อ 5 (PLE_CC1_Practice_Exam.md)</t>
        </is>
      </c>
      <c r="O1159" s="18" t="inlineStr">
        <is>
          <t>Mock</t>
        </is>
      </c>
      <c r="P1159" s="18" t="inlineStr">
        <is>
          <t>Mock สภาเภสัชฯ Practice</t>
        </is>
      </c>
    </row>
    <row r="1160">
      <c r="A1160" s="15" t="inlineStr">
        <is>
          <t>1181</t>
        </is>
      </c>
      <c r="B1160" s="18" t="inlineStr">
        <is>
          <t>8. ได้รับการกู้ชีพ (CPR) นานเกิน 10 นาที หรือมีการบาดเจ็บรุนแรงจากการกู้ชีพ</t>
        </is>
      </c>
      <c r="C1160" s="18" t="inlineStr"/>
      <c r="D1160" s="18" t="inlineStr">
        <is>
          <t>Naloxone 0.4 mg IV stat</t>
        </is>
      </c>
      <c r="E1160" s="18" t="inlineStr">
        <is>
          <t>Flumazenil 0.2 mg IV stat</t>
        </is>
      </c>
      <c r="F1160" s="18" t="inlineStr">
        <is>
          <t>Vitamin K1 (Phytomenadione) 10 mg IV slow</t>
        </is>
      </c>
      <c r="G1160" s="18" t="inlineStr">
        <is>
          <t>Sodium thiosulfate 25% 50 mL IV</t>
        </is>
      </c>
      <c r="H1160" s="18" t="inlineStr">
        <is>
          <t>Calcium disodium EDTA 1 g IV</t>
        </is>
      </c>
      <c r="I1160" s="15" t="inlineStr">
        <is>
          <t>1</t>
        </is>
      </c>
      <c r="J11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0" s="18" t="inlineStr"/>
      <c r="L1160" s="18" t="inlineStr">
        <is>
          <t>General Therapeutics</t>
        </is>
      </c>
      <c r="M1160" s="18" t="inlineStr">
        <is>
          <t>Clinic</t>
        </is>
      </c>
      <c r="N1160" s="18" t="inlineStr">
        <is>
          <t>ข้อ 2 (PLE_CC1_Practice_Exam.md)</t>
        </is>
      </c>
      <c r="O1160" s="18" t="inlineStr">
        <is>
          <t>Mock</t>
        </is>
      </c>
      <c r="P1160" s="18" t="inlineStr">
        <is>
          <t>Mock สภาเภสัชฯ Practice</t>
        </is>
      </c>
    </row>
    <row r="1161">
      <c r="A1161" s="15" t="inlineStr">
        <is>
          <t>1182</t>
        </is>
      </c>
      <c r="B1161" s="18" t="inlineStr">
        <is>
          <t>อาการของผู้ป่วยเข้าได้กับโรคใด</t>
        </is>
      </c>
      <c r="C1161" s="18" t="inlineStr"/>
      <c r="D1161" s="18" t="inlineStr">
        <is>
          <t>COPD</t>
        </is>
      </c>
      <c r="E1161" s="18" t="inlineStr">
        <is>
          <t>Common cold</t>
        </is>
      </c>
      <c r="F1161" s="18" t="inlineStr">
        <is>
          <t>Allergic rhinitis</t>
        </is>
      </c>
      <c r="G1161" s="18" t="inlineStr">
        <is>
          <t>Bronchitis</t>
        </is>
      </c>
      <c r="H1161" s="18" t="inlineStr">
        <is>
          <t>Asthma</t>
        </is>
      </c>
      <c r="I1161" s="15" t="inlineStr">
        <is>
          <t>1</t>
        </is>
      </c>
      <c r="J1161" s="18" t="inlineStr">
        <is>
          <t>✅ คำตอบที่ถูกต้อง: ข้อ ก. COPD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COPD การเลือก COPD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ง. (Bronchitis): ข้อนี้ไม่ใช่คำตอบที่ถูกต้องสำหรับภาวะ General Therapeutics เนื่องจากกลไกการออกฤทธิ์, efficacy หรือข้อบ่งใช้ไม่ตรงกับโจทย์ที่กำหนด
• ข้อ จ. (Asthma):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1" s="18" t="inlineStr"/>
      <c r="L1161" s="18" t="inlineStr">
        <is>
          <t>General Therapeutics</t>
        </is>
      </c>
      <c r="M1161" s="18" t="inlineStr">
        <is>
          <t>Clinic</t>
        </is>
      </c>
      <c r="N1161" s="18" t="inlineStr">
        <is>
          <t>ข้อ 1 (PLE_CC1_Practice_Exam.md)</t>
        </is>
      </c>
      <c r="O1161" s="18" t="inlineStr">
        <is>
          <t>Mock</t>
        </is>
      </c>
      <c r="P1161" s="18" t="inlineStr">
        <is>
          <t>Mock สภาเภสัชฯ Practice</t>
        </is>
      </c>
    </row>
    <row r="1162">
      <c r="A1162" s="15" t="inlineStr">
        <is>
          <t>1183</t>
        </is>
      </c>
      <c r="B1162" s="18" t="inlineStr">
        <is>
          <t>ประเภทและความรุนแรงของโรคในผู้ป่วยรายนี้อยู่ในระดับใด</t>
        </is>
      </c>
      <c r="C1162" s="18" t="inlineStr"/>
      <c r="D1162" s="18" t="inlineStr">
        <is>
          <t>Intermittent, mild</t>
        </is>
      </c>
      <c r="E1162" s="18" t="inlineStr">
        <is>
          <t>Persistent, moderate to severe</t>
        </is>
      </c>
      <c r="F1162" s="18" t="inlineStr">
        <is>
          <t>Intermittent, moderate to severe</t>
        </is>
      </c>
      <c r="G1162" s="18" t="inlineStr">
        <is>
          <t>Persistent, mild</t>
        </is>
      </c>
      <c r="H1162" s="18" t="inlineStr">
        <is>
          <t>Seasonal, mild</t>
        </is>
      </c>
      <c r="I1162" s="15" t="inlineStr">
        <is>
          <t>1</t>
        </is>
      </c>
      <c r="J1162" s="18" t="inlineStr">
        <is>
          <t>✅ คำตอบที่ถูกต้อง: ข้อ ก. Intermittent, mild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Intermittent, mild การเลือก Intermittent, mild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(Persistent,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ค. (Intermittent,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ง. (Persistent, mild): ข้อนี้ไม่ใช่คำตอบที่ถูกต้องสำหรับภาวะ General Therapeutics เนื่องจากกลไกการออกฤทธิ์, efficacy หรือข้อบ่งใช้ไม่ตรงกับโจทย์ที่กำหนด
• ข้อ จ. (Seasonal, mild):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2" s="18" t="inlineStr"/>
      <c r="L1162" s="18" t="inlineStr">
        <is>
          <t>General Therapeutics</t>
        </is>
      </c>
      <c r="M1162" s="18" t="inlineStr">
        <is>
          <t>Clinic</t>
        </is>
      </c>
      <c r="N1162" s="18" t="inlineStr">
        <is>
          <t>ข้อ 2 (PLE_CC1_Practice_Exam.md)</t>
        </is>
      </c>
      <c r="O1162" s="18" t="inlineStr">
        <is>
          <t>Mock</t>
        </is>
      </c>
      <c r="P1162" s="18" t="inlineStr">
        <is>
          <t>Mock สภาเภสัชฯ Practice</t>
        </is>
      </c>
    </row>
    <row r="1163">
      <c r="A1163" s="15" t="inlineStr">
        <is>
          <t>1184</t>
        </is>
      </c>
      <c r="B1163" s="18" t="inlineStr">
        <is>
          <t>ยาที่เหมาะสมสำหรับผู้ป่วยรายนี้คือข้อใด</t>
        </is>
      </c>
      <c r="C1163" s="18" t="inlineStr"/>
      <c r="D1163" s="18" t="inlineStr">
        <is>
          <t>Oral fexofenadine</t>
        </is>
      </c>
      <c r="E1163" s="18" t="inlineStr">
        <is>
          <t>Nasal budesonide</t>
        </is>
      </c>
      <c r="F1163" s="18" t="inlineStr">
        <is>
          <t>Oral montelukast</t>
        </is>
      </c>
      <c r="G1163" s="18" t="inlineStr">
        <is>
          <t>Oral fexofenadine + montelukast</t>
        </is>
      </c>
      <c r="H1163" s="18" t="inlineStr">
        <is>
          <t>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3" s="15" t="inlineStr">
        <is>
          <t>1</t>
        </is>
      </c>
      <c r="J1163" s="18" t="inlineStr">
        <is>
          <t>✅ คำตอบที่ถูกต้อง: ข้อ ก. Oral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Oral fexofenadine การเลือก Oral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(Oral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(Oral fexofenadine +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3" s="18" t="inlineStr"/>
      <c r="L1163" s="18" t="inlineStr">
        <is>
          <t>General Therapeutics</t>
        </is>
      </c>
      <c r="M1163" s="18" t="inlineStr">
        <is>
          <t>Clinic</t>
        </is>
      </c>
      <c r="N1163" s="18" t="inlineStr">
        <is>
          <t>ข้อ 3 (PLE_CC1_Practice_Exam.md)</t>
        </is>
      </c>
      <c r="O1163" s="18" t="inlineStr">
        <is>
          <t>Mock</t>
        </is>
      </c>
      <c r="P1163" s="18" t="inlineStr">
        <is>
          <t>Mock สภาเภสัชฯ Practice</t>
        </is>
      </c>
    </row>
    <row r="1164">
      <c r="A1164" s="15" t="inlineStr">
        <is>
          <t>1185</t>
        </is>
      </c>
      <c r="B1164" s="18" t="inlineStr">
        <is>
          <t>คำแนะนำเกี่ยวกับการใช้ยาที่เหมาะสมสำหรับผู้ป่วยรายนี้คือข้อใด</t>
        </is>
      </c>
      <c r="C1164" s="18" t="inlineStr"/>
      <c r="D1164" s="18" t="inlineStr">
        <is>
          <t>ยาสามารถออกฤทธิ์ได้ภายใน 10 นาทีหลังพ่น</t>
        </is>
      </c>
      <c r="E1164" s="18" t="inlineStr">
        <is>
          <t>ผู้ป่วยต้องใช้ยาติดต่อกันอย่างสม่ำเสมอเป็นเวลา 2 สัปดาห์</t>
        </is>
      </c>
      <c r="F1164" s="18" t="inlineStr">
        <is>
          <t>ไม่ควรใช้ยาต่อเนื่องกันเกิน 5 วัน</t>
        </is>
      </c>
      <c r="G1164" s="18" t="inlineStr">
        <is>
          <t>ยานี้อาจทำให้ง่วง</t>
        </is>
      </c>
      <c r="H1164" s="18" t="inlineStr">
        <is>
          <t>สามารถหยุดยาได้ทันทีหากไม่มีอาการ</t>
        </is>
      </c>
      <c r="I1164" s="15" t="inlineStr">
        <is>
          <t>1</t>
        </is>
      </c>
      <c r="J1164" s="18" t="inlineStr">
        <is>
          <t>✅ คำตอบที่ถูกต้อง: ข้อ ก. ยาสามารถออกฤทธิ์ได้ภายใน 10 นาทีหลังพ่น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ยาสามารถออกฤทธิ์ได้ภายใน 10 นาทีหลังพ่น การเลือก ยาสามารถออกฤทธิ์ได้ภายใน 10 นาทีหลังพ่น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(ผู้ป่วยต้องใช้ยาติดต่อกันอย่างสม่ำเสมอเป็นเวลา 2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(ไม่ควรใช้ยาต่อเนื่องกันเกิน 5 วัน): ข้อนี้ไม่ใช่คำตอบที่ถูกต้องสำหรับภาวะ General Therapeutics เนื่องจากกลไกการออกฤทธิ์, efficacy หรือข้อบ่งใช้ไม่ตรงกับโจทย์ที่กำหนด
• ข้อ ง. (ยานี้อาจทำให้ง่วง):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(สามารถหยุดยาได้ทันทีหากไม่มีอาการ):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4" s="18" t="inlineStr"/>
      <c r="L1164" s="18" t="inlineStr">
        <is>
          <t>General Therapeutics</t>
        </is>
      </c>
      <c r="M1164" s="18" t="inlineStr">
        <is>
          <t>Clinic</t>
        </is>
      </c>
      <c r="N1164" s="18" t="inlineStr">
        <is>
          <t>ข้อ 4 (PLE_CC1_Practice_Exam.md)</t>
        </is>
      </c>
      <c r="O1164" s="18" t="inlineStr">
        <is>
          <t>Mock</t>
        </is>
      </c>
      <c r="P1164" s="18" t="inlineStr">
        <is>
          <t>Mock สภาเภสัชฯ Practice</t>
        </is>
      </c>
    </row>
    <row r="1165">
      <c r="A1165" s="15" t="inlineStr">
        <is>
          <t>1186</t>
        </is>
      </c>
      <c r="B1165" s="18" t="inlineStr">
        <is>
          <t>เมื่อผู้ป่วยได้รับยาตามกำหนดแล้ว 2 สัปดาห์มาที่ร้านใหม่พบว่ามีอาการดีขึ้น ควรทำอย่างไรกับผู้ป่วย รายนี้</t>
        </is>
      </c>
      <c r="C1165" s="18" t="inlineStr"/>
      <c r="D1165" s="18" t="inlineStr">
        <is>
          <t>ลดขนาดยาลงและให้ยาต่ออีกมากกว่า 1 เดือน</t>
        </is>
      </c>
      <c r="E1165" s="18" t="inlineStr">
        <is>
          <t>ให้ผู้ป่วยสามารถหยุดยาได้ทันที</t>
        </is>
      </c>
      <c r="F1165" s="18" t="inlineStr">
        <is>
          <t>ให้ยาต่ออีก 1 เดือน</t>
        </is>
      </c>
      <c r="G1165" s="18" t="inlineStr">
        <is>
          <t>เปลี่ยนยาไปเป็น sodium cromoglycate</t>
        </is>
      </c>
      <c r="H1165" s="18" t="inlineStr">
        <is>
          <t>เพิ่ม oral fexofenadine</t>
        </is>
      </c>
      <c r="I1165" s="15" t="inlineStr">
        <is>
          <t>1</t>
        </is>
      </c>
      <c r="J1165" s="18" t="inlineStr">
        <is>
          <t>✅ คำตอบที่ถูกต้อง: ข้อ ก. ลดขนาดยาลงและให้ยาต่ออีกมากกว่า 1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ลดขนาดยาลงและให้ยาต่ออีกมากกว่า 1 เดือน การเลือก ลดขนาดยาลงและให้ยาต่ออีกมากกว่า 1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(ให้ผู้ป่วยสามารถหยุดยาได้ทันที): ข้อนี้ไม่ใช่คำตอบที่ถูกต้องสำหรับภาวะ General Therapeutics เนื่องจากกลไกการออกฤทธิ์, efficacy หรือข้อบ่งใช้ไม่ตรงกับโจทย์ที่กำหนด
• ข้อ ค. (ให้ยาต่ออีก 1 เดือน):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(เปลี่ยนยาไปเป็น sodium cromoglycate): ข้อนี้ไม่ใช่คำตอบที่ถูกต้องสำหรับภาวะ General Therapeutics เนื่องจากกลไกการออกฤทธิ์, efficacy หรือข้อบ่งใช้ไม่ตรงกับโจทย์ที่กำหนด
• ข้อ จ. (เพิ่ม oral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65" s="18" t="inlineStr"/>
      <c r="L1165" s="18" t="inlineStr">
        <is>
          <t>General Therapeutics</t>
        </is>
      </c>
      <c r="M1165" s="18" t="inlineStr">
        <is>
          <t>Clinic</t>
        </is>
      </c>
      <c r="N1165" s="18" t="inlineStr">
        <is>
          <t>ข้อ 6 (PLE_CC1_Practice_Exam.md)</t>
        </is>
      </c>
      <c r="O1165" s="18" t="inlineStr">
        <is>
          <t>Mock</t>
        </is>
      </c>
      <c r="P1165" s="18" t="inlineStr">
        <is>
          <t>Mock สภาเภสัชฯ Practice</t>
        </is>
      </c>
    </row>
    <row r="1166">
      <c r="A1166" s="15" t="inlineStr">
        <is>
          <t>1187</t>
        </is>
      </c>
      <c r="B1166" s="18" t="inlineStr">
        <is>
          <t>ข้อใดไม่ถูกต้องเกี่ยวกับยาสเตียรอยด์พ่นจมูก</t>
        </is>
      </c>
      <c r="C1166" s="18" t="inlineStr"/>
      <c r="D1166" s="18" t="inlineStr">
        <is>
          <t>เป็นยาที่มีประสิทธิภาพสูงในการรักษาโรคจมูกอักเสบภูมิแพ้</t>
        </is>
      </c>
      <c r="E1166" s="18" t="inlineStr">
        <is>
          <t>การให้ยาพ่นจมูกสเตียรอยด์ควรประเมินผลการรักษาที่ 2-4 สัปดาห์หลังรักษา</t>
        </is>
      </c>
      <c r="F1166" s="18" t="inlineStr">
        <is>
          <t>อาจเกิดผลข้างเคียงเฉพาะที่เล็กน้อย เช่น จาม แสบร้อนหรือระคายเยื่อบุจมูกหลังพ่นยา</t>
        </is>
      </c>
      <c r="G1166" s="18" t="inlineStr">
        <is>
          <t>ออกฤทธิ์ลดการอักเสบจากภูมิแพ้ได้เร็ว</t>
        </is>
      </c>
      <c r="H1166" s="18" t="inlineStr">
        <is>
          <t>ไม่แนะนำให้ใช้ยาสเตียรอยด์ชนิดฉีด หัวข้อเรื่อง COPD</t>
        </is>
      </c>
      <c r="I1166" s="15" t="inlineStr">
        <is>
          <t>1</t>
        </is>
      </c>
      <c r="J1166" s="18" t="inlineStr">
        <is>
          <t>✅ คำตอบที่ถูกต้อง: ข้อ ก. เป็นยาที่มีประสิทธิภาพสูงในการรักษาโรคจมูกอักเสบภูมิแพ้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เป็นยาที่มีประสิทธิภาพสูงในการรักษาโรคจมูกอักเสบภูมิแพ้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การเลือก เป็นยาที่มี efficacy สูงในการรักษาโรคจมูกอักเสบภูมิแพ้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(การให้ยาพ่นจมูกสเตียรอยด์ควรประเมินผลการรักษาที่ 2-4 สัปดาห์หลังรักษา): ข้อนี้ไม่ใช่คำตอบที่ถูกต้องสำหรับภาวะ General Therapeutics เนื่องจากกลไกการออกฤทธิ์, efficacy หรือข้อบ่งใช้ไม่ตรงกับโจทย์ที่กำหนด
• ข้อ ค. (อาจเกิดผลข้างเคียงเฉพาะที่เล็กน้อย เช่น จาม แสบร้อนหรือระคายเยื่อบุจมูกหลังพ่นยา): ข้อนี้ไม่ใช่คำตอบที่ถูกต้องสำหรับภาวะ General Therapeutics เนื่องจากกลไกการออกฤทธิ์, efficacy หรือข้อบ่งใช้ไม่ตรงกับโจทย์ที่กำหนด
• ข้อ ง. (ออกฤทธิ์ลดการอักเสบจากภูมิแพ้ได้เร็ว): ข้อนี้ไม่ใช่คำตอบที่ถูกต้องสำหรับภาวะ General Therapeutics เนื่องจากกลไกการออกฤทธิ์, efficacy หรือข้อบ่งใช้ไม่ตรงกับโจทย์ที่กำหนด
• ข้อ จ. (ไม่แนะนำให้ใช้ยาสเตียรอยด์ชนิดฉีด หัวข้อเรื่อง COPD):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6" s="18" t="inlineStr"/>
      <c r="L1166" s="18" t="inlineStr">
        <is>
          <t>General Therapeutics</t>
        </is>
      </c>
      <c r="M1166" s="18" t="inlineStr">
        <is>
          <t>Clinic</t>
        </is>
      </c>
      <c r="N1166" s="18" t="inlineStr">
        <is>
          <t>ข้อ 14 (PLE_CC1_Practice_Exam.md)</t>
        </is>
      </c>
      <c r="O1166" s="18" t="inlineStr">
        <is>
          <t>Mock</t>
        </is>
      </c>
      <c r="P1166" s="18" t="inlineStr">
        <is>
          <t>Mock สภาเภสัชฯ Practice</t>
        </is>
      </c>
    </row>
    <row r="1167">
      <c r="A1167" s="15" t="inlineStr">
        <is>
          <t>1188</t>
        </is>
      </c>
      <c r="B1167" s="18" t="inlineStr">
        <is>
          <t>ผู้ป่วยรายนี้ควรได้รับการรักษาด้วยยาเริ่มแรก (first-choice) ด้วยวิธีใดถึงจะเหมาะสมที่สุด</t>
        </is>
      </c>
      <c r="C1167" s="18" t="inlineStr"/>
      <c r="D1167" s="18" t="inlineStr">
        <is>
          <t>LABA or LAMA</t>
        </is>
      </c>
      <c r="E1167" s="18" t="inlineStr">
        <is>
          <t>LABA and LAMA</t>
        </is>
      </c>
      <c r="F1167" s="18" t="inlineStr">
        <is>
          <t>SABA and/or SAMA theophylline</t>
        </is>
      </c>
      <c r="G1167" s="18" t="inlineStr">
        <is>
          <t>ข และ ค</t>
        </is>
      </c>
      <c r="H1167" s="18" t="inlineStr">
        <is>
          <t>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7" s="15" t="inlineStr">
        <is>
          <t>1</t>
        </is>
      </c>
      <c r="J1167" s="18" t="inlineStr">
        <is>
          <t>✅ คำตอบที่ถูกต้อง: ข้อ ก. LABA or LAMA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LABA or LAMA การเลือก LABA or LAMA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(LABA and LAMA): ข้อนี้ไม่ใช่คำตอบที่ถูกต้องสำหรับภาวะ General Therapeutics เนื่องจากกลไกการออกฤทธิ์, efficacy หรือข้อบ่งใช้ไม่ตรงกับโจทย์ที่กำหนด
• ข้อ ค. (SABA and/or SAMA theophylline): มี narrow therapeutic window (target 5-15 mcg/mL) และ ADR สูง (ใจสั่น คลื่นไส้ ชัก หัวใจเต้นผิดจังหวะ) CPG จึงจัดเป็นเพียงทางเลือกท้ายๆ (alternative)
• ข้อ ง. (ข และ ค):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7" s="18" t="inlineStr"/>
      <c r="L1167" s="18" t="inlineStr">
        <is>
          <t>General Therapeutics</t>
        </is>
      </c>
      <c r="M1167" s="18" t="inlineStr">
        <is>
          <t>Clinic</t>
        </is>
      </c>
      <c r="N1167" s="18" t="inlineStr">
        <is>
          <t>ข้อ 18 (PLE_CC1_Practice_Exam.md)</t>
        </is>
      </c>
      <c r="O1167" s="18" t="inlineStr">
        <is>
          <t>Mock</t>
        </is>
      </c>
      <c r="P1167" s="18" t="inlineStr">
        <is>
          <t>Mock สภาเภสัชฯ Practice</t>
        </is>
      </c>
    </row>
    <row r="1168">
      <c r="A1168" s="15" t="inlineStr">
        <is>
          <t>1189</t>
        </is>
      </c>
      <c r="B1168" s="18" t="inlineStr">
        <is>
          <t>จากข้อ 18 ยาใดเหมาะสมที่สุดที่ผู้ป่วยรายนี้ควรได้รับ</t>
        </is>
      </c>
      <c r="C1168" s="18" t="inlineStr"/>
      <c r="D1168" s="18" t="inlineStr">
        <is>
          <t>Salbutamol+Terbutaline</t>
        </is>
      </c>
      <c r="E1168" s="18" t="inlineStr">
        <is>
          <t>Salbutamol+Budesonide</t>
        </is>
      </c>
      <c r="F1168" s="18" t="inlineStr">
        <is>
          <t>Salmeterol+Tiotropium</t>
        </is>
      </c>
      <c r="G1168" s="18" t="inlineStr">
        <is>
          <t>Salmeterol or Tiotropium</t>
        </is>
      </c>
      <c r="H1168" s="18" t="inlineStr">
        <is>
          <t>ค และ ง</t>
        </is>
      </c>
      <c r="I1168" s="15" t="inlineStr">
        <is>
          <t>1</t>
        </is>
      </c>
      <c r="J1168" s="18" t="inlineStr">
        <is>
          <t>✅ คำตอบที่ถูกต้อง: ข้อ ก. Salbutamol+Terbutaline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Salbutamol+Terbutaline การเลือก Salbutamol+Terbutaline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(Salbutamol+Budesonide):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(Salmeterol+Tiotropium): เป็น LABA ที่มี onset ช้า (10-20 นาที) จึงใช้เป็น maintenance bronchodilator เท่านั้น ห้ามใช้เป็น reliever เด็ดขาด
• ข้อ ง. (Salmeterol or Tiotropium): เป็น LABA ที่มี onset ช้า (10-20 นาที) จึงใช้เป็น maintenance bronchodilator เท่านั้น ห้ามใช้เป็น reliever เด็ดขาด
• ข้อ จ. (ค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68" s="18" t="inlineStr"/>
      <c r="L1168" s="18" t="inlineStr">
        <is>
          <t>General Therapeutics</t>
        </is>
      </c>
      <c r="M1168" s="18" t="inlineStr">
        <is>
          <t>Clinic</t>
        </is>
      </c>
      <c r="N1168" s="18" t="inlineStr">
        <is>
          <t>ข้อ 19 (PLE_CC1_Practice_Exam.md)</t>
        </is>
      </c>
      <c r="O1168" s="18" t="inlineStr">
        <is>
          <t>Mock</t>
        </is>
      </c>
      <c r="P1168" s="18" t="inlineStr">
        <is>
          <t>Mock สภาเภสัชฯ Practice</t>
        </is>
      </c>
    </row>
    <row r="1169">
      <c r="A1169" s="15" t="inlineStr">
        <is>
          <t>1190</t>
        </is>
      </c>
      <c r="B1169" s="18"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1169" s="18" t="inlineStr"/>
      <c r="D1169" s="18" t="inlineStr">
        <is>
          <t>จ่าย salbutamol เพิ่ม</t>
        </is>
      </c>
      <c r="E1169" s="18" t="inlineStr">
        <is>
          <t>จ่าย ICS เพิ่ม</t>
        </is>
      </c>
      <c r="F1169" s="18" t="inlineStr">
        <is>
          <t>จ่าย salmeterol + tiotropium 2 ตัวคู่กัน</t>
        </is>
      </c>
      <c r="G1169" s="18" t="inlineStr">
        <is>
          <t>จ่าย theophylline เพิ่ม</t>
        </is>
      </c>
      <c r="H1169" s="18" t="inlineStr">
        <is>
          <t>ค และ ง</t>
        </is>
      </c>
      <c r="I1169" s="15" t="inlineStr">
        <is>
          <t>1</t>
        </is>
      </c>
      <c r="J1169" s="18" t="inlineStr">
        <is>
          <t>✅ คำตอบที่ถูกต้อง: ข้อ ก. จ่าย salbutamol เพิ่ม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 salbutamol เพิ่ม 💡 คำอธิบายและข้อกำหนดทางกฎหมาย:
💡 คำอธิบายและข้อกำหนดทางกฎหมาย:
การเลือก จ่าย salbutamol เพิ่ม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(จ่าย ICS เพิ่ม): ข้อนี้ไม่ใช่คำตอบที่ถูกต้องสำหรับภาวะ Pharmacy Laws &amp; Ethics เนื่องจากกลไกการออกฤทธิ์, efficacy หรือข้อบ่งใช้ไม่ตรงกับโจทย์ที่กำหนด
• ข้อ ค. (จ่าย salmeterol + tiotropium 2 ตัวคู่กัน): เป็น LABA ที่มี onset ช้า (10-20 นาที) จึงใช้เป็น maintenance bronchodilator เท่านั้น ห้ามใช้เป็น reliever เด็ดขาด
• ข้อ ง. (จ่าย theophylline เพิ่ม): มี narrow therapeutic window (target 5-15 mcg/mL) และ ADR สูง (ใจสั่น คลื่นไส้ ชัก หัวใจเต้นผิดจังหวะ) CPG จึงจัดเป็นเพียงทางเลือกท้ายๆ (alternative)
• ข้อ จ. (ค และ ง):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9" s="18" t="inlineStr"/>
      <c r="L1169" s="18" t="inlineStr">
        <is>
          <t>Pharmacy Laws &amp; Ethics</t>
        </is>
      </c>
      <c r="M1169" s="18" t="inlineStr">
        <is>
          <t>SAP</t>
        </is>
      </c>
      <c r="N1169" s="18" t="inlineStr">
        <is>
          <t>ข้อ 20 (PLE_CC1_Practice_Exam.md)</t>
        </is>
      </c>
      <c r="O1169" s="18" t="inlineStr">
        <is>
          <t>Mock</t>
        </is>
      </c>
      <c r="P1169" s="18" t="inlineStr">
        <is>
          <t>Mock สภาเภสัชฯ Practice</t>
        </is>
      </c>
    </row>
    <row r="1170">
      <c r="A1170" s="15" t="inlineStr">
        <is>
          <t>1191</t>
        </is>
      </c>
      <c r="B1170" s="18" t="inlineStr">
        <is>
          <t>ข้อใดต่อไปนี้ ที่ไม่ถูกต้องเกี่ยวกับการวินิจฉัยโรคข้างต้น</t>
        </is>
      </c>
      <c r="C1170" s="18" t="inlineStr"/>
      <c r="D1170" s="18" t="inlineStr">
        <is>
          <t>มีอาการไอเรื้อรัง</t>
        </is>
      </c>
      <c r="E1170" s="18" t="inlineStr">
        <is>
          <t>มีประวัติการสูบบุหรี่</t>
        </is>
      </c>
      <c r="F1170" s="18" t="inlineStr">
        <is>
          <t>ใช้ GOLD guideline ในการประเมินความรุนแรง</t>
        </is>
      </c>
      <c r="G1170" s="18" t="inlineStr">
        <is>
          <t>มีการตอบสนองภายหลังการใช้ยาขยายหลอดลม น้อยกว่า ร้อยละ 12</t>
        </is>
      </c>
      <c r="H1170" s="18" t="inlineStr">
        <is>
          <t>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0" s="15" t="inlineStr">
        <is>
          <t>1</t>
        </is>
      </c>
      <c r="J1170" s="18" t="inlineStr">
        <is>
          <t>✅ คำตอบที่ถูกต้อง: ข้อ ก. มีอาการไอเรื้อรัง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มีอาการไอเรื้อรัง การเลือก มีอาการไอเรื้อรัง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ข้อ จ. (หลังการใช้ยาขยายหลอดลม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0" s="18" t="inlineStr"/>
      <c r="L1170" s="18" t="inlineStr">
        <is>
          <t>General Therapeutics</t>
        </is>
      </c>
      <c r="M1170" s="18" t="inlineStr">
        <is>
          <t>Clinic</t>
        </is>
      </c>
      <c r="N1170" s="18" t="inlineStr">
        <is>
          <t>ข้อ 24 (PLE_CC1_Practice_Exam.md)</t>
        </is>
      </c>
      <c r="O1170" s="18" t="inlineStr">
        <is>
          <t>Mock</t>
        </is>
      </c>
      <c r="P1170" s="18" t="inlineStr">
        <is>
          <t>Mock สภาเภสัชฯ Practice</t>
        </is>
      </c>
    </row>
    <row r="1171">
      <c r="A1171" s="15" t="inlineStr">
        <is>
          <t>1192</t>
        </is>
      </c>
      <c r="B1171" s="18" t="inlineStr">
        <is>
          <t>ข้อใดไม่ใช่คำถามที่ใช้ในการประเมินความรุนแรงของผู้ป่วยโรคหืดใน GINA assessment of symptom control</t>
        </is>
      </c>
      <c r="C1171" s="18" t="inlineStr"/>
      <c r="D1171" s="18" t="inlineStr">
        <is>
          <t>มีอาการจับหืดตอนกลางวันมากกว่า 2 ครั้งต่อสัปดาห์</t>
        </is>
      </c>
      <c r="E1171" s="18" t="inlineStr">
        <is>
          <t>ต้องใช้ยาพ่นขยายหลอดลมมากกว่า 2 ครั้งต่อสัปดาห์</t>
        </is>
      </c>
      <c r="F1171" s="18" t="inlineStr">
        <is>
          <t>อาการรบกวนชีวิตประจำวันหรือไม่</t>
        </is>
      </c>
      <c r="G1171" s="18" t="inlineStr">
        <is>
          <t>ค่า FEV1 สูงกว่า 60% predicted มีความเสี่ยงต่อการเกิด exacerbation มาก</t>
        </is>
      </c>
      <c r="H1171" s="18"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1171" s="15" t="inlineStr">
        <is>
          <t>1</t>
        </is>
      </c>
      <c r="J1171" s="18" t="inlineStr">
        <is>
          <t>✅ คำตอบที่ถูกต้อง: ข้อ ก. มีอาการจับหืดตอนกลางวันมากกว่า 2 ครั้งต่อสัปดาห์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มีอาการจับหืดตอนกลางวันมากกว่า 2 ครั้งต่อสัปดาห์ การเลือก มีอาการจับหืดตอนกลางวันมากกว่า 2 ครั้งต่อสัปดาห์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(ต้องใช้ยาพ่นขยายหลอดลมมากกว่า 2 ครั้งต่อสัปดาห์):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(อาการรบกวนชีวิตประจำวันหรือไม่): ข้อนี้ไม่ใช่คำตอบที่ถูกต้องสำหรับภาวะ General Therapeutics เนื่องจากกลไกการออกฤทธิ์, efficacy หรือข้อบ่งใช้ไม่ตรงกับโจทย์ที่กำหนด
• ข้อ ง. (ค่า FEV1 สูงกว่า 60% predicted มีความเสี่ยงต่อการเกิด exacerbation มาก): ข้อนี้ไม่ใช่คำตอบที่ถูกต้องสำหรับภาวะ General Therapeutics เนื่องจากกลไกการออกฤทธิ์, efficacy หรือข้อบ่งใช้ไม่ตรงกับโจทย์ที่กำหนด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1" s="18" t="inlineStr"/>
      <c r="L1171" s="18" t="inlineStr">
        <is>
          <t>General Therapeutics</t>
        </is>
      </c>
      <c r="M1171" s="18" t="inlineStr">
        <is>
          <t>Clinic</t>
        </is>
      </c>
      <c r="N1171" s="18" t="inlineStr">
        <is>
          <t>ข้อ 29 (PLE_CC1_Practice_Exam.md)</t>
        </is>
      </c>
      <c r="O1171" s="18" t="inlineStr">
        <is>
          <t>Mock</t>
        </is>
      </c>
      <c r="P1171" s="18" t="inlineStr">
        <is>
          <t>Mock สภาเภสัชฯ Practice</t>
        </is>
      </c>
    </row>
    <row r="1172">
      <c r="A1172" s="15" t="inlineStr">
        <is>
          <t>1193</t>
        </is>
      </c>
      <c r="B1172" s="18" t="inlineStr">
        <is>
          <t>จากกรณีศึกษาดังกล่าว ควรพิจารณาเปลี่ยนแปลงการรักษาใดให้ผู้ป่วยหรือไม่</t>
        </is>
      </c>
      <c r="C1172" s="18" t="inlineStr"/>
      <c r="D1172" s="18" t="inlineStr">
        <is>
          <t>ควรพิจารณาการ step down</t>
        </is>
      </c>
      <c r="E1172" s="18" t="inlineStr">
        <is>
          <t>ควรพิจารณาการ step up</t>
        </is>
      </c>
      <c r="F1172" s="18" t="inlineStr">
        <is>
          <t>ไม่ต้องเปลี่ยนแปลงการรักษา</t>
        </is>
      </c>
      <c r="G1172" s="18" t="inlineStr">
        <is>
          <t>เปลี่ยนจาก salbutamol ไปใช้ salmeterol</t>
        </is>
      </c>
      <c r="H1172" s="18" t="inlineStr">
        <is>
          <t>ตัด theophylline ออก</t>
        </is>
      </c>
      <c r="I1172" s="15" t="inlineStr">
        <is>
          <t>1</t>
        </is>
      </c>
      <c r="J1172" s="18" t="inlineStr">
        <is>
          <t>✅ คำตอบที่ถูกต้อง: ข้อ ก. ควรพิจารณาการ step down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ควรพิจารณาการ step down การเลือก ควรพิจารณาการ step down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(ควรพิจารณาการ step up):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(ไม่ต้องเปลี่ยนแปลงการรักษา):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(เปลี่ยนจาก salbutamol ไปใช้ salmeterol):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(ตัด theophylline ออก):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2" s="18" t="inlineStr"/>
      <c r="L1172" s="18" t="inlineStr">
        <is>
          <t>General Therapeutics</t>
        </is>
      </c>
      <c r="M1172" s="18" t="inlineStr">
        <is>
          <t>Clinic</t>
        </is>
      </c>
      <c r="N1172" s="18" t="inlineStr">
        <is>
          <t>ข้อ 30 (PLE_CC1_Practice_Exam.md)</t>
        </is>
      </c>
      <c r="O1172" s="18" t="inlineStr">
        <is>
          <t>Mock</t>
        </is>
      </c>
      <c r="P1172" s="18" t="inlineStr">
        <is>
          <t>Mock สภาเภสัชฯ Practice</t>
        </is>
      </c>
    </row>
    <row r="1173">
      <c r="A1173" s="15" t="inlineStr">
        <is>
          <t>1194</t>
        </is>
      </c>
      <c r="B1173" s="18" t="inlineStr">
        <is>
          <t>เมื่อเลือกการรักษาจากข้อ 30 แล้ว คิดว่าควรให้ยาในข้อใด</t>
        </is>
      </c>
      <c r="C1173" s="18" t="inlineStr"/>
      <c r="D1173" s="18" t="inlineStr">
        <is>
          <t>Beclometasone dipropionate 200 mcg + Salbutamol</t>
        </is>
      </c>
      <c r="E1173" s="18" t="inlineStr">
        <is>
          <t>Fluticasone propionate 200 mcg + Symbicortห (Budesonide/Formoterol)</t>
        </is>
      </c>
      <c r="F1173" s="18" t="inlineStr">
        <is>
          <t>Omalizumab + Symbicortห (Budesonide/Formoterol)</t>
        </is>
      </c>
      <c r="G1173" s="18" t="inlineStr">
        <is>
          <t>Fluticasone propionate 400 mcg + Symbicortห ( Budesonide/ Formoterol) + Tiotropium</t>
        </is>
      </c>
      <c r="H1173" s="18" t="inlineStr">
        <is>
          <t>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3" s="15" t="inlineStr">
        <is>
          <t>1</t>
        </is>
      </c>
      <c r="J1173" s="18" t="inlineStr">
        <is>
          <t>✅ คำตอบที่ถูกต้อง: ข้อ ก. Beclometasone dipropionate 200 mcg + Salbutamol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Beclometasone dipropionate 200 mcg + Salbutamol การเลือก Beclometasone dipropionate 200 mcg + Salbutamol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(Fluticasone propionate 200 mcg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(Omalizumab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 propionate 400 mcg + Symbicortห ( Budesonide/ Formoterol) + Tiotropium):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3" s="18" t="inlineStr"/>
      <c r="L1173" s="18" t="inlineStr">
        <is>
          <t>General Therapeutics</t>
        </is>
      </c>
      <c r="M1173" s="18" t="inlineStr">
        <is>
          <t>Clinic</t>
        </is>
      </c>
      <c r="N1173" s="18" t="inlineStr">
        <is>
          <t>ข้อ 31 (PLE_CC1_Practice_Exam.md)</t>
        </is>
      </c>
      <c r="O1173" s="18" t="inlineStr">
        <is>
          <t>Mock</t>
        </is>
      </c>
      <c r="P1173" s="18" t="inlineStr">
        <is>
          <t>Mock สภาเภสัชฯ Practice</t>
        </is>
      </c>
    </row>
    <row r="1174">
      <c r="A1174" s="15" t="inlineStr">
        <is>
          <t>1195</t>
        </is>
      </c>
      <c r="B1174" s="18" t="inlineStr">
        <is>
          <t>ข้อใดผิดเกี่ยวกับหลักการพิจารณาการ step down</t>
        </is>
      </c>
      <c r="C1174" s="18" t="inlineStr"/>
      <c r="D1174" s="18" t="inlineStr">
        <is>
          <t>ผู้ป่วยสามารถควบคุมอาการได้อย่างน้อย 3 เดือน</t>
        </is>
      </c>
      <c r="E1174" s="18" t="inlineStr">
        <is>
          <t>ไม่อยู่ระหว่างการตั้งครรภ์</t>
        </is>
      </c>
      <c r="F1174" s="18" t="inlineStr">
        <is>
          <t>บันทึก baseline status</t>
        </is>
      </c>
      <c r="G1174" s="18" t="inlineStr">
        <is>
          <t>หยุด ICS ทันที</t>
        </is>
      </c>
      <c r="H1174" s="18" t="inlineStr">
        <is>
          <t>พิจารณา step down ในขณะที่ไม่อยู่ระหว่างการติดเชื้อทางเดินหายใจในระหว่างการท่องเที่ยว</t>
        </is>
      </c>
      <c r="I1174" s="15" t="inlineStr">
        <is>
          <t>1</t>
        </is>
      </c>
      <c r="J1174" s="18" t="inlineStr">
        <is>
          <t>✅ คำตอบที่ถูกต้อง: ข้อ ก. ผู้ป่วยสามารถควบคุมอาการได้อย่างน้อย 3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ผู้ป่วยสามารถควบคุมอาการได้อย่างน้อย 3 เดือน การเลือก ผู้ป่วยสามารถควบคุมอาการได้อย่างน้อย 3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(ไม่อยู่ระหว่างการตั้งครรภ์):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ค. (บันทึก baseline status): ข้อนี้ไม่ใช่คำตอบที่ถูกต้องสำหรับภาวะ General Therapeutics เนื่องจากกลไกการออกฤทธิ์, efficacy หรือข้อบ่งใช้ไม่ตรงกับโจทย์ที่กำหนด
• ข้อ ง. (หยุด ICS ทันที): ข้อนี้ไม่ใช่คำตอบที่ถูกต้องสำหรับภาวะ General Therapeutics เนื่องจากกลไกการออกฤทธิ์, efficacy หรือข้อบ่งใช้ไม่ตรงกับโจทย์ที่กำหนด
• ข้อ จ. (พิจารณา step down ในขณะที่ไม่อยู่ระหว่างการติดเชื้อทางเดินหายใจในระหว่างการท่องเที่ยว):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4" s="18" t="inlineStr"/>
      <c r="L1174" s="18" t="inlineStr">
        <is>
          <t>General Therapeutics</t>
        </is>
      </c>
      <c r="M1174" s="18" t="inlineStr">
        <is>
          <t>Clinic</t>
        </is>
      </c>
      <c r="N1174" s="18" t="inlineStr">
        <is>
          <t>ข้อ 32 (PLE_CC1_Practice_Exam.md)</t>
        </is>
      </c>
      <c r="O1174" s="18" t="inlineStr">
        <is>
          <t>Mock</t>
        </is>
      </c>
      <c r="P1174" s="18" t="inlineStr">
        <is>
          <t>Mock สภาเภสัชฯ Practice</t>
        </is>
      </c>
    </row>
    <row r="1175">
      <c r="A1175" s="15" t="inlineStr">
        <is>
          <t>1196</t>
        </is>
      </c>
      <c r="B1175" s="18" t="inlineStr">
        <is>
          <t>ข้อใดไม่ใช่ short-acting beta 2 agonist</t>
        </is>
      </c>
      <c r="C1175" s="18" t="inlineStr"/>
      <c r="D1175" s="18" t="inlineStr">
        <is>
          <t>Fenoterol</t>
        </is>
      </c>
      <c r="E1175" s="18" t="inlineStr">
        <is>
          <t>Terbutaline</t>
        </is>
      </c>
      <c r="F1175" s="18" t="inlineStr">
        <is>
          <t>Procaterol</t>
        </is>
      </c>
      <c r="G1175" s="18" t="inlineStr">
        <is>
          <t>Bambuterol</t>
        </is>
      </c>
      <c r="H1175" s="18" t="inlineStr">
        <is>
          <t>Salmeterol</t>
        </is>
      </c>
      <c r="I1175" s="15" t="inlineStr">
        <is>
          <t>1</t>
        </is>
      </c>
      <c r="J1175" s="18" t="inlineStr">
        <is>
          <t>✅ คำตอบที่ถูกต้อง: ข้อ ก. Fenoterol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Fenoterol การเลือก Fenoterol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(Terbutaline): ข้อนี้ไม่ใช่คำตอบที่ถูกต้องสำหรับภาวะ General Therapeutics เนื่องจากกลไกการออกฤทธิ์, efficacy หรือข้อบ่งใช้ไม่ตรงกับโจทย์ที่กำหนด
• ข้อ ค. (Procaterol): ข้อนี้ไม่ใช่คำตอบที่ถูกต้องสำหรับภาวะ General Therapeutics เนื่องจากกลไกการออกฤทธิ์, efficacy หรือข้อบ่งใช้ไม่ตรงกับโจทย์ที่กำหนด
• ข้อ ง. (Bambuterol): ข้อนี้ไม่ใช่คำตอบที่ถูกต้องสำหรับภาวะ General Therapeutics เนื่องจากกลไกการออกฤทธิ์, efficacy หรือข้อบ่งใช้ไม่ตรงกับโจทย์ที่กำหนด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5" s="18" t="inlineStr"/>
      <c r="L1175" s="18" t="inlineStr">
        <is>
          <t>General Therapeutics</t>
        </is>
      </c>
      <c r="M1175" s="18" t="inlineStr">
        <is>
          <t>Clinic</t>
        </is>
      </c>
      <c r="N1175" s="18" t="inlineStr">
        <is>
          <t>ข้อ 33 (PLE_CC1_Practice_Exam.md)</t>
        </is>
      </c>
      <c r="O1175" s="18" t="inlineStr">
        <is>
          <t>Mock</t>
        </is>
      </c>
      <c r="P1175" s="18" t="inlineStr">
        <is>
          <t>Mock สภาเภสัชฯ Practice</t>
        </is>
      </c>
    </row>
    <row r="1176">
      <c r="A1176" s="15" t="inlineStr">
        <is>
          <t>1197</t>
        </is>
      </c>
      <c r="B1176" s="18" t="inlineStr">
        <is>
          <t>ข้อใดไม่ใช่กลไกลการออกฤทธิ์ของยากลุ่ม Inhaled corticosteroids</t>
        </is>
      </c>
      <c r="C1176" s="18" t="inlineStr"/>
      <c r="D1176" s="18" t="inlineStr">
        <is>
          <t>ต้าน IgE</t>
        </is>
      </c>
      <c r="E1176" s="18" t="inlineStr">
        <is>
          <t>ป้องกันการสร้างและหลั่ง cytokine</t>
        </is>
      </c>
      <c r="F1176" s="18" t="inlineStr">
        <is>
          <t>กระตุ้นกระบวนการสร้าง leukotriene</t>
        </is>
      </c>
      <c r="G1176" s="18" t="inlineStr">
        <is>
          <t>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176" s="18" t="inlineStr">
        <is>
          <t>รบกวน arachidonic acid metabolism</t>
        </is>
      </c>
      <c r="I1176" s="15" t="inlineStr">
        <is>
          <t>1</t>
        </is>
      </c>
      <c r="J1176" s="18" t="inlineStr">
        <is>
          <t>✅ คำตอบที่ถูกต้อง: ข้อ ก. ต้าน IgE
💡 Background:
การประเมินหลักฐานเชิงประจักษ์ (Evidence-Based Practice) อาศัย study design, statistical parameters (p-value, 95% CI, RR/OR) เพื่อการตัดสินใจอย่างแม่นยำ
🎯 ทำไมข้อนี้ถึงถูก:
ต้าน IgE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ต้าน IgE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(ป้องกันการสร้างและหลั่ง cytokine): ข้อนี้ไม่ใช่คำตอบที่ถูกต้องสำหรับภาวะ Biostats &amp; Research เนื่องจากกลไกการออกฤทธิ์, efficacy หรือข้อบ่งใช้ไม่ตรงกับโจทย์ที่กำหนด
• ข้อ ค. (กระตุ้นกระบวนการสร้าง leukotriene): ข้อนี้ไม่ใช่คำตอบที่ถูกต้องสำหรับภาวะ Biostats &amp; Research เนื่องจากกลไกการออกฤทธิ์, efficacy หรือข้อบ่งใช้ไม่ตรงกับโจทย์ที่กำหนด
• ข้อ ง. (รบกวนกระบวนการสร้าง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Biostats &amp; Research เนื่องจากกลไกการออกฤทธิ์, efficacy หรือข้อบ่งใช้ไม่ตรงกับโจทย์ที่กำหนด
• ข้อ จ. (รบกวน arachidonic acid metabolism):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6" s="18" t="inlineStr"/>
      <c r="L1176" s="18" t="inlineStr">
        <is>
          <t>Biostats &amp; Research</t>
        </is>
      </c>
      <c r="M1176" s="18" t="inlineStr">
        <is>
          <t>SAP</t>
        </is>
      </c>
      <c r="N1176" s="18" t="inlineStr">
        <is>
          <t>ข้อ 36 (PLE_CC1_Practice_Exam.md)</t>
        </is>
      </c>
      <c r="O1176" s="18" t="inlineStr">
        <is>
          <t>Mock</t>
        </is>
      </c>
      <c r="P1176" s="18" t="inlineStr">
        <is>
          <t>Mock สภาเภสัชฯ Practice</t>
        </is>
      </c>
    </row>
    <row r="1177">
      <c r="A1177" s="15" t="inlineStr">
        <is>
          <t>1198</t>
        </is>
      </c>
      <c r="B1177" s="18" t="inlineStr">
        <is>
          <t>ข้อใดผิดเกี่ยวกับอาการไม่พึงประสงค์ของยากลุ่ม Inhaled corticosteroids</t>
        </is>
      </c>
      <c r="C1177" s="18" t="inlineStr"/>
      <c r="D1177" s="18" t="inlineStr">
        <is>
          <t>มือสั่น ใจสั่น</t>
        </is>
      </c>
      <c r="E1177" s="18" t="inlineStr">
        <is>
          <t>ปากแห้ง คอแห้ง</t>
        </is>
      </c>
      <c r="F1177" s="18" t="inlineStr">
        <is>
          <t>มีอาการเสียงแหบ</t>
        </is>
      </c>
      <c r="G1177" s="18" t="inlineStr">
        <is>
          <t>อาการไอเพิ่มมากขึ้น</t>
        </is>
      </c>
      <c r="H1177" s="18" t="inlineStr">
        <is>
          <t>เกิดเชื้อราในช่องปาก จากโครงสร้างให้เลือกตอบข้อ 38 – 39</t>
        </is>
      </c>
      <c r="I1177" s="15" t="inlineStr">
        <is>
          <t>1</t>
        </is>
      </c>
      <c r="J1177" s="18" t="inlineStr">
        <is>
          <t>✅ คำตอบที่ถูกต้อง: ข้อ ก. มือสั่น ใจสั่น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มือสั่น ใจสั่น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มือสั่น ใจสั่น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(ปากแห้ง คอแห้ง): ข้อนี้ไม่ใช่คำตอบที่ถูกต้องสำหรับภาวะ Biostats &amp; Research เนื่องจากกลไกการออกฤทธิ์, efficacy หรือข้อบ่งใช้ไม่ตรงกับโจทย์ที่กำหนด
• ข้อ ค. (มีอาการเสียงแหบ): ข้อนี้ไม่ใช่คำตอบที่ถูกต้องสำหรับภาวะ Biostats &amp; Research เนื่องจากกลไกการออกฤทธิ์, efficacy หรือข้อบ่งใช้ไม่ตรงกับโจทย์ที่กำหนด
• ข้อ ง. (อาการไอเพิ่มมากขึ้น): ข้อนี้ไม่ใช่คำตอบที่ถูกต้องสำหรับภาวะ Biostats &amp; Research เนื่องจากกลไกการออกฤทธิ์, efficacy หรือข้อบ่งใช้ไม่ตรงกับโจทย์ที่กำหนด
• ข้อ จ. (เกิดเชื้อราในช่องปาก จากโครงสร้างให้เลือกตอบข้อ 38 – 39):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7" s="18" t="inlineStr"/>
      <c r="L1177" s="18" t="inlineStr">
        <is>
          <t>Biostats &amp; Research</t>
        </is>
      </c>
      <c r="M1177" s="18" t="inlineStr">
        <is>
          <t>SAP</t>
        </is>
      </c>
      <c r="N1177" s="18" t="inlineStr">
        <is>
          <t>ข้อ 37 (PLE_CC1_Practice_Exam.md)</t>
        </is>
      </c>
      <c r="O1177" s="18" t="inlineStr">
        <is>
          <t>Mock</t>
        </is>
      </c>
      <c r="P1177" s="18" t="inlineStr">
        <is>
          <t>Mock สภาเภสัชฯ Practice</t>
        </is>
      </c>
    </row>
    <row r="1178">
      <c r="A1178" s="15" t="inlineStr">
        <is>
          <t>1199</t>
        </is>
      </c>
      <c r="B1178" s="18" t="inlineStr">
        <is>
          <t>จากโครงสร้างเมื่อเปรียบเทียบแล้วโครงสร้างใดเป็น long-acting beta-2 agonists</t>
        </is>
      </c>
      <c r="C1178" s="18" t="inlineStr"/>
      <c r="D1178" s="18" t="inlineStr">
        <is>
          <t>Dimercaprol (BAL) 3 mg/kg IM</t>
        </is>
      </c>
      <c r="E1178" s="18" t="inlineStr">
        <is>
          <t>Ethanol 10% IV infusion for Methanol poisoning</t>
        </is>
      </c>
      <c r="F1178" s="18" t="inlineStr">
        <is>
          <t>Fomepizole 15 mg/kg IV loading</t>
        </is>
      </c>
      <c r="G1178" s="18" t="inlineStr">
        <is>
          <t>N-acetylcysteine (NAC) IV infusion protocol</t>
        </is>
      </c>
      <c r="H1178" s="18" t="inlineStr">
        <is>
          <t>Atropine sulfate 2 mg IV Q5-10 min</t>
        </is>
      </c>
      <c r="I1178" s="15" t="inlineStr">
        <is>
          <t>1</t>
        </is>
      </c>
      <c r="J11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8" s="18" t="inlineStr"/>
      <c r="L1178" s="18" t="inlineStr">
        <is>
          <t>General Therapeutics</t>
        </is>
      </c>
      <c r="M1178" s="18" t="inlineStr">
        <is>
          <t>Clinic</t>
        </is>
      </c>
      <c r="N1178" s="18" t="inlineStr">
        <is>
          <t>ข้อ 38 (PLE_CC1_Practice_Exam.md)</t>
        </is>
      </c>
      <c r="O1178" s="18" t="inlineStr">
        <is>
          <t>Mock</t>
        </is>
      </c>
      <c r="P1178" s="18" t="inlineStr">
        <is>
          <t>Mock สภาเภสัชฯ Practice</t>
        </is>
      </c>
    </row>
    <row r="1179">
      <c r="A1179" s="15" t="inlineStr">
        <is>
          <t>1200</t>
        </is>
      </c>
      <c r="B1179" s="18" t="inlineStr">
        <is>
          <t>จากโครสร้างข้อใดผิด</t>
        </is>
      </c>
      <c r="C1179" s="18" t="inlineStr"/>
      <c r="D1179" s="18" t="inlineStr">
        <is>
          <t>ออกฤทธิ์ขยายหลอดลม</t>
        </is>
      </c>
      <c r="E1179" s="18" t="inlineStr">
        <is>
          <t>ไม่ใช่กลุ่ม rapid-acting</t>
        </is>
      </c>
      <c r="F1179" s="18" t="inlineStr">
        <is>
          <t>โครงสร้างนี้ทนต่อ catechol-O-methyltransferase</t>
        </is>
      </c>
      <c r="G1179" s="18" t="inlineStr">
        <is>
          <t>เป็นยากลุ่ม selective beta-2 agonists แบบ long-acting beta-2 agonists</t>
        </is>
      </c>
      <c r="H1179" s="18" t="inlineStr">
        <is>
          <t>เปลี่ยนการแทนที่บน benzene ring จาก หมู่ 3,4-hydroxyl เป็นตำแหน่ง 3,5-hydroxyl เพื่อให้ทนต่อกรดในกระเพาะอาหาร</t>
        </is>
      </c>
      <c r="I1179" s="15" t="inlineStr">
        <is>
          <t>1</t>
        </is>
      </c>
      <c r="J1179" s="18" t="inlineStr">
        <is>
          <t>✅ คำตอบที่ถูกต้อง: ข้อ ก. ออกฤทธิ์ขยายหลอดลม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ออกฤทธิ์ขยายหลอดลม การเลือก ออกฤทธิ์ขยายหลอดลม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(ไม่ใช่กลุ่ม rapid-acting):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(โครงสร้างนี้ทนต่อ catechol-O-methyltransferase): ข้อนี้ไม่ใช่คำตอบที่ถูกต้องสำหรับภาวะ General Therapeutics เนื่องจากกลไกการออกฤทธิ์, efficacy หรือข้อบ่งใช้ไม่ตรงกับโจทย์ที่กำหนด
• ข้อ ง. (เป็นยากลุ่ม selective beta-2 agonists แบบ long-acting beta-2 agonists):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(เปลี่ยนการแทนที่บน benzene ring จาก หมู่ 3,4-hydroxyl เป็นตำแหน่ง 3,5-hydroxyl เพื่อให้ทนต่อกรดในกระเพาะอาหาร):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9" s="18" t="inlineStr"/>
      <c r="L1179" s="18" t="inlineStr">
        <is>
          <t>General Therapeutics</t>
        </is>
      </c>
      <c r="M1179" s="18" t="inlineStr">
        <is>
          <t>Clinic</t>
        </is>
      </c>
      <c r="N1179" s="18" t="inlineStr">
        <is>
          <t>ข้อ 40 (PLE_CC1_Practice_Exam.md)</t>
        </is>
      </c>
      <c r="O1179" s="18" t="inlineStr">
        <is>
          <t>Mock</t>
        </is>
      </c>
      <c r="P1179" s="18" t="inlineStr">
        <is>
          <t>Mock สภาเภสัชฯ Practice</t>
        </is>
      </c>
    </row>
    <row r="1180">
      <c r="A1180" s="15" t="inlineStr">
        <is>
          <t>1201</t>
        </is>
      </c>
      <c r="B1180" s="18" t="inlineStr">
        <is>
          <t>จากโครงสร้างข้อใดถูก</t>
        </is>
      </c>
      <c r="C1180" s="18" t="inlineStr"/>
      <c r="D1180" s="18" t="inlineStr">
        <is>
          <t>เป็น Cholinergic drugs</t>
        </is>
      </c>
      <c r="E1180" s="18" t="inlineStr">
        <is>
          <t>จัดอยู่ในกลุ่ม Tertiary Amines</t>
        </is>
      </c>
      <c r="F1180" s="18" t="inlineStr">
        <is>
          <t>มี Butyl groups ที่ตำแหน่งไนโตรเจน</t>
        </is>
      </c>
      <c r="G1180" s="18" t="inlineStr">
        <is>
          <t>ทำให้หลอดลมคลายตัว หัวใจเต้นเร็ว และน้ำลายแห้ง</t>
        </is>
      </c>
      <c r="H1180" s="18" t="inlineStr">
        <is>
          <t>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t>
        </is>
      </c>
      <c r="I1180" s="15" t="inlineStr">
        <is>
          <t>3</t>
        </is>
      </c>
      <c r="J1180" s="18" t="inlineStr">
        <is>
          <t>✅ คำตอบที่ถูกต้อง: ข้อ ค. มี Butyl groups ที่ตำแหน่งไนโตรเจน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 Butyl groups ที่ตำแหน่งไนโตรเจน กับ adrenergic receptor ทำให้เกิดการหดตัวของหลอดเลือดในเยื่อบุจมูก ไม่ได้ออกฤทธิ์เฉพาะที่ในจมูก ซึ่ง ต่อแสงแดดเวลาไปถูกแดด ผิวหนังจะมีผื่นแดงขึ้น และผื่นแดงที่ข้างจมูก (butterfly rash) ซึ่งไม่เกี่ยวข้องกับ อักเสบภูมิแพ้ ได้ผลดีทั้งในโรคของทางเดินหายใจส่วนบนและส่วนล่าง จึงเป็นยาที่ใช้ได้ผลดีกับผู้ป่วยที่เป็นโรค สูบบุหรี่จะเป็น COPD และจำนวนครึ่งหนึ่งของผู้ที่สูบบุหรี่เป็นเวลานานเกือบชั่วชีวิตจะเป็น COPD การอยู่
🔍 ข้ออื่นผิดเพราะอะไร:
• ข้อ ก. (เป็น Cholinergic drugs): ข้อนี้ไม่ใช่คำตอบที่ถูกต้องสำหรับภาวะ General Therapeutics เนื่องจากกลไกการออกฤทธิ์, efficacy หรือข้อบ่งใช้ไม่ตรงกับโจทย์ที่กำหนด
• ข้อ ข. (จัดอยู่ในกลุ่ม Tertiary Amines): ข้อนี้ไม่ใช่คำตอบที่ถูกต้องสำหรับภาวะ General Therapeutics เนื่องจากกลไกการออกฤทธิ์, efficacy หรือข้อบ่งใช้ไม่ตรงกับโจทย์ที่กำหนด
• ข้อ ง. (ทำให้หลอดลมคลายตัว หัวใจเต้นเร็ว และน้ำลายแห้ง): ข้อนี้ไม่ใช่คำตอบที่ถูกต้องสำหรับภาวะ General Therapeutics เนื่องจากกลไกการออกฤทธิ์, efficacy หรือข้อบ่งใช้ไม่ตรงกับโจทย์ที่กำหนด
• ข้อ จ. (ยากลุ่มนี้จะมี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0" s="18" t="inlineStr"/>
      <c r="L1180" s="18" t="inlineStr">
        <is>
          <t>General Therapeutics</t>
        </is>
      </c>
      <c r="M1180" s="18" t="inlineStr">
        <is>
          <t>Clinic</t>
        </is>
      </c>
      <c r="N1180" s="18" t="inlineStr">
        <is>
          <t>ข้อ 42 (PLE_CC1_Practice_Exam.md)</t>
        </is>
      </c>
      <c r="O1180" s="18" t="inlineStr">
        <is>
          <t>Mock</t>
        </is>
      </c>
      <c r="P1180" s="18" t="inlineStr">
        <is>
          <t>Mock สภาเภสัชฯ Practice</t>
        </is>
      </c>
    </row>
    <row r="1181">
      <c r="A1181" s="15" t="inlineStr">
        <is>
          <t>1202</t>
        </is>
      </c>
      <c r="B1181" s="18" t="inlineStr">
        <is>
          <t>โรคระบบทางเดินอาหาร โดย ฝ่ายวิชาการ และนิสิตชั้นป๊ที่ 4 สโมสรนิสิตเภสัชศาสตร์ มหาวิทยาลัยบูรพา หัวข้อเรื่อง ริดสีดวงทวาร จากกรณีศึกษาต่อไปนี้ ตอบคำถามข้อ 1-4 หญิงอายุ 32 ปี มาร้านยาด้วยอาการปวดและคันบริเวณทวารหนัก มีติ่งยื่นออกมาเวลาเบ่งถ่าย อุจจาระและไม่สามารถหดกลับได้ ต้องใช้นิ้วดันกลับเข้าไป บางครั้งอุจจาระมีเลือดสีแดงสดปนออกมาขณะ ถ่าย</t>
        </is>
      </c>
      <c r="C1181" s="18" t="inlineStr"/>
      <c r="D1181" s="18" t="inlineStr">
        <is>
          <t>พ.ร.บ. หลักประกันสุขภาพแห่งชาติ พ.ศ. 2545</t>
        </is>
      </c>
      <c r="E1181" s="18" t="inlineStr">
        <is>
          <t>การปฏิบัติทางเภสัชกรรมชุมชน (Good Pharmacy Practice: GPP)</t>
        </is>
      </c>
      <c r="F1181" s="18" t="inlineStr">
        <is>
          <t>บัญชียาหลักแห่งชาติ (National List of Essential Medicines: NLEM)</t>
        </is>
      </c>
      <c r="G1181" s="18" t="inlineStr">
        <is>
          <t>เกณฑ์จริยธรรมว่าด้วยการส่งเสริมการขายยาของกระทรวงสาธารณสุข</t>
        </is>
      </c>
      <c r="H1181" s="18" t="inlineStr">
        <is>
          <t>พ.ร.บ. ยา พ.ศ. 2510 (การจำหน่ายยาอันตรายและยาควบคุมพิเศษ)</t>
        </is>
      </c>
      <c r="I1181" s="15" t="inlineStr">
        <is>
          <t>1</t>
        </is>
      </c>
      <c r="J118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1" s="18" t="inlineStr"/>
      <c r="L1181" s="18" t="inlineStr">
        <is>
          <t>Pharmacy Laws &amp; Ethics</t>
        </is>
      </c>
      <c r="M1181" s="18" t="inlineStr">
        <is>
          <t>SAP</t>
        </is>
      </c>
      <c r="N1181" s="18" t="inlineStr">
        <is>
          <t>ข้อ 3 (PLE_CC1_Practice_Exam.md)</t>
        </is>
      </c>
      <c r="O1181" s="18" t="inlineStr">
        <is>
          <t>Mock</t>
        </is>
      </c>
      <c r="P1181" s="18" t="inlineStr">
        <is>
          <t>Mock สภาเภสัชฯ Practice</t>
        </is>
      </c>
    </row>
    <row r="1182">
      <c r="A1182" s="15" t="inlineStr">
        <is>
          <t>1203</t>
        </is>
      </c>
      <c r="B1182" s="18" t="inlineStr">
        <is>
          <t>ผู้ป่วยรายนี้เป็นริดสีดวงทวารชนิดใด</t>
        </is>
      </c>
      <c r="C1182" s="18" t="inlineStr"/>
      <c r="D1182" s="18" t="inlineStr">
        <is>
          <t>Internal hemorrhoid Grade 1</t>
        </is>
      </c>
      <c r="E1182" s="18" t="inlineStr">
        <is>
          <t>Internal hemorrhoid Grade 2</t>
        </is>
      </c>
      <c r="F1182" s="18" t="inlineStr">
        <is>
          <t>Internal hemorrhoid Grade 3</t>
        </is>
      </c>
      <c r="G1182" s="18" t="inlineStr">
        <is>
          <t>Internal hemorrhoid Grade 4</t>
        </is>
      </c>
      <c r="H1182" s="18" t="inlineStr">
        <is>
          <t>External hemorrhoid</t>
        </is>
      </c>
      <c r="I1182" s="15" t="inlineStr">
        <is>
          <t>1</t>
        </is>
      </c>
      <c r="J1182" s="18" t="inlineStr">
        <is>
          <t>✅ คำตอบที่ถูกต้อง: ข้อ ก. Internal hemorrhoid Grade 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Internal hemorrhoid Grade 1 การเลือก Internal hemorrhoid Grade 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(Internal hemorrhoid Grade 2): ข้อนี้ไม่ใช่คำตอบที่ถูกต้องสำหรับภาวะ General Therapeutics เนื่องจากกลไกการออกฤทธิ์, efficacy หรือข้อบ่งใช้ไม่ตรงกับโจทย์ที่กำหนด
• ข้อ ค. (Internal hemorrhoid Grade 3): ข้อนี้ไม่ใช่คำตอบที่ถูกต้องสำหรับภาวะ General Therapeutics เนื่องจากกลไกการออกฤทธิ์, efficacy หรือข้อบ่งใช้ไม่ตรงกับโจทย์ที่กำหนด
• ข้อ ง. (Internal hemorrhoid Grade 4): ข้อนี้ไม่ใช่คำตอบที่ถูกต้องสำหรับภาวะ General Therapeutics เนื่องจากกลไกการออกฤทธิ์, efficacy หรือข้อบ่งใช้ไม่ตรงกับโจทย์ที่กำหนด
• ข้อ จ. (External hemorrhoid):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2" s="18" t="inlineStr"/>
      <c r="L1182" s="18" t="inlineStr">
        <is>
          <t>General Therapeutics</t>
        </is>
      </c>
      <c r="M1182" s="18" t="inlineStr">
        <is>
          <t>Clinic</t>
        </is>
      </c>
      <c r="N1182" s="18" t="inlineStr">
        <is>
          <t>ข้อ 1 (PLE_CC1_Practice_Exam.md)</t>
        </is>
      </c>
      <c r="O1182" s="18" t="inlineStr">
        <is>
          <t>Mock</t>
        </is>
      </c>
      <c r="P1182" s="18" t="inlineStr">
        <is>
          <t>Mock สภาเภสัชฯ Practice</t>
        </is>
      </c>
    </row>
    <row r="1183">
      <c r="A1183" s="15" t="inlineStr">
        <is>
          <t>1204</t>
        </is>
      </c>
      <c r="B1183" s="18" t="inlineStr">
        <is>
          <t>ผู้ป่วยเคยไปพบแพทย์ และได้รับยาผงสีม่วง ซึ่งมีวิธีการใช้คือ นำยาผงมาละลายน้ำอุ่นแล้วนั่งแช่ ประมาณ 15 นาที วันละ 2-3 ครั้ง ท่านคิดว่ายาที่ผู้ป่วยได้รับมีกลไกการออกฤทธิ์อย่างไร</t>
        </is>
      </c>
      <c r="C1183" s="18" t="inlineStr"/>
      <c r="D1183" s="18" t="inlineStr">
        <is>
          <t>Astringent</t>
        </is>
      </c>
      <c r="E1183" s="18" t="inlineStr">
        <is>
          <t>Local anti-infective</t>
        </is>
      </c>
      <c r="F1183" s="18" t="inlineStr">
        <is>
          <t>Local anesthesia</t>
        </is>
      </c>
      <c r="G1183" s="18" t="inlineStr">
        <is>
          <t>ข้อ ก และ ข ถูก</t>
        </is>
      </c>
      <c r="H1183" s="18" t="inlineStr">
        <is>
          <t>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t>
        </is>
      </c>
      <c r="I1183" s="15" t="inlineStr">
        <is>
          <t>1</t>
        </is>
      </c>
      <c r="J1183" s="18" t="inlineStr">
        <is>
          <t>✅ คำตอบที่ถูกต้อง: ข้อ ก. Astringent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Astringent การเลือก Astringent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(Local anti-infective): ข้อนี้ไม่ใช่คำตอบที่ถูกต้องสำหรับภาวะ General Therapeutics เนื่องจากกลไกการออกฤทธิ์, efficacy หรือข้อบ่งใช้ไม่ตรงกับโจทย์ที่กำหนด
• ข้อ ค. (Local anesthesia):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3" s="18" t="inlineStr"/>
      <c r="L1183" s="18" t="inlineStr">
        <is>
          <t>General Therapeutics</t>
        </is>
      </c>
      <c r="M1183" s="18" t="inlineStr">
        <is>
          <t>Clinic</t>
        </is>
      </c>
      <c r="N1183" s="18" t="inlineStr">
        <is>
          <t>ข้อ 4 (PLE_CC1_Practice_Exam.md)</t>
        </is>
      </c>
      <c r="O1183" s="18" t="inlineStr">
        <is>
          <t>Mock</t>
        </is>
      </c>
      <c r="P1183" s="18" t="inlineStr">
        <is>
          <t>Mock สภาเภสัชฯ Practice</t>
        </is>
      </c>
    </row>
    <row r="1184">
      <c r="A1184" s="15" t="inlineStr">
        <is>
          <t>1205</t>
        </is>
      </c>
      <c r="B1184" s="18" t="inlineStr">
        <is>
          <t>เชื้อสาเหตุเกิดจากเชื้อใด</t>
        </is>
      </c>
      <c r="C1184" s="18" t="inlineStr"/>
      <c r="D1184" s="18" t="inlineStr">
        <is>
          <t>Escherichia coli</t>
        </is>
      </c>
      <c r="E1184" s="18" t="inlineStr">
        <is>
          <t>Salmonella typhi</t>
        </is>
      </c>
      <c r="F1184" s="18" t="inlineStr">
        <is>
          <t>Pseudomembranous colitis</t>
        </is>
      </c>
      <c r="G1184" s="18" t="inlineStr">
        <is>
          <t>Entamoeda histolytica</t>
        </is>
      </c>
      <c r="H1184" s="18" t="inlineStr">
        <is>
          <t>Vibrio cholera</t>
        </is>
      </c>
      <c r="I1184" s="15" t="inlineStr">
        <is>
          <t>1</t>
        </is>
      </c>
      <c r="J1184" s="18" t="inlineStr">
        <is>
          <t>✅ คำตอบที่ถูกต้อง: ข้อ ก. Escherichia coli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Escherichia coli การเลือก Escherichia coli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(Salmonella typhi): ข้อนี้ไม่ใช่คำตอบที่ถูกต้องสำหรับภาวะ General Therapeutics เนื่องจากกลไกการออกฤทธิ์, efficacy หรือข้อบ่งใช้ไม่ตรงกับโจทย์ที่กำหนด
• ข้อ ค. (Pseudomembranous colitis): ข้อนี้ไม่ใช่คำตอบที่ถูกต้องสำหรับภาวะ General Therapeutics เนื่องจากกลไกการออกฤทธิ์, efficacy หรือข้อบ่งใช้ไม่ตรงกับโจทย์ที่กำหนด
• ข้อ ง. (Entamoeda histolytica): ข้อนี้ไม่ใช่คำตอบที่ถูกต้องสำหรับภาวะ General Therapeutics เนื่องจากกลไกการออกฤทธิ์, efficacy หรือข้อบ่งใช้ไม่ตรงกับโจทย์ที่กำหนด
• ข้อ จ. (Vibrio cholera):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4" s="18" t="inlineStr"/>
      <c r="L1184" s="18" t="inlineStr">
        <is>
          <t>General Therapeutics</t>
        </is>
      </c>
      <c r="M1184" s="18" t="inlineStr">
        <is>
          <t>Clinic</t>
        </is>
      </c>
      <c r="N1184" s="18" t="inlineStr">
        <is>
          <t>ข้อ 5 (PLE_CC1_Practice_Exam.md)</t>
        </is>
      </c>
      <c r="O1184" s="18" t="inlineStr">
        <is>
          <t>Mock</t>
        </is>
      </c>
      <c r="P1184" s="18" t="inlineStr">
        <is>
          <t>Mock สภาเภสัชฯ Practice</t>
        </is>
      </c>
    </row>
    <row r="1185">
      <c r="A1185" s="15" t="inlineStr">
        <is>
          <t>1206</t>
        </is>
      </c>
      <c r="B1185" s="18" t="inlineStr">
        <is>
          <t>ยาใดเหมาะสมที่สุดในการรักษาผู้ป่วยรายนี้</t>
        </is>
      </c>
      <c r="C1185" s="18" t="inlineStr"/>
      <c r="D1185" s="18" t="inlineStr">
        <is>
          <t>Doxycycline</t>
        </is>
      </c>
      <c r="E1185" s="18" t="inlineStr">
        <is>
          <t>Metronidazole</t>
        </is>
      </c>
      <c r="F1185" s="18" t="inlineStr">
        <is>
          <t>Azithromycin</t>
        </is>
      </c>
      <c r="G1185" s="18" t="inlineStr">
        <is>
          <t>Chloramphenicol</t>
        </is>
      </c>
      <c r="H1185" s="18" t="inlineStr">
        <is>
          <t>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5" s="15" t="inlineStr">
        <is>
          <t>1</t>
        </is>
      </c>
      <c r="J1185" s="18" t="inlineStr">
        <is>
          <t>✅ คำตอบที่ถูกต้อง: ข้อ ก. Doxycycline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(Azithromycin): เป็น Macrolide ครอบคลุม atypical pathogens (Mycoplasma, Chlamydia, Legionella) ขจัดออกทางตับเป็นหลัก และมี half-life ยาวนาน (~68 ชม.)
• ข้อ ง. (Chloramphenicol): ข้อนี้ไม่ใช่คำตอบที่ถูกต้องสำหรับภาวะ General Therapeutics เนื่องจากกลไกการออกฤทธิ์, efficacy หรือข้อบ่งใช้ไม่ตรงกับโจทย์ที่กำหนด
• ข้อ จ. (Vancomycin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5" s="18" t="inlineStr"/>
      <c r="L1185" s="18" t="inlineStr">
        <is>
          <t>General Therapeutics</t>
        </is>
      </c>
      <c r="M1185" s="18" t="inlineStr">
        <is>
          <t>Clinic</t>
        </is>
      </c>
      <c r="N1185" s="18" t="inlineStr">
        <is>
          <t>ข้อ 6 (PLE_CC1_Practice_Exam.md)</t>
        </is>
      </c>
      <c r="O1185" s="18" t="inlineStr">
        <is>
          <t>Mock</t>
        </is>
      </c>
      <c r="P1185" s="18" t="inlineStr">
        <is>
          <t>Mock สภาเภสัชฯ Practice</t>
        </is>
      </c>
    </row>
    <row r="1186">
      <c r="A1186" s="15" t="inlineStr">
        <is>
          <t>1207</t>
        </is>
      </c>
      <c r="B1186" s="18" t="inlineStr">
        <is>
          <t>กลไกของยาในข้อถูกต้อง</t>
        </is>
      </c>
      <c r="C1186" s="18" t="inlineStr"/>
      <c r="D1186" s="18" t="inlineStr">
        <is>
          <t>Doxycycline ยับยั้งการสังเคราะห์โปรตีนโดยการจับกับ 50s ribosome</t>
        </is>
      </c>
      <c r="E1186" s="18" t="inlineStr">
        <is>
          <t>Metronidazole ยับยั้งการสังเคราะห์ Nucleic acid</t>
        </is>
      </c>
      <c r="F1186" s="18" t="inlineStr">
        <is>
          <t>Azithromycin ยับยั้งการสังเคราะห์โปรตีนโดยการจับกับ 30s ribosome</t>
        </is>
      </c>
      <c r="G1186" s="18" t="inlineStr">
        <is>
          <t>Chloramphenicol ยับยั้งการสังเคราะห์โปรตีนโดยการจับกับ 30s ribosome</t>
        </is>
      </c>
      <c r="H1186" s="18" t="inlineStr">
        <is>
          <t>Vancomycin ยับยั้งกระบวนการสร้างเยื่อหุ้มเซลล์</t>
        </is>
      </c>
      <c r="I1186" s="15" t="inlineStr">
        <is>
          <t>1</t>
        </is>
      </c>
      <c r="J1186" s="18" t="inlineStr">
        <is>
          <t>✅ คำตอบที่ถูกต้อง: ข้อ ก. Doxycycline ยับยั้งการสังเคราะห์โปรตีนโดยการจับกับ 50s ribosome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ยับยั้งการสังเคราะห์โปรตีนโดยการจับกับ 50s ribosome การเลือก Doxycycline ยับยั้งการสังเคราะห์โปรตีนโดยการจับกับ 50s ribosome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ยับยั้งการสังเคราะห์ Nucleic acid): เป็น antianaerobic และ antiprotozoal agent ยับยั้ง Trichomonas vaginalis, Giardia, Amebiasis, และ anaerobes ห้ามดื่มแอลกอฮอล์ระหว่างใช้ยา (disulfiram-like reaction)
• ข้อ ค. (Azithromycin ยับยั้งการสังเคราะห์โปรตีนโดยการจับกับ 30s ribosome): เป็น Macrolide ครอบคลุม atypical pathogens (Mycoplasma, Chlamydia, Legionella) ขจัดออกทางตับเป็นหลัก และมี half-life ยาวนาน (~68 ชม.)
• ข้อ ง. (Chloramphenicol ยับยั้งการสังเคราะห์โปรตีนโดยการจับกับ 30s ribosome): ข้อนี้ไม่ใช่คำตอบที่ถูกต้องสำหรับภาวะ General Therapeutics เนื่องจากกลไกการออกฤทธิ์, efficacy หรือข้อบ่งใช้ไม่ตรงกับโจทย์ที่กำหนด
• ข้อ จ. (Vancomycin ยับยั้งกระบวนการสร้างเยื่อหุ้มเซลล์):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6" s="18" t="inlineStr"/>
      <c r="L1186" s="18" t="inlineStr">
        <is>
          <t>General Therapeutics</t>
        </is>
      </c>
      <c r="M1186" s="18" t="inlineStr">
        <is>
          <t>Clinic</t>
        </is>
      </c>
      <c r="N1186" s="18" t="inlineStr">
        <is>
          <t>ข้อ 7 (PLE_CC1_Practice_Exam.md)</t>
        </is>
      </c>
      <c r="O1186" s="18" t="inlineStr">
        <is>
          <t>Mock</t>
        </is>
      </c>
      <c r="P1186" s="18" t="inlineStr">
        <is>
          <t>Mock สภาเภสัชฯ Practice</t>
        </is>
      </c>
    </row>
    <row r="1187">
      <c r="A1187" s="15" t="inlineStr">
        <is>
          <t>1208</t>
        </is>
      </c>
      <c r="B1187" s="18" t="inlineStr">
        <is>
          <t>ข้อใดไม่สัมพันธ์กัน</t>
        </is>
      </c>
      <c r="C1187" s="18" t="inlineStr"/>
      <c r="D1187" s="18" t="inlineStr">
        <is>
          <t>Rabeprazole – reduce amount of acid secretion</t>
        </is>
      </c>
      <c r="E1187" s="18" t="inlineStr">
        <is>
          <t>Aluminium hydroxide – เพิ่มการขับ phosphate ออกจากร่างกาย</t>
        </is>
      </c>
      <c r="F1187" s="18" t="inlineStr">
        <is>
          <t>Alginate – มีการเปลี่ยนโครงสร้างของแอลจินิกเป็นเจลปกคลุมบริเวณกระเพาะอาหาร</t>
        </is>
      </c>
      <c r="G1187" s="18" t="inlineStr">
        <is>
          <t>Misoprostal – cytoprotective and reduce amount of acid secretion</t>
        </is>
      </c>
      <c r="H1187" s="18" t="inlineStr">
        <is>
          <t>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t>
        </is>
      </c>
      <c r="I1187" s="15" t="inlineStr">
        <is>
          <t>1</t>
        </is>
      </c>
      <c r="J1187" s="18" t="inlineStr">
        <is>
          <t>✅ คำตอบที่ถูกต้อง: ข้อ ก. Rabeprazole – reduce amount of acid secretion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Rabeprazole – reduce amount of acid secretion การเลือก Rabeprazole – reduce amount of acid secretion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เพิ่มการขับ phosphate ออกจากร่างกาย): ข้อนี้ไม่ใช่คำตอบที่ถูกต้องสำหรับภาวะ General Therapeutics เนื่องจากกลไกการออกฤทธิ์, efficacy หรือข้อบ่งใช้ไม่ตรงกับโจทย์ที่กำหนด
• ข้อ ค. (Alginate – มีการเปลี่ยนโครงสร้างของแอลจินิกเป็นเจลปกคลุมบริเวณกระเพาะอาหาร):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(Misoprostal – cytoprotective and reduce amount of acid secretion): ข้อนี้ไม่ใช่คำตอบที่ถูกต้องสำหรับภาวะ General Therapeutics เนื่องจากกลไกการออกฤทธิ์, efficacy หรือข้อบ่งใช้ไม่ตรงกับโจทย์ที่กำหนด
• ข้อ จ. (Sucrafate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7" s="18" t="inlineStr"/>
      <c r="L1187" s="18" t="inlineStr">
        <is>
          <t>General Therapeutics</t>
        </is>
      </c>
      <c r="M1187" s="18" t="inlineStr">
        <is>
          <t>Clinic</t>
        </is>
      </c>
      <c r="N1187" s="18" t="inlineStr">
        <is>
          <t>ข้อ 14 (PLE_CC1_Practice_Exam.md)</t>
        </is>
      </c>
      <c r="O1187" s="18" t="inlineStr">
        <is>
          <t>Mock</t>
        </is>
      </c>
      <c r="P1187" s="18" t="inlineStr">
        <is>
          <t>Mock สภาเภสัชฯ Practice</t>
        </is>
      </c>
    </row>
    <row r="1188">
      <c r="A1188" s="15" t="inlineStr">
        <is>
          <t>1209</t>
        </is>
      </c>
      <c r="B1188" s="18" t="inlineStr">
        <is>
          <t>เชื้อสาเหตุเกิดจากเชื้อใด</t>
        </is>
      </c>
      <c r="C1188" s="18" t="inlineStr"/>
      <c r="D1188" s="18" t="inlineStr">
        <is>
          <t>Entamoeda histolytica</t>
        </is>
      </c>
      <c r="E1188" s="18" t="inlineStr">
        <is>
          <t>Escherichia coli</t>
        </is>
      </c>
      <c r="F1188" s="18" t="inlineStr">
        <is>
          <t>Rotavirus</t>
        </is>
      </c>
      <c r="G1188" s="18" t="inlineStr">
        <is>
          <t>Staphylococcus aureus</t>
        </is>
      </c>
      <c r="H1188" s="18" t="inlineStr">
        <is>
          <t>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8" s="15" t="inlineStr">
        <is>
          <t>1</t>
        </is>
      </c>
      <c r="J1188" s="18" t="inlineStr">
        <is>
          <t>✅ คำตอบที่ถูกต้อง: ข้อ ก. Entamoeda histolytica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Entamoeda histolytica การเลือก Entamoeda histolytica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ค. (Rotavirus): เป็น Live oral vaccine หยอดทางปากเข็มแรกที่ 2 เดือน และเข็ม 2 ที่ 4 เดือน (ห้ามเริ่มเข็มแรกเมื่ออายุเกิน 15 สัปดาห์)
• ข้อ ง. (Staphylococcus aureus): ข้อนี้ไม่ใช่คำตอบที่ถูกต้องสำหรับภาวะ General Therapeutics เนื่องจากกลไกการออกฤทธิ์, efficacy หรือข้อบ่งใช้ไม่ตรงกับโจทย์ที่กำหนด
• ข้อ จ. (Salmonella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8" s="18" t="inlineStr"/>
      <c r="L1188" s="18" t="inlineStr">
        <is>
          <t>General Therapeutics</t>
        </is>
      </c>
      <c r="M1188" s="18" t="inlineStr">
        <is>
          <t>Clinic</t>
        </is>
      </c>
      <c r="N1188" s="18" t="inlineStr">
        <is>
          <t>ข้อ 15 (PLE_CC1_Practice_Exam.md)</t>
        </is>
      </c>
      <c r="O1188" s="18" t="inlineStr">
        <is>
          <t>Mock</t>
        </is>
      </c>
      <c r="P1188" s="18" t="inlineStr">
        <is>
          <t>Mock สภาเภสัชฯ Practice</t>
        </is>
      </c>
    </row>
    <row r="1189">
      <c r="A1189" s="15" t="inlineStr">
        <is>
          <t>1210</t>
        </is>
      </c>
      <c r="B1189" s="18" t="inlineStr">
        <is>
          <t>กลไกของ Kaolin คือข้อใด</t>
        </is>
      </c>
      <c r="C1189" s="18" t="inlineStr"/>
      <c r="D1189" s="18" t="inlineStr">
        <is>
          <t>Adsorbents</t>
        </is>
      </c>
      <c r="E1189" s="18" t="inlineStr">
        <is>
          <t>Absorbents</t>
        </is>
      </c>
      <c r="F1189" s="18" t="inlineStr">
        <is>
          <t>Antiperistaltics</t>
        </is>
      </c>
      <c r="G1189" s="18" t="inlineStr">
        <is>
          <t>Probiotic</t>
        </is>
      </c>
      <c r="H1189" s="18" t="inlineStr">
        <is>
          <t>Anticholinergic</t>
        </is>
      </c>
      <c r="I1189" s="15" t="inlineStr">
        <is>
          <t>1</t>
        </is>
      </c>
      <c r="J1189" s="18" t="inlineStr">
        <is>
          <t>✅ คำตอบที่ถูกต้อง: ข้อ ก. Adsorbents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Adsorbents การเลือก Adsorbents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(Absorbents): ข้อนี้ไม่ใช่คำตอบที่ถูกต้องสำหรับภาวะ General Therapeutics เนื่องจากกลไกการออกฤทธิ์, efficacy หรือข้อบ่งใช้ไม่ตรงกับโจทย์ที่กำหนด
• ข้อ ค. (Antiperistaltics): ข้อนี้ไม่ใช่คำตอบที่ถูกต้องสำหรับภาวะ General Therapeutics เนื่องจากกลไกการออกฤทธิ์, efficacy หรือข้อบ่งใช้ไม่ตรงกับโจทย์ที่กำหนด
• ข้อ ง. (Probiotic): ข้อนี้ไม่ใช่คำตอบที่ถูกต้องสำหรับภาวะ General Therapeutics เนื่องจากกลไกการออกฤทธิ์, efficacy หรือข้อบ่งใช้ไม่ตรงกับโจทย์ที่กำหนด
• ข้อ จ. (Anticholinergic):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9" s="18" t="inlineStr"/>
      <c r="L1189" s="18" t="inlineStr">
        <is>
          <t>General Therapeutics</t>
        </is>
      </c>
      <c r="M1189" s="18" t="inlineStr">
        <is>
          <t>Clinic</t>
        </is>
      </c>
      <c r="N1189" s="18" t="inlineStr">
        <is>
          <t>ข้อ 17 (PLE_CC1_Practice_Exam.md)</t>
        </is>
      </c>
      <c r="O1189" s="18" t="inlineStr">
        <is>
          <t>Mock</t>
        </is>
      </c>
      <c r="P1189" s="18" t="inlineStr">
        <is>
          <t>Mock สภาเภสัชฯ Practice</t>
        </is>
      </c>
    </row>
    <row r="1190">
      <c r="A1190" s="15" t="inlineStr">
        <is>
          <t>1211</t>
        </is>
      </c>
      <c r="B1190" s="18" t="inlineStr">
        <is>
          <t>กลไกการออกฤทธิ์ของ Bismuth subsalicylate คือข้อใด</t>
        </is>
      </c>
      <c r="C1190" s="18" t="inlineStr"/>
      <c r="D1190" s="18" t="inlineStr">
        <is>
          <t>ออกฤทธิ์เป็น protective coating</t>
        </is>
      </c>
      <c r="E1190" s="18" t="inlineStr">
        <is>
          <t>กระตุ้นการสร้าง Prostaglandin และ mucus</t>
        </is>
      </c>
      <c r="F1190" s="18" t="inlineStr">
        <is>
          <t>ต้านการเจริญเติบโตของเชื้อ H. pylori</t>
        </is>
      </c>
      <c r="G1190" s="18" t="inlineStr">
        <is>
          <t>กระตุ้นการหลั่ง HCO3</t>
        </is>
      </c>
      <c r="H1190" s="18" t="inlineStr">
        <is>
          <t>ถูกทุกข้อ</t>
        </is>
      </c>
      <c r="I1190" s="15" t="inlineStr">
        <is>
          <t>1</t>
        </is>
      </c>
      <c r="J1190" s="18" t="inlineStr">
        <is>
          <t>✅ คำตอบที่ถูกต้อง: ข้อ ก. ออกฤทธิ์เป็น protective coating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ออกฤทธิ์เป็น protective coating การเลือก ออกฤทธิ์เป็น protective coating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(กระตุ้นการสร้าง Prostaglandin และ mucus): ข้อนี้ไม่ใช่คำตอบที่ถูกต้องสำหรับภาวะ General Therapeutics เนื่องจากกลไกการออกฤทธิ์, efficacy หรือข้อบ่งใช้ไม่ตรงกับโจทย์ที่กำหนด
• ข้อ ค. (ต้านการเจริญเติบโตของเชื้อ H. pylori):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(กระตุ้นการหลั่ง HCO3):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0" s="18" t="inlineStr"/>
      <c r="L1190" s="18" t="inlineStr">
        <is>
          <t>General Therapeutics</t>
        </is>
      </c>
      <c r="M1190" s="18" t="inlineStr">
        <is>
          <t>Clinic</t>
        </is>
      </c>
      <c r="N1190" s="18" t="inlineStr">
        <is>
          <t>ข้อ 21 (PLE_CC1_Practice_Exam.md)</t>
        </is>
      </c>
      <c r="O1190" s="18" t="inlineStr">
        <is>
          <t>Mock</t>
        </is>
      </c>
      <c r="P1190" s="18" t="inlineStr">
        <is>
          <t>Mock สภาเภสัชฯ Practice</t>
        </is>
      </c>
    </row>
    <row r="1191">
      <c r="A1191" s="15" t="inlineStr">
        <is>
          <t>1212</t>
        </is>
      </c>
      <c r="B1191" s="18" t="inlineStr">
        <is>
          <t>ยาใดไม่เหมาะสมในการรักษาผู้ป่วยรายนี้</t>
        </is>
      </c>
      <c r="C1191" s="18" t="inlineStr"/>
      <c r="D1191" s="18" t="inlineStr">
        <is>
          <t>ORS</t>
        </is>
      </c>
      <c r="E1191" s="18" t="inlineStr">
        <is>
          <t>Norfloxacin</t>
        </is>
      </c>
      <c r="F1191" s="18" t="inlineStr">
        <is>
          <t>Metoclopamide</t>
        </is>
      </c>
      <c r="G1191" s="18" t="inlineStr">
        <is>
          <t>Hyoscyamine</t>
        </is>
      </c>
      <c r="H1191" s="18" t="inlineStr">
        <is>
          <t>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t>
        </is>
      </c>
      <c r="I1191" s="15" t="inlineStr">
        <is>
          <t>1</t>
        </is>
      </c>
      <c r="J1191" s="18" t="inlineStr">
        <is>
          <t>✅ คำตอบที่ถูกต้อง: ข้อ ก.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การเลือก ORS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(Metoclopamide): ข้อนี้ไม่ใช่คำตอบที่ถูกต้องสำหรับภาวะ General Therapeutics เนื่องจากกลไกการออกฤทธิ์, efficacy หรือข้อบ่งใช้ไม่ตรงกับโจทย์ที่กำหนด
• ข้อ ง. (Hyoscyamine): ข้อนี้ไม่ใช่คำตอบที่ถูกต้องสำหรับภาวะ General Therapeutics เนื่องจากกลไกการออกฤทธิ์, efficacy หรือข้อบ่งใช้ไม่ตรงกับโจทย์ที่กำหนด
• ข้อ จ. (Activated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1" s="18" t="inlineStr"/>
      <c r="L1191" s="18" t="inlineStr">
        <is>
          <t>General Therapeutics</t>
        </is>
      </c>
      <c r="M1191" s="18" t="inlineStr">
        <is>
          <t>Clinic</t>
        </is>
      </c>
      <c r="N1191" s="18" t="inlineStr">
        <is>
          <t>ข้อ 23 (PLE_CC1_Practice_Exam.md)</t>
        </is>
      </c>
      <c r="O1191" s="18" t="inlineStr">
        <is>
          <t>Mock</t>
        </is>
      </c>
      <c r="P1191" s="18" t="inlineStr">
        <is>
          <t>Mock สภาเภสัชฯ Practice</t>
        </is>
      </c>
    </row>
    <row r="1192">
      <c r="A1192" s="15" t="inlineStr">
        <is>
          <t>1213</t>
        </is>
      </c>
      <c r="B1192" s="18" t="inlineStr">
        <is>
          <t>ยาใดเหมาะสมที่สุดในการรักษาผู้ป่วยรายนี้</t>
        </is>
      </c>
      <c r="C1192" s="18" t="inlineStr"/>
      <c r="D1192" s="18" t="inlineStr">
        <is>
          <t>Famotidine</t>
        </is>
      </c>
      <c r="E1192" s="18" t="inlineStr">
        <is>
          <t>Salol and menthol mixtures</t>
        </is>
      </c>
      <c r="F1192" s="18" t="inlineStr">
        <is>
          <t>Sucralfate</t>
        </is>
      </c>
      <c r="G1192" s="18" t="inlineStr">
        <is>
          <t>Bismuth subsalicylate</t>
        </is>
      </c>
      <c r="H1192" s="18" t="inlineStr">
        <is>
          <t>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92" s="15" t="inlineStr">
        <is>
          <t>1</t>
        </is>
      </c>
      <c r="J1192" s="18" t="inlineStr">
        <is>
          <t>✅ คำตอบที่ถูกต้อง: ข้อ ก. Famotidine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Famotidine การเลือก Famotidine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(Salol and menthol mixtures): ข้อนี้ไม่ใช่คำตอบที่ถูกต้องสำหรับภาวะ General Therapeutics เนื่องจากกลไกการออกฤทธิ์, efficacy หรือข้อบ่งใช้ไม่ตรงกับโจทย์ที่กำหนด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จ. (Simethicone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2" s="18" t="inlineStr"/>
      <c r="L1192" s="18" t="inlineStr">
        <is>
          <t>General Therapeutics</t>
        </is>
      </c>
      <c r="M1192" s="18" t="inlineStr">
        <is>
          <t>Clinic</t>
        </is>
      </c>
      <c r="N1192" s="18" t="inlineStr">
        <is>
          <t>ข้อ 24 (PLE_CC1_Practice_Exam.md)</t>
        </is>
      </c>
      <c r="O1192" s="18" t="inlineStr">
        <is>
          <t>Mock</t>
        </is>
      </c>
      <c r="P1192" s="18" t="inlineStr">
        <is>
          <t>Mock สภาเภสัชฯ Practice</t>
        </is>
      </c>
    </row>
    <row r="1193">
      <c r="A1193" s="15" t="inlineStr">
        <is>
          <t>1214</t>
        </is>
      </c>
      <c r="B1193" s="18" t="inlineStr">
        <is>
          <t>จากโครงสร้างของยาดังรูป ข้อใดผิด</t>
        </is>
      </c>
      <c r="C1193" s="18" t="inlineStr"/>
      <c r="D1193" s="18" t="inlineStr">
        <is>
          <t>อยู่ในกลุ่ม H2 receptor antagonist</t>
        </is>
      </c>
      <c r="E1193" s="18" t="inlineStr">
        <is>
          <t>เป็น CYP450 inhibitor</t>
        </is>
      </c>
      <c r="F1193" s="18" t="inlineStr">
        <is>
          <t>อาจทำให้เกิด Galactorrhea ในเพศหญิง</t>
        </is>
      </c>
      <c r="G1193" s="18" t="inlineStr">
        <is>
          <t>อาจทำให้เกิด Gynecomastia ในเพศชาย</t>
        </is>
      </c>
      <c r="H1193" s="18" t="inlineStr">
        <is>
          <t>หากทานร่วมกับ Phenytoin จะทำให้ระดับยา Phenytoin ในกระแสเลือดลดลง</t>
        </is>
      </c>
      <c r="I1193" s="15" t="inlineStr">
        <is>
          <t>1</t>
        </is>
      </c>
      <c r="J1193" s="18" t="inlineStr">
        <is>
          <t>✅ คำตอบที่ถูกต้อง: ข้อ ก. อยู่ในกลุ่ม H2 receptor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อยู่ในกลุ่ม H2 receptor antagonist การเลือก อยู่ในกลุ่ม H2 receptor antagonist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 CYP450 inhibitor): ข้อนี้ไม่ใช่คำตอบที่ถูกต้องสำหรับภาวะ General Therapeutics เนื่องจากกลไกการออกฤทธิ์, efficacy หรือข้อบ่งใช้ไม่ตรงกับโจทย์ที่กำหนด
• ข้อ ค. (อาจทำให้เกิด Galactorrhea ในเพศหญิง): ข้อนี้ไม่ใช่คำตอบที่ถูกต้องสำหรับภาวะ General Therapeutics เนื่องจากกลไกการออกฤทธิ์, efficacy หรือข้อบ่งใช้ไม่ตรงกับโจทย์ที่กำหนด
• ข้อ ง. (อาจทำให้เกิด Gynecomastia ในเพศชาย): ข้อนี้ไม่ใช่คำตอบที่ถูกต้องสำหรับภาวะ General Therapeutics เนื่องจากกลไกการออกฤทธิ์, efficacy หรือข้อบ่งใช้ไม่ตรงกับโจทย์ที่กำหนด
• ข้อ จ. (หากทานร่วมกับ Phenytoin จะทำให้ระดับยา Phenytoin ในกระแสเลือดลดลง):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3" s="18" t="inlineStr"/>
      <c r="L1193" s="18" t="inlineStr">
        <is>
          <t>General Therapeutics</t>
        </is>
      </c>
      <c r="M1193" s="18" t="inlineStr">
        <is>
          <t>Clinic</t>
        </is>
      </c>
      <c r="N1193" s="18" t="inlineStr">
        <is>
          <t>ข้อ 26 (PLE_CC1_Practice_Exam.md)</t>
        </is>
      </c>
      <c r="O1193" s="18" t="inlineStr">
        <is>
          <t>Mock</t>
        </is>
      </c>
      <c r="P1193" s="18" t="inlineStr">
        <is>
          <t>Mock สภาเภสัชฯ Practice</t>
        </is>
      </c>
    </row>
    <row r="1194">
      <c r="A1194" s="15" t="inlineStr">
        <is>
          <t>1215</t>
        </is>
      </c>
      <c r="B1194" s="18" t="inlineStr">
        <is>
          <t>ยาในข้อใดไม่จำเป็นในการรักษาผู้ป่วยรายนี้</t>
        </is>
      </c>
      <c r="C1194" s="18" t="inlineStr"/>
      <c r="D1194" s="18" t="inlineStr">
        <is>
          <t>Simethicone</t>
        </is>
      </c>
      <c r="E1194" s="18" t="inlineStr">
        <is>
          <t>Aluminium hydroxide + Magnesium hydroxide</t>
        </is>
      </c>
      <c r="F1194" s="18" t="inlineStr">
        <is>
          <t>Cimetidine</t>
        </is>
      </c>
      <c r="G1194" s="18" t="inlineStr">
        <is>
          <t>Domperidone</t>
        </is>
      </c>
      <c r="H1194" s="18" t="inlineStr">
        <is>
          <t>Octreotide</t>
        </is>
      </c>
      <c r="I1194" s="15" t="inlineStr">
        <is>
          <t>1</t>
        </is>
      </c>
      <c r="J1194" s="18" t="inlineStr">
        <is>
          <t>✅ คำตอบที่ถูกต้อง: ข้อ ก. Simethicone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Simethicone การเลือก Simethicone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ข้อ ค. (Cimetidine): ข้อนี้ไม่ใช่คำตอบที่ถูกต้องสำหรับภาวะ General Therapeutics เนื่องจากกลไกการออกฤทธิ์, efficacy หรือข้อบ่งใช้ไม่ตรงกับโจทย์ที่กำหนด
• ข้อ ง. (Domperidone): เป็น peripheral D2 receptor antagonist เพิ่ม GI motility ไม่ผ่าน BBB จึงไม่ทำให้เกิด EPS เด่นชัด แต่ต้องระวัง QT prolongation ในขนาดสูง (&gt; 30 mg/day)
• ข้อ จ. (Octreotide):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4" s="18" t="inlineStr"/>
      <c r="L1194" s="18" t="inlineStr">
        <is>
          <t>General Therapeutics</t>
        </is>
      </c>
      <c r="M1194" s="18" t="inlineStr">
        <is>
          <t>Clinic</t>
        </is>
      </c>
      <c r="N1194" s="18" t="inlineStr">
        <is>
          <t>ข้อ 28 (PLE_CC1_Practice_Exam.md)</t>
        </is>
      </c>
      <c r="O1194" s="18" t="inlineStr">
        <is>
          <t>Mock</t>
        </is>
      </c>
      <c r="P1194" s="18" t="inlineStr">
        <is>
          <t>Mock สภาเภสัชฯ Practice</t>
        </is>
      </c>
    </row>
    <row r="1195">
      <c r="A1195" s="15" t="inlineStr">
        <is>
          <t>1216</t>
        </is>
      </c>
      <c r="B1195" s="18" t="inlineStr">
        <is>
          <t>ข้อใดต่อไปนี้ผิดเกี่ยวกับการรับประทานยาลดกรด</t>
        </is>
      </c>
      <c r="C1195" s="18" t="inlineStr"/>
      <c r="D1195" s="18" t="inlineStr">
        <is>
          <t>ยาในกลุ่มนี้มีทั้งรูปแบบยาเม็ดและยาน้ำแขวนตะกอน รูปแบบยาเม็ดให้เคี้ยวก่อนกลืน</t>
        </is>
      </c>
      <c r="E1195" s="18" t="inlineStr">
        <is>
          <t>ควรรับประทานก่อนอาหาร 1 ชั่วโมง หลังอาหาร 2 ชั่วโมง และก่อนนอน</t>
        </is>
      </c>
      <c r="F1195" s="18" t="inlineStr">
        <is>
          <t>ยาอาจทำให้ท้องผูก เนื่องจากมีตัวยาสำคัญคือ Aluminium hydroxide</t>
        </is>
      </c>
      <c r="G1195" s="18" t="inlineStr">
        <is>
          <t>หากใช้ร่วมกับ Ferrous sulfate จะเกิดปฏิกิริยาระหว่างยาได้ จึงควรทานให้ห่างกัน 2 ชั่วโมง</t>
        </is>
      </c>
      <c r="H1195" s="18" t="inlineStr">
        <is>
          <t>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t>
        </is>
      </c>
      <c r="I1195" s="15" t="inlineStr">
        <is>
          <t>1</t>
        </is>
      </c>
      <c r="J1195" s="18" t="inlineStr">
        <is>
          <t>✅ คำตอบที่ถูกต้อง: ข้อ ก. ยาในกลุ่มนี้มีทั้งรูปแบบยาเม็ดและยาน้ำแขวนตะกอน รูปแบบยาเม็ดให้เคี้ยวก่อนกลืน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ยาในกลุ่มนี้มีทั้งรูปแบบยาเม็ดและยาน้ำแขวนตะกอน รูปแบบยาเม็ดให้เคี้ยวก่อนกลืน การเลือก ยาในกลุ่มนี้มีทั้งรูปแบบยาเม็ดและยาน้ำแขวนตะกอน รูปแบบยาเม็ดให้เคี้ยวก่อนกลืน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(ควรรับประทานก่อนอาหาร 1 ชั่วโมง หลังอาหาร 2 ชั่วโมง 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(ยาอาจทำให้ท้องผูก เนื่องจากมีตัวยาสำคัญคือ Aluminium hydroxide): ข้อนี้ไม่ใช่คำตอบที่ถูกต้องสำหรับภาวะ GI Disorders เนื่องจากกลไกการออกฤทธิ์, efficacy หรือข้อบ่งใช้ไม่ตรงกับโจทย์ที่กำหนด
• ข้อ ง. (หากใช้ร่วมกับ Ferrous sulfate จะเกิดปฏิกิริยาระหว่างยาได้ จึงควรทานให้ห่างกัน 2 ชั่วโมง): ข้อนี้ไม่ใช่คำตอบที่ถูกต้องสำหรับภาวะ GI Disorders เนื่องจากกลไกการออกฤทธิ์, efficacy หรือข้อบ่งใช้ไม่ตรงกับโจทย์ที่กำหนด
• ข้อ จ. (การใช้ยา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5" s="18" t="inlineStr"/>
      <c r="L1195" s="18" t="inlineStr">
        <is>
          <t>GI Disorders</t>
        </is>
      </c>
      <c r="M1195" s="18" t="inlineStr">
        <is>
          <t>Clinic</t>
        </is>
      </c>
      <c r="N1195" s="18" t="inlineStr">
        <is>
          <t>ข้อ 29 (PLE_CC1_Practice_Exam.md)</t>
        </is>
      </c>
      <c r="O1195" s="18" t="inlineStr">
        <is>
          <t>Mock</t>
        </is>
      </c>
      <c r="P1195" s="18" t="inlineStr">
        <is>
          <t>Mock สภาเภสัชฯ Practice</t>
        </is>
      </c>
    </row>
    <row r="1196">
      <c r="A1196" s="15" t="inlineStr">
        <is>
          <t>1217</t>
        </is>
      </c>
      <c r="B1196" s="18" t="inlineStr">
        <is>
          <t>ข้อใดไม่ใช่สาเหตุที่ทำให้ผู้ป่วยรายนี้ท้องผูก</t>
        </is>
      </c>
      <c r="C1196" s="18" t="inlineStr"/>
      <c r="D1196" s="18" t="inlineStr">
        <is>
          <t>รับประทานผักและผลไม้น้อย</t>
        </is>
      </c>
      <c r="E1196" s="18" t="inlineStr">
        <is>
          <t>แคลเซียมเสริม</t>
        </is>
      </c>
      <c r="F1196" s="18" t="inlineStr">
        <is>
          <t>ฮอร์โมน Estrogen สูง ส่งผลให้การบีบตัวของลำไส้ลดลง</t>
        </is>
      </c>
      <c r="G1196" s="18" t="inlineStr">
        <is>
          <t>ลำไส้ดูดกลับน้ำมากขึ้น</t>
        </is>
      </c>
      <c r="H1196" s="18" t="inlineStr">
        <is>
          <t>ขนาดของมดลูกขยายตัวกดทับลำไส้ ทำให้ลำไส้การเคลื่อนไหวช้าลง</t>
        </is>
      </c>
      <c r="I1196" s="15" t="inlineStr">
        <is>
          <t>1</t>
        </is>
      </c>
      <c r="J1196" s="18" t="inlineStr">
        <is>
          <t>✅ คำตอบที่ถูกต้อง: ข้อ ก. รับประทานผักและผลไม้น้อย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รับประทานผักและผลไม้น้อย การเลือก รับประทานผักและผลไม้น้อย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(แคลเซียมเสริม): ข้อนี้ไม่ใช่คำตอบที่ถูกต้องสำหรับภาวะ GI Disorders เนื่องจากกลไกการออกฤทธิ์, efficacy หรือข้อบ่งใช้ไม่ตรงกับโจทย์ที่กำหนด
• ข้อ ค. (ฮอร์โมน Estrogen สูง ส่งผลให้การบีบตัวของลำไส้ลดลง): ข้อนี้ไม่ใช่คำตอบที่ถูกต้องสำหรับภาวะ GI Disorders เนื่องจากกลไกการออกฤทธิ์, efficacy หรือข้อบ่งใช้ไม่ตรงกับโจทย์ที่กำหนด
• ข้อ ง. (ลำไส้ดูดกลับน้ำมากขึ้น): ข้อนี้ไม่ใช่คำตอบที่ถูกต้องสำหรับภาวะ GI Disorders เนื่องจากกลไกการออกฤทธิ์, efficacy หรือข้อบ่งใช้ไม่ตรงกับโจทย์ที่กำหนด
• ข้อ จ. (ขนาดของมดลูกขยายตัวกดทับลำไส้ ทำให้ลำไส้การเคลื่อนไหวช้าลง):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6" s="18" t="inlineStr"/>
      <c r="L1196" s="18" t="inlineStr">
        <is>
          <t>GI Disorders</t>
        </is>
      </c>
      <c r="M1196" s="18" t="inlineStr">
        <is>
          <t>Clinic</t>
        </is>
      </c>
      <c r="N1196" s="18" t="inlineStr">
        <is>
          <t>ข้อ 31 (PLE_CC1_Practice_Exam.md)</t>
        </is>
      </c>
      <c r="O1196" s="18" t="inlineStr">
        <is>
          <t>Mock</t>
        </is>
      </c>
      <c r="P1196" s="18" t="inlineStr">
        <is>
          <t>Mock สภาเภสัชฯ Practice</t>
        </is>
      </c>
    </row>
    <row r="1197">
      <c r="A1197" s="15" t="inlineStr">
        <is>
          <t>1218</t>
        </is>
      </c>
      <c r="B1197" s="18" t="inlineStr">
        <is>
          <t>ยาใดเหมาะสมในการรักษาผู้ป่วยรายนี้</t>
        </is>
      </c>
      <c r="C1197" s="18" t="inlineStr"/>
      <c r="D1197" s="18" t="inlineStr">
        <is>
          <t>Mineral oil</t>
        </is>
      </c>
      <c r="E1197" s="18" t="inlineStr">
        <is>
          <t>Lactulose</t>
        </is>
      </c>
      <c r="F1197" s="18" t="inlineStr">
        <is>
          <t>Psyllium</t>
        </is>
      </c>
      <c r="G1197" s="18" t="inlineStr">
        <is>
          <t>Castor oil</t>
        </is>
      </c>
      <c r="H1197" s="18" t="inlineStr">
        <is>
          <t>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t>
        </is>
      </c>
      <c r="I1197" s="15" t="inlineStr">
        <is>
          <t>1</t>
        </is>
      </c>
      <c r="J1197" s="18" t="inlineStr">
        <is>
          <t>✅ คำตอบที่ถูกต้อง: ข้อ ก. Mineral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Mineral oil การเลือก Mineral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(Lactulose): เป็น Osmotic disaccharide laxative ดูดซับน้ำเข้าสู่ลำไส้ และเปลี่ยนเป็น lactic acid ดักจับ ammonia (NH4+) ขับออกทางอุจจาระ เป็นแกนหลักใน hepatic encephalopathy
• ข้อ ค. (Psyllium): ข้อนี้ไม่ใช่คำตอบที่ถูกต้องสำหรับภาวะ General Therapeutics เนื่องจากกลไกการออกฤทธิ์, efficacy หรือข้อบ่งใช้ไม่ตรงกับโจทย์ที่กำหนด
• ข้อ ง. (Castor oil): ข้อนี้ไม่ใช่คำตอบที่ถูกต้องสำหรับภาวะ General Therapeutics เนื่องจากกลไกการออกฤทธิ์, efficacy หรือข้อบ่งใช้ไม่ตรงกับโจทย์ที่กำหนด
• ข้อ จ. (Glycerine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7" s="18" t="inlineStr"/>
      <c r="L1197" s="18" t="inlineStr">
        <is>
          <t>General Therapeutics</t>
        </is>
      </c>
      <c r="M1197" s="18" t="inlineStr">
        <is>
          <t>Clinic</t>
        </is>
      </c>
      <c r="N1197" s="18" t="inlineStr">
        <is>
          <t>ข้อ 32 (PLE_CC1_Practice_Exam.md)</t>
        </is>
      </c>
      <c r="O1197" s="18" t="inlineStr">
        <is>
          <t>Mock</t>
        </is>
      </c>
      <c r="P1197" s="18" t="inlineStr">
        <is>
          <t>Mock สภาเภสัชฯ Practice</t>
        </is>
      </c>
    </row>
    <row r="1198">
      <c r="A1198" s="15" t="inlineStr">
        <is>
          <t>1219</t>
        </is>
      </c>
      <c r="B1198" s="18" t="inlineStr">
        <is>
          <t>จากโครงสร้างต่อไปนี้ ข้อใดผิด</t>
        </is>
      </c>
      <c r="C1198" s="18" t="inlineStr"/>
      <c r="D1198" s="18" t="inlineStr">
        <is>
          <t>เป็นโครงสร้างของยาในกลุ่ม Proton Pump Inhibitor</t>
        </is>
      </c>
      <c r="E1198" s="18" t="inlineStr">
        <is>
          <t>โครงสร้างหลักของยาคือ 2-pyridylmethylsulfinylbenzimidazole</t>
        </is>
      </c>
      <c r="F1198" s="18" t="inlineStr">
        <is>
          <t>การเติมหมู่แทนที่ที่ตำแหน่ง Pyridine และที่ Imidazole ring มีผลในการออกฤทธิ์เพิ่มขึ้น/ ลดลง</t>
        </is>
      </c>
      <c r="G1198" s="18" t="inlineStr">
        <is>
          <t>หมู่แทนที่ที่ตำแหน่ง Imidazole ring เป็น Electron withdrawing group จะทำให้การออก ฤทธิ์ดีขึ้น</t>
        </is>
      </c>
      <c r="H1198" s="18" t="inlineStr">
        <is>
          <t>ออกฤทธิ์โดย form covalent bond กับ enzyme H+/K+ ATPase</t>
        </is>
      </c>
      <c r="I1198" s="15" t="inlineStr">
        <is>
          <t>1</t>
        </is>
      </c>
      <c r="J1198" s="18" t="inlineStr">
        <is>
          <t>✅ คำตอบที่ถูกต้อง: ข้อ ก. เป็นโครงสร้างของยาในกลุ่ม Proton Pump Inhibitor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เป็นโครงสร้างของยาในกลุ่ม Proton Pump Inhibitor การเลือก เป็นโครงสร้างของยาในกลุ่ม Proton Pump Inhibitor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(โครงสร้างหลักของยาคือ 2-pyridylmethylsulfinylbenzimidazole): ข้อนี้ไม่ใช่คำตอบที่ถูกต้องสำหรับภาวะ General Therapeutics เนื่องจากกลไกการออกฤทธิ์, efficacy หรือข้อบ่งใช้ไม่ตรงกับโจทย์ที่กำหนด
• ข้อ ค. (การเติมหมู่แทนที่ที่ตำแหน่ง Pyridine และที่ Imidazole ring มีผลในการออกฤทธิ์เพิ่มขึ้น/ ลดลง): ข้อนี้ไม่ใช่คำตอบที่ถูกต้องสำหรับภาวะ General Therapeutics เนื่องจากกลไกการออกฤทธิ์, efficacy หรือข้อบ่งใช้ไม่ตรงกับโจทย์ที่กำหนด
• ข้อ ง. (หมู่แทนที่ที่ตำแหน่ง Imidazole ring เป็น Electron withdrawing group จะทำให้การออก ฤทธิ์ดีขึ้น):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(ออกฤทธิ์โดย form covalent bond กับ enzyme H+/K+ ATPase):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8" s="18" t="inlineStr"/>
      <c r="L1198" s="18" t="inlineStr">
        <is>
          <t>General Therapeutics</t>
        </is>
      </c>
      <c r="M1198" s="18" t="inlineStr">
        <is>
          <t>Clinic</t>
        </is>
      </c>
      <c r="N1198" s="18" t="inlineStr">
        <is>
          <t>ข้อ 35 (PLE_CC1_Practice_Exam.md)</t>
        </is>
      </c>
      <c r="O1198" s="18" t="inlineStr">
        <is>
          <t>Mock</t>
        </is>
      </c>
      <c r="P1198" s="18" t="inlineStr">
        <is>
          <t>Mock สภาเภสัชฯ Practice</t>
        </is>
      </c>
    </row>
    <row r="1199">
      <c r="A1199" s="15" t="inlineStr">
        <is>
          <t>1220</t>
        </is>
      </c>
      <c r="B1199" s="18" t="inlineStr">
        <is>
          <t>จากโครงสร้างต่อไปนี้ ข้อใดผิด</t>
        </is>
      </c>
      <c r="C1199" s="18" t="inlineStr"/>
      <c r="D1199" s="18" t="inlineStr">
        <is>
          <t>ออกฤทธิ์ยับยั้ง histamine H2 receptor บริเวณ parietal cell</t>
        </is>
      </c>
      <c r="E1199" s="18" t="inlineStr">
        <is>
          <t>ส่วนของ N ที่อยู่ตรงปลาย chain มีความสำคัญในการจับกับ H2 receptor</t>
        </is>
      </c>
      <c r="F1199" s="18" t="inlineStr">
        <is>
          <t>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G1199" s="18" t="inlineStr">
        <is>
          <t>ส่วนของ Imidazole ring สามารถจับกับ CYP enzyme ในตับทำให้เกิดปฏิกิริยาระหว่างยากับ ยาอื่น</t>
        </is>
      </c>
      <c r="H1199" s="18" t="inlineStr">
        <is>
          <t>ส่วนของ Imidazole ring มีฤทธิ์เป็น antiandrogenic</t>
        </is>
      </c>
      <c r="I1199" s="15" t="inlineStr">
        <is>
          <t>1</t>
        </is>
      </c>
      <c r="J1199" s="18" t="inlineStr">
        <is>
          <t>✅ คำตอบที่ถูกต้อง: ข้อ ก. ออกฤทธิ์ยับยั้ง histamine H2 receptor บริเวณ parietal cell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ออกฤทธิ์ยับยั้ง histamine H2 receptor บริเวณ parietal cell การเลือก ออกฤทธิ์ยับยั้ง histamine H2 receptor บริเวณ parietal cell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(ส่วนของ N ที่อยู่ตรงปลาย chain มีความสำคัญในการจับกับ H2 receptor):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(ส่วนของ Imidazole ring สามารถจับกับ CYP enzyme ในตับทำให้เกิดปฏิกิริยาระหว่างยากับ ยาอื่น): ข้อนี้ไม่ใช่คำตอบที่ถูกต้องสำหรับภาวะ General Therapeutics เนื่องจากกลไกการออกฤทธิ์, efficacy หรือข้อบ่งใช้ไม่ตรงกับโจทย์ที่กำหนด
• ข้อ จ. (ส่วนของ Imidazole ring มีฤทธิ์เป็น antiandrogenic):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9" s="18" t="inlineStr"/>
      <c r="L1199" s="18" t="inlineStr">
        <is>
          <t>General Therapeutics</t>
        </is>
      </c>
      <c r="M1199" s="18" t="inlineStr">
        <is>
          <t>Clinic</t>
        </is>
      </c>
      <c r="N1199" s="18" t="inlineStr">
        <is>
          <t>ข้อ 36 (PLE_CC1_Practice_Exam.md)</t>
        </is>
      </c>
      <c r="O1199" s="18" t="inlineStr">
        <is>
          <t>Mock</t>
        </is>
      </c>
      <c r="P1199" s="18" t="inlineStr">
        <is>
          <t>Mock สภาเภสัชฯ Practice</t>
        </is>
      </c>
    </row>
    <row r="1200">
      <c r="A1200" s="15" t="inlineStr">
        <is>
          <t>1221</t>
        </is>
      </c>
      <c r="B1200" s="18" t="inlineStr">
        <is>
          <t>เปรียบเทียบโครงสร้างต่อไปนี้ ข้อใดถูก Metronidazole Tinidazole</t>
        </is>
      </c>
      <c r="C1200" s="18" t="inlineStr"/>
      <c r="D1200" s="18" t="inlineStr">
        <is>
          <t>ทั้ง Metronidazole และ Tinidazole เป็น prodrug</t>
        </is>
      </c>
      <c r="E1200" s="18" t="inlineStr">
        <is>
          <t>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F1200" s="18" t="inlineStr">
        <is>
          <t>หมู่ Nitro สำคัญต่อการออกฤทธิ์ โดยจะถูกเปลี่ยนเป็น reactive nitroso species ไปจับกับ DNA</t>
        </is>
      </c>
      <c r="G1200" s="18" t="inlineStr">
        <is>
          <t>ข้อ ก และ ข ถูก</t>
        </is>
      </c>
      <c r="H1200" s="18" t="inlineStr">
        <is>
          <t>ข้อ ก และ ค ถูก</t>
        </is>
      </c>
      <c r="I1200" s="15" t="inlineStr">
        <is>
          <t>1</t>
        </is>
      </c>
      <c r="J1200" s="18" t="inlineStr">
        <is>
          <t>✅ คำตอบที่ถูกต้อง: ข้อ ก. ทั้ง Metronidazole และ Tinidazole เป็น prodrug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ทั้ง Metronidazole และ Tinidazole เป็น prodrug การเลือก ทั้ง Metronidazole และ Tinidazole เป็น prodrug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antianaerobic และ antiprotozoal agent ยับยั้ง Trichomonas vaginalis, Giardia, Amebiasis, และ anaerobes ห้ามดื่มแอลกอฮอล์ระหว่างใช้ยา (disulfiram-like reaction)
• ข้อ ค. (หมู่ Nitro สำคัญต่อการออกฤทธิ์ โดยจะถูกเปลี่ยนเป็น reactive nitroso species ไปจับกับ DNA): ข้อนี้ไม่ใช่คำตอบที่ถูกต้องสำหรับภาวะ Infectious Diseases เนื่องจากกลไกการออกฤทธิ์, efficacy หรือข้อบ่งใช้ไม่ตรงกับโจทย์ที่กำหนด
• ข้อ ง. (ข้อ ก และ ข ถูก): ข้อนี้ไม่ใช่คำตอบที่ถูกต้องสำหรับภาวะ Infectious Diseases เนื่องจากกลไกการออกฤทธิ์, efficacy หรือข้อบ่งใช้ไม่ตรงกับโจทย์ที่กำหนด
• ข้อ จ. (ข้อ ก และ ค ถูก):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0" s="18" t="inlineStr"/>
      <c r="L1200" s="18" t="inlineStr">
        <is>
          <t>Infectious Diseases</t>
        </is>
      </c>
      <c r="M1200" s="18" t="inlineStr">
        <is>
          <t>Clinic</t>
        </is>
      </c>
      <c r="N1200" s="18" t="inlineStr">
        <is>
          <t>ข้อ 38 (PLE_CC1_Practice_Exam.md)</t>
        </is>
      </c>
      <c r="O1200" s="18" t="inlineStr">
        <is>
          <t>Mock</t>
        </is>
      </c>
      <c r="P1200" s="18" t="inlineStr">
        <is>
          <t>Mock สภาเภสัชฯ Practice</t>
        </is>
      </c>
    </row>
    <row r="1201">
      <c r="A1201" s="15" t="inlineStr">
        <is>
          <t>1222</t>
        </is>
      </c>
      <c r="B1201" s="18" t="inlineStr">
        <is>
          <t>หากผู้ป่วยได้รับการตรวจเพิ่มเติมแล้วพบว่ามีค่า CD4+ cell count เท่ากับ 200 cell/mm3 ข้อใด เหมาะสมที่สุด</t>
        </is>
      </c>
      <c r="C1201" s="18" t="inlineStr"/>
      <c r="D1201" s="18" t="inlineStr">
        <is>
          <t>ให้การรักษาด้วยยาต้านไวรัสเอดส์ก่อนจนค่า CD4+ cell count มากกว่า 350 cell / mm3 จึงเริ่มการ รักษาวัณโรค</t>
        </is>
      </c>
      <c r="E1201" s="18" t="inlineStr">
        <is>
          <t>ให้การรักษาวัณโรคด้วยยาสูตรมาตรฐานเพียงอย่างเดียวจนกว่าจะหายจากวัณโรคก่อนจึงเริ่มยาต้าน ไวรัสเอดส์</t>
        </is>
      </c>
      <c r="F1201" s="18" t="inlineStr">
        <is>
          <t>ให้การรักษาวัณโรคด้วยยาสูตรมาตรฐาน เพียงอย่างเดียวก่อน และให้ยาต้านไวรัสเอดส์ภายใน 2 เดือน หลังจากเริ่มรักษาวัณโรค</t>
        </is>
      </c>
      <c r="G1201" s="18" t="inlineStr">
        <is>
          <t>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t>
        </is>
      </c>
      <c r="H1201" s="18" t="inlineStr">
        <is>
          <t>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1" s="15" t="inlineStr">
        <is>
          <t>1</t>
        </is>
      </c>
      <c r="J1201" s="18" t="inlineStr">
        <is>
          <t>✅ คำตอบที่ถูกต้อง: ข้อ ก. ให้การรักษาด้วยยาต้านไวรัสเอดส์ก่อนจนค่า CD4+ cell count มากกว่า 350 cell / mm3 จึงเริ่มการ รักษาวัณโรค
💡 Background:
การดูแลผู้ติดเชื้อ HIV เน้นเริ่ม Antiretroviral Therapy (ART) ทันทีเพื่อกด viral load ให้ undetectable (U=U) และฟื้นฟูระบบภูมิคุ้มกัน
🎯 ทำไมข้อนี้ถึงถูก:
ให้การรักษาด้วยยาต้านไวรัสเอดส์ก่อนจนค่า CD4+ cell count มากกว่า 350 cell / mm3 จึงเริ่มการ รักษาวัณโรค การเลือก ให้การรักษาด้วยยาต้านไวรัสเอดส์ก่อนจนค่า CD4+ cell count มากกว่า 350 cell / mm3 จึงเริ่มการ รักษาวัณโรค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(ให้การรักษาวัณโรคด้วยยาสูตรมาตรฐานเพียงอย่างเดียวจนกว่าจะหายจากวัณโรคก่อนจึงเริ่มยาต้าน ไวรัสเอดส์): ข้อนี้ไม่ใช่คำตอบที่ถูกต้องสำหรับภาวะ Infectious Diseases เนื่องจากกลไกการออกฤทธิ์, efficacy หรือข้อบ่งใช้ไม่ตรงกับโจทย์ที่กำหนด
• ข้อ ค. (ให้การรักษาวัณโรคด้วยยาสูตรมาตรฐาน เพียงอย่างเดียวก่อน และให้ยาต้านไวรัสเอดส์ภายใน 2 เดือน หลังจากเริ่มรักษาวัณโรค): ข้อนี้ไม่ใช่คำตอบที่ถูกต้องสำหรับภาวะ Infectious Diseases เนื่องจากกลไกการออกฤทธิ์, efficacy หรือข้อบ่งใช้ไม่ตรงกับโจทย์ที่กำหนด
• ข้อ ง. (ให้การรักษาด้วยยาต้านไวรัสเอดส์ก่อนเป็นเวลา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1" s="18" t="inlineStr"/>
      <c r="L1201" s="18" t="inlineStr">
        <is>
          <t>Infectious Diseases</t>
        </is>
      </c>
      <c r="M1201" s="18" t="inlineStr">
        <is>
          <t>Clinic</t>
        </is>
      </c>
      <c r="N1201" s="18" t="inlineStr">
        <is>
          <t>ข้อ 6 (PLE_CC1_Practice_Exam.md)</t>
        </is>
      </c>
      <c r="O1201" s="18" t="inlineStr">
        <is>
          <t>Mock</t>
        </is>
      </c>
      <c r="P1201" s="18" t="inlineStr">
        <is>
          <t>Mock สภาเภสัชฯ Practice</t>
        </is>
      </c>
    </row>
    <row r="1202">
      <c r="A1202" s="15" t="inlineStr">
        <is>
          <t>1223</t>
        </is>
      </c>
      <c r="B1202" s="18" t="inlineStr">
        <is>
          <t>ยาต้านไวรัสเอดส์ในข้อใด ควรเลือกใช้ในผู้ป่วยที่มีโรคไวรัสตับอักเสบบีร่วมด้วย</t>
        </is>
      </c>
      <c r="C1202" s="18" t="inlineStr"/>
      <c r="D1202" s="18" t="inlineStr">
        <is>
          <t>Zidovudine</t>
        </is>
      </c>
      <c r="E1202" s="18" t="inlineStr">
        <is>
          <t>Efavirenz</t>
        </is>
      </c>
      <c r="F1202" s="18" t="inlineStr">
        <is>
          <t>Abacavir</t>
        </is>
      </c>
      <c r="G1202" s="18" t="inlineStr">
        <is>
          <t>Lopinavir</t>
        </is>
      </c>
      <c r="H1202" s="18" t="inlineStr">
        <is>
          <t>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2" s="15" t="inlineStr">
        <is>
          <t>1</t>
        </is>
      </c>
      <c r="J1202" s="18" t="inlineStr">
        <is>
          <t>✅ คำตอบที่ถูกต้อง: ข้อ ก. Zidovudine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Zidovudine การเลือก Zidovudine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(Efavirenz): เป็น NNRTI ที่มี neuropsychiatric ADRs เด่น (ฝันร้าย เวียนศีรษะ ซึมเศร้า หลอน) จึงต้องแนะนำให้รับประทานก่อนนอนตอนท้องว่าง
• ข้อ ค. (Abacavir): ข้อนี้ไม่ใช่คำตอบที่ถูกต้องสำหรับภาวะ General Therapeutics เนื่องจากกลไกการออกฤทธิ์, efficacy หรือข้อบ่งใช้ไม่ตรงกับโจทย์ที่กำหนด
• ข้อ ง. (Lopinavir): ข้อนี้ไม่ใช่คำตอบที่ถูกต้องสำหรับภาวะ General Therapeutics เนื่องจากกลไกการออกฤทธิ์, efficacy หรือข้อบ่งใช้ไม่ตรงกับโจทย์ที่กำหนด
• ข้อ จ. (Lamivudine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2" s="18" t="inlineStr"/>
      <c r="L1202" s="18" t="inlineStr">
        <is>
          <t>General Therapeutics</t>
        </is>
      </c>
      <c r="M1202" s="18" t="inlineStr">
        <is>
          <t>Clinic</t>
        </is>
      </c>
      <c r="N1202" s="18" t="inlineStr">
        <is>
          <t>ข้อ 10 (PLE_CC1_Practice_Exam.md)</t>
        </is>
      </c>
      <c r="O1202" s="18" t="inlineStr">
        <is>
          <t>Mock</t>
        </is>
      </c>
      <c r="P1202" s="18" t="inlineStr">
        <is>
          <t>Mock สภาเภสัชฯ Practice</t>
        </is>
      </c>
    </row>
    <row r="1203">
      <c r="A1203" s="15" t="inlineStr">
        <is>
          <t>1224</t>
        </is>
      </c>
      <c r="B1203" s="18" t="inlineStr">
        <is>
          <t>ข้อใดกล่าวถูกต้องเกี่ยวกับเชื้อ Mycobacterium tuberculosis</t>
        </is>
      </c>
      <c r="C1203" s="18" t="inlineStr"/>
      <c r="D1203" s="18" t="inlineStr">
        <is>
          <t>จัดเป็นแบคทีเรียที่ย้อมติดสีแกรมลบ</t>
        </is>
      </c>
      <c r="E1203" s="18" t="inlineStr">
        <is>
          <t>ไม่มีวัคซีนที่สามารถป้องกันการติดเชื้อชนิดนี้ได้</t>
        </is>
      </c>
      <c r="F1203" s="18" t="inlineStr">
        <is>
          <t>Tuberculin skin test เป็นวิธีการที่ดีที่สุดในการตรวจสอบว่ามีการติดเชื้อชนิดนี้</t>
        </is>
      </c>
      <c r="G1203" s="18" t="inlineStr">
        <is>
          <t>สามารถก่อให้เกิดโรคได้เฉพาะในปอดเท่านั้น</t>
        </is>
      </c>
      <c r="H1203" s="18" t="inlineStr">
        <is>
          <t>ผู้ป่วยภูมิคุ้มกันบกพร่อง ผู้สูงอายุ มีแนวโน้มทำให้เกิดการติดเชื้อชนิดนี้ได้มากขึ้น</t>
        </is>
      </c>
      <c r="I1203" s="15" t="inlineStr">
        <is>
          <t>1</t>
        </is>
      </c>
      <c r="J1203" s="18" t="inlineStr">
        <is>
          <t>✅ คำตอบที่ถูกต้อง: ข้อ ก. จัดเป็นแบคทีเรียที่ย้อมติดสีแกรมลบ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จัดเป็นแบคทีเรียที่ย้อมติดสีแกรมลบ การเลือก จัดเป็นแบคทีเรียที่ย้อมติดสีแกรมลบ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(ไม่มีวัคซีนที่สามารถป้องกันการติดเชื้อชนิดนี้ได้): ข้อนี้ไม่ใช่คำตอบที่ถูกต้องสำหรับภาวะ General Therapeutics เนื่องจากกลไกการออกฤทธิ์, efficacy หรือข้อบ่งใช้ไม่ตรงกับโจทย์ที่กำหนด
• ข้อ ค. (Tuberculin skin test เป็นวิธีการที่ดีที่สุดในการตรวจสอบว่ามีการติดเชื้อชนิดนี้):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(สามารถก่อให้เกิดโรคได้เฉพาะในปอดเท่านั้น): ข้อนี้ไม่ใช่คำตอบที่ถูกต้องสำหรับภาวะ General Therapeutics เนื่องจากกลไกการออกฤทธิ์, efficacy หรือข้อบ่งใช้ไม่ตรงกับโจทย์ที่กำหนด
• ข้อ จ. (ผู้ป่วยภูมิคุ้มกันบกพร่อง ผู้สูงอายุ มีแนวโน้มทำให้เกิดการติดเชื้อชนิดนี้ได้มากขึ้น):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3" s="18" t="inlineStr"/>
      <c r="L1203" s="18" t="inlineStr">
        <is>
          <t>General Therapeutics</t>
        </is>
      </c>
      <c r="M1203" s="18" t="inlineStr">
        <is>
          <t>Clinic</t>
        </is>
      </c>
      <c r="N1203" s="18" t="inlineStr">
        <is>
          <t>ข้อ 15 (PLE_CC1_Practice_Exam.md)</t>
        </is>
      </c>
      <c r="O1203" s="18" t="inlineStr">
        <is>
          <t>Mock</t>
        </is>
      </c>
      <c r="P1203" s="18" t="inlineStr">
        <is>
          <t>Mock สภาเภสัชฯ Practice</t>
        </is>
      </c>
    </row>
    <row r="1204">
      <c r="A1204" s="15" t="inlineStr">
        <is>
          <t>1225</t>
        </is>
      </c>
      <c r="B1204" s="18" t="inlineStr">
        <is>
          <t>จากข้อมูลข้างต้นผู้ป่วยน่าจะเป็นโรคอะไรมากที่สุด</t>
        </is>
      </c>
      <c r="C1204" s="18" t="inlineStr"/>
      <c r="D1204" s="18" t="inlineStr">
        <is>
          <t>Urethritis</t>
        </is>
      </c>
      <c r="E1204" s="18" t="inlineStr">
        <is>
          <t>Cystitis</t>
        </is>
      </c>
      <c r="F1204" s="18" t="inlineStr">
        <is>
          <t>Vaginitis</t>
        </is>
      </c>
      <c r="G1204" s="18" t="inlineStr">
        <is>
          <t>Kidney stone</t>
        </is>
      </c>
      <c r="H1204" s="18" t="inlineStr">
        <is>
          <t>Pyelonephritis</t>
        </is>
      </c>
      <c r="I1204" s="15" t="inlineStr">
        <is>
          <t>1</t>
        </is>
      </c>
      <c r="J1204" s="18" t="inlineStr">
        <is>
          <t>✅ คำตอบที่ถูกต้อง: ข้อ ก. Urethritis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Urethritis การเลือก Urethritis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(Cystitis): ข้อนี้ไม่ใช่คำตอบที่ถูกต้องสำหรับภาวะ General Therapeutics เนื่องจากกลไกการออกฤทธิ์, efficacy หรือข้อบ่งใช้ไม่ตรงกับโจทย์ที่กำหนด
• ข้อ ค. (Vaginitis): ข้อนี้ไม่ใช่คำตอบที่ถูกต้องสำหรับภาวะ General Therapeutics เนื่องจากกลไกการออกฤทธิ์, efficacy หรือข้อบ่งใช้ไม่ตรงกับโจทย์ที่กำหนด
• ข้อ ง. (Kidney stone): ข้อนี้ไม่ใช่คำตอบที่ถูกต้องสำหรับภาวะ General Therapeutics เนื่องจากกลไกการออกฤทธิ์, efficacy หรือข้อบ่งใช้ไม่ตรงกับโจทย์ที่กำหนด
• ข้อ จ. (Pyelonephritis):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4" s="18" t="inlineStr"/>
      <c r="L1204" s="18" t="inlineStr">
        <is>
          <t>General Therapeutics</t>
        </is>
      </c>
      <c r="M1204" s="18" t="inlineStr">
        <is>
          <t>Clinic</t>
        </is>
      </c>
      <c r="N1204" s="18" t="inlineStr">
        <is>
          <t>ข้อ 17 (PLE_CC1_Practice_Exam.md)</t>
        </is>
      </c>
      <c r="O1204" s="18" t="inlineStr">
        <is>
          <t>Mock</t>
        </is>
      </c>
      <c r="P1204" s="18" t="inlineStr">
        <is>
          <t>Mock สภาเภสัชฯ Practice</t>
        </is>
      </c>
    </row>
    <row r="1205">
      <c r="A1205" s="15" t="inlineStr">
        <is>
          <t>1226</t>
        </is>
      </c>
      <c r="B1205" s="18" t="inlineStr">
        <is>
          <t>ยาที่เหมาะสมที่สุดในการรักษาผู้ป่วยรายนี้อยู่ในกลุ่มใด</t>
        </is>
      </c>
      <c r="C1205" s="18" t="inlineStr"/>
      <c r="D1205" s="18" t="inlineStr">
        <is>
          <t>Beta-lactam ได้แก่ Amoxycillin</t>
        </is>
      </c>
      <c r="E1205" s="18" t="inlineStr">
        <is>
          <t>Fluoroquinolones ได้แก่ Ciprofloxacin</t>
        </is>
      </c>
      <c r="F1205" s="18" t="inlineStr">
        <is>
          <t>Aminoglycosides ได้แก่ Gentamicin</t>
        </is>
      </c>
      <c r="G1205" s="18" t="inlineStr">
        <is>
          <t>Macrolides ได้แก่ Erythromycin</t>
        </is>
      </c>
      <c r="H1205" s="18" t="inlineStr">
        <is>
          <t>Tetracyclines ได้แก่ Doxycycline</t>
        </is>
      </c>
      <c r="I1205" s="15" t="inlineStr">
        <is>
          <t>1</t>
        </is>
      </c>
      <c r="J1205" s="18" t="inlineStr">
        <is>
          <t>✅ คำตอบที่ถูกต้อง: ข้อ ก. Beta-lactam ได้แก่ Amoxycillin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Beta-lactam ได้แก่ Amoxycillin การเลือก Beta-lactam ได้แก่ Amoxycillin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(Fluoroquinolones ได้แก่ Ciprofloxacin): เป็น Fluoroquinolone เด่นต่อ Gram-negative รวมทั้ง Pseudomonas aeruginosa แต่มี black box warning เรื่อง tendon rupture, QT prolongation, aortic aneurysm และ dysglycemia
• ข้อ ค. (Aminoglycosides ได้แก่ Gentamicin): เป็น Aminoglycoside มี concentration-dependent bactericidal effect ต่อ gram-negative มี nephrotoxicity และ ototoxicity ต้อง monitoring renal function และ serum level
• ข้อ ง. (Macrolides ได้แก่ Erythromycin): ข้อนี้ไม่ใช่คำตอบที่ถูกต้องสำหรับภาวะ General Therapeutics เนื่องจากกลไกการออกฤทธิ์, efficacy หรือข้อบ่งใช้ไม่ตรงกับโจทย์ที่กำหนด
• ข้อ จ. (Tetracyclines ได้แก่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5" s="18" t="inlineStr"/>
      <c r="L1205" s="18" t="inlineStr">
        <is>
          <t>General Therapeutics</t>
        </is>
      </c>
      <c r="M1205" s="18" t="inlineStr">
        <is>
          <t>Clinic</t>
        </is>
      </c>
      <c r="N1205" s="18" t="inlineStr">
        <is>
          <t>ข้อ 18 (PLE_CC1_Practice_Exam.md)</t>
        </is>
      </c>
      <c r="O1205" s="18" t="inlineStr">
        <is>
          <t>Mock</t>
        </is>
      </c>
      <c r="P1205" s="18" t="inlineStr">
        <is>
          <t>Mock สภาเภสัชฯ Practice</t>
        </is>
      </c>
    </row>
    <row r="1206">
      <c r="A1206" s="15" t="inlineStr">
        <is>
          <t>1227</t>
        </is>
      </c>
      <c r="B1206" s="18" t="inlineStr">
        <is>
          <t>จากข้อ 18 ยาที่เหมาะสมที่สุดสำหรับผู้ป่วยรายนี้มีกลไกในการออกฤทธิ์อย่างไร</t>
        </is>
      </c>
      <c r="C1206" s="18" t="inlineStr"/>
      <c r="D1206" s="18" t="inlineStr">
        <is>
          <t>ยับยั้งการสังเคราะห์โปรตีนโดยจับกับ 30S ribosomal subunit ของแบคทีเรีย</t>
        </is>
      </c>
      <c r="E1206" s="18" t="inlineStr">
        <is>
          <t>ยับยั้งการสังเคราะห์โปรตีนโดยจับกับ 50S ribosomal subunit ของแบคทีเรีย</t>
        </is>
      </c>
      <c r="F1206" s="18" t="inlineStr">
        <is>
          <t>ยับยั้งการสร้างผนังเซลล์ของแบคทีเรีย</t>
        </is>
      </c>
      <c r="G1206" s="18" t="inlineStr">
        <is>
          <t>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1206" s="18" t="inlineStr">
        <is>
          <t>ยับยั้งการสังเคราะห์ RNA ของแบคทีเรีย</t>
        </is>
      </c>
      <c r="I1206" s="15" t="inlineStr">
        <is>
          <t>1</t>
        </is>
      </c>
      <c r="J1206" s="18" t="inlineStr">
        <is>
          <t>✅ คำตอบที่ถูกต้อง: ข้อ ก. ยับยั้งการสังเคราะห์โปรตีนโดยจับกับ 30S ribosomal subunit ของแบคทีเรีย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ยับยั้งการสังเคราะห์โปรตีนโดยจับกับ 30S ribosomal subunit ของแบคทีเรีย การเลือก ยับยั้งการสังเคราะห์โปรตีนโดยจับกับ 30S ribosomal subunit ของแบคทีเรีย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(ยับยั้งการสังเคราะห์โปรตีนโดยจับกับ 50S ribosomal subunit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(ยับยั้งการสร้างผนังเซลล์ของแบคทีเรีย):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RNA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6" s="18" t="inlineStr"/>
      <c r="L1206" s="18" t="inlineStr">
        <is>
          <t>General Therapeutics</t>
        </is>
      </c>
      <c r="M1206" s="18" t="inlineStr">
        <is>
          <t>Clinic</t>
        </is>
      </c>
      <c r="N1206" s="18" t="inlineStr">
        <is>
          <t>ข้อ 19 (PLE_CC1_Practice_Exam.md)</t>
        </is>
      </c>
      <c r="O1206" s="18" t="inlineStr">
        <is>
          <t>Mock</t>
        </is>
      </c>
      <c r="P1206" s="18" t="inlineStr">
        <is>
          <t>Mock สภาเภสัชฯ Practice</t>
        </is>
      </c>
    </row>
    <row r="1207">
      <c r="A1207" s="15" t="inlineStr">
        <is>
          <t>1228</t>
        </is>
      </c>
      <c r="B1207" s="18" t="inlineStr">
        <is>
          <t>ข้อควรแนะนำที่เหมาะสมที่สุดสำหรับผู้ป่วยรายนี้ พิจารณาเลือกใช้ยาตามข้อ 18 ร่วมด้วยได้แก่ข้อใด</t>
        </is>
      </c>
      <c r="C1207" s="18" t="inlineStr"/>
      <c r="D1207" s="18" t="inlineStr">
        <is>
          <t>กินยาหลังอาหารทันทีและดื่มน้ำตามมากๆ</t>
        </is>
      </c>
      <c r="E1207" s="18" t="inlineStr">
        <is>
          <t>ยานี้อาจทำให้ง่วงซึมได้</t>
        </is>
      </c>
      <c r="F1207" s="18" t="inlineStr">
        <is>
          <t>ไม่รับประทานยาร่วมกับนม และผลิตภัณฑ์ที่มาจากนม เช่น โยเกิร์ต ชีส เป็นต้น</t>
        </is>
      </c>
      <c r="G1207" s="18" t="inlineStr">
        <is>
          <t>ไม่จำเป็นต้องระมัดระวังการรับประทานยาร่วมกับยาชนิดอื่นๆ เนื่องจากยามีอันตรกิริยากับยาอื่นน้อย มาก</t>
        </is>
      </c>
      <c r="H1207" s="18" t="inlineStr">
        <is>
          <t>เมื่อมีอาการดีขึ้นจำเป็นต้องหยุดยาทันที มิฉะนั้นอาจทำให้เกิดการดื้อยาได้</t>
        </is>
      </c>
      <c r="I1207" s="15" t="inlineStr">
        <is>
          <t>1</t>
        </is>
      </c>
      <c r="J1207" s="18" t="inlineStr">
        <is>
          <t>✅ คำตอบที่ถูกต้อง: ข้อ ก. กินยาหลังอาหารทันทีและดื่มน้ำตามมากๆ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กินยาหลังอาหารทันทีและดื่มน้ำตามมากๆ การเลือก กินยาหลังอาหารทันทีและดื่มน้ำตามมากๆ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(ยานี้อาจทำให้ง่วงซึมได้): ข้อนี้ไม่ใช่คำตอบที่ถูกต้องสำหรับภาวะ General Therapeutics เนื่องจากกลไกการออกฤทธิ์, efficacy หรือข้อบ่งใช้ไม่ตรงกับโจทย์ที่กำหนด
• ข้อ ค. (ไม่รับประทานยาร่วมกับนม และผลิตภัณฑ์ที่มาจากนม เช่น โยเกิร์ต ชีส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(ไม่จำเป็นต้องระมัดระวังการรับประทานยาร่วมกับยาชนิดอื่นๆ เนื่องจากยามีอันตรกิริยากับยาอื่นน้อย มาก): ข้อนี้ไม่ใช่คำตอบที่ถูกต้องสำหรับภาวะ General Therapeutics เนื่องจากกลไกการออกฤทธิ์, efficacy หรือข้อบ่งใช้ไม่ตรงกับโจทย์ที่กำหนด
• ข้อ จ. (เมื่อมีอาการดีขึ้นจำเป็นต้องหยุดยาทันที มิฉะนั้นอาจทำให้เกิดการดื้อยาได้):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07" s="18" t="inlineStr"/>
      <c r="L1207" s="18" t="inlineStr">
        <is>
          <t>General Therapeutics</t>
        </is>
      </c>
      <c r="M1207" s="18" t="inlineStr">
        <is>
          <t>Clinic</t>
        </is>
      </c>
      <c r="N1207" s="18" t="inlineStr">
        <is>
          <t>ข้อ 20 (PLE_CC1_Practice_Exam.md)</t>
        </is>
      </c>
      <c r="O1207" s="18" t="inlineStr">
        <is>
          <t>Mock</t>
        </is>
      </c>
      <c r="P1207" s="18" t="inlineStr">
        <is>
          <t>Mock สภาเภสัชฯ Practice</t>
        </is>
      </c>
    </row>
    <row r="1208">
      <c r="A1208" s="15" t="inlineStr">
        <is>
          <t>1229</t>
        </is>
      </c>
      <c r="B1208" s="18" t="inlineStr">
        <is>
          <t>อาการของผู้ป่วยรายนี้เข้าได้กับภาวะใด</t>
        </is>
      </c>
      <c r="C1208" s="18" t="inlineStr"/>
      <c r="D1208" s="18" t="inlineStr">
        <is>
          <t>Viral conjunctivitis</t>
        </is>
      </c>
      <c r="E1208" s="18" t="inlineStr">
        <is>
          <t>Bacterial conjunctivitis</t>
        </is>
      </c>
      <c r="F1208" s="18" t="inlineStr">
        <is>
          <t>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08" s="18" t="inlineStr">
        <is>
          <t>Allergic conjunctivitis</t>
        </is>
      </c>
      <c r="H1208" s="18" t="inlineStr">
        <is>
          <t>Hordeolum</t>
        </is>
      </c>
      <c r="I1208" s="15" t="inlineStr">
        <is>
          <t>1</t>
        </is>
      </c>
      <c r="J1208" s="18" t="inlineStr">
        <is>
          <t>✅ คำตอบที่ถูกต้อง: ข้อ ก. Viral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Viral conjunctivitis การเลือก Viral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8" s="18" t="inlineStr"/>
      <c r="L1208" s="18" t="inlineStr">
        <is>
          <t>General Therapeutics</t>
        </is>
      </c>
      <c r="M1208" s="18" t="inlineStr">
        <is>
          <t>Clinic</t>
        </is>
      </c>
      <c r="N1208" s="18" t="inlineStr">
        <is>
          <t>ข้อ 24 (PLE_CC1_Practice_Exam.md)</t>
        </is>
      </c>
      <c r="O1208" s="18" t="inlineStr">
        <is>
          <t>Mock</t>
        </is>
      </c>
      <c r="P1208" s="18" t="inlineStr">
        <is>
          <t>Mock สภาเภสัชฯ Practice</t>
        </is>
      </c>
    </row>
    <row r="1209">
      <c r="A1209" s="15" t="inlineStr">
        <is>
          <t>1230</t>
        </is>
      </c>
      <c r="B1209" s="18" t="inlineStr">
        <is>
          <t>ยาต้านมาลาเรียใดต้องระมัดระวังมากที่สุดในการใช้กับผู้ป่วย G-6-PD deficiency</t>
        </is>
      </c>
      <c r="C1209" s="18" t="inlineStr"/>
      <c r="D1209" s="18" t="inlineStr">
        <is>
          <t>Dihydroartemisinine</t>
        </is>
      </c>
      <c r="E1209" s="18" t="inlineStr">
        <is>
          <t>Primaquine</t>
        </is>
      </c>
      <c r="F1209" s="18" t="inlineStr">
        <is>
          <t>Proguanil</t>
        </is>
      </c>
      <c r="G1209" s="18" t="inlineStr">
        <is>
          <t>Atovaquone</t>
        </is>
      </c>
      <c r="H1209" s="18" t="inlineStr">
        <is>
          <t>Pyrimethamine</t>
        </is>
      </c>
      <c r="I1209" s="15" t="inlineStr">
        <is>
          <t>1</t>
        </is>
      </c>
      <c r="J1209" s="18" t="inlineStr">
        <is>
          <t>✅ คำตอบที่ถูกต้อง: ข้อ ก. Dihydroartemisinine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Dihydroartemisinine การเลือก Dihydroartemisinine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(Primaquine): ข้อนี้ไม่ใช่คำตอบที่ถูกต้องสำหรับภาวะ General Therapeutics เนื่องจากกลไกการออกฤทธิ์, efficacy หรือข้อบ่งใช้ไม่ตรงกับโจทย์ที่กำหนด
• ข้อ ค. (Proguanil): ข้อนี้ไม่ใช่คำตอบที่ถูกต้องสำหรับภาวะ General Therapeutics เนื่องจากกลไกการออกฤทธิ์, efficacy หรือข้อบ่งใช้ไม่ตรงกับโจทย์ที่กำหนด
• ข้อ ง. (Atovaquone): ข้อนี้ไม่ใช่คำตอบที่ถูกต้องสำหรับภาวะ General Therapeutics เนื่องจากกลไกการออกฤทธิ์, efficacy หรือข้อบ่งใช้ไม่ตรงกับโจทย์ที่กำหนด
• ข้อ จ. (Pyrimethamine):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9" s="18" t="inlineStr"/>
      <c r="L1209" s="18" t="inlineStr">
        <is>
          <t>General Therapeutics</t>
        </is>
      </c>
      <c r="M1209" s="18" t="inlineStr">
        <is>
          <t>Clinic</t>
        </is>
      </c>
      <c r="N1209" s="18" t="inlineStr">
        <is>
          <t>ข้อ 34 (PLE_CC1_Practice_Exam.md)</t>
        </is>
      </c>
      <c r="O1209" s="18" t="inlineStr">
        <is>
          <t>Mock</t>
        </is>
      </c>
      <c r="P1209" s="18" t="inlineStr">
        <is>
          <t>Mock สภาเภสัชฯ Practice</t>
        </is>
      </c>
    </row>
    <row r="1210">
      <c r="A1210" s="15" t="inlineStr">
        <is>
          <t>1231</t>
        </is>
      </c>
      <c r="B1210" s="18" t="inlineStr">
        <is>
          <t>กลไกการออกฤทธิ์ของยา Chloroquine ในการฆ่าเชื้อพลาสโมเดียมในกระแสเลือด คือข้อใด</t>
        </is>
      </c>
      <c r="C1210" s="18" t="inlineStr"/>
      <c r="D1210" s="18" t="inlineStr">
        <is>
          <t>ยับยั้งการเกิด polymerization ของ heme ทำให้มีการสะสมของ free heme ในเม็ดเลือดแดง</t>
        </is>
      </c>
      <c r="E1210" s="18" t="inlineStr">
        <is>
          <t>ยับยั้งปฏิกิริยาระหว่าง reduced UQ กับ cytochrome bc1 complex</t>
        </is>
      </c>
      <c r="F1210" s="18" t="inlineStr">
        <is>
          <t>ยับยั้งเอนไซม์ dihydropteroate synthetase</t>
        </is>
      </c>
      <c r="G1210" s="18" t="inlineStr">
        <is>
          <t>รบกวนกระบวนการถ่ายทอดอิเล็กตรอน</t>
        </is>
      </c>
      <c r="H1210" s="18" t="inlineStr">
        <is>
          <t>ยับยั้งการสังเคราะห์ ribosomal protein ของเชื้อพลาสโมเดียม</t>
        </is>
      </c>
      <c r="I1210" s="15" t="inlineStr">
        <is>
          <t>1</t>
        </is>
      </c>
      <c r="J1210" s="18" t="inlineStr">
        <is>
          <t>✅ คำตอบที่ถูกต้อง: ข้อ ก. ยับยั้งการเกิด polymerization ของ heme ทำให้มีการสะสมของ free heme ในเม็ดเลือดแดง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ยับยั้งการเกิด polymerization ของ heme ทำให้มีการสะสมของ free heme ในเม็ดเลือดแดง การเลือก ยับยั้งการเกิด polymerization ของ heme ทำให้มีการสะสมของ free heme ในเม็ดเลือดแดง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(ยับยั้งปฏิกิริยาระหว่าง reduced UQ กับ cytochrome bc1 complex): ข้อนี้ไม่ใช่คำตอบที่ถูกต้องสำหรับภาวะ General Therapeutics เนื่องจากกลไกการออกฤทธิ์, efficacy หรือข้อบ่งใช้ไม่ตรงกับโจทย์ที่กำหนด
• ข้อ ค. (ยับยั้งเอนไซม์ dihydropteroate synthetase): ข้อนี้ไม่ใช่คำตอบที่ถูกต้องสำหรับภาวะ General Therapeutics เนื่องจากกลไกการออกฤทธิ์, efficacy หรือข้อบ่งใช้ไม่ตรงกับโจทย์ที่กำหนด
• ข้อ ง. (รบกวนกระบวนการถ่ายทอดอิเล็กตรอน):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ribosomal protein ของเชื้อพลาสโมเดียม):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0" s="18" t="inlineStr"/>
      <c r="L1210" s="18" t="inlineStr">
        <is>
          <t>General Therapeutics</t>
        </is>
      </c>
      <c r="M1210" s="18" t="inlineStr">
        <is>
          <t>Clinic</t>
        </is>
      </c>
      <c r="N1210" s="18" t="inlineStr">
        <is>
          <t>ข้อ 35 (PLE_CC1_Practice_Exam.md)</t>
        </is>
      </c>
      <c r="O1210" s="18" t="inlineStr">
        <is>
          <t>Mock</t>
        </is>
      </c>
      <c r="P1210" s="18" t="inlineStr">
        <is>
          <t>Mock สภาเภสัชฯ Practice</t>
        </is>
      </c>
    </row>
    <row r="1211">
      <c r="A1211" s="15" t="inlineStr">
        <is>
          <t>1232</t>
        </is>
      </c>
      <c r="B1211" s="18" t="inlineStr">
        <is>
          <t>ยาที่มีความปลอดภัยเลือกใช้ในหญิงมีครรภ์ที่เป็นโรคมาลาเรียไม่รุนแรงจากเชื้อ P. falciparum คือยาใน ข้อใด</t>
        </is>
      </c>
      <c r="C1211" s="18" t="inlineStr"/>
      <c r="D1211" s="18" t="inlineStr">
        <is>
          <t>Primaquine</t>
        </is>
      </c>
      <c r="E1211" s="18" t="inlineStr">
        <is>
          <t>Quinine</t>
        </is>
      </c>
      <c r="F1211" s="18" t="inlineStr">
        <is>
          <t>Artesunate</t>
        </is>
      </c>
      <c r="G1211" s="18" t="inlineStr">
        <is>
          <t>Pyrimethamine</t>
        </is>
      </c>
      <c r="H1211" s="18" t="inlineStr">
        <is>
          <t>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t>
        </is>
      </c>
      <c r="I1211" s="15" t="inlineStr">
        <is>
          <t>1</t>
        </is>
      </c>
      <c r="J1211" s="18" t="inlineStr">
        <is>
          <t>✅ คำตอบที่ถูกต้อง: ข้อ ก. Primaquine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Primaquine การเลือก Primaquine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(Quinine): ข้อนี้ไม่ใช่คำตอบที่ถูกต้องสำหรับภาวะ General Therapeutics เนื่องจากกลไกการออกฤทธิ์, efficacy หรือข้อบ่งใช้ไม่ตรงกับโจทย์ที่กำหนด
• ข้อ ค. (Artesunate): ข้อนี้ไม่ใช่คำตอบที่ถูกต้องสำหรับภาวะ General Therapeutics เนื่องจากกลไกการออกฤทธิ์, efficacy หรือข้อบ่งใช้ไม่ตรงกับโจทย์ที่กำหนด
• ข้อ ง. (Pyrimethamine):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1" s="18" t="inlineStr"/>
      <c r="L1211" s="18" t="inlineStr">
        <is>
          <t>General Therapeutics</t>
        </is>
      </c>
      <c r="M1211" s="18" t="inlineStr">
        <is>
          <t>Clinic</t>
        </is>
      </c>
      <c r="N1211" s="18" t="inlineStr">
        <is>
          <t>ข้อ 36 (PLE_CC1_Practice_Exam.md)</t>
        </is>
      </c>
      <c r="O1211" s="18" t="inlineStr">
        <is>
          <t>Mock</t>
        </is>
      </c>
      <c r="P1211" s="18" t="inlineStr">
        <is>
          <t>Mock สภาเภสัชฯ Practice</t>
        </is>
      </c>
    </row>
    <row r="1212">
      <c r="A1212" s="15" t="inlineStr">
        <is>
          <t>1233</t>
        </is>
      </c>
      <c r="B1212" s="18" t="inlineStr">
        <is>
          <t>ข้อใดผิดเกี่ยวกับยารักษาพยาธิ</t>
        </is>
      </c>
      <c r="C1212" s="18" t="inlineStr"/>
      <c r="D1212" s="18" t="inlineStr">
        <is>
          <t>ยารักษาพยาธิส่วนใหญ่จะมีอาการไม่พึงประสงค์คือ ปวดท้อง อาเจียน ปวดหัว เวียนศีรษะ</t>
        </is>
      </c>
      <c r="E1212" s="18" t="inlineStr">
        <is>
          <t>ยา Praziquantel ควรรับประทานก่อนนอน เนื่องจากยานี้อาจทำให้ง่วงนอนได้</t>
        </is>
      </c>
      <c r="F1212" s="18" t="inlineStr">
        <is>
          <t>ยารักษาพยาธิที่ปลอดภัยในหญิงตั้งครรภ์คือ Pyrantel pamoate</t>
        </is>
      </c>
      <c r="G1212" s="18" t="inlineStr">
        <is>
          <t>เมื่อรับประทานยา Niclosamide เพื่อรักษาโรคพยาธิตัวตืดแล้ว ต้องรับประทานยาระบายตาม เนื่องจากยามีอาการไม่พึงประสงค์คือ ท้องผูก</t>
        </is>
      </c>
      <c r="H1212" s="18" t="inlineStr">
        <is>
          <t>ยา Mebendazole ควรเคี้ยวให้ละเอียดก่อนกลืน</t>
        </is>
      </c>
      <c r="I1212" s="15" t="inlineStr">
        <is>
          <t>1</t>
        </is>
      </c>
      <c r="J1212" s="18" t="inlineStr">
        <is>
          <t>✅ คำตอบที่ถูกต้อง: ข้อ ก. ยารักษาพยาธิส่วนใหญ่จะมีอาการไม่พึงประสงค์คือ ปวดท้อง อาเจียน ปวดหัว เวียนศีรษะ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ยารักษาพยาธิส่วนใหญ่จะมีอาการไม่พึงประสงค์คือ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การเลือก ยารักษาพยาธิส่วนใหญ่จะมี ADR คือ ปวดท้อง อาเจียน ปวดหัว เวียนศีรษะ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 Praziquantel ควรรับประทานก่อนนอน เนื่องจากยานี้อาจทำให้ง่วงนอนได้): ข้อนี้ไม่ใช่คำตอบที่ถูกต้องสำหรับภาวะ General Therapeutics เนื่องจากกลไกการออกฤทธิ์, efficacy หรือข้อบ่งใช้ไม่ตรงกับโจทย์ที่กำหนด
• ข้อ ค. (ยารักษาพยาธิที่ปลอดภัยในหญิงตั้งครรภ์คือ Pyrantel pamoate): ข้อนี้ไม่ใช่คำตอบที่ถูกต้องสำหรับภาวะ General Therapeutics เนื่องจากกลไกการออกฤทธิ์, efficacy หรือข้อบ่งใช้ไม่ตรงกับโจทย์ที่กำหนด
• ข้อ ง. (เมื่อรับประทานยา Niclosamide เพื่อรักษาโรคพยาธิตัวตืดแล้ว ต้องรับประทานยาระบายตาม เนื่องจากยามีอาการไม่พึงประสงค์คือ ท้องผูก): ข้อนี้ไม่ใช่คำตอบที่ถูกต้องสำหรับภาวะ General Therapeutics เนื่องจากกลไกการออกฤทธิ์, efficacy หรือข้อบ่งใช้ไม่ตรงกับโจทย์ที่กำหนด
• ข้อ จ. (ยา Mebendazole ควรเคี้ยวให้ละเอียดก่อนกลืน):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2" s="18" t="inlineStr"/>
      <c r="L1212" s="18" t="inlineStr">
        <is>
          <t>General Therapeutics</t>
        </is>
      </c>
      <c r="M1212" s="18" t="inlineStr">
        <is>
          <t>Clinic</t>
        </is>
      </c>
      <c r="N1212" s="18" t="inlineStr">
        <is>
          <t>ข้อ 39 (PLE_CC1_Practice_Exam.md)</t>
        </is>
      </c>
      <c r="O1212" s="18" t="inlineStr">
        <is>
          <t>Mock</t>
        </is>
      </c>
      <c r="P1212" s="18" t="inlineStr">
        <is>
          <t>Mock สภาเภสัชฯ Practice</t>
        </is>
      </c>
    </row>
    <row r="1213">
      <c r="A1213" s="15" t="inlineStr">
        <is>
          <t>1234</t>
        </is>
      </c>
      <c r="B1213" s="18" t="inlineStr">
        <is>
          <t>ข้อใดไม่ใช่อาการไม่พึงประสงค์ของตัวยา Metronidazole</t>
        </is>
      </c>
      <c r="C1213" s="18" t="inlineStr"/>
      <c r="D1213" s="18" t="inlineStr">
        <is>
          <t>Metallic taste</t>
        </is>
      </c>
      <c r="E1213" s="18" t="inlineStr">
        <is>
          <t>Disulfiram-like reaction เมื่อรับประทานร่วมกับแอลกอัอล์</t>
        </is>
      </c>
      <c r="F1213" s="18" t="inlineStr">
        <is>
          <t>Bone marrow suppression</t>
        </is>
      </c>
      <c r="G1213" s="18" t="inlineStr">
        <is>
          <t>Vertigo</t>
        </is>
      </c>
      <c r="H1213" s="18" t="inlineStr">
        <is>
          <t>Diarrhea</t>
        </is>
      </c>
      <c r="I1213" s="15" t="inlineStr">
        <is>
          <t>1</t>
        </is>
      </c>
      <c r="J1213" s="18" t="inlineStr">
        <is>
          <t>✅ คำตอบที่ถูกต้อง: ข้อ ก. Metallic taste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Metallic taste การเลือก Metallic taste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(Disulfiram-like reaction เมื่อรับประทานร่วมกับแอลกอัอล์): ข้อนี้ไม่ใช่คำตอบที่ถูกต้องสำหรับภาวะ Infectious Diseases เนื่องจากกลไกการออกฤทธิ์, efficacy หรือข้อบ่งใช้ไม่ตรงกับโจทย์ที่กำหนด
• ข้อ ค. (Bone marrow suppression): ข้อนี้ไม่ใช่คำตอบที่ถูกต้องสำหรับภาวะ Infectious Diseases เนื่องจากกลไกการออกฤทธิ์, efficacy หรือข้อบ่งใช้ไม่ตรงกับโจทย์ที่กำหนด
• ข้อ ง. (Vertigo): ข้อนี้ไม่ใช่คำตอบที่ถูกต้องสำหรับภาวะ Infectious Diseases เนื่องจากกลไกการออกฤทธิ์, efficacy หรือข้อบ่งใช้ไม่ตรงกับโจทย์ที่กำหนด
• ข้อ จ. (Diarrhea):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3" s="18" t="inlineStr"/>
      <c r="L1213" s="18" t="inlineStr">
        <is>
          <t>Infectious Diseases</t>
        </is>
      </c>
      <c r="M1213" s="18" t="inlineStr">
        <is>
          <t>Clinic</t>
        </is>
      </c>
      <c r="N1213" s="18" t="inlineStr">
        <is>
          <t>ข้อ 45 (PLE_CC1_Practice_Exam.md)</t>
        </is>
      </c>
      <c r="O1213" s="18" t="inlineStr">
        <is>
          <t>Mock</t>
        </is>
      </c>
      <c r="P1213" s="18" t="inlineStr">
        <is>
          <t>Mock สภาเภสัชฯ Practice</t>
        </is>
      </c>
    </row>
    <row r="1214">
      <c r="A1214" s="15" t="inlineStr">
        <is>
          <t>1235</t>
        </is>
      </c>
      <c r="B1214" s="18" t="inlineStr">
        <is>
          <t>บริเวณใดของโครงสร้างยาที่ไปเกิดอันตรกิริยากับตำแหน่งเป้าหมาย .</t>
        </is>
      </c>
      <c r="C1214" s="18" t="inlineStr"/>
      <c r="D1214" s="18" t="inlineStr">
        <is>
          <t>บริเวณ A</t>
        </is>
      </c>
      <c r="E1214" s="18" t="inlineStr">
        <is>
          <t>บริเวณ B</t>
        </is>
      </c>
      <c r="F1214" s="18" t="inlineStr">
        <is>
          <t>บริเวณ C</t>
        </is>
      </c>
      <c r="G1214" s="18" t="inlineStr">
        <is>
          <t>บริเวณ A และ B</t>
        </is>
      </c>
      <c r="H1214" s="18" t="inlineStr">
        <is>
          <t>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14" s="15" t="inlineStr">
        <is>
          <t>1</t>
        </is>
      </c>
      <c r="J1214" s="18" t="inlineStr">
        <is>
          <t>✅ คำตอบที่ถูกต้อง: ข้อ ก. บริเวณ 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บริเวณ A การเลือก บริเวณ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(บริเวณ B): ข้อนี้ไม่ใช่คำตอบที่ถูกต้องสำหรับภาวะ General Therapeutics เนื่องจากกลไกการออกฤทธิ์, efficacy หรือข้อบ่งใช้ไม่ตรงกับโจทย์ที่กำหนด
• ข้อ ค. (บริเวณ C): ข้อนี้ไม่ใช่คำตอบที่ถูกต้องสำหรับภาวะ General Therapeutics เนื่องจากกลไกการออกฤทธิ์, efficacy หรือข้อบ่งใช้ไม่ตรงกับโจทย์ที่กำหนด
• ข้อ ง. (บริเวณ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4" s="18" t="inlineStr"/>
      <c r="L1214" s="18" t="inlineStr">
        <is>
          <t>General Therapeutics</t>
        </is>
      </c>
      <c r="M1214" s="18" t="inlineStr">
        <is>
          <t>Clinic</t>
        </is>
      </c>
      <c r="N1214" s="18" t="inlineStr">
        <is>
          <t>ข้อ 47 (PLE_CC1_Practice_Exam.md)</t>
        </is>
      </c>
      <c r="O1214" s="18" t="inlineStr">
        <is>
          <t>Mock</t>
        </is>
      </c>
      <c r="P1214" s="18" t="inlineStr">
        <is>
          <t>Mock สภาเภสัชฯ Practice</t>
        </is>
      </c>
    </row>
    <row r="1215">
      <c r="A1215" s="15" t="inlineStr">
        <is>
          <t>1236</t>
        </is>
      </c>
      <c r="B1215" s="18" t="inlineStr">
        <is>
          <t>จากโครงสร้างต่อไปนี้เป็นยารับประทาน ยกเว้นข้อใด</t>
        </is>
      </c>
      <c r="C1215" s="18" t="inlineStr"/>
      <c r="D1215" s="18" t="inlineStr">
        <is>
          <t>N-acetylcysteine (NAC) IV infusion protocol</t>
        </is>
      </c>
      <c r="E1215" s="18" t="inlineStr">
        <is>
          <t>Atropine sulfate 2 mg IV Q5-10 min</t>
        </is>
      </c>
      <c r="F1215" s="18" t="inlineStr">
        <is>
          <t>79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15" s="18" t="inlineStr">
        <is>
          <t>Naloxone 0.4 mg IV stat</t>
        </is>
      </c>
      <c r="H1215" s="18" t="inlineStr">
        <is>
          <t>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t>
        </is>
      </c>
      <c r="I1215" s="15" t="inlineStr">
        <is>
          <t>3</t>
        </is>
      </c>
      <c r="J1215" s="18" t="inlineStr">
        <is>
          <t>✅ คำตอบที่ถูกต้อง: ข้อ ค.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การทดสอบที่ให้ผลบวกเมื่อผู้ป่วยเคยได้รับเชื้อมาก่อน กรณีเคยได้รับวัคซีน BCG ก็ให้ผลบวกได้ จึงไม่แนะนำ เนื่องจากสาเหตุของการติดเชื้อที่ก่อให้เกิดเยื่อบุตาอักเสบ เกิดได้จากเชื้อหลายชนิดขึ้นกับอายุ พื้นที่ ให้วัคซีนโดยเฉพาะวัคซีนที่มีส่วนประกอบของไข่ต้องระมัดระวังอย่างมากในผู้แพ้ไข่ ข้อ ง เด็กที่เคยชักจากไข้ สูง อาจพิจารณาให้ยาป้องกัน หรือรักษาไข้ หรือพิจารณาวัคซีนอื่นๆ ในผู้ป่วยภูมิคุ้มกันบกพร่องการให้วัคซีน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5" s="18" t="inlineStr"/>
      <c r="L1215" s="18" t="inlineStr">
        <is>
          <t>General Therapeutics</t>
        </is>
      </c>
      <c r="M1215" s="18" t="inlineStr">
        <is>
          <t>Clinic</t>
        </is>
      </c>
      <c r="N1215" s="18" t="inlineStr">
        <is>
          <t>ข้อ 50 (PLE_CC1_Practice_Exam.md)</t>
        </is>
      </c>
      <c r="O1215" s="18" t="inlineStr">
        <is>
          <t>Mock</t>
        </is>
      </c>
      <c r="P1215" s="18" t="inlineStr">
        <is>
          <t>Mock สภาเภสัชฯ Practice</t>
        </is>
      </c>
    </row>
    <row r="1216">
      <c r="A1216" s="15" t="inlineStr">
        <is>
          <t>1237</t>
        </is>
      </c>
      <c r="B1216" s="18" t="inlineStr">
        <is>
          <t>โรคระบบต่อมไร้ท่อ และต่อมมีท่อ โดย นักศึกษาเภสัชศาสตร์รุ่น 8 มหาวิทยาลัยวลัยลักษณ์</t>
        </is>
      </c>
      <c r="C1216" s="18" t="inlineStr"/>
      <c r="D1216" s="18" t="inlineStr">
        <is>
          <t>Naloxone 0.4 mg IV stat</t>
        </is>
      </c>
      <c r="E1216" s="18" t="inlineStr">
        <is>
          <t>Flumazenil 0.2 mg IV stat</t>
        </is>
      </c>
      <c r="F1216" s="18" t="inlineStr">
        <is>
          <t>Vitamin K1 (Phytomenadione) 10 mg IV slow</t>
        </is>
      </c>
      <c r="G1216" s="18" t="inlineStr">
        <is>
          <t>Sodium thiosulfate 25% 50 mL IV</t>
        </is>
      </c>
      <c r="H1216" s="18" t="inlineStr">
        <is>
          <t>Calcium disodium EDTA 1 g IV</t>
        </is>
      </c>
      <c r="I1216" s="15" t="inlineStr">
        <is>
          <t>1</t>
        </is>
      </c>
      <c r="J12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16" s="18" t="inlineStr"/>
      <c r="L1216" s="18" t="inlineStr">
        <is>
          <t>General Therapeutics</t>
        </is>
      </c>
      <c r="M1216" s="18" t="inlineStr">
        <is>
          <t>Clinic</t>
        </is>
      </c>
      <c r="N1216" s="18" t="inlineStr">
        <is>
          <t>ข้อ 5 (PLE_CC1_Practice_Exam.md)</t>
        </is>
      </c>
      <c r="O1216" s="18" t="inlineStr">
        <is>
          <t>Mock</t>
        </is>
      </c>
      <c r="P1216" s="18" t="inlineStr">
        <is>
          <t>Mock สภาเภสัชฯ Practice</t>
        </is>
      </c>
    </row>
    <row r="1217">
      <c r="A1217" s="15" t="inlineStr">
        <is>
          <t>1238</t>
        </is>
      </c>
      <c r="B1217" s="18" t="inlineStr">
        <is>
          <t>จากโครงสร้างของยาในกลุ่มลดระดับน้ำตาลในเลือด ข้อใดถูกต้อง</t>
        </is>
      </c>
      <c r="C1217" s="18" t="inlineStr"/>
      <c r="D1217" s="18" t="inlineStr">
        <is>
          <t>กลไกการออกฤทธิ์ของยา คือ กระตุ้น PPAR-γ receptor ในเซลล์ไขมัน</t>
        </is>
      </c>
      <c r="E1217" s="18" t="inlineStr">
        <is>
          <t>โครงสร้างในวง B ที่ เชื่อมกับ โครงสร้างใน วง A ไม่มีความสำคัญต่อการออกฤทธิ์</t>
        </is>
      </c>
      <c r="F1217" s="18" t="inlineStr">
        <is>
          <t>ยาในกลุ่มนี้กระตุ้นการหลั่งอินซูลิน จึงไม่ทำให้เกิดภาวะน้ำตาลในเลือดต่ำ</t>
        </is>
      </c>
      <c r="G1217" s="18" t="inlineStr">
        <is>
          <t>ยาในกลุ่มนี้ไม่มีผลต่อระดับยาคุมกำเนิดในเลือด จึงไม่เสี่ยงต่อการตั้งครรภ์</t>
        </is>
      </c>
      <c r="H1217" s="18" t="inlineStr">
        <is>
          <t>ข้อ ก ข ค และ ง ถูกต้อง</t>
        </is>
      </c>
      <c r="I1217" s="15" t="inlineStr">
        <is>
          <t>1</t>
        </is>
      </c>
      <c r="J1217" s="18" t="inlineStr">
        <is>
          <t>✅ คำตอบที่ถูกต้อง: ข้อ ก. กลไกการออกฤทธิ์ของยา คือ กระตุ้น PPAR-γ receptor ในเซลล์ไขมัน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กลไกการออกฤทธิ์ของยา คือ กระตุ้น PPAR-γ receptor ในเซลล์ไขมัน การเลือก กลไกการออกฤทธิ์ของยา คือ กระตุ้น PPAR-γ receptor ในเซลล์ไขมัน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(โครงสร้างในวง B ที่ เชื่อมกับ โครงสร้างใน วง A ไม่มีความสำคัญต่อการออกฤทธิ์): ข้อนี้ไม่ใช่คำตอบที่ถูกต้องสำหรับภาวะ Diabetes &amp; Endocrine เนื่องจากกลไกการออกฤทธิ์, efficacy หรือข้อบ่งใช้ไม่ตรงกับโจทย์ที่กำหนด
• ข้อ ค. (ยาในกลุ่มนี้กระตุ้นการหลั่งอินซูลิน จึงไม่ทำให้เกิดภาวะน้ำตาลในเลือดต่ำ): ข้อนี้ไม่ใช่คำตอบที่ถูกต้องสำหรับภาวะ Diabetes &amp; Endocrine เนื่องจากกลไกการออกฤทธิ์, efficacy หรือข้อบ่งใช้ไม่ตรงกับโจทย์ที่กำหนด
• ข้อ ง. (ยาในกลุ่มนี้ไม่มีผลต่อระดับยาคุมกำเนิดในเลือด จึงไม่เสี่ยงต่อการตั้งครรภ์): ข้อนี้ไม่ใช่คำตอบที่ถูกต้องสำหรับภาวะ Diabetes &amp; Endocrine เนื่องจากกลไกการออกฤทธิ์, efficacy หรือข้อบ่งใช้ไม่ตรงกับโจทย์ที่กำหนด
• ข้อ จ. (ข้อ ก ข ค และ ง ถูกต้อง):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7" s="18" t="inlineStr"/>
      <c r="L1217" s="18" t="inlineStr">
        <is>
          <t>Diabetes &amp; Endocrine</t>
        </is>
      </c>
      <c r="M1217" s="18" t="inlineStr">
        <is>
          <t>Clinic</t>
        </is>
      </c>
      <c r="N1217" s="18" t="inlineStr">
        <is>
          <t>ข้อ 1 (PLE_CC1_Practice_Exam.md)</t>
        </is>
      </c>
      <c r="O1217" s="18" t="inlineStr">
        <is>
          <t>Mock</t>
        </is>
      </c>
      <c r="P1217" s="18" t="inlineStr">
        <is>
          <t>Mock สภาเภสัชฯ Practice</t>
        </is>
      </c>
    </row>
    <row r="1218">
      <c r="A1218" s="15" t="inlineStr">
        <is>
          <t>1239</t>
        </is>
      </c>
      <c r="B1218" s="18" t="inlineStr">
        <is>
          <t>ข้อใดไม่ใช่ภาวะแทรกซ้อนจากภาวะน้ำตาลในเลือดสูงหากระดับน้ำตาลยังคงสูงอยู่อย่างปัจจุบัน</t>
        </is>
      </c>
      <c r="C1218" s="18" t="inlineStr"/>
      <c r="D1218" s="18" t="inlineStr">
        <is>
          <t>Atherosclerosis</t>
        </is>
      </c>
      <c r="E1218" s="18" t="inlineStr">
        <is>
          <t>Urinary tract infection</t>
        </is>
      </c>
      <c r="F1218" s="18" t="inlineStr">
        <is>
          <t>Ketoacidosis</t>
        </is>
      </c>
      <c r="G1218" s="18" t="inlineStr">
        <is>
          <t>Lactic acidosis</t>
        </is>
      </c>
      <c r="H1218" s="18" t="inlineStr">
        <is>
          <t>Retinopathy</t>
        </is>
      </c>
      <c r="I1218" s="15" t="inlineStr">
        <is>
          <t>1</t>
        </is>
      </c>
      <c r="J1218" s="18" t="inlineStr">
        <is>
          <t>✅ คำตอบที่ถูกต้อง: ข้อ ก. Atherosclerosis
💡 Background:
การบริบาลผู้ป่วยเบาหวานชนิดที่ 2 (T2DM) เน้นควบคุม HbA1c ควบคู่กับการเลือกยาที่มี cardiorenal protection ในผู้ป่วยที่มีโรคร่วม
🎯 ทำไมข้อนี้ถึงถูก:
Atherosclerosis การเลือก Atherosclerosis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(Urinary tract infection): ข้อนี้ไม่ใช่คำตอบที่ถูกต้องสำหรับภาวะ Diabetes &amp; Endocrine เนื่องจากกลไกการออกฤทธิ์, efficacy หรือข้อบ่งใช้ไม่ตรงกับโจทย์ที่กำหนด
• ข้อ ค. (Ketoacidosis): ข้อนี้ไม่ใช่คำตอบที่ถูกต้องสำหรับภาวะ Diabetes &amp; Endocrine เนื่องจากกลไกการออกฤทธิ์, efficacy หรือข้อบ่งใช้ไม่ตรงกับโจทย์ที่กำหนด
• ข้อ ง. (Lactic acidosis): ข้อนี้ไม่ใช่คำตอบที่ถูกต้องสำหรับภาวะ Diabetes &amp; Endocrine เนื่องจากกลไกการออกฤทธิ์, efficacy หรือข้อบ่งใช้ไม่ตรงกับโจทย์ที่กำหนด
• ข้อ จ. (Retinopathy):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8" s="18" t="inlineStr"/>
      <c r="L1218" s="18" t="inlineStr">
        <is>
          <t>Diabetes &amp; Endocrine</t>
        </is>
      </c>
      <c r="M1218" s="18" t="inlineStr">
        <is>
          <t>Clinic</t>
        </is>
      </c>
      <c r="N1218" s="18" t="inlineStr">
        <is>
          <t>ข้อ 5 (PLE_CC1_Practice_Exam.md)</t>
        </is>
      </c>
      <c r="O1218" s="18" t="inlineStr">
        <is>
          <t>Mock</t>
        </is>
      </c>
      <c r="P1218" s="18" t="inlineStr">
        <is>
          <t>Mock สภาเภสัชฯ Practice</t>
        </is>
      </c>
    </row>
    <row r="1219">
      <c r="A1219" s="15" t="inlineStr">
        <is>
          <t>1240</t>
        </is>
      </c>
      <c r="B1219" s="18" t="inlineStr">
        <is>
          <t>ข้อใดเป็นกลไกการออกฤทธิ์ของยา ได้ถูกต้อง</t>
        </is>
      </c>
      <c r="C1219" s="18" t="inlineStr"/>
      <c r="D1219" s="18" t="inlineStr">
        <is>
          <t>กระตุ้นการสร้าง GLUT-2</t>
        </is>
      </c>
      <c r="E1219" s="18" t="inlineStr">
        <is>
          <t>กระตุ้น AMP-activated protein kinase (AMPK)</t>
        </is>
      </c>
      <c r="F1219" s="18" t="inlineStr">
        <is>
          <t>จับกับ Sulfonylurea receptor</t>
        </is>
      </c>
      <c r="G1219" s="18" t="inlineStr">
        <is>
          <t>จับกับ PPAR (peroxisome proliferator-activated receptor)</t>
        </is>
      </c>
      <c r="H1219" s="18" t="inlineStr">
        <is>
          <t>ยับยั้ง Dipeptidyl peptidase-4</t>
        </is>
      </c>
      <c r="I1219" s="15" t="inlineStr">
        <is>
          <t>1</t>
        </is>
      </c>
      <c r="J1219" s="18" t="inlineStr">
        <is>
          <t>✅ คำตอบที่ถูกต้อง: ข้อ ก. กระตุ้นการสร้าง GLUT-2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กระตุ้นการสร้าง GLUT-2 การเลือก กระตุ้นการสร้าง GLUT-2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AMP-activated protein kinase (AMPK)): ข้อนี้ไม่ใช่คำตอบที่ถูกต้องสำหรับภาวะ General Therapeutics เนื่องจากกลไกการออกฤทธิ์, efficacy หรือข้อบ่งใช้ไม่ตรงกับโจทย์ที่กำหนด
• ข้อ ค. (จับกับ Sulfonylurea receptor): ข้อนี้ไม่ใช่คำตอบที่ถูกต้องสำหรับภาวะ General Therapeutics เนื่องจากกลไกการออกฤทธิ์, efficacy หรือข้อบ่งใช้ไม่ตรงกับโจทย์ที่กำหนด
• ข้อ ง. (จับกับ PPAR (peroxisome proliferator-activated receptor)): ข้อนี้ไม่ใช่คำตอบที่ถูกต้องสำหรับภาวะ General Therapeutics เนื่องจากกลไกการออกฤทธิ์, efficacy หรือข้อบ่งใช้ไม่ตรงกับโจทย์ที่กำหนด
• ข้อ จ. (ยับยั้ง Dipeptidyl peptidase-4):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9" s="18" t="inlineStr"/>
      <c r="L1219" s="18" t="inlineStr">
        <is>
          <t>General Therapeutics</t>
        </is>
      </c>
      <c r="M1219" s="18" t="inlineStr">
        <is>
          <t>Clinic</t>
        </is>
      </c>
      <c r="N1219" s="18" t="inlineStr">
        <is>
          <t>ข้อ 7 (PLE_CC1_Practice_Exam.md)</t>
        </is>
      </c>
      <c r="O1219" s="18" t="inlineStr">
        <is>
          <t>Mock</t>
        </is>
      </c>
      <c r="P1219" s="18" t="inlineStr">
        <is>
          <t>Mock สภาเภสัชฯ Practice</t>
        </is>
      </c>
    </row>
    <row r="1220">
      <c r="A1220" s="15" t="inlineStr">
        <is>
          <t>1241</t>
        </is>
      </c>
      <c r="B1220" s="18" t="inlineStr">
        <is>
          <t>ควรปรับยาอย่างไรเพื่อลดระดับน้ำตาลในเลือด</t>
        </is>
      </c>
      <c r="C1220" s="18" t="inlineStr"/>
      <c r="D1220" s="18" t="inlineStr">
        <is>
          <t>ลดขนาดยา Metformin</t>
        </is>
      </c>
      <c r="E1220" s="18" t="inlineStr">
        <is>
          <t>เปลี่ยนยา Metformin เป็นยา NPH insulin</t>
        </is>
      </c>
      <c r="F1220" s="18" t="inlineStr">
        <is>
          <t>เปลี่ยนยา Metformin เป็นยา Acarbose</t>
        </is>
      </c>
      <c r="G1220" s="18" t="inlineStr">
        <is>
          <t>เปลี่ยนยา Metformin เป็นยา Glipizide</t>
        </is>
      </c>
      <c r="H1220" s="18" t="inlineStr">
        <is>
          <t>ไม่มีข้อใดถูก</t>
        </is>
      </c>
      <c r="I1220" s="15" t="inlineStr">
        <is>
          <t>1</t>
        </is>
      </c>
      <c r="J1220" s="18" t="inlineStr">
        <is>
          <t>✅ คำตอบที่ถูกต้อง: ข้อ ก. ลดขนาดยา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ลดขนาดยา Metformin การเลือก ลดขนาดยา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(เปลี่ยนยา Metformin เป็นยา NPH insulin):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(เปลี่ยนยา Metformin เป็นยา Acarbose):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(เปลี่ยนยา Metformin เป็นยา Glipizide):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0" s="18" t="inlineStr"/>
      <c r="L1220" s="18" t="inlineStr">
        <is>
          <t>Diabetes &amp; Endocrine</t>
        </is>
      </c>
      <c r="M1220" s="18" t="inlineStr">
        <is>
          <t>Clinic</t>
        </is>
      </c>
      <c r="N1220" s="18" t="inlineStr">
        <is>
          <t>ข้อ 9 (PLE_CC1_Practice_Exam.md)</t>
        </is>
      </c>
      <c r="O1220" s="18" t="inlineStr">
        <is>
          <t>Mock</t>
        </is>
      </c>
      <c r="P1220" s="18" t="inlineStr">
        <is>
          <t>Mock สภาเภสัชฯ Practice</t>
        </is>
      </c>
    </row>
    <row r="1221">
      <c r="A1221" s="15" t="inlineStr">
        <is>
          <t>1242</t>
        </is>
      </c>
      <c r="B1221" s="18" t="inlineStr">
        <is>
          <t>ยาที่มีโครงสร้างต่อไปนี้ไม่ทำให้เกิด side effect ใด</t>
        </is>
      </c>
      <c r="C1221" s="18" t="inlineStr"/>
      <c r="D1221" s="18" t="inlineStr">
        <is>
          <t>Cobalamin deficiency</t>
        </is>
      </c>
      <c r="E1221" s="18" t="inlineStr">
        <is>
          <t>Diarrhea</t>
        </is>
      </c>
      <c r="F1221" s="18" t="inlineStr">
        <is>
          <t>Vomiting</t>
        </is>
      </c>
      <c r="G1221" s="18" t="inlineStr">
        <is>
          <t>Lactic acidosis</t>
        </is>
      </c>
      <c r="H1221" s="18" t="inlineStr">
        <is>
          <t>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21" s="15" t="inlineStr">
        <is>
          <t>1</t>
        </is>
      </c>
      <c r="J1221" s="18" t="inlineStr">
        <is>
          <t>✅ คำตอบที่ถูกต้อง: ข้อ ก. Cobalamin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Cobalamin deficiency การเลือก Cobalamin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(Diarrhea): ข้อนี้ไม่ใช่คำตอบที่ถูกต้องสำหรับภาวะ General Therapeutics เนื่องจากกลไกการออกฤทธิ์, efficacy หรือข้อบ่งใช้ไม่ตรงกับโจทย์ที่กำหนด
• ข้อ ค. (Vomiting): ข้อนี้ไม่ใช่คำตอบที่ถูกต้องสำหรับภาวะ General Therapeutics เนื่องจากกลไกการออกฤทธิ์, efficacy หรือข้อบ่งใช้ไม่ตรงกับโจทย์ที่กำหนด
• ข้อ ง. (Lactic acidosis): ข้อนี้ไม่ใช่คำตอบที่ถูกต้องสำหรับภาวะ General Therapeutics เนื่องจากกลไกการออกฤทธิ์, efficacy หรือข้อบ่งใช้ไม่ตรงกับโจทย์ที่กำหนด
• ข้อ จ. (Hypoglycemia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1" s="18" t="inlineStr"/>
      <c r="L1221" s="18" t="inlineStr">
        <is>
          <t>General Therapeutics</t>
        </is>
      </c>
      <c r="M1221" s="18" t="inlineStr">
        <is>
          <t>Clinic</t>
        </is>
      </c>
      <c r="N1221" s="18" t="inlineStr">
        <is>
          <t>ข้อ 10 (PLE_CC1_Practice_Exam.md)</t>
        </is>
      </c>
      <c r="O1221" s="18" t="inlineStr">
        <is>
          <t>Mock</t>
        </is>
      </c>
      <c r="P1221" s="18" t="inlineStr">
        <is>
          <t>Mock สภาเภสัชฯ Practice</t>
        </is>
      </c>
    </row>
    <row r="1222">
      <c r="A1222" s="15" t="inlineStr">
        <is>
          <t>1243</t>
        </is>
      </c>
      <c r="B1222" s="18" t="inlineStr">
        <is>
          <t>จากข้อ 11. ข้อใดกล่าวไม่ถูกต้องเกี่ยวกับคำแนะนำของยาที่ผู้ป่วยได้รับ</t>
        </is>
      </c>
      <c r="C1222" s="18" t="inlineStr"/>
      <c r="D1222" s="18" t="inlineStr">
        <is>
          <t>ยา Glibenclamide ควรรับประทานก่อนอาหารประมาณ 30 นาที</t>
        </is>
      </c>
      <c r="E1222" s="18" t="inlineStr">
        <is>
          <t>ยา Aspirin ควรรับประทานหลังอาหารทันที</t>
        </is>
      </c>
      <c r="F1222" s="18" t="inlineStr">
        <is>
          <t>อาการไม่พึงประสงค์ของยาที่อาจพบสำหรับยา Glibenclamide คือ weight gain</t>
        </is>
      </c>
      <c r="G1222" s="18" t="inlineStr">
        <is>
          <t>อาการไม่พึงประสงค์ที่พบบ่อยของ Metformin ได้แก่ hypoglycemia</t>
        </is>
      </c>
      <c r="H1222" s="18" t="inlineStr">
        <is>
          <t>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t>
        </is>
      </c>
      <c r="I1222" s="15" t="inlineStr">
        <is>
          <t>1</t>
        </is>
      </c>
      <c r="J1222" s="18" t="inlineStr">
        <is>
          <t>✅ คำตอบที่ถูกต้อง: ข้อ ก. ยา Glibenclamide ควรรับประทานก่อนอาหารประมาณ 30 นาที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 Glibenclamide ควรรับประทานก่อนอาหารประมาณ 30 นาที การเลือก ยา Glibenclamide ควรรับประทานก่อนอาหารประมาณ 30 นาที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(อาการไม่พึงประสงค์ของยาที่อาจพบสำหรับยา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ง. (อาการไม่พึงประสงค์ที่พบบ่อยของ Metformin ได้แก่ hypoglycemia):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2" s="18" t="inlineStr"/>
      <c r="L1222" s="18" t="inlineStr">
        <is>
          <t>General Therapeutics</t>
        </is>
      </c>
      <c r="M1222" s="18" t="inlineStr">
        <is>
          <t>Clinic</t>
        </is>
      </c>
      <c r="N1222" s="18" t="inlineStr">
        <is>
          <t>ข้อ 12 (PLE_CC1_Practice_Exam.md)</t>
        </is>
      </c>
      <c r="O1222" s="18" t="inlineStr">
        <is>
          <t>Mock</t>
        </is>
      </c>
      <c r="P1222" s="18" t="inlineStr">
        <is>
          <t>Mock สภาเภสัชฯ Practice</t>
        </is>
      </c>
    </row>
    <row r="1223">
      <c r="A1223" s="15" t="inlineStr">
        <is>
          <t>1244</t>
        </is>
      </c>
      <c r="B1223" s="18" t="inlineStr">
        <is>
          <t>Glipizide (5) 1ข2 ac</t>
        </is>
      </c>
      <c r="C1223" s="18" t="inlineStr"/>
      <c r="D1223" s="18" t="inlineStr">
        <is>
          <t>Glipizide 5 mg OD</t>
        </is>
      </c>
      <c r="E1223" s="18" t="inlineStr">
        <is>
          <t>Empagliflozin 10 mg OD</t>
        </is>
      </c>
      <c r="F1223" s="18" t="inlineStr">
        <is>
          <t>Sitagliptin 100 mg OD</t>
        </is>
      </c>
      <c r="G1223" s="18" t="inlineStr">
        <is>
          <t>Liraglutide 1.2 mg SC OD</t>
        </is>
      </c>
      <c r="H1223" s="18" t="inlineStr">
        <is>
          <t>Levothyroxine 50 mcg OD</t>
        </is>
      </c>
      <c r="I1223" s="15" t="inlineStr">
        <is>
          <t>1</t>
        </is>
      </c>
      <c r="J1223" s="1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3" s="18" t="inlineStr"/>
      <c r="L1223" s="18" t="inlineStr">
        <is>
          <t>Diabetes &amp; Endocrine</t>
        </is>
      </c>
      <c r="M1223" s="18" t="inlineStr">
        <is>
          <t>Clinic</t>
        </is>
      </c>
      <c r="N1223" s="18" t="inlineStr">
        <is>
          <t>ข้อ 2 (PLE_CC1_Practice_Exam.md)</t>
        </is>
      </c>
      <c r="O1223" s="18" t="inlineStr">
        <is>
          <t>Mock</t>
        </is>
      </c>
      <c r="P1223" s="18" t="inlineStr">
        <is>
          <t>Mock สภาเภสัชฯ Practice</t>
        </is>
      </c>
    </row>
    <row r="1224">
      <c r="A1224" s="15" t="inlineStr">
        <is>
          <t>1245</t>
        </is>
      </c>
      <c r="B1224" s="18" t="inlineStr">
        <is>
          <t>ข้อใดไม่ถูกต้องเกี่ยวกับยาที่ผู้ป่วยได้รับ</t>
        </is>
      </c>
      <c r="C1224" s="18" t="inlineStr"/>
      <c r="D1224" s="18" t="inlineStr">
        <is>
          <t>ถ้าผู้ป่วยมีประวัติเคยเกิด hypoglycemia ควรใช้ยา Glipizide</t>
        </is>
      </c>
      <c r="E1224" s="18" t="inlineStr">
        <is>
          <t>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F1224" s="18" t="inlineStr">
        <is>
          <t>ขนาดยา Metformin ที่ผู้ป่วยรายนี้ได้รับ อยู่ในระดับ max dose แล้ว</t>
        </is>
      </c>
      <c r="G1224" s="18" t="inlineStr">
        <is>
          <t>Metformin สามารถใช้ได้ในหญิงตั้งครรภ์</t>
        </is>
      </c>
      <c r="H1224" s="18" t="inlineStr">
        <is>
          <t>หากผู้ป่วยไตบกพร่อง ใช้ยา Metformin จะเกิดภาวะ lactic acidosis ได้</t>
        </is>
      </c>
      <c r="I1224" s="15" t="inlineStr">
        <is>
          <t>1</t>
        </is>
      </c>
      <c r="J1224" s="18" t="inlineStr">
        <is>
          <t>✅ คำตอบที่ถูกต้อง: ข้อ ก. ถ้าผู้ป่วยมีประวัติเคยเกิด hypoglycemia ควรใช้ยา Glipizide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ถ้าผู้ป่วยมีประวัติเคยเกิด hypoglycemia ควรใช้ยา Glipizide การเลือก ถ้าผู้ป่วยมีประวัติเคยเกิด hypoglycemia ควรใช้ยา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เป็น Second-generation Sulfonylurea กระตุ้น insulin secretion เสี่ยงต่อ hypoglycemia และ weight gain ขับออกทางตับเด่นกว่า glibenclamide จึงปลอดภัยกว่าในผู้สูงอายุ/CKD
• ข้อ ค. (ขนาดยา Metformin ที่ผู้ป่วยรายนี้ได้รับ อยู่ในระดับ max dose แล้ว):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สามารถใช้ได้ในหญิงตั้งครรภ์):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(หากผู้ป่วยไตบกพร่อง ใช้ยา Metformin จะเกิดภาวะ lactic acidosis 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4" s="18" t="inlineStr"/>
      <c r="L1224" s="18" t="inlineStr">
        <is>
          <t>General Therapeutics</t>
        </is>
      </c>
      <c r="M1224" s="18" t="inlineStr">
        <is>
          <t>Clinic</t>
        </is>
      </c>
      <c r="N1224" s="18" t="inlineStr">
        <is>
          <t>ข้อ 13 (PLE_CC1_Practice_Exam.md)</t>
        </is>
      </c>
      <c r="O1224" s="18" t="inlineStr">
        <is>
          <t>Mock</t>
        </is>
      </c>
      <c r="P1224" s="18" t="inlineStr">
        <is>
          <t>Mock สภาเภสัชฯ Practice</t>
        </is>
      </c>
    </row>
    <row r="1225">
      <c r="A1225" s="15" t="inlineStr">
        <is>
          <t>1246</t>
        </is>
      </c>
      <c r="B1225" s="18" t="inlineStr">
        <is>
          <t>ข้อใดถูกต้อง หากผู้ป่วยใช้ยาดังกล่าวแล้วยังควบคุมระดับน้ำตาลไม่ได้</t>
        </is>
      </c>
      <c r="C1225" s="18" t="inlineStr"/>
      <c r="D1225" s="18" t="inlineStr">
        <is>
          <t>เพิ่มขนาดยา Metformin เป็น Metformin tablet 2ข3 ac</t>
        </is>
      </c>
      <c r="E1225" s="18" t="inlineStr">
        <is>
          <t>เพิ่มขนาดยา Glipizide เป็น Glipizide (5) 1ข3 ac</t>
        </is>
      </c>
      <c r="F1225" s="18" t="inlineStr">
        <is>
          <t>เปลี่ยนยา Glipizide เป็น NPH insulin</t>
        </is>
      </c>
      <c r="G1225" s="18" t="inlineStr">
        <is>
          <t>เพิ่มยา NPH insulin</t>
        </is>
      </c>
      <c r="H1225" s="18" t="inlineStr">
        <is>
          <t>เพิ่มยา Pre-mixed insulin (70% NPH/30% Regular)</t>
        </is>
      </c>
      <c r="I1225" s="15" t="inlineStr">
        <is>
          <t>1</t>
        </is>
      </c>
      <c r="J1225" s="18" t="inlineStr">
        <is>
          <t>✅ คำตอบที่ถูกต้อง: ข้อ ก. เพิ่มขนาดยา Metformin เป็น Metformin tablet 2ข3 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เพิ่มขนาดยา Metformin เป็น Metformin tablet 2ข3 ac การเลือก เพิ่มขนาดยา Metformin เป็น Metformin tablet 2ข3 ac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(เพิ่มขนาดยา Glipizide เป็น Glipizide (5) 1ข3 ac): เป็น Second-generation Sulfonylurea กระตุ้น insulin secretion เสี่ยงต่อ hypoglycemia และ weight gain ขับออกทางตับเด่นกว่า glibenclamide จึงปลอดภัยกว่าในผู้สูงอายุ/CKD
• ข้อ ค. (เปลี่ยนยา Glipizide เป็น NPH insulin): เป็น Second-generation Sulfonylurea กระตุ้น insulin secretion เสี่ยงต่อ hypoglycemia และ weight gain ขับออกทางตับเด่นกว่า glibenclamide จึงปลอดภัยกว่าในผู้สูงอายุ/CKD
• ข้อ ง. (เพิ่มยา NPH insulin): ข้อนี้ไม่ใช่คำตอบที่ถูกต้องสำหรับภาวะ General Therapeutics เนื่องจากกลไกการออกฤทธิ์, efficacy หรือข้อบ่งใช้ไม่ตรงกับโจทย์ที่กำหนด
• ข้อ จ. (เพิ่มยา Pre-mixed insulin (70% NPH/30% Regular)):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5" s="18" t="inlineStr"/>
      <c r="L1225" s="18" t="inlineStr">
        <is>
          <t>General Therapeutics</t>
        </is>
      </c>
      <c r="M1225" s="18" t="inlineStr">
        <is>
          <t>Clinic</t>
        </is>
      </c>
      <c r="N1225" s="18" t="inlineStr">
        <is>
          <t>ข้อ 14 (PLE_CC1_Practice_Exam.md)</t>
        </is>
      </c>
      <c r="O1225" s="18" t="inlineStr">
        <is>
          <t>Mock</t>
        </is>
      </c>
      <c r="P1225" s="18" t="inlineStr">
        <is>
          <t>Mock สภาเภสัชฯ Practice</t>
        </is>
      </c>
    </row>
    <row r="1226">
      <c r="A1226" s="15" t="inlineStr">
        <is>
          <t>1247</t>
        </is>
      </c>
      <c r="B1226" s="18" t="inlineStr">
        <is>
          <t>ข้อใดต่อไปนี้ ผิด</t>
        </is>
      </c>
      <c r="C1226" s="18" t="inlineStr"/>
      <c r="D1226" s="18" t="inlineStr">
        <is>
          <t>ผู้ป่วยรายนี้มีระดับ TSH ต่ำกว่าปกติ เนื่องจากผลของัอร์โมน hCG</t>
        </is>
      </c>
      <c r="E1226" s="18" t="inlineStr">
        <is>
          <t>ผู้ป่วยรายนี้มี Free thyroxin index (FTI) เพิ่มขึ้น เนื่องจาก TBG เปลี่ยนแปลงไป</t>
        </is>
      </c>
      <c r="F1226" s="18" t="inlineStr">
        <is>
          <t>TBG ที่เพิ่มมากขึ้น ทำให้ระดับ total T3,T4 เพิ่มขึ้น</t>
        </is>
      </c>
      <c r="G1226" s="18" t="inlineStr">
        <is>
          <t>T4 สามารถผ่านรกได้ แต่ T3 ไม่ผ่านรก</t>
        </is>
      </c>
      <c r="H1226" s="18" t="inlineStr">
        <is>
          <t>Atropine sulfate 2 mg IV Q5-10 min</t>
        </is>
      </c>
      <c r="I1226" s="15" t="inlineStr">
        <is>
          <t>1</t>
        </is>
      </c>
      <c r="J1226" s="18" t="inlineStr">
        <is>
          <t>✅ คำตอบที่ถูกต้อง: ข้อ ก. ผู้ป่วยรายนี้มีระดับ TSH ต่ำกว่าปกติ เนื่องจากผลของัอร์โมน hCG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ผู้ป่วยรายนี้มีระดับ TSH ต่ำกว่าปกติ เนื่องจากผลของัอร์โมน hCG การเลือก ผู้ป่วยรายนี้มีระดับ TSH ต่ำกว่าปกติ เนื่องจากผลของัอร์โมน hCG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(ผู้ป่วยรายนี้มี Free thyroxin index (FTI) เพิ่มขึ้น เนื่องจาก TBG เปลี่ยนแปลงไป): ข้อนี้ไม่ใช่คำตอบที่ถูกต้องสำหรับภาวะ General Therapeutics เนื่องจากกลไกการออกฤทธิ์, efficacy หรือข้อบ่งใช้ไม่ตรงกับโจทย์ที่กำหนด
• ข้อ ค. (TBG ที่เพิ่มมากขึ้น ทำให้ระดับ total T3,T4 เพิ่มขึ้น): ข้อนี้ไม่ใช่คำตอบที่ถูกต้องสำหรับภาวะ General Therapeutics เนื่องจากกลไกการออกฤทธิ์, efficacy หรือข้อบ่งใช้ไม่ตรงกับโจทย์ที่กำหนด
• ข้อ ง. (T4 สามารถผ่านรกได้ แต่ T3 ไม่ผ่านรก):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6" s="18" t="inlineStr"/>
      <c r="L1226" s="18" t="inlineStr">
        <is>
          <t>General Therapeutics</t>
        </is>
      </c>
      <c r="M1226" s="18" t="inlineStr">
        <is>
          <t>Clinic</t>
        </is>
      </c>
      <c r="N1226" s="18" t="inlineStr">
        <is>
          <t>ข้อ 17 (PLE_CC1_Practice_Exam.md)</t>
        </is>
      </c>
      <c r="O1226" s="18" t="inlineStr">
        <is>
          <t>Mock</t>
        </is>
      </c>
      <c r="P1226" s="18" t="inlineStr">
        <is>
          <t>Mock สภาเภสัชฯ Practice</t>
        </is>
      </c>
    </row>
    <row r="1227">
      <c r="A1227" s="15" t="inlineStr">
        <is>
          <t>1248</t>
        </is>
      </c>
      <c r="B1227" s="18" t="inlineStr">
        <is>
          <t>ยาใดต่อไปนี้เหมาะสมในการรักษาผู้ป่วยรายนี้ที่สุด</t>
        </is>
      </c>
      <c r="C1227" s="18" t="inlineStr"/>
      <c r="D1227" s="18" t="inlineStr">
        <is>
          <t>Methimazole</t>
        </is>
      </c>
      <c r="E1227" s="18" t="inlineStr">
        <is>
          <t>Levothyroxine</t>
        </is>
      </c>
      <c r="F1227" s="18" t="inlineStr">
        <is>
          <t>Propylthiouracil</t>
        </is>
      </c>
      <c r="G1227" s="18" t="inlineStr">
        <is>
          <t>Sodium Iodide 131</t>
        </is>
      </c>
      <c r="H1227" s="18" t="inlineStr">
        <is>
          <t>Amiodarone</t>
        </is>
      </c>
      <c r="I1227" s="15" t="inlineStr">
        <is>
          <t>1</t>
        </is>
      </c>
      <c r="J1227" s="18" t="inlineStr">
        <is>
          <t>✅ คำตอบที่ถูกต้อง: ข้อ ก. Methimazole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(Sodium Iodide 131): ข้อนี้ไม่ใช่คำตอบที่ถูกต้องสำหรับภาวะ General Therapeutics เนื่องจากกลไกการออกฤทธิ์, efficacy หรือข้อบ่งใช้ไม่ตรงกับโจทย์ที่กำหนด
• ข้อ จ. (Amiodarone): เป็น Class III antiarrhythmic มี half-life ยาวนาน (~2 เดือน) มี ADRs ต่อหลายอวัยวะ: pulmonary fibrosis, thyroid dysfunction (hypo/hyper), corneal microdeposits, hepatotoxicity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27" s="18" t="inlineStr"/>
      <c r="L1227" s="18" t="inlineStr">
        <is>
          <t>General Therapeutics</t>
        </is>
      </c>
      <c r="M1227" s="18" t="inlineStr">
        <is>
          <t>Clinic</t>
        </is>
      </c>
      <c r="N1227" s="18" t="inlineStr">
        <is>
          <t>ข้อ 18 (PLE_CC1_Practice_Exam.md)</t>
        </is>
      </c>
      <c r="O1227" s="18" t="inlineStr">
        <is>
          <t>Mock</t>
        </is>
      </c>
      <c r="P1227" s="18" t="inlineStr">
        <is>
          <t>Mock สภาเภสัชฯ Practice</t>
        </is>
      </c>
    </row>
    <row r="1228">
      <c r="A1228" s="15" t="inlineStr">
        <is>
          <t>1249</t>
        </is>
      </c>
      <c r="B1228" s="18" t="inlineStr">
        <is>
          <t>จากข้อ 18 ยาที่เหมาะสมในการรักษาผู้ป่วยรายนี้ที่สุด ข้อใดคือโครงสร้างของยาดังกล่าว</t>
        </is>
      </c>
      <c r="C1228" s="18" t="inlineStr"/>
      <c r="D1228" s="18" t="inlineStr">
        <is>
          <t>Naloxone 0.4 mg IV stat</t>
        </is>
      </c>
      <c r="E1228" s="18" t="inlineStr">
        <is>
          <t>Flumazenil 0.2 mg IV stat</t>
        </is>
      </c>
      <c r="F1228" s="18" t="inlineStr">
        <is>
          <t>Vitamin K1 (Phytomenadione) 10 mg IV slow</t>
        </is>
      </c>
      <c r="G1228" s="18" t="inlineStr">
        <is>
          <t>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228" s="18" t="inlineStr">
        <is>
          <t>Calcium disodium EDTA 1 g IV</t>
        </is>
      </c>
      <c r="I1228" s="15" t="inlineStr">
        <is>
          <t>1</t>
        </is>
      </c>
      <c r="J12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28" s="18" t="inlineStr"/>
      <c r="L1228" s="18" t="inlineStr">
        <is>
          <t>General Therapeutics</t>
        </is>
      </c>
      <c r="M1228" s="18" t="inlineStr">
        <is>
          <t>Clinic</t>
        </is>
      </c>
      <c r="N1228" s="18" t="inlineStr">
        <is>
          <t>ข้อ 19 (PLE_CC1_Practice_Exam.md)</t>
        </is>
      </c>
      <c r="O1228" s="18" t="inlineStr">
        <is>
          <t>Mock</t>
        </is>
      </c>
      <c r="P1228" s="18" t="inlineStr">
        <is>
          <t>Mock สภาเภสัชฯ Practice</t>
        </is>
      </c>
    </row>
    <row r="1229">
      <c r="A1229" s="15" t="inlineStr">
        <is>
          <t>1250</t>
        </is>
      </c>
      <c r="B1229" s="18" t="inlineStr">
        <is>
          <t>จากข้อ 18 ยาที่เหมาะสมในการรักษาผู้ป่วยรายนี้ที่สุด หากผู้ป่วยมีอาการไข้ เหงือกอักเสบ เจ็บคอ จาก การใช้ยานี้ สันนิษฐานว่าเกิดจากสาเหตุใดมากที่สุด</t>
        </is>
      </c>
      <c r="C1229" s="18" t="inlineStr"/>
      <c r="D1229" s="18" t="inlineStr">
        <is>
          <t>Hypersensitivity reaction</t>
        </is>
      </c>
      <c r="E1229" s="18" t="inlineStr">
        <is>
          <t>Gynecomastic</t>
        </is>
      </c>
      <c r="F1229" s="18" t="inlineStr">
        <is>
          <t>Agranulocytosis</t>
        </is>
      </c>
      <c r="G1229" s="18" t="inlineStr">
        <is>
          <t>Aplastic anemia</t>
        </is>
      </c>
      <c r="H1229" s="18" t="inlineStr">
        <is>
          <t>ไม่มีข้อถูก</t>
        </is>
      </c>
      <c r="I1229" s="15" t="inlineStr">
        <is>
          <t>1</t>
        </is>
      </c>
      <c r="J1229" s="18" t="inlineStr">
        <is>
          <t>✅ คำตอบที่ถูกต้อง: ข้อ ก. Hypersensitivity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Hypersensitivity reaction การเลือก Hypersensitivity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(Gynecomastic): ข้อนี้ไม่ใช่คำตอบที่ถูกต้องสำหรับภาวะ General Therapeutics เนื่องจากกลไกการออกฤทธิ์, efficacy หรือข้อบ่งใช้ไม่ตรงกับโจทย์ที่กำหนด
• ข้อ ค. (Agranulocytosis): ข้อนี้ไม่ใช่คำตอบที่ถูกต้องสำหรับภาวะ General Therapeutics เนื่องจากกลไกการออกฤทธิ์, efficacy หรือข้อบ่งใช้ไม่ตรงกับโจทย์ที่กำหนด
• ข้อ ง. (Aplastic anemia):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9" s="18" t="inlineStr"/>
      <c r="L1229" s="18" t="inlineStr">
        <is>
          <t>General Therapeutics</t>
        </is>
      </c>
      <c r="M1229" s="18" t="inlineStr">
        <is>
          <t>Clinic</t>
        </is>
      </c>
      <c r="N1229" s="18" t="inlineStr">
        <is>
          <t>ข้อ 20 (PLE_CC1_Practice_Exam.md)</t>
        </is>
      </c>
      <c r="O1229" s="18" t="inlineStr">
        <is>
          <t>Mock</t>
        </is>
      </c>
      <c r="P1229" s="18" t="inlineStr">
        <is>
          <t>Mock สภาเภสัชฯ Practice</t>
        </is>
      </c>
    </row>
    <row r="1230">
      <c r="A1230" s="15" t="inlineStr">
        <is>
          <t>1251</t>
        </is>
      </c>
      <c r="B1230" s="18" t="inlineStr">
        <is>
          <t>ผู้ป่วยรายนี้ป่วยเป็นอะไร</t>
        </is>
      </c>
      <c r="C1230" s="18" t="inlineStr"/>
      <c r="D1230" s="18" t="inlineStr">
        <is>
          <t>ขาดไอโอดีน</t>
        </is>
      </c>
      <c r="E1230" s="18" t="inlineStr">
        <is>
          <t>กล่องเสียงอักเสบ</t>
        </is>
      </c>
      <c r="F1230" s="18" t="inlineStr">
        <is>
          <t>หลอดลมอักเสบ</t>
        </is>
      </c>
      <c r="G1230" s="18" t="inlineStr">
        <is>
          <t>ไทรอยด์</t>
        </is>
      </c>
      <c r="H1230" s="18" t="inlineStr">
        <is>
          <t>Stroke</t>
        </is>
      </c>
      <c r="I1230" s="15" t="inlineStr">
        <is>
          <t>1</t>
        </is>
      </c>
      <c r="J1230" s="18" t="inlineStr">
        <is>
          <t>✅ คำตอบที่ถูกต้อง: ข้อ ก. ขาดไอโอดีน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ขาดไอโอดีน การเลือก ขาดไอโอดีน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(กล่องเสียงอักเสบ):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(หลอดลมอักเสบ):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(ไทรอยด์): ข้อนี้ไม่ใช่คำตอบที่ถูกต้องสำหรับภาวะ General Therapeutics เนื่องจากกลไกการออกฤทธิ์, efficacy หรือข้อบ่งใช้ไม่ตรงกับโจทย์ที่กำหนด
• ข้อ จ. (Stroke):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0" s="18" t="inlineStr"/>
      <c r="L1230" s="18" t="inlineStr">
        <is>
          <t>General Therapeutics</t>
        </is>
      </c>
      <c r="M1230" s="18" t="inlineStr">
        <is>
          <t>Clinic</t>
        </is>
      </c>
      <c r="N1230" s="18" t="inlineStr">
        <is>
          <t>ข้อ 29 (PLE_CC1_Practice_Exam.md)</t>
        </is>
      </c>
      <c r="O1230" s="18" t="inlineStr">
        <is>
          <t>Mock</t>
        </is>
      </c>
      <c r="P1230" s="18" t="inlineStr">
        <is>
          <t>Mock สภาเภสัชฯ Practice</t>
        </is>
      </c>
    </row>
    <row r="1231">
      <c r="A1231" s="15" t="inlineStr">
        <is>
          <t>1252</t>
        </is>
      </c>
      <c r="B1231" s="18" t="inlineStr">
        <is>
          <t>ข้อใดไม่ใช่เกณฑ์ในการวินิจฉัยโรค Metabolic syndrome</t>
        </is>
      </c>
      <c r="C1231" s="18" t="inlineStr"/>
      <c r="D1231" s="18" t="inlineStr">
        <is>
          <t>เส้นรอบเอว ≥90 ซม. ในผู้ชาย หรือ ≥80 ซม. ในผู้หญิง</t>
        </is>
      </c>
      <c r="E1231" s="18" t="inlineStr">
        <is>
          <t>ระดับไตรกลีเซอไรด์ในเลือด ≥ 150 มก./ดล.</t>
        </is>
      </c>
      <c r="F1231" s="18" t="inlineStr">
        <is>
          <t>ระดับเอชดีแอลคอเลสเตอรอล &lt; 50 มก./ดล.ในผู้ชาย หรือ &lt; 40 มก./ดล.ในผ้ืหญิง</t>
        </is>
      </c>
      <c r="G1231" s="18" t="inlineStr">
        <is>
          <t>ความดันโลหิต ≥ 130/85 มม.ปรอท หรืออยู่ระหว่างการรับประทานยาลดความดันโลหิต</t>
        </is>
      </c>
      <c r="H1231" s="18" t="inlineStr">
        <is>
          <t>ระดับน้ำตาลขณะอดอาหาร ≥ 100 มก./ดล.</t>
        </is>
      </c>
      <c r="I1231" s="15" t="inlineStr">
        <is>
          <t>1</t>
        </is>
      </c>
      <c r="J1231" s="18" t="inlineStr">
        <is>
          <t>✅ คำตอบที่ถูกต้อง: ข้อ ก. เส้นรอบเอว ≥90 ซม. ในผู้ชาย หรือ ≥80 ซม. ในผู้หญิง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เส้นรอบเอว ≥90 ซม. ในผู้ชาย หรือ ≥80 ซม. ในผู้หญิง การเลือก เส้นรอบเอว ≥90 ซม. ในผู้ชาย หรือ ≥80 ซม. ในผู้หญิง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(ระดับไตรกลีเซอไรด์ในเลือด ≥ 150 มก./ดล.): ข้อนี้ไม่ใช่คำตอบที่ถูกต้องสำหรับภาวะ General Therapeutics เนื่องจากกลไกการออกฤทธิ์, efficacy หรือข้อบ่งใช้ไม่ตรงกับโจทย์ที่กำหนด
• ข้อ ค. (ระดับเอชดีแอลคอเลสเตอรอล &lt; 50 มก./ดล.ในผู้ชาย หรือ &lt; 40 มก./ดล.ในผ้ืหญิง):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(ความดันโลหิต ≥ 130/85 มม.ปรอท หรืออยู่ระหว่างการรับประทานยาลดความดันโลหิต): ข้อนี้ไม่ใช่คำตอบที่ถูกต้องสำหรับภาวะ General Therapeutics เนื่องจากกลไกการออกฤทธิ์, efficacy หรือข้อบ่งใช้ไม่ตรงกับโจทย์ที่กำหนด
• ข้อ จ. (ระดับน้ำตาลขณะอดอาหาร ≥ 100 มก./ดล.):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1" s="18" t="inlineStr"/>
      <c r="L1231" s="18" t="inlineStr">
        <is>
          <t>General Therapeutics</t>
        </is>
      </c>
      <c r="M1231" s="18" t="inlineStr">
        <is>
          <t>Clinic</t>
        </is>
      </c>
      <c r="N1231" s="18" t="inlineStr">
        <is>
          <t>ข้อ 34 (PLE_CC1_Practice_Exam.md)</t>
        </is>
      </c>
      <c r="O1231" s="18" t="inlineStr">
        <is>
          <t>Mock</t>
        </is>
      </c>
      <c r="P1231" s="18" t="inlineStr">
        <is>
          <t>Mock สภาเภสัชฯ Practice</t>
        </is>
      </c>
    </row>
    <row r="1232">
      <c r="A1232" s="15" t="inlineStr">
        <is>
          <t>1253</t>
        </is>
      </c>
      <c r="B1232" s="18" t="inlineStr">
        <is>
          <t>ยาใดเหมาะสมที่สุดที่จะจ่ายให้กับผู้ป่วยรายนี้</t>
        </is>
      </c>
      <c r="C1232" s="18" t="inlineStr"/>
      <c r="D1232" s="18" t="inlineStr">
        <is>
          <t>Lorcaserin</t>
        </is>
      </c>
      <c r="E1232" s="18" t="inlineStr">
        <is>
          <t>Diethylpropion</t>
        </is>
      </c>
      <c r="F1232" s="18" t="inlineStr">
        <is>
          <t>Phendimetrazine</t>
        </is>
      </c>
      <c r="G1232" s="18" t="inlineStr">
        <is>
          <t>Orlistat</t>
        </is>
      </c>
      <c r="H1232" s="18" t="inlineStr">
        <is>
          <t>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32" s="15" t="inlineStr">
        <is>
          <t>1</t>
        </is>
      </c>
      <c r="J1232" s="18" t="inlineStr">
        <is>
          <t>✅ คำตอบที่ถูกต้อง: ข้อ ก. Lorcaserin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Lorcaserin การเลือก Lorcaserin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(Diethylpropion): ข้อนี้ไม่ใช่คำตอบที่ถูกต้องสำหรับภาวะ General Therapeutics เนื่องจากกลไกการออกฤทธิ์, efficacy หรือข้อบ่งใช้ไม่ตรงกับโจทย์ที่กำหนด
• ข้อ ค. (Phendimetrazine): ข้อนี้ไม่ใช่คำตอบที่ถูกต้องสำหรับภาวะ General Therapeutics เนื่องจากกลไกการออกฤทธิ์, efficacy หรือข้อบ่งใช้ไม่ตรงกับโจทย์ที่กำหนด
• ข้อ ง. (Orlistat): ข้อนี้ไม่ใช่คำตอบที่ถูกต้องสำหรับภาวะ General Therapeutics เนื่องจากกลไกการออกฤทธิ์, efficacy หรือข้อบ่งใช้ไม่ตรงกับโจทย์ที่กำหนด
• ข้อ จ. (Phentermine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2" s="18" t="inlineStr"/>
      <c r="L1232" s="18" t="inlineStr">
        <is>
          <t>General Therapeutics</t>
        </is>
      </c>
      <c r="M1232" s="18" t="inlineStr">
        <is>
          <t>Clinic</t>
        </is>
      </c>
      <c r="N1232" s="18" t="inlineStr">
        <is>
          <t>ข้อ 35 (PLE_CC1_Practice_Exam.md)</t>
        </is>
      </c>
      <c r="O1232" s="18" t="inlineStr">
        <is>
          <t>Mock</t>
        </is>
      </c>
      <c r="P1232" s="18" t="inlineStr">
        <is>
          <t>Mock สภาเภสัชฯ Practice</t>
        </is>
      </c>
    </row>
    <row r="1233">
      <c r="A1233" s="15" t="inlineStr">
        <is>
          <t>1254</t>
        </is>
      </c>
      <c r="B1233" s="18" t="inlineStr">
        <is>
          <t>กลไกของยาที่เลือกให้ผู้ป่วยรายนี้คือข้อใด</t>
        </is>
      </c>
      <c r="C1233" s="18" t="inlineStr"/>
      <c r="D1233" s="18" t="inlineStr">
        <is>
          <t>ยับยั้ง norepinephrine และ serotonin reuptake</t>
        </is>
      </c>
      <c r="E1233" s="18" t="inlineStr">
        <is>
          <t>ออกฤทธิ์ผ่าน catecholamine pathways โดยกระตุ้น central &amp; sympathetic nerve</t>
        </is>
      </c>
      <c r="F1233" s="18" t="inlineStr">
        <is>
          <t>ออกฤทธิ์ผ่าน serotonin pathway โดยไม่มีการกระตุ้นcentral &amp; sympathetic nerve</t>
        </is>
      </c>
      <c r="G1233" s="18" t="inlineStr">
        <is>
          <t>เป็น pancreatic lipase inhibitor ออกฤทธิ์ยับยั้งการดูดซึมไขมันที่ลำไส้</t>
        </is>
      </c>
      <c r="H1233" s="18" t="inlineStr">
        <is>
          <t>กระตุ้นให้มีการเผาผลาญพลังงาน</t>
        </is>
      </c>
      <c r="I1233" s="15" t="inlineStr">
        <is>
          <t>1</t>
        </is>
      </c>
      <c r="J1233" s="18" t="inlineStr">
        <is>
          <t>✅ คำตอบที่ถูกต้อง: ข้อ ก. ยับยั้ง norepinephrine และ serotonin reuptake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norepinephrine และ serotonin reuptake การเลือก ยับยั้ง norepinephrine และ serotonin reuptake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(ออกฤทธิ์ผ่าน catecholamine pathways โดยกระตุ้น 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(ออกฤทธิ์ผ่าน serotonin pathway โดยไม่มีการกระตุ้นcentral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ง. (เป็น pancreatic lipase inhibitor ออกฤทธิ์ยับยั้งการดูดซึมไขมันที่ลำไส้):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(กระตุ้นให้มีการเผาผลาญพลังงาน):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3" s="18" t="inlineStr"/>
      <c r="L1233" s="18" t="inlineStr">
        <is>
          <t>General Therapeutics</t>
        </is>
      </c>
      <c r="M1233" s="18" t="inlineStr">
        <is>
          <t>Clinic</t>
        </is>
      </c>
      <c r="N1233" s="18" t="inlineStr">
        <is>
          <t>ข้อ 36 (PLE_CC1_Practice_Exam.md)</t>
        </is>
      </c>
      <c r="O1233" s="18" t="inlineStr">
        <is>
          <t>Mock</t>
        </is>
      </c>
      <c r="P1233" s="18" t="inlineStr">
        <is>
          <t>Mock สภาเภสัชฯ Practice</t>
        </is>
      </c>
    </row>
    <row r="1234">
      <c r="A1234" s="15" t="inlineStr">
        <is>
          <t>1255</t>
        </is>
      </c>
      <c r="B1234" s="18" t="inlineStr">
        <is>
          <t>จากคำตอบในข้อ 35. ข้อใดไม่ใช่ Adverse drug reaction (ADR) ที่อาจเกิดขึ้นได้จากยาดังกล่าว</t>
        </is>
      </c>
      <c r="C1234" s="18" t="inlineStr"/>
      <c r="D1234" s="18" t="inlineStr">
        <is>
          <t>ปวดศีรษะ</t>
        </is>
      </c>
      <c r="E1234" s="18" t="inlineStr">
        <is>
          <t>มีไขมันหยดปนอุจจาระ</t>
        </is>
      </c>
      <c r="F1234" s="18" t="inlineStr">
        <is>
          <t>ปวดท้อง ไม่สบายท้อง</t>
        </is>
      </c>
      <c r="G1234" s="18" t="inlineStr">
        <is>
          <t>กลั้นอุจจาระไม่ได้</t>
        </is>
      </c>
      <c r="H1234" s="18" t="inlineStr">
        <is>
          <t>เป็นพิษต่อตับ</t>
        </is>
      </c>
      <c r="I1234" s="15" t="inlineStr">
        <is>
          <t>1</t>
        </is>
      </c>
      <c r="J1234" s="18" t="inlineStr">
        <is>
          <t>✅ คำตอบที่ถูกต้อง: ข้อ ก. ปวดศีรษะ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ปวดศีรษะ การเลือก ปวดศีรษะ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(มีไขมันหยดปนอุจจาระ): ข้อนี้ไม่ใช่คำตอบที่ถูกต้องสำหรับภาวะ Allergy &amp; Immunology เนื่องจากกลไกการออกฤทธิ์, efficacy หรือข้อบ่งใช้ไม่ตรงกับโจทย์ที่กำหนด
• ข้อ ค. (ปวดท้อง ไม่สบายท้อง): ข้อนี้ไม่ใช่คำตอบที่ถูกต้องสำหรับภาวะ Allergy &amp; Immunology เนื่องจากกลไกการออกฤทธิ์, efficacy หรือข้อบ่งใช้ไม่ตรงกับโจทย์ที่กำหนด
• ข้อ ง. (กลั้นอุจจาระไม่ได้): ข้อนี้ไม่ใช่คำตอบที่ถูกต้องสำหรับภาวะ Allergy &amp; Immunology เนื่องจากกลไกการออกฤทธิ์, efficacy หรือข้อบ่งใช้ไม่ตรงกับโจทย์ที่กำหนด
• ข้อ จ. (เป็นพิษต่อตับ):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4" s="18" t="inlineStr"/>
      <c r="L1234" s="18" t="inlineStr">
        <is>
          <t>Allergy &amp; Immunology</t>
        </is>
      </c>
      <c r="M1234" s="18" t="inlineStr">
        <is>
          <t>Clinic</t>
        </is>
      </c>
      <c r="N1234" s="18" t="inlineStr">
        <is>
          <t>ข้อ 37 (PLE_CC1_Practice_Exam.md)</t>
        </is>
      </c>
      <c r="O1234" s="18" t="inlineStr">
        <is>
          <t>Mock</t>
        </is>
      </c>
      <c r="P1234" s="18" t="inlineStr">
        <is>
          <t>Mock สภาเภสัชฯ Practice</t>
        </is>
      </c>
    </row>
    <row r="1235">
      <c r="A1235" s="15" t="inlineStr">
        <is>
          <t>1256</t>
        </is>
      </c>
      <c r="B1235" s="18" t="inlineStr">
        <is>
          <t>ยาลดความอ้วนตัวใดที่อาจเกิดปฏิกิริยากับยาตัวอื่นได้</t>
        </is>
      </c>
      <c r="C1235" s="18" t="inlineStr"/>
      <c r="D1235" s="18" t="inlineStr">
        <is>
          <t>Sibutramine</t>
        </is>
      </c>
      <c r="E1235" s="18" t="inlineStr">
        <is>
          <t>Orlistat</t>
        </is>
      </c>
      <c r="F1235" s="18" t="inlineStr">
        <is>
          <t>Phentermine</t>
        </is>
      </c>
      <c r="G1235" s="18" t="inlineStr">
        <is>
          <t>Fenfluramine</t>
        </is>
      </c>
      <c r="H1235" s="18" t="inlineStr">
        <is>
          <t>Lorcaserin</t>
        </is>
      </c>
      <c r="I1235" s="15" t="inlineStr">
        <is>
          <t>1</t>
        </is>
      </c>
      <c r="J1235" s="18" t="inlineStr">
        <is>
          <t>✅ คำตอบที่ถูกต้อง: ข้อ ก. Sibutramine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Sibutramine การเลือก Sibutramine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(Orlistat): ข้อนี้ไม่ใช่คำตอบที่ถูกต้องสำหรับภาวะ General Therapeutics เนื่องจากกลไกการออกฤทธิ์, efficacy หรือข้อบ่งใช้ไม่ตรงกับโจทย์ที่กำหนด
• ข้อ ค. (Phentermine): ข้อนี้ไม่ใช่คำตอบที่ถูกต้องสำหรับภาวะ General Therapeutics เนื่องจากกลไกการออกฤทธิ์, efficacy หรือข้อบ่งใช้ไม่ตรงกับโจทย์ที่กำหนด
• ข้อ ง. (Fenfluramine): ข้อนี้ไม่ใช่คำตอบที่ถูกต้องสำหรับภาวะ General Therapeutics เนื่องจากกลไกการออกฤทธิ์, efficacy หรือข้อบ่งใช้ไม่ตรงกับโจทย์ที่กำหนด
• ข้อ จ. (Lorcaserin):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5" s="18" t="inlineStr"/>
      <c r="L1235" s="18" t="inlineStr">
        <is>
          <t>General Therapeutics</t>
        </is>
      </c>
      <c r="M1235" s="18" t="inlineStr">
        <is>
          <t>Clinic</t>
        </is>
      </c>
      <c r="N1235" s="18" t="inlineStr">
        <is>
          <t>ข้อ 38 (PLE_CC1_Practice_Exam.md)</t>
        </is>
      </c>
      <c r="O1235" s="18" t="inlineStr">
        <is>
          <t>Mock</t>
        </is>
      </c>
      <c r="P1235" s="18" t="inlineStr">
        <is>
          <t>Mock สภาเภสัชฯ Practice</t>
        </is>
      </c>
    </row>
    <row r="1236">
      <c r="A1236" s="15" t="inlineStr">
        <is>
          <t>1257</t>
        </is>
      </c>
      <c r="B1236" s="18" t="inlineStr">
        <is>
          <t>โรคกระดูกและข้อ โดย ฝ่ายวิชาการและวิชาชีพ สโมสรนักศึกษามหาวิทยาลัยอีสเทิร์นเอเชีย</t>
        </is>
      </c>
      <c r="C1236" s="18" t="inlineStr"/>
      <c r="D1236" s="18" t="inlineStr">
        <is>
          <t>Naloxone 0.4 mg IV stat</t>
        </is>
      </c>
      <c r="E1236" s="18" t="inlineStr">
        <is>
          <t>Flumazenil 0.2 mg IV stat</t>
        </is>
      </c>
      <c r="F1236" s="18" t="inlineStr">
        <is>
          <t>Vitamin K1 (Phytomenadione) 10 mg IV slow</t>
        </is>
      </c>
      <c r="G1236" s="18" t="inlineStr">
        <is>
          <t>Sodium thiosulfate 25% 50 mL IV</t>
        </is>
      </c>
      <c r="H1236" s="18" t="inlineStr">
        <is>
          <t>Calcium disodium EDTA 1 g IV</t>
        </is>
      </c>
      <c r="I1236" s="15" t="inlineStr">
        <is>
          <t>1</t>
        </is>
      </c>
      <c r="J12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36" s="18" t="inlineStr"/>
      <c r="L1236" s="18" t="inlineStr">
        <is>
          <t>General Therapeutics</t>
        </is>
      </c>
      <c r="M1236" s="18" t="inlineStr">
        <is>
          <t>Clinic</t>
        </is>
      </c>
      <c r="N1236" s="18" t="inlineStr">
        <is>
          <t>ข้อ 6 (PLE_CC1_Practice_Exam.md)</t>
        </is>
      </c>
      <c r="O1236" s="18" t="inlineStr">
        <is>
          <t>Mock</t>
        </is>
      </c>
      <c r="P1236" s="18" t="inlineStr">
        <is>
          <t>Mock สภาเภสัชฯ Practice</t>
        </is>
      </c>
    </row>
    <row r="1237">
      <c r="A1237" s="15" t="inlineStr">
        <is>
          <t>1258</t>
        </is>
      </c>
      <c r="B1237" s="18" t="inlineStr">
        <is>
          <t>จากการซักประวัติเป็นโรคใด</t>
        </is>
      </c>
      <c r="C1237" s="18" t="inlineStr"/>
      <c r="D1237" s="18" t="inlineStr">
        <is>
          <t>Osteopenia</t>
        </is>
      </c>
      <c r="E1237" s="18" t="inlineStr">
        <is>
          <t>Osteoporosis</t>
        </is>
      </c>
      <c r="F1237" s="18" t="inlineStr">
        <is>
          <t>Osteoarthritis</t>
        </is>
      </c>
      <c r="G1237" s="18" t="inlineStr">
        <is>
          <t>Gout</t>
        </is>
      </c>
      <c r="H1237" s="18" t="inlineStr">
        <is>
          <t>Rheumatoid Arthritis</t>
        </is>
      </c>
      <c r="I1237" s="15" t="inlineStr">
        <is>
          <t>1</t>
        </is>
      </c>
      <c r="J1237" s="18" t="inlineStr">
        <is>
          <t>✅ คำตอบที่ถูกต้อง: ข้อ ก. Osteopenia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Osteopenia การเลือก Osteopenia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(Osteoporosis): ข้อนี้ไม่ใช่คำตอบที่ถูกต้องสำหรับภาวะ General Therapeutics เนื่องจากกลไกการออกฤทธิ์, efficacy หรือข้อบ่งใช้ไม่ตรงกับโจทย์ที่กำหนด
• ข้อ ค. (Osteoarthritis): ข้อนี้ไม่ใช่คำตอบที่ถูกต้องสำหรับภาวะ General Therapeutics เนื่องจากกลไกการออกฤทธิ์, efficacy หรือข้อบ่งใช้ไม่ตรงกับโจทย์ที่กำหนด
• ข้อ ง. (Gout): ข้อนี้ไม่ใช่คำตอบที่ถูกต้องสำหรับภาวะ General Therapeutics เนื่องจากกลไกการออกฤทธิ์, efficacy หรือข้อบ่งใช้ไม่ตรงกับโจทย์ที่กำหนด
• ข้อ จ. (Rheumatoid Arthritis):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7" s="18" t="inlineStr"/>
      <c r="L1237" s="18" t="inlineStr">
        <is>
          <t>General Therapeutics</t>
        </is>
      </c>
      <c r="M1237" s="18" t="inlineStr">
        <is>
          <t>Clinic</t>
        </is>
      </c>
      <c r="N1237" s="18" t="inlineStr">
        <is>
          <t>ข้อ 4 (PLE_CC1_Practice_Exam.md)</t>
        </is>
      </c>
      <c r="O1237" s="18" t="inlineStr">
        <is>
          <t>Mock</t>
        </is>
      </c>
      <c r="P1237" s="18" t="inlineStr">
        <is>
          <t>Mock สภาเภสัชฯ Practice</t>
        </is>
      </c>
    </row>
    <row r="1238">
      <c r="A1238" s="15" t="inlineStr">
        <is>
          <t>1259</t>
        </is>
      </c>
      <c r="B1238" s="18" t="inlineStr">
        <is>
          <t>ข้อใดเป็นยาที่มีความเหมาะกับผู้ป่วยรายนี้ และกล่าวถูกต้องเกี่ยวยาที่ใช้ในการรักษาโรคนี้</t>
        </is>
      </c>
      <c r="C1238" s="18" t="inlineStr"/>
      <c r="D1238" s="18" t="inlineStr">
        <is>
          <t>Calcium การดูดซึมแคลเซียมจะเพิ่มขึ้นเมื่อเพิ่มขนาดมากขึ้น และ Vitamin D ช่วยเพิ่ม blood level calcium โดยเพิ่มการดูดซึมแคลเซียมที่ทางเดินอาหาร</t>
        </is>
      </c>
      <c r="E1238" s="18" t="inlineStr">
        <is>
          <t>Methotrexate เป็น dihydrofolate inhibitor ทำให้มีการสร้าง folic acid และ purine ลดลง</t>
        </is>
      </c>
      <c r="F1238" s="18" t="inlineStr">
        <is>
          <t>Bisphosphonates เพิ่มการเกาะของแคลเซียมกับกระดูก และกระตุ้นการทำงานของ Osteoclast</t>
        </is>
      </c>
      <c r="G1238" s="18" t="inlineStr">
        <is>
          <t>Raloxifene มีเป็น Agonist estrogen receptor ที่เนื้อเยื่อกระดูก</t>
        </is>
      </c>
      <c r="H1238" s="18" t="inlineStr">
        <is>
          <t>Corticosteroids เพิ่มการขับ Calcium ออกทางปัสสาวะ ผู้ป่วยที่ใช้ยานี้เป็นเวลานานควรได้รับ Calcium</t>
        </is>
      </c>
      <c r="I1238" s="15" t="inlineStr">
        <is>
          <t>1</t>
        </is>
      </c>
      <c r="J1238" s="18" t="inlineStr">
        <is>
          <t>✅ คำตอบที่ถูกต้อง: ข้อ ก. Calcium การดูดซึมแคลเซียมจะเพิ่มขึ้นเมื่อเพิ่มขนาดมากขึ้น และ Vitamin D ช่วยเพิ่ม blood level calcium โดยเพิ่มการดูดซึมแคลเซียมที่ทางเดินอาหาร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การดูดซึมแคลเซียมจะเพิ่มขึ้นเมื่อเพิ่มขนาดมากขึ้น และ Vitamin D ช่วยเพิ่ม blood level calcium โดยเพิ่มการดูดซึมแคลเซียมที่ทางเดินอาหาร การเลือก Calcium การดูดซึมแคลเซียมจะเพิ่มขึ้นเมื่อเพิ่มขนาดมากขึ้น และ Vitamin D ช่วยเพิ่ม blood level calcium โดยเพิ่มการดูดซึมแคลเซียมที่ทางเดินอาหาร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(Methotrexate เป็น dihydrofolate inhibitor ทำให้มีการสร้าง folic acid และ purine ลดลง): เป็น anchor csDMARD สำหรับ Rheumatoid arthritis ยับยั้ง dihydrofolate reductase ต้องให้ Folic acid เสริม และห้ามใช้ในหญิงตั้งครรภ์ (contraindication / teratogenic)
• ข้อ ค. (Bisphosphonates เพิ่มการเกาะของแคลเซียมกับกระดูก และกระตุ้นการทำงานของ Osteoclast): ข้อนี้ไม่ใช่คำตอบที่ถูกต้องสำหรับภาวะ General Therapeutics เนื่องจากกลไกการออกฤทธิ์, efficacy หรือข้อบ่งใช้ไม่ตรงกับโจทย์ที่กำหนด
• ข้อ ง. (Raloxifene มีเป็น Agonist estrogen receptor ที่เนื้อเยื่อกระดูก): ข้อนี้ไม่ใช่คำตอบที่ถูกต้องสำหรับภาวะ General Therapeutics เนื่องจากกลไกการออกฤทธิ์, efficacy หรือข้อบ่งใช้ไม่ตรงกับโจทย์ที่กำหนด
• ข้อ จ. (Corticosteroids เพิ่มการขับ Calcium ออกทางปัสสาวะ ผู้ป่วยที่ใช้ยานี้เป็นเวลานานควรได้รับ Calcium):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8" s="18" t="inlineStr"/>
      <c r="L1238" s="18" t="inlineStr">
        <is>
          <t>General Therapeutics</t>
        </is>
      </c>
      <c r="M1238" s="18" t="inlineStr">
        <is>
          <t>Clinic</t>
        </is>
      </c>
      <c r="N1238" s="18" t="inlineStr">
        <is>
          <t>ข้อ 6 (PLE_CC1_Practice_Exam.md)</t>
        </is>
      </c>
      <c r="O1238" s="18" t="inlineStr">
        <is>
          <t>Mock</t>
        </is>
      </c>
      <c r="P1238" s="18" t="inlineStr">
        <is>
          <t>Mock สภาเภสัชฯ Practice</t>
        </is>
      </c>
    </row>
    <row r="1239">
      <c r="A1239" s="15" t="inlineStr">
        <is>
          <t>1260</t>
        </is>
      </c>
      <c r="B1239" s="18" t="inlineStr">
        <is>
          <t>ข้อใดไม่ใช่ข้อบ่งใช้ในของ Calcium carbonate</t>
        </is>
      </c>
      <c r="C1239" s="18" t="inlineStr"/>
      <c r="D1239" s="18" t="inlineStr">
        <is>
          <t>ป้องกันและรักษาโรคกระดูกพรุน</t>
        </is>
      </c>
      <c r="E1239" s="18" t="inlineStr">
        <is>
          <t>เสริมแคลเซียมสำหรับผู้หญิงวัยหมดประจำเดือนที่เสี่ยงต่อภาวะกระดูกพรุน</t>
        </is>
      </c>
      <c r="F1239" s="18" t="inlineStr">
        <is>
          <t>เสริมแคลเซียมในหญิงตั้งครรภ์ไตรมาสแรก</t>
        </is>
      </c>
      <c r="G1239" s="18" t="inlineStr">
        <is>
          <t>ใช้เป็นยาลดกรด บรรเทาอาการแสบร้อนบริเวณยอดอก</t>
        </is>
      </c>
      <c r="H1239" s="18" t="inlineStr">
        <is>
          <t>ลดปริมาณฟอสเฟสในเลือด สำหรับผู้ป่วยไตวายเรื้อรัง</t>
        </is>
      </c>
      <c r="I1239" s="15" t="inlineStr">
        <is>
          <t>1</t>
        </is>
      </c>
      <c r="J1239" s="18" t="inlineStr">
        <is>
          <t>✅ คำตอบที่ถูกต้อง: ข้อ ก. ป้องกันและรักษาโรคกระดูกพรุน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ป้องกันและรักษาโรคกระดูกพรุน การเลือก ป้องกันและรักษาโรคกระดูกพรุน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(เสริมแคลเซียมสำหรับผู้หญิงวัยหมดประจำเดือนที่เสี่ยงต่อภาวะกระดูกพรุน): ข้อนี้ไม่ใช่คำตอบที่ถูกต้องสำหรับภาวะ Renal Diseases เนื่องจากกลไกการออกฤทธิ์, efficacy หรือข้อบ่งใช้ไม่ตรงกับโจทย์ที่กำหนด
• ข้อ ค. (เสริมแคลเซียมในหญิงตั้งครรภ์ไตรมาสแรก): ข้อนี้ไม่ใช่คำตอบที่ถูกต้องสำหรับภาวะ Renal Diseases เนื่องจากกลไกการออกฤทธิ์, efficacy หรือข้อบ่งใช้ไม่ตรงกับโจทย์ที่กำหนด
• ข้อ ง. (ใช้เป็นยาลดกรด บรรเทาอาการแสบร้อนบริเวณยอดอก): ข้อนี้ไม่ใช่คำตอบที่ถูกต้องสำหรับภาวะ Renal Diseases เนื่องจากกลไกการออกฤทธิ์, efficacy หรือข้อบ่งใช้ไม่ตรงกับโจทย์ที่กำหนด
• ข้อ จ. (ลดปริมาณฟอสเฟสในเลือด สำหรับผู้ป่วยไตวายเรื้อรัง):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39" s="18" t="inlineStr"/>
      <c r="L1239" s="18" t="inlineStr">
        <is>
          <t>Renal Diseases</t>
        </is>
      </c>
      <c r="M1239" s="18" t="inlineStr">
        <is>
          <t>Clinic</t>
        </is>
      </c>
      <c r="N1239" s="18" t="inlineStr">
        <is>
          <t>ข้อ 9 (PLE_CC1_Practice_Exam.md)</t>
        </is>
      </c>
      <c r="O1239" s="18" t="inlineStr">
        <is>
          <t>Mock</t>
        </is>
      </c>
      <c r="P1239" s="18" t="inlineStr">
        <is>
          <t>Mock สภาเภสัชฯ Practice</t>
        </is>
      </c>
    </row>
    <row r="1240">
      <c r="A1240" s="15" t="inlineStr">
        <is>
          <t>1261</t>
        </is>
      </c>
      <c r="B1240" s="18" t="inlineStr">
        <is>
          <t>ยาใดต่อไปนี้ไม่ยับยั้งการทำงานของเซลล์ Osteoclast</t>
        </is>
      </c>
      <c r="C1240" s="18" t="inlineStr"/>
      <c r="D1240" s="18" t="inlineStr">
        <is>
          <t>Calcitonin</t>
        </is>
      </c>
      <c r="E1240" s="18" t="inlineStr">
        <is>
          <t>Calcitriol</t>
        </is>
      </c>
      <c r="F1240" s="18" t="inlineStr">
        <is>
          <t>Estrogen</t>
        </is>
      </c>
      <c r="G1240" s="18" t="inlineStr">
        <is>
          <t>Plicamycin</t>
        </is>
      </c>
      <c r="H1240" s="18" t="inlineStr">
        <is>
          <t>Risedronate 11.ข้อใดไม่ใช่สาเหตุใดที่ทำให้เกิด Hyperuricemia</t>
        </is>
      </c>
      <c r="I1240" s="15" t="inlineStr">
        <is>
          <t>1</t>
        </is>
      </c>
      <c r="J1240" s="18" t="inlineStr">
        <is>
          <t>✅ คำตอบที่ถูกต้อง: ข้อ ก. Calcitonin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Calcitonin การเลือก Calcitonin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(Calcitriol): ข้อนี้ไม่ใช่คำตอบที่ถูกต้องสำหรับภาวะ General Therapeutics เนื่องจากกลไกการออกฤทธิ์, efficacy หรือข้อบ่งใช้ไม่ตรงกับโจทย์ที่กำหนด
• ข้อ ค. (Estrogen): ข้อนี้ไม่ใช่คำตอบที่ถูกต้องสำหรับภาวะ General Therapeutics เนื่องจากกลไกการออกฤทธิ์, efficacy หรือข้อบ่งใช้ไม่ตรงกับโจทย์ที่กำหนด
• ข้อ ง. (Plicamycin): ข้อนี้ไม่ใช่คำตอบที่ถูกต้องสำหรับภาวะ General Therapeutics เนื่องจากกลไกการออกฤทธิ์, efficacy หรือข้อบ่งใช้ไม่ตรงกับโจทย์ที่กำหนด
• ข้อ จ. (Risedronate 11.ข้อใดไม่ใช่สาเหตุใดที่ทำให้เกิด Hyperuricemia): เป็น oral bisphosphonate รับประทานสัปดาห์ละ 35 mg หรือเดือนละ 150 mg มีข้อปฏิบัติเคร่งครัดเรื่องการดื่มน้ำและการนั่งตัวตรงเช่นเดียวกับ alendronate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0" s="18" t="inlineStr"/>
      <c r="L1240" s="18" t="inlineStr">
        <is>
          <t>General Therapeutics</t>
        </is>
      </c>
      <c r="M1240" s="18" t="inlineStr">
        <is>
          <t>Clinic</t>
        </is>
      </c>
      <c r="N1240" s="18" t="inlineStr">
        <is>
          <t>ข้อ 10 (PLE_CC1_Practice_Exam.md)</t>
        </is>
      </c>
      <c r="O1240" s="18" t="inlineStr">
        <is>
          <t>Mock</t>
        </is>
      </c>
      <c r="P1240" s="18" t="inlineStr">
        <is>
          <t>Mock สภาเภสัชฯ Practice</t>
        </is>
      </c>
    </row>
    <row r="1241">
      <c r="A1241" s="15" t="inlineStr">
        <is>
          <t>1262</t>
        </is>
      </c>
      <c r="B1241" s="18" t="inlineStr">
        <is>
          <t>NSAIDs ตัวใดไม่ได้อยู่กลุ่มอนุพันธ์ของ Acetic acid</t>
        </is>
      </c>
      <c r="C1241" s="18" t="inlineStr"/>
      <c r="D1241" s="18" t="inlineStr">
        <is>
          <t>Indomethacin</t>
        </is>
      </c>
      <c r="E1241" s="18" t="inlineStr">
        <is>
          <t>Naproxen</t>
        </is>
      </c>
      <c r="F1241" s="18" t="inlineStr">
        <is>
          <t>Etodolac</t>
        </is>
      </c>
      <c r="G1241" s="18" t="inlineStr">
        <is>
          <t>Diclofenac</t>
        </is>
      </c>
      <c r="H1241" s="18" t="inlineStr">
        <is>
          <t>Sulindac</t>
        </is>
      </c>
      <c r="I1241" s="15" t="inlineStr">
        <is>
          <t>1</t>
        </is>
      </c>
      <c r="J1241" s="18" t="inlineStr">
        <is>
          <t>✅ คำตอบที่ถูกต้อง: ข้อ ก. Indomethacin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(Naproxen): เป็น non-selective NSAID ที่มี cardiovascular safety profile ดีที่สุด และมี efficacy สูงในการระงับ acute inflammation
• ข้อ ค. (Etodolac): ข้อนี้ไม่ใช่คำตอบที่ถูกต้องสำหรับภาวะ Musculoskeletal &amp; Joint เนื่องจากกลไกการออกฤทธิ์, efficacy หรือข้อบ่งใช้ไม่ตรงกับโจทย์ที่กำหนด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(Sulindac):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41" s="18" t="inlineStr"/>
      <c r="L1241" s="18" t="inlineStr">
        <is>
          <t>Musculoskeletal &amp; Joint</t>
        </is>
      </c>
      <c r="M1241" s="18" t="inlineStr">
        <is>
          <t>Clinic</t>
        </is>
      </c>
      <c r="N1241" s="18" t="inlineStr">
        <is>
          <t>ข้อ 22 (PLE_CC1_Practice_Exam.md)</t>
        </is>
      </c>
      <c r="O1241" s="18" t="inlineStr">
        <is>
          <t>Mock</t>
        </is>
      </c>
      <c r="P1241" s="18" t="inlineStr">
        <is>
          <t>Mock สภาเภสัชฯ Practice</t>
        </is>
      </c>
    </row>
    <row r="1242">
      <c r="A1242" s="15" t="inlineStr">
        <is>
          <t>1263</t>
        </is>
      </c>
      <c r="B1242" s="18" t="inlineStr">
        <is>
          <t>ยาต่อไปนี้ตัวใดไม่ได้อยู่ในบัญชี ก</t>
        </is>
      </c>
      <c r="C1242" s="18" t="inlineStr"/>
      <c r="D1242" s="18" t="inlineStr">
        <is>
          <t>Ibuprofen</t>
        </is>
      </c>
      <c r="E1242" s="18" t="inlineStr">
        <is>
          <t>Indomethacin</t>
        </is>
      </c>
      <c r="F1242" s="18" t="inlineStr">
        <is>
          <t>Naproxen</t>
        </is>
      </c>
      <c r="G1242" s="18" t="inlineStr">
        <is>
          <t>Piroxicam</t>
        </is>
      </c>
      <c r="H1242" s="18" t="inlineStr">
        <is>
          <t>Diclofenac sodium</t>
        </is>
      </c>
      <c r="I1242" s="15" t="inlineStr">
        <is>
          <t>1</t>
        </is>
      </c>
      <c r="J1242" s="18" t="inlineStr">
        <is>
          <t>✅ คำตอบที่ถูกต้อง: ข้อ ก. Ibuprofen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(Indomethacin): เป็น potent non-selective NSAID มี anti-inflammatory efficacy สูงมากใน acute gout flare แต่มี ADRs เด่นทาง GI toxicity และ CNS (ปวดศีรษะ มึนงง)
• ข้อ ค. (Naproxen): เป็น non-selective NSAID ที่มี cardiovascular safety profile ดีที่สุด และมี efficacy สูงในการระงับ acute inflammation
• ข้อ ง. (Piroxicam): เป็น oxicam NSAID ที่มี half-life ยาวนานมาก (~50 ชม.) แต่มีความเสี่ยงต่อ severe GI bleed และ skin reactions สูงที่สุดในกลุ่ม NSAIDs
• ข้อ จ. (Diclofenac sodium):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42" s="18" t="inlineStr"/>
      <c r="L1242" s="18" t="inlineStr">
        <is>
          <t>General Therapeutics</t>
        </is>
      </c>
      <c r="M1242" s="18" t="inlineStr">
        <is>
          <t>Clinic</t>
        </is>
      </c>
      <c r="N1242" s="18" t="inlineStr">
        <is>
          <t>ข้อ 23 (PLE_CC1_Practice_Exam.md)</t>
        </is>
      </c>
      <c r="O1242" s="18" t="inlineStr">
        <is>
          <t>Mock</t>
        </is>
      </c>
      <c r="P1242" s="18" t="inlineStr">
        <is>
          <t>Mock สภาเภสัชฯ Practice</t>
        </is>
      </c>
    </row>
    <row r="1243">
      <c r="A1243" s="15" t="inlineStr">
        <is>
          <t>1264</t>
        </is>
      </c>
      <c r="B1243" s="18" t="inlineStr">
        <is>
          <t>กระตุ้นกระบวนการ bone resorption</t>
        </is>
      </c>
      <c r="C1243" s="18" t="inlineStr"/>
      <c r="D1243" s="18" t="inlineStr">
        <is>
          <t>N-acetylcysteine (NAC) IV infusion protocol</t>
        </is>
      </c>
      <c r="E1243" s="18" t="inlineStr">
        <is>
          <t>Atropine sulfate 2 mg IV Q5-10 min</t>
        </is>
      </c>
      <c r="F1243" s="18" t="inlineStr">
        <is>
          <t>Pralidoxime (2-PAM) 1-2 g IV over 30 min</t>
        </is>
      </c>
      <c r="G1243" s="18" t="inlineStr">
        <is>
          <t>Naloxone 0.4 mg IV stat</t>
        </is>
      </c>
      <c r="H1243" s="18" t="inlineStr">
        <is>
          <t>Flumazenil 0.2 mg IV stat</t>
        </is>
      </c>
      <c r="I1243" s="15" t="inlineStr">
        <is>
          <t>1</t>
        </is>
      </c>
      <c r="J12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43" s="18" t="inlineStr"/>
      <c r="L1243" s="18" t="inlineStr">
        <is>
          <t>General Therapeutics</t>
        </is>
      </c>
      <c r="M1243" s="18" t="inlineStr">
        <is>
          <t>Clinic</t>
        </is>
      </c>
      <c r="N1243" s="18" t="inlineStr">
        <is>
          <t>ข้อ 1 (PLE_CC1_Practice_Exam.md)</t>
        </is>
      </c>
      <c r="O1243" s="18" t="inlineStr">
        <is>
          <t>Mock</t>
        </is>
      </c>
      <c r="P1243" s="18" t="inlineStr">
        <is>
          <t>Mock สภาเภสัชฯ Practice</t>
        </is>
      </c>
    </row>
    <row r="1244">
      <c r="A1244" s="15" t="inlineStr">
        <is>
          <t>1265</t>
        </is>
      </c>
      <c r="B1244" s="18" t="inlineStr">
        <is>
          <t>ช่วยให้ลำไส้ดูดซึมแคลเซียมเข้าสู่ร่างกายได้ดีขึ้น</t>
        </is>
      </c>
      <c r="C1244" s="18" t="inlineStr"/>
      <c r="D1244" s="18" t="inlineStr">
        <is>
          <t>Naloxone 0.4 mg IV stat</t>
        </is>
      </c>
      <c r="E1244" s="18" t="inlineStr">
        <is>
          <t>Flumazenil 0.2 mg IV stat</t>
        </is>
      </c>
      <c r="F1244" s="18" t="inlineStr">
        <is>
          <t>Vitamin K1 (Phytomenadione) 10 mg IV slow</t>
        </is>
      </c>
      <c r="G1244" s="18" t="inlineStr">
        <is>
          <t>Sodium thiosulfate 25% 50 mL IV</t>
        </is>
      </c>
      <c r="H1244" s="18" t="inlineStr">
        <is>
          <t>Calcium disodium EDTA 1 g IV</t>
        </is>
      </c>
      <c r="I1244" s="15" t="inlineStr">
        <is>
          <t>1</t>
        </is>
      </c>
      <c r="J12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4" s="18" t="inlineStr"/>
      <c r="L1244" s="18" t="inlineStr">
        <is>
          <t>General Therapeutics</t>
        </is>
      </c>
      <c r="M1244" s="18" t="inlineStr">
        <is>
          <t>Clinic</t>
        </is>
      </c>
      <c r="N1244" s="18" t="inlineStr">
        <is>
          <t>ข้อ 2 (PLE_CC1_Practice_Exam.md)</t>
        </is>
      </c>
      <c r="O1244" s="18" t="inlineStr">
        <is>
          <t>Mock</t>
        </is>
      </c>
      <c r="P1244" s="18" t="inlineStr">
        <is>
          <t>Mock สภาเภสัชฯ Practice</t>
        </is>
      </c>
    </row>
    <row r="1245">
      <c r="A1245" s="15" t="inlineStr">
        <is>
          <t>1266</t>
        </is>
      </c>
      <c r="B1245" s="18" t="inlineStr">
        <is>
          <t>ยับยั้งกระบวนการ bone resorption</t>
        </is>
      </c>
      <c r="C1245" s="18" t="inlineStr"/>
      <c r="D1245" s="18" t="inlineStr">
        <is>
          <t>Sodium thiosulfate 25% 50 mL IV</t>
        </is>
      </c>
      <c r="E1245" s="18" t="inlineStr">
        <is>
          <t>Calcium disodium EDTA 1 g IV</t>
        </is>
      </c>
      <c r="F1245" s="18" t="inlineStr">
        <is>
          <t>Desferrioxamine 1 g IM/IV</t>
        </is>
      </c>
      <c r="G1245" s="18" t="inlineStr">
        <is>
          <t>Dimercaprol (BAL) 3 mg/kg IM</t>
        </is>
      </c>
      <c r="H1245" s="18" t="inlineStr">
        <is>
          <t>Ethanol 10% IV infusion for Methanol poisoning</t>
        </is>
      </c>
      <c r="I1245" s="15" t="inlineStr">
        <is>
          <t>1</t>
        </is>
      </c>
      <c r="J124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5" s="18" t="inlineStr"/>
      <c r="L1245" s="18" t="inlineStr">
        <is>
          <t>General Therapeutics</t>
        </is>
      </c>
      <c r="M1245" s="18" t="inlineStr">
        <is>
          <t>Clinic</t>
        </is>
      </c>
      <c r="N1245" s="18" t="inlineStr">
        <is>
          <t>ข้อ 3 (PLE_CC1_Practice_Exam.md)</t>
        </is>
      </c>
      <c r="O1245" s="18" t="inlineStr">
        <is>
          <t>Mock</t>
        </is>
      </c>
      <c r="P1245" s="18" t="inlineStr">
        <is>
          <t>Mock สภาเภสัชฯ Practice</t>
        </is>
      </c>
    </row>
    <row r="1246">
      <c r="A1246" s="15" t="inlineStr">
        <is>
          <t>1267</t>
        </is>
      </c>
      <c r="B1246" s="18" t="inlineStr">
        <is>
          <t>กระตุ้นกระบวนการ bone formation 114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จงเลือกข้อที่ถูกที่สุด</t>
        </is>
      </c>
      <c r="C1246" s="18" t="inlineStr"/>
      <c r="D1246" s="18" t="inlineStr">
        <is>
          <t>ข้อ 1 ถูก</t>
        </is>
      </c>
      <c r="E1246" s="18" t="inlineStr">
        <is>
          <t>ข้อ 1,2 ถูก</t>
        </is>
      </c>
      <c r="F1246" s="18" t="inlineStr">
        <is>
          <t>ข้อ 1,2,3 ถูก</t>
        </is>
      </c>
      <c r="G1246" s="18" t="inlineStr">
        <is>
          <t>ข้อ 2,3,4 ถูก</t>
        </is>
      </c>
      <c r="H1246" s="18" t="inlineStr">
        <is>
          <t>ข้อ 2,3 ถูก</t>
        </is>
      </c>
      <c r="I1246" s="15" t="inlineStr">
        <is>
          <t>1</t>
        </is>
      </c>
      <c r="J1246" s="18" t="inlineStr">
        <is>
          <t>✅ คำตอบที่ถูกต้อง: ข้อ ก. ข้อ 1 ถูก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 1 ถูก การเลือก ข้อ 1 ถูก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(ข้อ 1,2 ถูก): ข้อนี้ไม่ใช่คำตอบที่ถูกต้องสำหรับภาวะ General Therapeutics เนื่องจากกลไกการออกฤทธิ์, efficacy หรือข้อบ่งใช้ไม่ตรงกับโจทย์ที่กำหนด
• ข้อ ค. (ข้อ 1,2,3 ถูก): ข้อนี้ไม่ใช่คำตอบที่ถูกต้องสำหรับภาวะ General Therapeutics เนื่องจากกลไกการออกฤทธิ์, efficacy หรือข้อบ่งใช้ไม่ตรงกับโจทย์ที่กำหนด
• ข้อ ง. (ข้อ 2,3,4 ถูก): ข้อนี้ไม่ใช่คำตอบที่ถูกต้องสำหรับภาวะ General Therapeutics เนื่องจากกลไกการออกฤทธิ์, efficacy หรือข้อบ่งใช้ไม่ตรงกับโจทย์ที่กำหนด
• ข้อ จ. (ข้อ 2,3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6" s="18" t="inlineStr"/>
      <c r="L1246" s="18" t="inlineStr">
        <is>
          <t>General Therapeutics</t>
        </is>
      </c>
      <c r="M1246" s="18" t="inlineStr">
        <is>
          <t>Clinic</t>
        </is>
      </c>
      <c r="N1246" s="18" t="inlineStr">
        <is>
          <t>ข้อ 4 (PLE_CC1_Practice_Exam.md)</t>
        </is>
      </c>
      <c r="O1246" s="18" t="inlineStr">
        <is>
          <t>Mock</t>
        </is>
      </c>
      <c r="P1246" s="18" t="inlineStr">
        <is>
          <t>Mock สภาเภสัชฯ Practice</t>
        </is>
      </c>
    </row>
    <row r="1247">
      <c r="A1247" s="15" t="inlineStr">
        <is>
          <t>1268</t>
        </is>
      </c>
      <c r="B1247" s="18" t="inlineStr">
        <is>
          <t>จากโครงสร้างนี้ ข้อใดถูกต้อง</t>
        </is>
      </c>
      <c r="C1247" s="18" t="inlineStr"/>
      <c r="D1247" s="18" t="inlineStr">
        <is>
          <t>A, C</t>
        </is>
      </c>
      <c r="E1247" s="18" t="inlineStr">
        <is>
          <t>A, B</t>
        </is>
      </c>
      <c r="F1247" s="18" t="inlineStr">
        <is>
          <t>B, C</t>
        </is>
      </c>
      <c r="G1247" s="18" t="inlineStr">
        <is>
          <t>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H1247" s="18" t="inlineStr">
        <is>
          <t>ไม่มีข้อใดถูก 28.สำนักงานคณะกรรมการอาหารและยาของประเทศไทย ได้อนุมัติ ยากลุ่ม Bisphosphonate ตัวใดบ้าง</t>
        </is>
      </c>
      <c r="I1247" s="15" t="inlineStr">
        <is>
          <t>1</t>
        </is>
      </c>
      <c r="J1247" s="18" t="inlineStr">
        <is>
          <t>✅ คำตอบที่ถูกต้อง: ข้อ ก. A, 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 C การเลือก A, 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 B): ข้อนี้ไม่ใช่คำตอบที่ถูกต้องสำหรับภาวะ General Therapeutics เนื่องจากกลไกการออกฤทธิ์, efficacy หรือข้อบ่งใช้ไม่ตรงกับโจทย์ที่กำหนด
• ข้อ ค. (B, C): ข้อนี้ไม่ใช่คำตอบที่ถูกต้องสำหรับภาวะ General Therapeutics เนื่องจากกลไกการออกฤทธิ์, efficacy หรือข้อบ่งใช้ไม่ตรงกับโจทย์ที่กำหนด
• ข้อ ง. (A,B,C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28.สำนักงานคณะกรรมการอาหารและยาของประเทศไทย ได้อนุมัติ ยากลุ่ม Bisphosphonate ตัวใดบ้าง):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7" s="18" t="inlineStr"/>
      <c r="L1247" s="18" t="inlineStr">
        <is>
          <t>General Therapeutics</t>
        </is>
      </c>
      <c r="M1247" s="18" t="inlineStr">
        <is>
          <t>Clinic</t>
        </is>
      </c>
      <c r="N1247" s="18" t="inlineStr">
        <is>
          <t>ข้อ 27 (PLE_CC1_Practice_Exam.md)</t>
        </is>
      </c>
      <c r="O1247" s="18" t="inlineStr">
        <is>
          <t>Mock</t>
        </is>
      </c>
      <c r="P1247" s="18" t="inlineStr">
        <is>
          <t>Mock สภาเภสัชฯ Practice</t>
        </is>
      </c>
    </row>
    <row r="1248">
      <c r="A1248" s="15" t="inlineStr">
        <is>
          <t>1269</t>
        </is>
      </c>
      <c r="B1248" s="18" t="inlineStr">
        <is>
          <t>ผลข้างเคียงหลักของยาในข้อใดต่อไปนี้ควรมีการติดตามเฝ้าระวังเกี่ยวกับจอประสาทตา</t>
        </is>
      </c>
      <c r="C1248" s="18" t="inlineStr"/>
      <c r="D1248" s="18" t="inlineStr">
        <is>
          <t>Hydroxychloroquine</t>
        </is>
      </c>
      <c r="E1248" s="18" t="inlineStr">
        <is>
          <t>Methotrexate</t>
        </is>
      </c>
      <c r="F1248" s="18" t="inlineStr">
        <is>
          <t>Sulfasalazine</t>
        </is>
      </c>
      <c r="G1248" s="18" t="inlineStr">
        <is>
          <t>Azathiopine</t>
        </is>
      </c>
      <c r="H1248" s="18" t="inlineStr">
        <is>
          <t>Rituximab</t>
        </is>
      </c>
      <c r="I1248" s="15" t="inlineStr">
        <is>
          <t>1</t>
        </is>
      </c>
      <c r="J1248" s="18" t="inlineStr">
        <is>
          <t>✅ คำตอบที่ถูกต้อง: ข้อ ก. Hydroxychloroquine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Hydroxychloroquine การเลือก Hydroxychloroquine เป็นคำตอบที่ถูกต้องตามแนวทางการรักษามาตรฐาน เนื่องจาก เป็น csDMARD ที่ปลอดภัยต่อตับและหญิงตั้งครรภ์ แต่ต้อง monitoring retinal toxicity (ตาบอด) ทุกปีหลังใช้เกิน 5 ปี
🔍 ข้ออื่นผิดเพราะอะไร:
• ข้อ ข. (Methotrexate): เป็น anchor csDMARD สำหรับ Rheumatoid arthritis ยับยั้ง dihydrofolate reductase ต้องให้ Folic acid เสริม และห้ามใช้ในหญิงตั้งครรภ์ (contraindication / teratogenic)
• ข้อ ค. (Sulfasalazine): เป็น csDMARD สำหรับ RA และ peripheral spondyloarthritis ปลอดภัยในหญิงตั้งครรภ์ แต่ contraindication ในผู้ที่แพ้ sulfa หรือ G6PD deficiency
• ข้อ ง. (Azathiopine): ข้อนี้ไม่ใช่คำตอบที่ถูกต้องสำหรับภาวะ General Therapeutics เนื่องจากกลไกการออกฤทธิ์, efficacy หรือข้อบ่งใช้ไม่ตรงกับโจทย์ที่กำหนด
• ข้อ จ. (Rituximab):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248" s="18" t="inlineStr"/>
      <c r="L1248" s="18" t="inlineStr">
        <is>
          <t>General Therapeutics</t>
        </is>
      </c>
      <c r="M1248" s="18" t="inlineStr">
        <is>
          <t>Clinic</t>
        </is>
      </c>
      <c r="N1248" s="18" t="inlineStr">
        <is>
          <t>ข้อ 33 (PLE_CC1_Practice_Exam.md)</t>
        </is>
      </c>
      <c r="O1248" s="18" t="inlineStr">
        <is>
          <t>Mock</t>
        </is>
      </c>
      <c r="P1248" s="18" t="inlineStr">
        <is>
          <t>Mock สภาเภสัชฯ Practice</t>
        </is>
      </c>
    </row>
    <row r="1249">
      <c r="A1249" s="15" t="inlineStr">
        <is>
          <t>1270</t>
        </is>
      </c>
      <c r="B1249" s="18" t="inlineStr">
        <is>
          <t>Buprenorphine มีฤทธิ์ลดปวดแรงกว่า morphine ถึง 30 เท่าแต่ทำให้ติดยาน้อยกว่าเพราะยานี้มีกลไก</t>
        </is>
      </c>
      <c r="C1249" s="18" t="inlineStr"/>
      <c r="D1249" s="18" t="inlineStr">
        <is>
          <t>กระตุ้นำ-receptors ทำให้ลดปวด</t>
        </is>
      </c>
      <c r="E1249" s="18" t="inlineStr">
        <is>
          <t>กระตุ้น k-receptors ทำให้ลดอาการของ dysphoria</t>
        </is>
      </c>
      <c r="F1249" s="18" t="inlineStr">
        <is>
          <t>กระตุ้นทั้งำ และ k-receptors ทำให้ลดปวด</t>
        </is>
      </c>
      <c r="G1249" s="18" t="inlineStr">
        <is>
          <t>กระตุ้นำ-receptors และปิดกั้น k-receptors ทำให้ลดปวดและอาการของ dysphoria</t>
        </is>
      </c>
      <c r="H1249" s="18" t="inlineStr">
        <is>
          <t>กระตุ้น opioid receptors ทุกชนิด ทำให้ลดปวดได้</t>
        </is>
      </c>
      <c r="I1249" s="15" t="inlineStr">
        <is>
          <t>1</t>
        </is>
      </c>
      <c r="J1249" s="18" t="inlineStr">
        <is>
          <t>✅ คำตอบที่ถูกต้อง: ข้อ ก. กระตุ้นำ-receptors ทำให้ลดปวด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กระตุ้นำ-receptors ทำให้ลดปวด การเลือก กระตุ้นำ-receptors ทำให้ลดปวด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k-receptors ทำให้ลดอาการของ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(กระตุ้นทั้งำ และ k-receptors ทำให้ลดปวด):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(กระตุ้นำ-receptors และปิดกั้น k-receptors ทำให้ลดปวดและอาการของ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 opioid receptors ทุกชนิด ทำให้ลดปวดได้):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9" s="18" t="inlineStr"/>
      <c r="L1249" s="18" t="inlineStr">
        <is>
          <t>General Therapeutics</t>
        </is>
      </c>
      <c r="M1249" s="18" t="inlineStr">
        <is>
          <t>Clinic</t>
        </is>
      </c>
      <c r="N1249" s="18" t="inlineStr">
        <is>
          <t>ข้อ 35 (PLE_CC1_Practice_Exam.md)</t>
        </is>
      </c>
      <c r="O1249" s="18" t="inlineStr">
        <is>
          <t>Mock</t>
        </is>
      </c>
      <c r="P1249" s="18" t="inlineStr">
        <is>
          <t>Mock สภาเภสัชฯ Practice</t>
        </is>
      </c>
    </row>
    <row r="1250">
      <c r="A1250" s="15" t="inlineStr">
        <is>
          <t>1271</t>
        </is>
      </c>
      <c r="B1250" s="18" t="inlineStr">
        <is>
          <t>ข้อใดไม่ใช่ประโยชน์ในทางคลินิกของยา Opioids</t>
        </is>
      </c>
      <c r="C1250" s="18" t="inlineStr"/>
      <c r="D1250" s="18" t="inlineStr">
        <is>
          <t>ใช้เป็นยาลดปวด Analgesics</t>
        </is>
      </c>
      <c r="E1250" s="18" t="inlineStr">
        <is>
          <t>ใช้เป็นยาแก้ไอ Antitussives</t>
        </is>
      </c>
      <c r="F1250" s="18" t="inlineStr">
        <is>
          <t>ใช้เป็นยาสลบ General Anesthetics</t>
        </is>
      </c>
      <c r="G1250" s="18" t="inlineStr">
        <is>
          <t>ใช้เป็นยานอนหลับ Sedative</t>
        </is>
      </c>
      <c r="H1250" s="18" t="inlineStr">
        <is>
          <t>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t>
        </is>
      </c>
      <c r="I1250" s="15" t="inlineStr">
        <is>
          <t>1</t>
        </is>
      </c>
      <c r="J1250" s="18" t="inlineStr">
        <is>
          <t>✅ คำตอบที่ถูกต้อง: ข้อ ก. ใช้เป็นยาลดปวด Analgesics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ใช้เป็นยาลดปวด Analgesics การเลือก ใช้เป็นยาลดปวด Analgesics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(ใช้เป็นยาแก้ไอ Antitussives):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(ใช้เป็นยาสลบ General Anesthetics):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(ใช้เป็นยานอนหลับ Sedative):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 เป็น pure opioid agonist สำหรับ severe pain มี active metabolite M6G (analgesic) และ M3G (neurotoxic) ที่ขับออกทางไต จึงต้องลดขนาดยาใน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0" s="18" t="inlineStr"/>
      <c r="L1250" s="18" t="inlineStr">
        <is>
          <t>General Therapeutics</t>
        </is>
      </c>
      <c r="M1250" s="18" t="inlineStr">
        <is>
          <t>Clinic</t>
        </is>
      </c>
      <c r="N1250" s="18" t="inlineStr">
        <is>
          <t>ข้อ 36 (PLE_CC1_Practice_Exam.md)</t>
        </is>
      </c>
      <c r="O1250" s="18" t="inlineStr">
        <is>
          <t>Mock</t>
        </is>
      </c>
      <c r="P1250" s="18" t="inlineStr">
        <is>
          <t>Mock สภาเภสัชฯ Practice</t>
        </is>
      </c>
    </row>
    <row r="1251">
      <c r="A1251" s="15" t="inlineStr">
        <is>
          <t>1272</t>
        </is>
      </c>
      <c r="B1251" s="18" t="inlineStr">
        <is>
          <t>ข้อใดเรียงลำดับความแรงจากมากไปน้อยได้ถูกต้อง</t>
        </is>
      </c>
      <c r="C1251" s="18" t="inlineStr"/>
      <c r="D1251" s="18" t="inlineStr">
        <is>
          <t>1&gt;2&gt;3</t>
        </is>
      </c>
      <c r="E1251" s="18" t="inlineStr">
        <is>
          <t>2&gt;1&gt;3</t>
        </is>
      </c>
      <c r="F1251" s="18" t="inlineStr">
        <is>
          <t>2&gt;3&gt;1</t>
        </is>
      </c>
      <c r="G1251" s="18" t="inlineStr">
        <is>
          <t>3&gt;1&gt;2</t>
        </is>
      </c>
      <c r="H1251" s="18" t="inlineStr">
        <is>
          <t>3&gt;2&gt;1</t>
        </is>
      </c>
      <c r="I1251" s="15" t="inlineStr">
        <is>
          <t>1</t>
        </is>
      </c>
      <c r="J1251" s="18" t="inlineStr">
        <is>
          <t>✅ คำตอบที่ถูกต้อง: ข้อ ก. 1&gt;2&gt;3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1&gt;2&gt;3 การเลือก 1&gt;2&gt;3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(2&gt;1&gt;3): ข้อนี้ไม่ใช่คำตอบที่ถูกต้องสำหรับภาวะ General Therapeutics เนื่องจากกลไกการออกฤทธิ์, efficacy หรือข้อบ่งใช้ไม่ตรงกับโจทย์ที่กำหนด
• ข้อ ค. (2&gt;3&gt;1): ข้อนี้ไม่ใช่คำตอบที่ถูกต้องสำหรับภาวะ General Therapeutics เนื่องจากกลไกการออกฤทธิ์, efficacy หรือข้อบ่งใช้ไม่ตรงกับโจทย์ที่กำหนด
• ข้อ ง. (3&gt;1&gt;2): ข้อนี้ไม่ใช่คำตอบที่ถูกต้องสำหรับภาวะ General Therapeutics เนื่องจากกลไกการออกฤทธิ์, efficacy หรือข้อบ่งใช้ไม่ตรงกับโจทย์ที่กำหนด
• ข้อ จ. (3&gt;2&gt;1):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1" s="18" t="inlineStr"/>
      <c r="L1251" s="18" t="inlineStr">
        <is>
          <t>General Therapeutics</t>
        </is>
      </c>
      <c r="M1251" s="18" t="inlineStr">
        <is>
          <t>Clinic</t>
        </is>
      </c>
      <c r="N1251" s="18" t="inlineStr">
        <is>
          <t>ข้อ 3 (PLE_CC1_Practice_Exam.md)</t>
        </is>
      </c>
      <c r="O1251" s="18" t="inlineStr">
        <is>
          <t>Mock</t>
        </is>
      </c>
      <c r="P1251" s="18" t="inlineStr">
        <is>
          <t>Mock สภาเภสัชฯ Practice</t>
        </is>
      </c>
    </row>
    <row r="1252">
      <c r="A1252" s="15" t="inlineStr">
        <is>
          <t>1273</t>
        </is>
      </c>
      <c r="B1252" s="18" t="inlineStr">
        <is>
          <t>ยาต้านอักเสบตัวใดที่ไม่ควรใช้ในผู้ป่วยโรคเกาต์</t>
        </is>
      </c>
      <c r="C1252" s="18" t="inlineStr"/>
      <c r="D1252" s="18" t="inlineStr">
        <is>
          <t>Indomethacin</t>
        </is>
      </c>
      <c r="E1252" s="18" t="inlineStr">
        <is>
          <t>Ibruprofen</t>
        </is>
      </c>
      <c r="F1252" s="18" t="inlineStr">
        <is>
          <t>Piroxicam</t>
        </is>
      </c>
      <c r="G1252" s="18" t="inlineStr">
        <is>
          <t>Diclofenac</t>
        </is>
      </c>
      <c r="H1252" s="18" t="inlineStr">
        <is>
          <t>Aspirin</t>
        </is>
      </c>
      <c r="I1252" s="15" t="inlineStr">
        <is>
          <t>1</t>
        </is>
      </c>
      <c r="J1252" s="18" t="inlineStr">
        <is>
          <t>✅ คำตอบที่ถูกต้อง: ข้อ ก. Indomethacin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(Ibruprofen): ข้อนี้ไม่ใช่คำตอบที่ถูกต้องสำหรับภาวะ Musculoskeletal &amp; Joint เนื่องจากกลไกการออกฤทธิ์, efficacy หรือข้อบ่งใช้ไม่ตรงกับโจทย์ที่กำหนด
• ข้อ ค. (Piroxicam): เป็น oxicam NSAID ที่มี half-life ยาวนานมาก (~50 ชม.) แต่มีความเสี่ยงต่อ severe GI bleed และ skin reactions สูงที่สุดในกลุ่ม NSAIDs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(Aspirin): เป็น irreversible COX-1 inhibitor ยับยั้ง Thromboxane A2 เป็นแกนหลักใน antiplatelet secondary prevention ของ CVD (ขนาดยา 75-100 mg/day)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52" s="18" t="inlineStr"/>
      <c r="L1252" s="18" t="inlineStr">
        <is>
          <t>Musculoskeletal &amp; Joint</t>
        </is>
      </c>
      <c r="M1252" s="18" t="inlineStr">
        <is>
          <t>Clinic</t>
        </is>
      </c>
      <c r="N1252" s="18" t="inlineStr">
        <is>
          <t>ข้อ 38 (PLE_CC1_Practice_Exam.md)</t>
        </is>
      </c>
      <c r="O1252" s="18" t="inlineStr">
        <is>
          <t>Mock</t>
        </is>
      </c>
      <c r="P1252" s="18" t="inlineStr">
        <is>
          <t>Mock สภาเภสัชฯ Practice</t>
        </is>
      </c>
    </row>
    <row r="1253">
      <c r="A1253" s="15" t="inlineStr">
        <is>
          <t>1274</t>
        </is>
      </c>
      <c r="B1253" s="18" t="inlineStr">
        <is>
          <t>กระตุ้นการขนส่งและดูดซึมแคลเซียมเข้าสู่ลำไส้เล็ก</t>
        </is>
      </c>
      <c r="C1253" s="18" t="inlineStr"/>
      <c r="D1253" s="18" t="inlineStr">
        <is>
          <t>Sodium thiosulfate 25% 50 mL IV</t>
        </is>
      </c>
      <c r="E1253" s="18" t="inlineStr">
        <is>
          <t>Calcium disodium EDTA 1 g IV</t>
        </is>
      </c>
      <c r="F1253" s="18" t="inlineStr">
        <is>
          <t>Desferrioxamine 1 g IM/IV</t>
        </is>
      </c>
      <c r="G1253" s="18" t="inlineStr">
        <is>
          <t>Dimercaprol (BAL) 3 mg/kg IM</t>
        </is>
      </c>
      <c r="H1253" s="18" t="inlineStr">
        <is>
          <t>Ethanol 10% IV infusion for Methanol poisoning</t>
        </is>
      </c>
      <c r="I1253" s="15" t="inlineStr">
        <is>
          <t>1</t>
        </is>
      </c>
      <c r="J12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3" s="18" t="inlineStr"/>
      <c r="L1253" s="18" t="inlineStr">
        <is>
          <t>General Therapeutics</t>
        </is>
      </c>
      <c r="M1253" s="18" t="inlineStr">
        <is>
          <t>Clinic</t>
        </is>
      </c>
      <c r="N1253" s="18" t="inlineStr">
        <is>
          <t>ข้อ 1 (PLE_CC1_Practice_Exam.md)</t>
        </is>
      </c>
      <c r="O1253" s="18" t="inlineStr">
        <is>
          <t>Mock</t>
        </is>
      </c>
      <c r="P1253" s="18" t="inlineStr">
        <is>
          <t>Mock สภาเภสัชฯ Practice</t>
        </is>
      </c>
    </row>
    <row r="1254">
      <c r="A1254" s="15" t="inlineStr">
        <is>
          <t>1275</t>
        </is>
      </c>
      <c r="B1254" s="18" t="inlineStr">
        <is>
          <t>ข้อใดไม่ใช่สาเหตุที่ทำให้เกิดโรคดังกล่าว</t>
        </is>
      </c>
      <c r="C1254" s="18" t="inlineStr"/>
      <c r="D1254" s="18" t="inlineStr">
        <is>
          <t>การติดเชื้อในกลุ่ม Malassezia sp.</t>
        </is>
      </c>
      <c r="E1254" s="18" t="inlineStr">
        <is>
          <t>การถ่ายทอดทางพันธุกรรม</t>
        </is>
      </c>
      <c r="F1254" s="18" t="inlineStr">
        <is>
          <t>เป็นบุคคลที่มีผิวมันมากกว่าคนปกติ</t>
        </is>
      </c>
      <c r="G1254" s="18" t="inlineStr">
        <is>
          <t>การติดเชื้อ Dermatophyte</t>
        </is>
      </c>
      <c r="H1254" s="18" t="inlineStr">
        <is>
          <t>การถูกไร Demodex folliculorum กัด</t>
        </is>
      </c>
      <c r="I1254" s="15" t="inlineStr">
        <is>
          <t>1</t>
        </is>
      </c>
      <c r="J1254" s="18" t="inlineStr">
        <is>
          <t>✅ คำตอบที่ถูกต้อง: ข้อ ก. การติดเชื้อในกลุ่ม Malassezia 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การติดเชื้อในกลุ่ม Malassezia sp. การเลือก การติดเชื้อในกลุ่ม Malassezia 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(การถ่ายทอดทางพันธุกรรม):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ค. (เป็นบุคคลที่มีผิวมันมากกว่าคนปกติ): ข้อนี้ไม่ใช่คำตอบที่ถูกต้องสำหรับภาวะ General Therapeutics เนื่องจากกลไกการออกฤทธิ์, efficacy หรือข้อบ่งใช้ไม่ตรงกับโจทย์ที่กำหนด
• ข้อ ง. (การติดเชื้อ Dermatophyte): ข้อนี้ไม่ใช่คำตอบที่ถูกต้องสำหรับภาวะ General Therapeutics เนื่องจากกลไกการออกฤทธิ์, efficacy หรือข้อบ่งใช้ไม่ตรงกับโจทย์ที่กำหนด
• ข้อ จ. (การถูกไร Demodex folliculorum กัด):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4" s="18" t="inlineStr"/>
      <c r="L1254" s="18" t="inlineStr">
        <is>
          <t>General Therapeutics</t>
        </is>
      </c>
      <c r="M1254" s="18" t="inlineStr">
        <is>
          <t>Clinic</t>
        </is>
      </c>
      <c r="N1254" s="18" t="inlineStr">
        <is>
          <t>ข้อ 2 (PLE_CC1_Practice_Exam.md)</t>
        </is>
      </c>
      <c r="O1254" s="18" t="inlineStr">
        <is>
          <t>Mock</t>
        </is>
      </c>
      <c r="P1254" s="18" t="inlineStr">
        <is>
          <t>Mock สภาเภสัชฯ Practice</t>
        </is>
      </c>
    </row>
    <row r="1255">
      <c r="A1255" s="15" t="inlineStr">
        <is>
          <t>1276</t>
        </is>
      </c>
      <c r="B1255" s="18" t="inlineStr">
        <is>
          <t>กลไกการเกิด drug allergy จากข้อ 12 คือข้อใด</t>
        </is>
      </c>
      <c r="C1255" s="18" t="inlineStr"/>
      <c r="D1255" s="18" t="inlineStr">
        <is>
          <t>Type 1 hypersensitivity</t>
        </is>
      </c>
      <c r="E1255" s="18" t="inlineStr">
        <is>
          <t>Type 2 hypersensitivity</t>
        </is>
      </c>
      <c r="F1255" s="18" t="inlineStr">
        <is>
          <t>Type 3 hypersensitivity</t>
        </is>
      </c>
      <c r="G1255" s="18" t="inlineStr">
        <is>
          <t>Type 4 hypersensitivity</t>
        </is>
      </c>
      <c r="H1255" s="18" t="inlineStr">
        <is>
          <t>Pseudoallergy</t>
        </is>
      </c>
      <c r="I1255" s="15" t="inlineStr">
        <is>
          <t>1</t>
        </is>
      </c>
      <c r="J1255" s="18" t="inlineStr">
        <is>
          <t>✅ คำตอบที่ถูกต้อง: ข้อ ก. Type 1 hypersensitivity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Type 1 hypersensitivity การเลือก Type 1 hypersensitivity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(Type 2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ค. (Type 3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ง. (Type 4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จ. (Pseudoallergy):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5" s="18" t="inlineStr"/>
      <c r="L1255" s="18" t="inlineStr">
        <is>
          <t>Allergy &amp; Immunology</t>
        </is>
      </c>
      <c r="M1255" s="18" t="inlineStr">
        <is>
          <t>Clinic</t>
        </is>
      </c>
      <c r="N1255" s="18" t="inlineStr">
        <is>
          <t>ข้อ 13 (PLE_CC1_Practice_Exam.md)</t>
        </is>
      </c>
      <c r="O1255" s="18" t="inlineStr">
        <is>
          <t>Mock</t>
        </is>
      </c>
      <c r="P1255" s="18" t="inlineStr">
        <is>
          <t>Mock สภาเภสัชฯ Practice</t>
        </is>
      </c>
    </row>
    <row r="1256">
      <c r="A1256" s="15" t="inlineStr">
        <is>
          <t>1277</t>
        </is>
      </c>
      <c r="B1256" s="18" t="inlineStr">
        <is>
          <t>การจัดการในข้อใดไม่เหมาะสมกับผู้ป่วยรายนี้</t>
        </is>
      </c>
      <c r="C1256" s="18" t="inlineStr"/>
      <c r="D1256" s="18" t="inlineStr">
        <is>
          <t>ออกบัตรแพ้ยา NSAIDs</t>
        </is>
      </c>
      <c r="E1256" s="18" t="inlineStr">
        <is>
          <t>ออกบัตรแพ้ยา Diclofenac</t>
        </is>
      </c>
      <c r="F1256" s="18" t="inlineStr">
        <is>
          <t>หยุดยา Diclofenac</t>
        </is>
      </c>
      <c r="G1256" s="18" t="inlineStr">
        <is>
          <t>IV Antihistamine และ Corticosteroid</t>
        </is>
      </c>
      <c r="H1256" s="18" t="inlineStr">
        <is>
          <t>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256" s="15" t="inlineStr">
        <is>
          <t>1</t>
        </is>
      </c>
      <c r="J1256" s="18" t="inlineStr">
        <is>
          <t>✅ คำตอบที่ถูกต้อง: ข้อ ก. ออกบัตรแพ้ยา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ออกบัตรแพ้ยา NSAIDs การเลือก ออกบัตรแพ้ยา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(ออกบัตรแพ้ยา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ค. (หยุดยา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ง. (IV Antihistamine และ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6" s="18" t="inlineStr"/>
      <c r="L1256" s="18" t="inlineStr">
        <is>
          <t>General Therapeutics</t>
        </is>
      </c>
      <c r="M1256" s="18" t="inlineStr">
        <is>
          <t>Clinic</t>
        </is>
      </c>
      <c r="N1256" s="18" t="inlineStr">
        <is>
          <t>ข้อ 14 (PLE_CC1_Practice_Exam.md)</t>
        </is>
      </c>
      <c r="O1256" s="18" t="inlineStr">
        <is>
          <t>Mock</t>
        </is>
      </c>
      <c r="P1256" s="18" t="inlineStr">
        <is>
          <t>Mock สภาเภสัชฯ Practice</t>
        </is>
      </c>
    </row>
    <row r="1257">
      <c r="A1257" s="15" t="inlineStr">
        <is>
          <t>1278</t>
        </is>
      </c>
      <c r="B1257" s="18" t="inlineStr">
        <is>
          <t>จากข้อ 15 การรักษาใดไม่เหมาะสมกับผู้ป่วยรายนี้</t>
        </is>
      </c>
      <c r="C1257" s="18" t="inlineStr"/>
      <c r="D1257" s="18" t="inlineStr">
        <is>
          <t>Topical corticosteroid</t>
        </is>
      </c>
      <c r="E1257" s="18" t="inlineStr">
        <is>
          <t>Topical moisturizer</t>
        </is>
      </c>
      <c r="F1257" s="18" t="inlineStr">
        <is>
          <t>Oral antihistamine</t>
        </is>
      </c>
      <c r="G1257" s="18" t="inlineStr">
        <is>
          <t>Wet dressing</t>
        </is>
      </c>
      <c r="H1257" s="18" t="inlineStr">
        <is>
          <t>Intralesional injection corticosteroid</t>
        </is>
      </c>
      <c r="I1257" s="15" t="inlineStr">
        <is>
          <t>1</t>
        </is>
      </c>
      <c r="J1257" s="18" t="inlineStr">
        <is>
          <t>✅ คำตอบที่ถูกต้อง: ข้อ ก. Topical corticosteroid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Topical corticosteroid การเลือก Topical corticosteroid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(Topical moisturizer): ข้อนี้ไม่ใช่คำตอบที่ถูกต้องสำหรับภาวะ General Therapeutics เนื่องจากกลไกการออกฤทธิ์, efficacy หรือข้อบ่งใช้ไม่ตรงกับโจทย์ที่กำหนด
• ข้อ ค. (Oral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(Wet dressing): ข้อนี้ไม่ใช่คำตอบที่ถูกต้องสำหรับภาวะ General Therapeutics เนื่องจากกลไกการออกฤทธิ์, efficacy หรือข้อบ่งใช้ไม่ตรงกับโจทย์ที่กำหนด
• ข้อ จ. (Intralesional injection corticosteroid):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7" s="18" t="inlineStr"/>
      <c r="L1257" s="18" t="inlineStr">
        <is>
          <t>General Therapeutics</t>
        </is>
      </c>
      <c r="M1257" s="18" t="inlineStr">
        <is>
          <t>Clinic</t>
        </is>
      </c>
      <c r="N1257" s="18" t="inlineStr">
        <is>
          <t>ข้อ 16 (PLE_CC1_Practice_Exam.md)</t>
        </is>
      </c>
      <c r="O1257" s="18" t="inlineStr">
        <is>
          <t>Mock</t>
        </is>
      </c>
      <c r="P1257" s="18" t="inlineStr">
        <is>
          <t>Mock สภาเภสัชฯ Practice</t>
        </is>
      </c>
    </row>
    <row r="1258">
      <c r="A1258" s="15" t="inlineStr">
        <is>
          <t>1279</t>
        </is>
      </c>
      <c r="B1258" s="18" t="inlineStr">
        <is>
          <t>ผู้ป่วยหญิง อายุ 22 ปี อาชีพนักศึกษา สูง 161 เซนติเมตร น้ำหนัก 52 กิโลกรัม ไม่มีโรคประจำตัว มา พบแพทย์ที่โรงพยาบาลเนื่องจากขับรถจักรยานยนต์ล้มเอง มีแผลถลอกบริเวณมือขวาขนาด 2.5x3.5 เซนติเมตร ขาขวาขนาด 4x18 เซนติเมตรและเท้าขวา โดยรถจักรยานยนต์ล้มก่อนมาโรงพยาบาล 13 ชั่วโมง ในผู้ป่วยรายนี้จำเป็นต้องได้รับยาปฏิชีวนะหรือไม่</t>
        </is>
      </c>
      <c r="C1258" s="18" t="inlineStr"/>
      <c r="D1258" s="18" t="inlineStr">
        <is>
          <t>ไม่จำเป็นต้องได้รับ เนื่องจากแผลไม่สกปรก ไม่มีโอกาสปนเปื้อนเชื้อแบคทีเรีย</t>
        </is>
      </c>
      <c r="E1258" s="18" t="inlineStr">
        <is>
          <t>ไม่จำเป็นต้องได้รับ เนื่องจากผู้ป่วยอายุยังไม่มากและไม่มีโรคประจำตัวใด โอกาสที่จะติดเชื้อ แบคทีเรียมีน้อย</t>
        </is>
      </c>
      <c r="F1258" s="18" t="inlineStr">
        <is>
          <t>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t>
        </is>
      </c>
      <c r="G1258" s="18" t="inlineStr">
        <is>
          <t>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t>
        </is>
      </c>
      <c r="H1258" s="18" t="inlineStr">
        <is>
          <t>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t>
        </is>
      </c>
      <c r="I1258" s="15" t="inlineStr">
        <is>
          <t>1</t>
        </is>
      </c>
      <c r="J1258" s="18" t="inlineStr">
        <is>
          <t>✅ คำตอบที่ถูกต้อง: ข้อ ก. ไม่จำเป็นต้องได้รับ เนื่องจากแผลไม่สกปรก ไม่มีโอกาสปนเปื้อนเชื้อแบคทีเรีย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ไม่จำเป็นต้องได้รับ เนื่องจากแผลไม่สกปรก ไม่มีโอกาสปนเปื้อนเชื้อแบคทีเรีย การเลือก ไม่จำเป็นต้องได้รับ เนื่องจากแผลไม่สกปรก ไม่มีโอกาสปนเปื้อนเชื้อแบคทีเรีย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(ไม่จำเป็นต้องได้รับ เนื่องจากผู้ป่วยอายุยังไม่มากและไม่มีโรคประจำตัวใด โอกาสที่จะติดเชื้อ แบคทีเรียมีน้อย): ข้อนี้ไม่ใช่คำตอบที่ถูกต้องสำหรับภาวะ General Therapeutics เนื่องจากกลไกการออกฤทธิ์, efficacy หรือข้อบ่งใช้ไม่ตรงกับโจทย์ที่กำหนด
• ข้อ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เป็น penicillinase-resistant penicillin เป็น drug of choice สำหรับ Methicillin-Susceptible Staphylococcus aureus (MSSA) infections ต้องรับประทานตอนท้องว่าง
• ข้อ ง. (จำเป็นต้องได้รับ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 เป็น penicillinase-resistant penicillin เป็น drug of choice สำหรับ Methicillin-Susceptible Staphylococcus aureus (MSSA) infections ต้องรับประทานตอนท้องว่าง
• ข้อ จ. (จำเป็นต้องได้รับ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8" s="18" t="inlineStr"/>
      <c r="L1258" s="18" t="inlineStr">
        <is>
          <t>General Therapeutics</t>
        </is>
      </c>
      <c r="M1258" s="18" t="inlineStr">
        <is>
          <t>Clinic</t>
        </is>
      </c>
      <c r="N1258" s="18" t="inlineStr">
        <is>
          <t>ข้อ 18 (PLE_CC1_Practice_Exam.md)</t>
        </is>
      </c>
      <c r="O1258" s="18" t="inlineStr">
        <is>
          <t>Mock</t>
        </is>
      </c>
      <c r="P1258" s="18" t="inlineStr">
        <is>
          <t>Mock สภาเภสัชฯ Practice</t>
        </is>
      </c>
    </row>
    <row r="1259">
      <c r="A1259" s="15" t="inlineStr">
        <is>
          <t>1280</t>
        </is>
      </c>
      <c r="B1259" s="18" t="inlineStr">
        <is>
          <t>จากข้อ 20. ในฐานะเภสัชกร ท่านต้องเลือกการรักษาและการป้องกันไม่ให้เกิดซ้ำอีก ข้อใดเป็นข้อมูลที่ไม่ ถูกต้อง</t>
        </is>
      </c>
      <c r="C1259" s="18" t="inlineStr"/>
      <c r="D1259" s="18" t="inlineStr">
        <is>
          <t>แนะนำให้สวมถุงเท้าเป็นประจำ</t>
        </is>
      </c>
      <c r="E1259" s="18" t="inlineStr">
        <is>
          <t>แนะนำให้ใส่รองเท้าส้นสูง เพื่อเป็นการลดการรับน้ำหนักของเท้าไม่ให้ตาปลาถูกกด</t>
        </is>
      </c>
      <c r="F1259" s="18" t="inlineStr">
        <is>
          <t>การรักษาผู้ป่วยรายนี้คือ Keratolytic agent</t>
        </is>
      </c>
      <c r="G1259" s="18" t="inlineStr">
        <is>
          <t>การรักษาผู้ป่วยรายนี้แนะนำให้ไปพบแพทย์ที่โรงพยาบาล เพื่อตัดหนังส่วนเกินทิ้ง</t>
        </is>
      </c>
      <c r="H1259" s="18" t="inlineStr">
        <is>
          <t>แนะนำให้ผู้ป่วยสวมรองเท้าที่เป็นหัวบาน (Wide toebox)</t>
        </is>
      </c>
      <c r="I1259" s="15" t="inlineStr">
        <is>
          <t>1</t>
        </is>
      </c>
      <c r="J1259" s="18" t="inlineStr">
        <is>
          <t>✅ คำตอบที่ถูกต้อง: ข้อ ก. แนะนำให้สวมถุงเท้าเป็นประจำ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แนะนำให้สวมถุงเท้าเป็นประจำ การเลือก แนะนำให้สวมถุงเท้าเป็นประจำ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(แนะนำให้ใส่รองเท้าส้นสูง เพื่อเป็นการลดการรับน้ำหนักของเท้าไม่ให้ตาปลาถูกกด): ข้อนี้ไม่ใช่คำตอบที่ถูกต้องสำหรับภาวะ General Therapeutics เนื่องจากกลไกการออกฤทธิ์, efficacy หรือข้อบ่งใช้ไม่ตรงกับโจทย์ที่กำหนด
• ข้อ ค. (การรักษาผู้ป่วยรายนี้คือ Keratolytic agent): ข้อนี้ไม่ใช่คำตอบที่ถูกต้องสำหรับภาวะ General Therapeutics เนื่องจากกลไกการออกฤทธิ์, efficacy หรือข้อบ่งใช้ไม่ตรงกับโจทย์ที่กำหนด
• ข้อ ง. (การรักษาผู้ป่วยรายนี้แนะนำให้ไปพบแพทย์ที่โรงพยาบาล เพื่อตัดหนังส่วนเกินทิ้ง): ข้อนี้ไม่ใช่คำตอบที่ถูกต้องสำหรับภาวะ General Therapeutics เนื่องจากกลไกการออกฤทธิ์, efficacy หรือข้อบ่งใช้ไม่ตรงกับโจทย์ที่กำหนด
• ข้อ จ. (แนะนำให้ผู้ป่วยสวมรองเท้าที่เป็นหัวบาน (Wide toebox)):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9" s="18" t="inlineStr"/>
      <c r="L1259" s="18" t="inlineStr">
        <is>
          <t>General Therapeutics</t>
        </is>
      </c>
      <c r="M1259" s="18" t="inlineStr">
        <is>
          <t>Clinic</t>
        </is>
      </c>
      <c r="N1259" s="18" t="inlineStr">
        <is>
          <t>ข้อ 21 (PLE_CC1_Practice_Exam.md)</t>
        </is>
      </c>
      <c r="O1259" s="18" t="inlineStr">
        <is>
          <t>Mock</t>
        </is>
      </c>
      <c r="P1259" s="18" t="inlineStr">
        <is>
          <t>Mock สภาเภสัชฯ Practice</t>
        </is>
      </c>
    </row>
    <row r="1260">
      <c r="A1260" s="15" t="inlineStr">
        <is>
          <t>1281</t>
        </is>
      </c>
      <c r="B1260" s="18" t="inlineStr">
        <is>
          <t>จากข้อ 34. หากผู้ป่วยมีโรคประจำตัว คือ โรคลมชัก ยาในข้อใดต่อไปนี้ที่เป็นสาเหตุของอาการดังกล่าว</t>
        </is>
      </c>
      <c r="C1260" s="18" t="inlineStr"/>
      <c r="D1260" s="18" t="inlineStr">
        <is>
          <t>Sumatriptan 50 mg stat</t>
        </is>
      </c>
      <c r="E1260" s="18" t="inlineStr">
        <is>
          <t>Propranolol 40 mg BID</t>
        </is>
      </c>
      <c r="F1260" s="18" t="inlineStr">
        <is>
          <t>Topiramate 25 mg BID</t>
        </is>
      </c>
      <c r="G1260" s="18" t="inlineStr">
        <is>
          <t>Donepezil 5 mg HS</t>
        </is>
      </c>
      <c r="H1260" s="18" t="inlineStr">
        <is>
          <t>Alteplase (rtPA) 0.9 mg/kg IV</t>
        </is>
      </c>
      <c r="I1260" s="15" t="inlineStr">
        <is>
          <t>1</t>
        </is>
      </c>
      <c r="J1260" s="18"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0" s="18" t="inlineStr"/>
      <c r="L1260" s="18" t="inlineStr">
        <is>
          <t>Neurologic Disorders</t>
        </is>
      </c>
      <c r="M1260" s="18" t="inlineStr">
        <is>
          <t>Clinic</t>
        </is>
      </c>
      <c r="N1260" s="18" t="inlineStr">
        <is>
          <t>ข้อ 35 (PLE_CC1_Practice_Exam.md)</t>
        </is>
      </c>
      <c r="O1260" s="18" t="inlineStr">
        <is>
          <t>Mock</t>
        </is>
      </c>
      <c r="P1260" s="18" t="inlineStr">
        <is>
          <t>Mock สภาเภสัชฯ Practice</t>
        </is>
      </c>
    </row>
    <row r="1261">
      <c r="A1261" s="15" t="inlineStr">
        <is>
          <t>1282</t>
        </is>
      </c>
      <c r="B1261" s="18" t="inlineStr">
        <is>
          <t>จากข้อ 35 หากผู้ป่วยมีอาการชักกำเริบ จงพิจารณายาที่สามารถใช้ได้กับผู้ป่วยรายนี้</t>
        </is>
      </c>
      <c r="C1261" s="18" t="inlineStr"/>
      <c r="D1261" s="18" t="inlineStr">
        <is>
          <t>Donepezil 5 mg HS</t>
        </is>
      </c>
      <c r="E1261" s="18" t="inlineStr">
        <is>
          <t>Alteplase (rtPA) 0.9 mg/kg IV</t>
        </is>
      </c>
      <c r="F1261" s="18" t="inlineStr">
        <is>
          <t>Phenytoin 100 mg TID</t>
        </is>
      </c>
      <c r="G1261" s="18" t="inlineStr">
        <is>
          <t>Sodium valproate 200 mg TID</t>
        </is>
      </c>
      <c r="H1261" s="18" t="inlineStr">
        <is>
          <t>Carbamazepine 200 mg BID</t>
        </is>
      </c>
      <c r="I1261" s="15" t="inlineStr">
        <is>
          <t>1</t>
        </is>
      </c>
      <c r="J1261" s="18"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เป็นตัวเลือกที่ถูกต้องและสอดคล้องกับ evidence-based guidelines ของภาวะ Neurologic Disorders โดยมี clinical efficacy สูงสุดและมี safety profile เหมาะสมกับผู้ป่วย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1" s="18" t="inlineStr"/>
      <c r="L1261" s="18" t="inlineStr">
        <is>
          <t>Neurologic Disorders</t>
        </is>
      </c>
      <c r="M1261" s="18" t="inlineStr">
        <is>
          <t>Clinic</t>
        </is>
      </c>
      <c r="N1261" s="18" t="inlineStr">
        <is>
          <t>ข้อ 36 (PLE_CC1_Practice_Exam.md)</t>
        </is>
      </c>
      <c r="O1261" s="18" t="inlineStr">
        <is>
          <t>Mock</t>
        </is>
      </c>
      <c r="P1261" s="18" t="inlineStr">
        <is>
          <t>Mock สภาเภสัชฯ Practice</t>
        </is>
      </c>
    </row>
    <row r="1262">
      <c r="A1262" s="15" t="inlineStr">
        <is>
          <t>1283</t>
        </is>
      </c>
      <c r="B1262" s="18" t="inlineStr">
        <is>
          <t>Eosinophilia มักสูงขึ้นซึ่งสูงกว่า 1,500 cells/mm3</t>
        </is>
      </c>
      <c r="C1262" s="18" t="inlineStr"/>
      <c r="D1262" s="18" t="inlineStr">
        <is>
          <t>Dimercaprol (BAL) 3 mg/kg IM</t>
        </is>
      </c>
      <c r="E1262" s="18" t="inlineStr">
        <is>
          <t>Ethanol 10% IV infusion for Methanol poisoning</t>
        </is>
      </c>
      <c r="F1262" s="18" t="inlineStr">
        <is>
          <t>Fomepizole 15 mg/kg IV loading</t>
        </is>
      </c>
      <c r="G1262" s="18" t="inlineStr">
        <is>
          <t>N-acetylcysteine (NAC) IV infusion protocol</t>
        </is>
      </c>
      <c r="H1262" s="18" t="inlineStr">
        <is>
          <t>Atropine sulfate 2 mg IV Q5-10 min</t>
        </is>
      </c>
      <c r="I1262" s="15" t="inlineStr">
        <is>
          <t>1</t>
        </is>
      </c>
      <c r="J12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2" s="18" t="inlineStr"/>
      <c r="L1262" s="18" t="inlineStr">
        <is>
          <t>General Therapeutics</t>
        </is>
      </c>
      <c r="M1262" s="18" t="inlineStr">
        <is>
          <t>Clinic</t>
        </is>
      </c>
      <c r="N1262" s="18" t="inlineStr">
        <is>
          <t>ข้อ 2 (PLE_CC1_Practice_Exam.md)</t>
        </is>
      </c>
      <c r="O1262" s="18" t="inlineStr">
        <is>
          <t>Mock</t>
        </is>
      </c>
      <c r="P1262" s="18" t="inlineStr">
        <is>
          <t>Mock สภาเภสัชฯ Practice</t>
        </is>
      </c>
    </row>
    <row r="1263">
      <c r="A1263" s="15" t="inlineStr">
        <is>
          <t>1284</t>
        </is>
      </c>
      <c r="B1263" s="18" t="inlineStr">
        <is>
          <t>Podophyllin paint</t>
        </is>
      </c>
      <c r="C1263" s="18" t="inlineStr"/>
      <c r="D1263" s="18" t="inlineStr">
        <is>
          <t>N-acetylcysteine (NAC) IV infusion protocol</t>
        </is>
      </c>
      <c r="E1263" s="18" t="inlineStr">
        <is>
          <t>Atropine sulfate 2 mg IV Q5-10 min</t>
        </is>
      </c>
      <c r="F1263" s="18" t="inlineStr">
        <is>
          <t>Pralidoxime (2-PAM) 1-2 g IV over 30 min</t>
        </is>
      </c>
      <c r="G1263" s="18" t="inlineStr">
        <is>
          <t>Naloxone 0.4 mg IV stat</t>
        </is>
      </c>
      <c r="H1263" s="18" t="inlineStr">
        <is>
          <t>Flumazenil 0.2 mg IV stat</t>
        </is>
      </c>
      <c r="I1263" s="15" t="inlineStr">
        <is>
          <t>1</t>
        </is>
      </c>
      <c r="J12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63" s="18" t="inlineStr"/>
      <c r="L1263" s="18" t="inlineStr">
        <is>
          <t>General Therapeutics</t>
        </is>
      </c>
      <c r="M1263" s="18" t="inlineStr">
        <is>
          <t>Clinic</t>
        </is>
      </c>
      <c r="N1263" s="18" t="inlineStr">
        <is>
          <t>ข้อ 3 (PLE_CC1_Practice_Exam.md)</t>
        </is>
      </c>
      <c r="O1263" s="18" t="inlineStr">
        <is>
          <t>Mock</t>
        </is>
      </c>
      <c r="P1263" s="18" t="inlineStr">
        <is>
          <t>Mock สภาเภสัชฯ Practice</t>
        </is>
      </c>
    </row>
    <row r="1264">
      <c r="A1264" s="15" t="inlineStr">
        <is>
          <t>1285</t>
        </is>
      </c>
      <c r="B1264" s="18" t="inlineStr">
        <is>
          <t>การรักษาใดที่เหมาะสมที่สุดในผู้ป่วยรายนี้</t>
        </is>
      </c>
      <c r="C1264" s="18" t="inlineStr"/>
      <c r="D1264" s="18" t="inlineStr">
        <is>
          <t>Dicloxacillin 250-500 mg po QID ac 5-7 วัน</t>
        </is>
      </c>
      <c r="E1264" s="18" t="inlineStr">
        <is>
          <t>Neomycin2 mg, Polymyxin B 5,000 หนวย และ Gramicidin 0.025 mg (Poly-Ophห) หยอด ตา QID 5-7 วัน</t>
        </is>
      </c>
      <c r="F1264" s="18" t="inlineStr">
        <is>
          <t>น้ำตาเทียม หยอด OD-BID กรณีไม่รุนแรง และ TID-QID กรณีรุนแรงมากขึ้น</t>
        </is>
      </c>
      <c r="G1264" s="18" t="inlineStr">
        <is>
          <t>Antazoline 0.05% และ Tetrahydrozoline 0.04% (Hista-Ophห) หยอดตา QID</t>
        </is>
      </c>
      <c r="H1264" s="18" t="inlineStr">
        <is>
          <t>Chloramphenicol 0.5% หยอดเมื่อมีอาการ</t>
        </is>
      </c>
      <c r="I1264" s="15" t="inlineStr">
        <is>
          <t>1</t>
        </is>
      </c>
      <c r="J1264" s="18" t="inlineStr">
        <is>
          <t>✅ คำตอบที่ถูกต้อง: ข้อ ก. Dicloxacillin 250-500 mg po QID ac 5-7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Dicloxacillin 250-500 mg po QID ac 5-7 วัน การเลือก Dicloxacillin 250-500 mg po QID ac 5-7 วัน เป็นคำตอบที่ถูกต้องตามแนวทางการรักษามาตรฐาน เนื่องจาก เป็น penicillinase-resistant penicillin เป็น drug of choice สำหรับ Methicillin-Susceptible Staphylococcus aureus (MSSA) infections ต้องรับประทานตอนท้องว่าง
🔍 ข้ออื่นผิดเพราะอะไร:
• ข้อ ข. (Neomycin2 mg, Polymyxin B 5,000 หนวย และ Gramicidin 0.025 mg (Poly-Ophห) หยอด ตา QID 5-7 วัน): ข้อนี้ไม่ใช่คำตอบที่ถูกต้องสำหรับภาวะ General Therapeutics เนื่องจากกลไกการออกฤทธิ์, efficacy หรือข้อบ่งใช้ไม่ตรงกับโจทย์ที่กำหนด
• ข้อ ค. (น้ำตาเทียม หยอด OD-BID กรณีไม่รุนแรง และ TID-QID กรณีรุนแรงมากขึ้น): ข้อนี้ไม่ใช่คำตอบที่ถูกต้องสำหรับภาวะ General Therapeutics เนื่องจากกลไกการออกฤทธิ์, efficacy หรือข้อบ่งใช้ไม่ตรงกับโจทย์ที่กำหนด
• ข้อ ง. (Antazoline 0.05% และ Tetrahydrozoline 0.04% (Hista-Ophห) หยอดตา QID): ข้อนี้ไม่ใช่คำตอบที่ถูกต้องสำหรับภาวะ General Therapeutics เนื่องจากกลไกการออกฤทธิ์, efficacy หรือข้อบ่งใช้ไม่ตรงกับโจทย์ที่กำหนด
• ข้อ จ. (Chloramphenicol 0.5% หยอดเมื่อมีอาการ):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4" s="18" t="inlineStr"/>
      <c r="L1264" s="18" t="inlineStr">
        <is>
          <t>General Therapeutics</t>
        </is>
      </c>
      <c r="M1264" s="18" t="inlineStr">
        <is>
          <t>Clinic</t>
        </is>
      </c>
      <c r="N1264" s="18" t="inlineStr">
        <is>
          <t>ข้อ 1 (PLE_CC1_Practice_Exam.md)</t>
        </is>
      </c>
      <c r="O1264" s="18" t="inlineStr">
        <is>
          <t>Mock</t>
        </is>
      </c>
      <c r="P1264" s="18" t="inlineStr">
        <is>
          <t>Mock สภาเภสัชฯ Practice</t>
        </is>
      </c>
    </row>
    <row r="1265">
      <c r="A1265" s="15" t="inlineStr">
        <is>
          <t>1286</t>
        </is>
      </c>
      <c r="B1265" s="18" t="inlineStr">
        <is>
          <t>อาการของผู้ป่วยเข้าได้กับข้อใด</t>
        </is>
      </c>
      <c r="C1265" s="18" t="inlineStr"/>
      <c r="D1265" s="18" t="inlineStr">
        <is>
          <t>Bacterial conjunctivitis</t>
        </is>
      </c>
      <c r="E1265" s="18" t="inlineStr">
        <is>
          <t>Viral conjunctivitis</t>
        </is>
      </c>
      <c r="F1265" s="18" t="inlineStr">
        <is>
          <t>Allergic conjunctivitis</t>
        </is>
      </c>
      <c r="G1265" s="18" t="inlineStr">
        <is>
          <t>Hordeolum</t>
        </is>
      </c>
      <c r="H1265" s="18" t="inlineStr">
        <is>
          <t>Pterygium</t>
        </is>
      </c>
      <c r="I1265" s="15" t="inlineStr">
        <is>
          <t>1</t>
        </is>
      </c>
      <c r="J1265" s="18"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5" s="18" t="inlineStr"/>
      <c r="L1265" s="18" t="inlineStr">
        <is>
          <t>General Therapeutics</t>
        </is>
      </c>
      <c r="M1265" s="18" t="inlineStr">
        <is>
          <t>Clinic</t>
        </is>
      </c>
      <c r="N1265" s="18" t="inlineStr">
        <is>
          <t>ข้อ 4 (PLE_CC1_Practice_Exam.md)</t>
        </is>
      </c>
      <c r="O1265" s="18" t="inlineStr">
        <is>
          <t>Mock</t>
        </is>
      </c>
      <c r="P1265" s="18" t="inlineStr">
        <is>
          <t>Mock สภาเภสัชฯ Practice</t>
        </is>
      </c>
    </row>
    <row r="1266">
      <c r="A1266" s="15" t="inlineStr">
        <is>
          <t>1287</t>
        </is>
      </c>
      <c r="B1266" s="18" t="inlineStr">
        <is>
          <t>ตามแนวทางการใช้ยาอย่างสมเหตุผลของประเทศไทยยาใดมีความเหมาะสมมากที่สุดในผู้ป่วยที่มีอาการ ข้างต้น</t>
        </is>
      </c>
      <c r="C1266" s="18" t="inlineStr"/>
      <c r="D1266" s="18" t="inlineStr">
        <is>
          <t>Olopatadine</t>
        </is>
      </c>
      <c r="E1266" s="18" t="inlineStr">
        <is>
          <t>Lodoxamide</t>
        </is>
      </c>
      <c r="F1266" s="18" t="inlineStr">
        <is>
          <t>Chloramphenicol</t>
        </is>
      </c>
      <c r="G1266" s="18" t="inlineStr">
        <is>
          <t>Epinastine</t>
        </is>
      </c>
      <c r="H1266" s="18" t="inlineStr">
        <is>
          <t>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6" s="15" t="inlineStr">
        <is>
          <t>1</t>
        </is>
      </c>
      <c r="J1266" s="18" t="inlineStr">
        <is>
          <t>✅ คำตอบที่ถูกต้อง: ข้อ ก. Olopatadine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Olopatadine การเลือก Olopatadine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(Lodoxamide): ข้อนี้ไม่ใช่คำตอบที่ถูกต้องสำหรับภาวะ General Therapeutics เนื่องจากกลไกการออกฤทธิ์, efficacy หรือข้อบ่งใช้ไม่ตรงกับโจทย์ที่กำหนด
• ข้อ ค. (Chloramphenicol): ข้อนี้ไม่ใช่คำตอบที่ถูกต้องสำหรับภาวะ General Therapeutics เนื่องจากกลไกการออกฤทธิ์, efficacy หรือข้อบ่งใช้ไม่ตรงกับโจทย์ที่กำหนด
• ข้อ ง. (Epinastine): ข้อนี้ไม่ใช่คำตอบที่ถูกต้องสำหรับภาวะ General Therapeutics เนื่องจากกลไกการออกฤทธิ์, efficacy หรือข้อบ่งใช้ไม่ตรงกับโจทย์ที่กำหนด
• ข้อ จ. (Neomycin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66" s="18" t="inlineStr"/>
      <c r="L1266" s="18" t="inlineStr">
        <is>
          <t>General Therapeutics</t>
        </is>
      </c>
      <c r="M1266" s="18" t="inlineStr">
        <is>
          <t>Clinic</t>
        </is>
      </c>
      <c r="N1266" s="18" t="inlineStr">
        <is>
          <t>ข้อ 8 (PLE_CC1_Practice_Exam.md)</t>
        </is>
      </c>
      <c r="O1266" s="18" t="inlineStr">
        <is>
          <t>Mock</t>
        </is>
      </c>
      <c r="P1266" s="18" t="inlineStr">
        <is>
          <t>Mock สภาเภสัชฯ Practice</t>
        </is>
      </c>
    </row>
    <row r="1267">
      <c r="A1267" s="15" t="inlineStr">
        <is>
          <t>1288</t>
        </is>
      </c>
      <c r="B1267" s="18" t="inlineStr">
        <is>
          <t>จากการที่เภสัชกรได้ทำการซักประวัติแล้ว ท่านคิดว่าอาการผู้ป่วยเข้าได้กับโรคใด</t>
        </is>
      </c>
      <c r="C1267" s="18" t="inlineStr"/>
      <c r="D1267" s="18" t="inlineStr">
        <is>
          <t>โรคต้อหิน</t>
        </is>
      </c>
      <c r="E1267" s="18" t="inlineStr">
        <is>
          <t>โรคตากุ้งยิง</t>
        </is>
      </c>
      <c r="F1267" s="18" t="inlineStr">
        <is>
          <t>โรคต้อกระจก</t>
        </is>
      </c>
      <c r="G1267" s="18" t="inlineStr">
        <is>
          <t>โรคต้อเนื้อ</t>
        </is>
      </c>
      <c r="H1267" s="18" t="inlineStr">
        <is>
          <t>โรคตาแดง</t>
        </is>
      </c>
      <c r="I1267" s="15" t="inlineStr">
        <is>
          <t>1</t>
        </is>
      </c>
      <c r="J1267" s="18" t="inlineStr">
        <is>
          <t>✅ คำตอบที่ถูกต้อง: ข้อ ก. โรคต้อหิน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โรคต้อหิน การเลือก โรคต้อหิน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ค. (โรคต้อกระจก): ข้อนี้ไม่ใช่คำตอบที่ถูกต้องสำหรับภาวะ General Therapeutics เนื่องจากกลไกการออกฤทธิ์, efficacy หรือข้อบ่งใช้ไม่ตรงกับโจทย์ที่กำหนด
• ข้อ ง. (โรคต้อเนื้อ): ข้อนี้ไม่ใช่คำตอบที่ถูกต้องสำหรับภาวะ General Therapeutics เนื่องจากกลไกการออกฤทธิ์, efficacy หรือข้อบ่งใช้ไม่ตรงกับโจทย์ที่กำหนด
• ข้อ จ. (โรคตาแดง):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7" s="18" t="inlineStr"/>
      <c r="L1267" s="18" t="inlineStr">
        <is>
          <t>General Therapeutics</t>
        </is>
      </c>
      <c r="M1267" s="18" t="inlineStr">
        <is>
          <t>Clinic</t>
        </is>
      </c>
      <c r="N1267" s="18" t="inlineStr">
        <is>
          <t>ข้อ 14 (PLE_CC1_Practice_Exam.md)</t>
        </is>
      </c>
      <c r="O1267" s="18" t="inlineStr">
        <is>
          <t>Mock</t>
        </is>
      </c>
      <c r="P1267" s="18" t="inlineStr">
        <is>
          <t>Mock สภาเภสัชฯ Practice</t>
        </is>
      </c>
    </row>
    <row r="1268">
      <c r="A1268" s="15" t="inlineStr">
        <is>
          <t>1289</t>
        </is>
      </c>
      <c r="B1268" s="18" t="inlineStr">
        <is>
          <t>ยาชนิดใดต่อไปนี้มีข้อห้ามใช้ หรือ ข้อควรระวังในผู้ป่วยรายนี้</t>
        </is>
      </c>
      <c r="C1268" s="18" t="inlineStr"/>
      <c r="D1268" s="18" t="inlineStr">
        <is>
          <t>Betaxolol</t>
        </is>
      </c>
      <c r="E1268" s="18" t="inlineStr">
        <is>
          <t>Dorzolamide</t>
        </is>
      </c>
      <c r="F1268" s="18" t="inlineStr">
        <is>
          <t>Brinzolamide</t>
        </is>
      </c>
      <c r="G1268" s="18" t="inlineStr">
        <is>
          <t>Atropine</t>
        </is>
      </c>
      <c r="H1268" s="18" t="inlineStr">
        <is>
          <t>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t>
        </is>
      </c>
      <c r="I1268" s="15" t="inlineStr">
        <is>
          <t>1</t>
        </is>
      </c>
      <c r="J1268" s="18" t="inlineStr">
        <is>
          <t>✅ คำตอบที่ถูกต้อง: ข้อ ก. Betaxolol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Betaxolol และไอ เป็นเวลา 1 สัปดาห์ซึ่งได้รับการรักษาเมื่อ 4 วันก่อน วันนี้แม่ให้รับประทานยา paracetamol มีอาการ
🔍 ข้ออื่นผิดเพราะอะไร:
• ข้อ ข. (Dorzolamide): ข้อนี้ไม่ใช่คำตอบที่ถูกต้องสำหรับภาวะ General Therapeutics เนื่องจากกลไกการออกฤทธิ์, efficacy หรือข้อบ่งใช้ไม่ตรงกับโจทย์ที่กำหนด
• ข้อ ค. (Brinzolamide): ข้อนี้ไม่ใช่คำตอบที่ถูกต้องสำหรับภาวะ General Therapeutics เนื่องจากกลไกการออกฤทธิ์, efficacy หรือข้อบ่งใช้ไม่ตรงกับโจทย์ที่กำหนด
• ข้อ ง. (Atropine): ข้อนี้ไม่ใช่คำตอบที่ถูกต้องสำหรับภาวะ General Therapeutics เนื่องจากกลไกการออกฤทธิ์, efficacy หรือข้อบ่งใช้ไม่ตรงกับโจทย์ที่กำหนด
• ข้อ จ. (Pilocarpine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8" s="18" t="inlineStr"/>
      <c r="L1268" s="18" t="inlineStr">
        <is>
          <t>General Therapeutics</t>
        </is>
      </c>
      <c r="M1268" s="18" t="inlineStr">
        <is>
          <t>Clinic</t>
        </is>
      </c>
      <c r="N1268" s="18" t="inlineStr">
        <is>
          <t>ข้อ 16 (PLE_CC1_Practice_Exam.md)</t>
        </is>
      </c>
      <c r="O1268" s="18" t="inlineStr">
        <is>
          <t>Mock</t>
        </is>
      </c>
      <c r="P1268" s="18" t="inlineStr">
        <is>
          <t>Mock สภาเภสัชฯ Practice</t>
        </is>
      </c>
    </row>
    <row r="1269">
      <c r="A1269" s="15" t="inlineStr">
        <is>
          <t>1290</t>
        </is>
      </c>
      <c r="B1269" s="18" t="inlineStr">
        <is>
          <t>จากอาการแสดงข้างต้น ผู้ป่วยมีอาการสอดคล้องกับโรคอะไร</t>
        </is>
      </c>
      <c r="C1269" s="18" t="inlineStr"/>
      <c r="D1269" s="18" t="inlineStr">
        <is>
          <t>Otitis Externa</t>
        </is>
      </c>
      <c r="E1269" s="18" t="inlineStr">
        <is>
          <t>Acute Otitis Media</t>
        </is>
      </c>
      <c r="F1269" s="18" t="inlineStr">
        <is>
          <t>Chronic Otitis Media</t>
        </is>
      </c>
      <c r="G1269" s="18" t="inlineStr">
        <is>
          <t>Otitis Interna</t>
        </is>
      </c>
      <c r="H1269" s="18" t="inlineStr">
        <is>
          <t>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9" s="15" t="inlineStr">
        <is>
          <t>1</t>
        </is>
      </c>
      <c r="J1269" s="18" t="inlineStr">
        <is>
          <t>✅ คำตอบที่ถูกต้อง: ข้อ ก. Otitis Externa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Otitis Externa การเลือก Otitis Externa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(Acute Otitis Media): ข้อนี้ไม่ใช่คำตอบที่ถูกต้องสำหรับภาวะ General Therapeutics เนื่องจากกลไกการออกฤทธิ์, efficacy หรือข้อบ่งใช้ไม่ตรงกับโจทย์ที่กำหนด
• ข้อ ค. (Chronic Otitis Media): ข้อนี้ไม่ใช่คำตอบที่ถูกต้องสำหรับภาวะ General Therapeutics เนื่องจากกลไกการออกฤทธิ์, efficacy หรือข้อบ่งใช้ไม่ตรงกับโจทย์ที่กำหนด
• ข้อ ง. (Otitis Interna): ข้อนี้ไม่ใช่คำตอบที่ถูกต้องสำหรับภาวะ General Therapeutics เนื่องจากกลไกการออกฤทธิ์, efficacy หรือข้อบ่งใช้ไม่ตรงกับโจทย์ที่กำหนด
• ข้อ จ. (Otomycosis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9" s="18" t="inlineStr"/>
      <c r="L1269" s="18" t="inlineStr">
        <is>
          <t>General Therapeutics</t>
        </is>
      </c>
      <c r="M1269" s="18" t="inlineStr">
        <is>
          <t>Clinic</t>
        </is>
      </c>
      <c r="N1269" s="18" t="inlineStr">
        <is>
          <t>ข้อ 19 (PLE_CC1_Practice_Exam.md)</t>
        </is>
      </c>
      <c r="O1269" s="18" t="inlineStr">
        <is>
          <t>Mock</t>
        </is>
      </c>
      <c r="P1269" s="18" t="inlineStr">
        <is>
          <t>Mock สภาเภสัชฯ Practice</t>
        </is>
      </c>
    </row>
    <row r="1270">
      <c r="A1270" s="15" t="inlineStr">
        <is>
          <t>1291</t>
        </is>
      </c>
      <c r="B1270" s="18" t="inlineStr">
        <is>
          <t>จากยาที่เลือกในข้อข้างต้น ข้อใดคือกลไกการออกฤทธิ์ของยา</t>
        </is>
      </c>
      <c r="C1270" s="18" t="inlineStr"/>
      <c r="D1270" s="18" t="inlineStr">
        <is>
          <t>ยับยั้ง Phospholipase A2 ซึ่งเป็นตัวกลางในกลไกการอักเสบ ทำให้มีผลยับยั้งการอักเสบ</t>
        </is>
      </c>
      <c r="E1270" s="18" t="inlineStr">
        <is>
          <t>เป็นยากลุ่ม aminoglycoside ออกฤทธิ์ยับยั้งการสังเคราะห์โปรตีนของแบคทีเรีย</t>
        </is>
      </c>
      <c r="F1270" s="18" t="inlineStr">
        <is>
          <t>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t>
        </is>
      </c>
      <c r="G1270" s="18" t="inlineStr">
        <is>
          <t>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t>
        </is>
      </c>
      <c r="H1270" s="18" t="inlineStr">
        <is>
          <t>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t>
        </is>
      </c>
      <c r="I1270" s="15" t="inlineStr">
        <is>
          <t>1</t>
        </is>
      </c>
      <c r="J1270" s="18" t="inlineStr">
        <is>
          <t>✅ คำตอบที่ถูกต้อง: ข้อ ก. ยับยั้ง Phospholipase A2 ซึ่งเป็นตัวกลางในกลไกการอักเสบ ทำให้มีผลยับยั้งการอักเสบ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Phospholipase A2 ซึ่งเป็นตัวกลางในกลไกการอักเสบ ทำให้มีผลยับยั้งการอักเสบ การเลือก ยับยั้ง Phospholipase A2 ซึ่งเป็นตัวกลางในกลไกการอักเสบ ทำให้มีผลยับยั้งการอักเสบ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(เป็นยากลุ่ม aminoglycoside ออกฤทธิ์ยับยั้งการสังเคราะห์โปรตีนของแบคทีเรีย):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0" s="18" t="inlineStr"/>
      <c r="L1270" s="18" t="inlineStr">
        <is>
          <t>General Therapeutics</t>
        </is>
      </c>
      <c r="M1270" s="18" t="inlineStr">
        <is>
          <t>Clinic</t>
        </is>
      </c>
      <c r="N1270" s="18" t="inlineStr">
        <is>
          <t>ข้อ 21 (PLE_CC1_Practice_Exam.md)</t>
        </is>
      </c>
      <c r="O1270" s="18" t="inlineStr">
        <is>
          <t>Mock</t>
        </is>
      </c>
      <c r="P1270" s="18" t="inlineStr">
        <is>
          <t>Mock สภาเภสัชฯ Practice</t>
        </is>
      </c>
    </row>
    <row r="1271">
      <c r="A1271" s="15" t="inlineStr">
        <is>
          <t>1292</t>
        </is>
      </c>
      <c r="B1271" s="18" t="inlineStr">
        <is>
          <t>อาการของผู้เข้ากับโรคใดต่อไปนี้</t>
        </is>
      </c>
      <c r="C1271" s="18" t="inlineStr"/>
      <c r="D1271" s="18" t="inlineStr">
        <is>
          <t>Sinusitis</t>
        </is>
      </c>
      <c r="E1271" s="18" t="inlineStr">
        <is>
          <t>Common cold</t>
        </is>
      </c>
      <c r="F1271" s="18" t="inlineStr">
        <is>
          <t>Allergic asthma</t>
        </is>
      </c>
      <c r="G1271" s="18" t="inlineStr">
        <is>
          <t>Allergic rhinitis</t>
        </is>
      </c>
      <c r="H1271" s="18" t="inlineStr">
        <is>
          <t>Tonsillitis</t>
        </is>
      </c>
      <c r="I1271" s="15" t="inlineStr">
        <is>
          <t>1</t>
        </is>
      </c>
      <c r="J1271" s="18" t="inlineStr">
        <is>
          <t>✅ คำตอบที่ถูกต้อง: ข้อ ก. Sinusitis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Sinusitis การเลือก Sinusitis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asthma): ข้อนี้ไม่ใช่คำตอบที่ถูกต้องสำหรับภาวะ General Therapeutics เนื่องจากกลไกการออกฤทธิ์, efficacy หรือข้อบ่งใช้ไม่ตรงกับโจทย์ที่กำหนด
• ข้อ ง.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จ. (Tonsillitis):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1" s="18" t="inlineStr"/>
      <c r="L1271" s="18" t="inlineStr">
        <is>
          <t>General Therapeutics</t>
        </is>
      </c>
      <c r="M1271" s="18" t="inlineStr">
        <is>
          <t>Clinic</t>
        </is>
      </c>
      <c r="N1271" s="18" t="inlineStr">
        <is>
          <t>ข้อ 23 (PLE_CC1_Practice_Exam.md)</t>
        </is>
      </c>
      <c r="O1271" s="18" t="inlineStr">
        <is>
          <t>Mock</t>
        </is>
      </c>
      <c r="P1271" s="18" t="inlineStr">
        <is>
          <t>Mock สภาเภสัชฯ Practice</t>
        </is>
      </c>
    </row>
    <row r="1272">
      <c r="A1272" s="15" t="inlineStr">
        <is>
          <t>1293</t>
        </is>
      </c>
      <c r="B1272" s="18" t="inlineStr">
        <is>
          <t>ข้อใดต่อไปนี้ เป็นปัจจัยที่ทำให้ผู้ป่วยมีอาการดังที่กล่าวมาข้างต้น</t>
        </is>
      </c>
      <c r="C1272" s="18" t="inlineStr"/>
      <c r="D1272" s="18" t="inlineStr">
        <is>
          <t>ผู้ป่วยตั้งครรภ์</t>
        </is>
      </c>
      <c r="E1272" s="18" t="inlineStr">
        <is>
          <t>ผู้ป่วยมีโรคประจำตัว เป็นภูมิแพ้</t>
        </is>
      </c>
      <c r="F1272" s="18" t="inlineStr">
        <is>
          <t>ผู้ป่วยทำงานหนักจนเกินไป</t>
        </is>
      </c>
      <c r="G1272" s="18" t="inlineStr">
        <is>
          <t>สภาพอากาศเปลี่ยนแปลง</t>
        </is>
      </c>
      <c r="H1272" s="18" t="inlineStr">
        <is>
          <t>ผู้ป่วยได้รับเชื้อจากเพื่อนๆในที่ทำงาน</t>
        </is>
      </c>
      <c r="I1272" s="15" t="inlineStr">
        <is>
          <t>1</t>
        </is>
      </c>
      <c r="J1272" s="18" t="inlineStr">
        <is>
          <t>✅ คำตอบที่ถูกต้อง: ข้อ ก. ผู้ป่วยตั้งครรภ์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ผู้ป่วยตั้งครรภ์ การเลือก ผู้ป่วยตั้งครรภ์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(ผู้ป่วยมีโรคประจำตัว เป็นภูมิแพ้): ข้อนี้ไม่ใช่คำตอบที่ถูกต้องสำหรับภาวะ General Therapeutics เนื่องจากกลไกการออกฤทธิ์, efficacy หรือข้อบ่งใช้ไม่ตรงกับโจทย์ที่กำหนด
• ข้อ ค. (ผู้ป่วยทำงานหนักจนเกินไป): ข้อนี้ไม่ใช่คำตอบที่ถูกต้องสำหรับภาวะ General Therapeutics เนื่องจากกลไกการออกฤทธิ์, efficacy หรือข้อบ่งใช้ไม่ตรงกับโจทย์ที่กำหนด
• ข้อ ง. (สภาพอากาศเปลี่ยนแปลง): ข้อนี้ไม่ใช่คำตอบที่ถูกต้องสำหรับภาวะ General Therapeutics เนื่องจากกลไกการออกฤทธิ์, efficacy หรือข้อบ่งใช้ไม่ตรงกับโจทย์ที่กำหนด
• ข้อ จ. (ผู้ป่วยได้รับเชื้อจากเพื่อนๆในที่ทำงาน):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2" s="18" t="inlineStr"/>
      <c r="L1272" s="18" t="inlineStr">
        <is>
          <t>General Therapeutics</t>
        </is>
      </c>
      <c r="M1272" s="18" t="inlineStr">
        <is>
          <t>Clinic</t>
        </is>
      </c>
      <c r="N1272" s="18" t="inlineStr">
        <is>
          <t>ข้อ 24 (PLE_CC1_Practice_Exam.md)</t>
        </is>
      </c>
      <c r="O1272" s="18" t="inlineStr">
        <is>
          <t>Mock</t>
        </is>
      </c>
      <c r="P1272" s="18" t="inlineStr">
        <is>
          <t>Mock สภาเภสัชฯ Practice</t>
        </is>
      </c>
    </row>
    <row r="1273">
      <c r="A1273" s="15" t="inlineStr">
        <is>
          <t>1294</t>
        </is>
      </c>
      <c r="B1273" s="18" t="inlineStr">
        <is>
          <t>ข้อใดไม่ถูกต้องเกี่ยวกับวิธีพ่นจมูก</t>
        </is>
      </c>
      <c r="C1273" s="18" t="inlineStr"/>
      <c r="D1273" s="18" t="inlineStr">
        <is>
          <t>เขย่าขวดยาก่อนพ่นยา</t>
        </is>
      </c>
      <c r="E1273" s="18" t="inlineStr">
        <is>
          <t>หากมีน้ำมูกควร กำจัดน้ำมูกออกเสียก่อน</t>
        </is>
      </c>
      <c r="F1273" s="18" t="inlineStr">
        <is>
          <t>หลังพ่นยาเสร็จ ให้เช็ดทำความสะอาดที่ปลายพ่นเก็บให้เรียบร้อย</t>
        </is>
      </c>
      <c r="G1273" s="18" t="inlineStr">
        <is>
          <t>กรณีลืมพ่นยา ให้พ่นทันทีที่นึกขึ้นได้และให้เพิ่มขนาดยาเป็น 2 เท่า</t>
        </is>
      </c>
      <c r="H1273" s="18" t="inlineStr">
        <is>
          <t>การสูดหายใจเข้าสัมพันธ์กับการกดที่พ่นยา</t>
        </is>
      </c>
      <c r="I1273" s="15" t="inlineStr">
        <is>
          <t>1</t>
        </is>
      </c>
      <c r="J1273" s="18" t="inlineStr">
        <is>
          <t>✅ คำตอบที่ถูกต้อง: ข้อ ก. เขย่าขวดยาก่อนพ่นยา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เขย่าขวดยาก่อนพ่นยา การเลือก เขย่าขวดยาก่อนพ่นยา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(หากมีน้ำมูกควร กำจัดน้ำมูกออกเสียก่อน): ข้อนี้ไม่ใช่คำตอบที่ถูกต้องสำหรับภาวะ General Therapeutics เนื่องจากกลไกการออกฤทธิ์, efficacy หรือข้อบ่งใช้ไม่ตรงกับโจทย์ที่กำหนด
• ข้อ ค. (หลังพ่นยาเสร็จ ให้เช็ดทำความสะอาดที่ปลายพ่นเก็บให้เรียบร้อย): ข้อนี้ไม่ใช่คำตอบที่ถูกต้องสำหรับภาวะ General Therapeutics เนื่องจากกลไกการออกฤทธิ์, efficacy หรือข้อบ่งใช้ไม่ตรงกับโจทย์ที่กำหนด
• ข้อ ง. (กรณีลืมพ่นยา ให้พ่นทันทีที่นึกขึ้นได้และให้เพิ่มขนาดยาเป็น 2 เท่า): ข้อนี้ไม่ใช่คำตอบที่ถูกต้องสำหรับภาวะ General Therapeutics เนื่องจากกลไกการออกฤทธิ์, efficacy หรือข้อบ่งใช้ไม่ตรงกับโจทย์ที่กำหนด
• ข้อ จ. (การสูดหายใจเข้าสัมพันธ์กับการกดที่พ่นยา):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3" s="18" t="inlineStr"/>
      <c r="L1273" s="18" t="inlineStr">
        <is>
          <t>General Therapeutics</t>
        </is>
      </c>
      <c r="M1273" s="18" t="inlineStr">
        <is>
          <t>Clinic</t>
        </is>
      </c>
      <c r="N1273" s="18" t="inlineStr">
        <is>
          <t>ข้อ 27 (PLE_CC1_Practice_Exam.md)</t>
        </is>
      </c>
      <c r="O1273" s="18" t="inlineStr">
        <is>
          <t>Mock</t>
        </is>
      </c>
      <c r="P1273" s="18" t="inlineStr">
        <is>
          <t>Mock สภาเภสัชฯ Practice</t>
        </is>
      </c>
    </row>
    <row r="1274">
      <c r="A1274" s="15" t="inlineStr">
        <is>
          <t>1295</t>
        </is>
      </c>
      <c r="B1274" s="18" t="inlineStr">
        <is>
          <t>ข้อใดบ้างต่อไปนี้ถูกต้องเกี่ยวกับยา Montelukast</t>
        </is>
      </c>
      <c r="C1274" s="18" t="inlineStr"/>
      <c r="D1274" s="18" t="inlineStr">
        <is>
          <t>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1274" s="18" t="inlineStr">
        <is>
          <t>ออกฤทธิ์เป็น Leukotriene receptor agonist</t>
        </is>
      </c>
      <c r="F1274" s="18" t="inlineStr">
        <is>
          <t>การใช้ยา Montelukast ในผู้ป่วย Allergic rhinitis ยามีฤทธิ์ลดอาการทางจมูก (คัดจมูก น้ำมูก ไหล จาม) และอาการทางตาดีกว่ายากลุ่ม corticosteroids</t>
        </is>
      </c>
      <c r="G1274" s="18" t="inlineStr">
        <is>
          <t>การใช้ยา Montelukast ในผู้ป่วย Allergic rhinitis ที่ระดับความรุนแรงของโรคในระดับ mild intermittent ขนาดยาที่แนะนำคือ 10 mg PO OD</t>
        </is>
      </c>
      <c r="H1274" s="18" t="inlineStr">
        <is>
          <t>ควรติดตามอาการไม่พึงประสงค์ทาง neuropsychiatric จากการใช้ยาอย่างต่อเนื่อง</t>
        </is>
      </c>
      <c r="I1274" s="15" t="inlineStr">
        <is>
          <t>1</t>
        </is>
      </c>
      <c r="J1274" s="18" t="inlineStr">
        <is>
          <t>✅ คำตอบที่ถูกต้อง: ข้อ 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(ออกฤทธิ์เป็น Leukotriene receptor agonist): ข้อนี้ไม่ใช่คำตอบที่ถูกต้องสำหรับภาวะ Pulmonary Diseases เนื่องจากกลไกการออกฤทธิ์, efficacy หรือข้อบ่งใช้ไม่ตรงกับโจทย์ที่กำหนด
• ข้อ ค. (การใช้ยา Montelukast ในผู้ป่วย Allergic rhinitis ยามีฤทธิ์ลดอาการทางจมูก (คัดจมูก น้ำมูก ไหล จาม) และอาการทางตาดีกว่ายากลุ่ม corticosteroids):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(การใช้ยา Montelukast ในผู้ป่วย Allergic rhinitis ที่ระดับความรุนแรงของโรคในระดับ mild intermittent ขนาดยาที่แนะนำคือ 10 mg PO OD):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(ควรติดตามอาการไม่พึงประสงค์ทาง neuropsychiatric จากการใช้ยาอย่างต่อเนื่อง):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4" s="18" t="inlineStr"/>
      <c r="L1274" s="18" t="inlineStr">
        <is>
          <t>Pulmonary Diseases</t>
        </is>
      </c>
      <c r="M1274" s="18" t="inlineStr">
        <is>
          <t>Clinic</t>
        </is>
      </c>
      <c r="N1274" s="18" t="inlineStr">
        <is>
          <t>ข้อ 28 (PLE_CC1_Practice_Exam.md)</t>
        </is>
      </c>
      <c r="O1274" s="18" t="inlineStr">
        <is>
          <t>Mock</t>
        </is>
      </c>
      <c r="P1274" s="18" t="inlineStr">
        <is>
          <t>Mock สภาเภสัชฯ Practice</t>
        </is>
      </c>
    </row>
    <row r="1275">
      <c r="A1275" s="15" t="inlineStr">
        <is>
          <t>1296</t>
        </is>
      </c>
      <c r="B1275" s="18" t="inlineStr">
        <is>
          <t>ยาที่ผู้ป่วยได้รับในข้อข้างต้นมีวิธีการบริหารยาอย่างไร</t>
        </is>
      </c>
      <c r="C1275" s="18" t="inlineStr"/>
      <c r="D1275" s="18" t="inlineStr">
        <is>
          <t>รับประทานยาติดต่อกัน 3 วัน อาการจะดีขึ้น และรับประทานต่อเนื่อง 10 วัน เพื่อป้องกันการเกิด ภาวะแทรกซ้อน</t>
        </is>
      </c>
      <c r="E1275" s="18" t="inlineStr">
        <is>
          <t>รับประทานยาติดต่อกัน 5 วัน อาการจะดีขึ้น และรับประทานต่อเนื่อง 14 วัน เพื่อป้องกันการเกิด เชื้อดื้อยา</t>
        </is>
      </c>
      <c r="F1275" s="18" t="inlineStr">
        <is>
          <t>รับประทานยาติดต่อกัน 7 วัน อาการจะดีขึ้น และรับประทานต่อเนื่อง 14 วัน เพื่อป้องกันการเกิด เชื้อดื้อยา</t>
        </is>
      </c>
      <c r="G1275" s="18" t="inlineStr">
        <is>
          <t>รับประทานยาติดต่อกัน 10 วัน อาการจะดีขึ้น และรับประทานต่อเนื่อง 10 วัน เพื่อป้องกันการ เกิดภาวะแทรกซ้อน</t>
        </is>
      </c>
      <c r="H1275" s="18" t="inlineStr">
        <is>
          <t>รับประทานยาติดต่อกัน 14 วัน เพื่อให้อาการดีขึ้นและลดการเกิดเชื่อดื้อยา</t>
        </is>
      </c>
      <c r="I1275" s="15" t="inlineStr">
        <is>
          <t>1</t>
        </is>
      </c>
      <c r="J1275" s="18" t="inlineStr">
        <is>
          <t>✅ คำตอบที่ถูกต้อง: ข้อ ก. รับประทานยาติดต่อกัน 3 วัน อาการจะดีขึ้น และรับประทานต่อเนื่อง 10 วัน เพื่อป้องกันการเกิด ภาวะแทรกซ้อน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รับประทานยาติดต่อกัน 3 วัน อาการจะดีขึ้น และรับประทานต่อเนื่อง 10 วัน เพื่อป้องกันการเกิด ภาวะแทรกซ้อน การเลือก รับประทานยาติดต่อกัน 3 วัน อาการจะดีขึ้น และรับประทานต่อเนื่อง 10 วัน เพื่อป้องกันการเกิด ภาวะแทรกซ้อน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(รับประทานยาติดต่อกัน 5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(รับประทานยาติดต่อกัน 7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(รับประทานยาติดต่อกัน 10 วัน อาการจะดีขึ้น และรับประทานต่อเนื่อง 10 วัน เพื่อป้องกันการ เกิดภาวะแทรกซ้อน):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(รับประทานยาติดต่อกัน 14 วัน เพื่อให้อาการดีขึ้นและลดการเกิดเชื่อดื้อยา):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5" s="18" t="inlineStr"/>
      <c r="L1275" s="18" t="inlineStr">
        <is>
          <t>General Therapeutics</t>
        </is>
      </c>
      <c r="M1275" s="18" t="inlineStr">
        <is>
          <t>Clinic</t>
        </is>
      </c>
      <c r="N1275" s="18" t="inlineStr">
        <is>
          <t>ข้อ 34 (PLE_CC1_Practice_Exam.md)</t>
        </is>
      </c>
      <c r="O1275" s="18" t="inlineStr">
        <is>
          <t>Mock</t>
        </is>
      </c>
      <c r="P1275" s="18" t="inlineStr">
        <is>
          <t>Mock สภาเภสัชฯ Practice</t>
        </is>
      </c>
    </row>
    <row r="1276">
      <c r="A1276" s="15" t="inlineStr">
        <is>
          <t>1297</t>
        </is>
      </c>
      <c r="B1276" s="18" t="inlineStr">
        <is>
          <t>เชื้อส่วนใหญ่ที่เป็นสาเหตุของอาการดังกล่าว คือเชื้อใด</t>
        </is>
      </c>
      <c r="C1276" s="18" t="inlineStr"/>
      <c r="D1276" s="18" t="inlineStr">
        <is>
          <t>H. influenza</t>
        </is>
      </c>
      <c r="E1276" s="18" t="inlineStr">
        <is>
          <t>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F1276" s="18" t="inlineStr">
        <is>
          <t>S. pneumoniae</t>
        </is>
      </c>
      <c r="G1276" s="18" t="inlineStr">
        <is>
          <t>P. aeruginosa</t>
        </is>
      </c>
      <c r="H1276" s="18" t="inlineStr">
        <is>
          <t>Beta-hemolytic Streptococcus group A</t>
        </is>
      </c>
      <c r="I1276" s="15" t="inlineStr">
        <is>
          <t>1</t>
        </is>
      </c>
      <c r="J1276" s="18"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ค. (S. pneumoniae): ข้อนี้ไม่ใช่คำตอบที่ถูกต้องสำหรับภาวะ General Therapeutics เนื่องจากกลไกการออกฤทธิ์, efficacy หรือข้อบ่งใช้ไม่ตรงกับโจทย์ที่กำหนด
• ข้อ ง. (P. aeruginosa): ข้อนี้ไม่ใช่คำตอบที่ถูกต้องสำหรับภาวะ General Therapeutics เนื่องจากกลไกการออกฤทธิ์, efficacy หรือข้อบ่งใช้ไม่ตรงกับโจทย์ที่กำหนด
• ข้อ จ. (Beta-hemolytic Streptococcus group 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6" s="18" t="inlineStr"/>
      <c r="L1276" s="18" t="inlineStr">
        <is>
          <t>General Therapeutics</t>
        </is>
      </c>
      <c r="M1276" s="18" t="inlineStr">
        <is>
          <t>Clinic</t>
        </is>
      </c>
      <c r="N1276" s="18" t="inlineStr">
        <is>
          <t>ข้อ 36 (PLE_CC1_Practice_Exam.md)</t>
        </is>
      </c>
      <c r="O1276" s="18" t="inlineStr">
        <is>
          <t>Mock</t>
        </is>
      </c>
      <c r="P1276" s="18" t="inlineStr">
        <is>
          <t>Mock สภาเภสัชฯ Practice</t>
        </is>
      </c>
    </row>
    <row r="1277">
      <c r="A1277" s="15" t="inlineStr">
        <is>
          <t>1298</t>
        </is>
      </c>
      <c r="B1277" s="18" t="inlineStr">
        <is>
          <t>จากกรณีศึกษาจงค้นหา Drug related problem (DRP) ของผู้ป่วยรายนี้</t>
        </is>
      </c>
      <c r="C1277" s="18" t="inlineStr"/>
      <c r="D1277" s="18" t="inlineStr">
        <is>
          <t>Over dosage</t>
        </is>
      </c>
      <c r="E1277" s="18" t="inlineStr">
        <is>
          <t>Improper drug selection</t>
        </is>
      </c>
      <c r="F1277" s="18" t="inlineStr">
        <is>
          <t>Medication use without indication</t>
        </is>
      </c>
      <c r="G1277" s="18" t="inlineStr">
        <is>
          <t>Subtherapeutic dosage</t>
        </is>
      </c>
      <c r="H1277" s="18" t="inlineStr">
        <is>
          <t>Failure to receive medication</t>
        </is>
      </c>
      <c r="I1277" s="15" t="inlineStr">
        <is>
          <t>1</t>
        </is>
      </c>
      <c r="J1277" s="18" t="inlineStr">
        <is>
          <t>✅ คำตอบที่ถูกต้อง: ข้อ ก. Over dosage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Over dosage การเลือก Over dosage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(Improper drug selection): ข้อนี้ไม่ใช่คำตอบที่ถูกต้องสำหรับภาวะ General Therapeutics เนื่องจากกลไกการออกฤทธิ์, efficacy หรือข้อบ่งใช้ไม่ตรงกับโจทย์ที่กำหนด
• ข้อ ค. (Medication use without indication): ข้อนี้ไม่ใช่คำตอบที่ถูกต้องสำหรับภาวะ General Therapeutics เนื่องจากกลไกการออกฤทธิ์, efficacy หรือข้อบ่งใช้ไม่ตรงกับโจทย์ที่กำหนด
• ข้อ ง. (Subtherapeutic dosage): ข้อนี้ไม่ใช่คำตอบที่ถูกต้องสำหรับภาวะ General Therapeutics เนื่องจากกลไกการออกฤทธิ์, efficacy หรือข้อบ่งใช้ไม่ตรงกับโจทย์ที่กำหนด
• ข้อ จ. (Failure to receive medication):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7" s="18" t="inlineStr"/>
      <c r="L1277" s="18" t="inlineStr">
        <is>
          <t>General Therapeutics</t>
        </is>
      </c>
      <c r="M1277" s="18" t="inlineStr">
        <is>
          <t>Clinic</t>
        </is>
      </c>
      <c r="N1277" s="18" t="inlineStr">
        <is>
          <t>ข้อ 39 (PLE_CC1_Practice_Exam.md)</t>
        </is>
      </c>
      <c r="O1277" s="18" t="inlineStr">
        <is>
          <t>Mock</t>
        </is>
      </c>
      <c r="P1277" s="18" t="inlineStr">
        <is>
          <t>Mock สภาเภสัชฯ Practice</t>
        </is>
      </c>
    </row>
    <row r="1278">
      <c r="A1278" s="15" t="inlineStr">
        <is>
          <t>1299</t>
        </is>
      </c>
      <c r="B1278" s="18" t="inlineStr">
        <is>
          <t>จากข้อมูลผู้ป่วยแพ้ยาพาราเซตามอล ดังนั้นผู้ป่วยจึงควรได้รับ Ibuprofen เพื่อลดไข้ จากโครงสร้างยา Ibuprofen ต่อไปนี้ส่วน A เรียกว่าอะไร</t>
        </is>
      </c>
      <c r="C1278" s="18" t="inlineStr"/>
      <c r="D1278" s="18" t="inlineStr">
        <is>
          <t>Arylpropionic acids</t>
        </is>
      </c>
      <c r="E1278" s="18" t="inlineStr">
        <is>
          <t>Fenamates</t>
        </is>
      </c>
      <c r="F1278" s="18" t="inlineStr">
        <is>
          <t>Hetero acetic acids</t>
        </is>
      </c>
      <c r="G1278" s="18" t="inlineStr">
        <is>
          <t>Indol and indene acetic acids</t>
        </is>
      </c>
      <c r="H1278" s="18" t="inlineStr">
        <is>
          <t>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t>
        </is>
      </c>
      <c r="I1278" s="15" t="inlineStr">
        <is>
          <t>3</t>
        </is>
      </c>
      <c r="J1278" s="18" t="inlineStr">
        <is>
          <t>✅ คำตอบที่ถูกต้อง: ข้อ ค. Hetero acetic acids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Hetero acetic acids เนื่องจาก ผู้ป่วยมีอาการตาแดงข้างซ้าย เจ็บตา  ขี้ตามีหนองข้นเขียว ซึ่งเป็นอาการที่เข้าได้กับ Bacterial ชั้นกลาง 2. จากการติดเชื้อในรูหู ผ่านแก้วหูที่ทะลุ แล้วเข้าสู่หูชั้นกลาง 3. ผ่านทางกระแสเลือดซึ่งผู้ป่วยมี ส่วนกลางได้อย่างรวดเร็วและเป็นที่รู้จักของชีวโมเลกุลที่ทำหน้าที่เสมือนยามเฝ้าในสิ่งขวางกั้นระหว่างเลือด เช่นนี้ร่วมกับคุณสมบัติอื่นๆ เช่น น้ าหนักโมเลกุลค่อนข้างต่ า มีประจุบวก และบางตัวไม่เป็นที่รู้จักของชีว
🔍 ข้ออื่นผิดเพราะอะไร:
• ข้อ ก. (Arylpropionic acids): ข้อนี้ไม่ใช่คำตอบที่ถูกต้องสำหรับภาวะ Musculoskeletal &amp; Joint เนื่องจากกลไกการออกฤทธิ์, efficacy หรือข้อบ่งใช้ไม่ตรงกับโจทย์ที่กำหนด
• ข้อ ข. (Fenamates): ข้อนี้ไม่ใช่คำตอบที่ถูกต้องสำหรับภาวะ Musculoskeletal &amp; Joint เนื่องจากกลไกการออกฤทธิ์, efficacy หรือข้อบ่งใช้ไม่ตรงกับโจทย์ที่กำหนด
• ข้อ ง. (Indol and indene acetic acids): ข้อนี้ไม่ใช่คำตอบที่ถูกต้องสำหรับภาวะ Musculoskeletal &amp; Joint เนื่องจากกลไกการออกฤทธิ์, efficacy หรือข้อบ่งใช้ไม่ตรงกับโจทย์ที่กำหนด
• ข้อ จ. (Oxicams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 วัคซีนไข้หวัดใหญ่ชนิด inactivated ฉีดปีละ 1 ครั้ง ในกลุ่มเสี่ยง 7 กลุ่มโรคเรื้อรัง และเด็กอายุ 6 เดือน - 2 ปี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8" s="18" t="inlineStr"/>
      <c r="L1278" s="18" t="inlineStr">
        <is>
          <t>Musculoskeletal &amp; Joint</t>
        </is>
      </c>
      <c r="M1278" s="18" t="inlineStr">
        <is>
          <t>Clinic</t>
        </is>
      </c>
      <c r="N1278" s="18" t="inlineStr">
        <is>
          <t>ข้อ 40 (PLE_CC1_Practice_Exam.md)</t>
        </is>
      </c>
      <c r="O1278" s="18" t="inlineStr">
        <is>
          <t>Mock</t>
        </is>
      </c>
      <c r="P1278" s="18" t="inlineStr">
        <is>
          <t>Mock สภาเภสัชฯ Practice</t>
        </is>
      </c>
    </row>
    <row r="1279">
      <c r="A1279" s="15" t="inlineStr">
        <is>
          <t>1300</t>
        </is>
      </c>
      <c r="B1279" s="18" t="inlineStr">
        <is>
          <t>รับประทานครั้งละ 2 เม็ดทันทีที่มีอาการ</t>
        </is>
      </c>
      <c r="C1279" s="18" t="inlineStr"/>
      <c r="D1279" s="18" t="inlineStr">
        <is>
          <t>N-acetylcysteine (NAC) IV infusion protocol</t>
        </is>
      </c>
      <c r="E1279" s="18" t="inlineStr">
        <is>
          <t>Atropine sulfate 2 mg IV Q5-10 min</t>
        </is>
      </c>
      <c r="F1279" s="18" t="inlineStr">
        <is>
          <t>Pralidoxime (2-PAM) 1-2 g IV over 30 min</t>
        </is>
      </c>
      <c r="G1279" s="18" t="inlineStr">
        <is>
          <t>Naloxone 0.4 mg IV stat</t>
        </is>
      </c>
      <c r="H1279" s="18" t="inlineStr">
        <is>
          <t>Flumazenil 0.2 mg IV stat</t>
        </is>
      </c>
      <c r="I1279" s="15" t="inlineStr">
        <is>
          <t>1</t>
        </is>
      </c>
      <c r="J12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9" s="18" t="inlineStr"/>
      <c r="L1279" s="18" t="inlineStr">
        <is>
          <t>General Therapeutics</t>
        </is>
      </c>
      <c r="M1279" s="18" t="inlineStr">
        <is>
          <t>Clinic</t>
        </is>
      </c>
      <c r="N1279" s="18" t="inlineStr">
        <is>
          <t>ข้อ 1 (PLE_CC1_Practice_Exam.md)</t>
        </is>
      </c>
      <c r="O1279" s="18" t="inlineStr">
        <is>
          <t>Mock</t>
        </is>
      </c>
      <c r="P1279" s="18" t="inlineStr">
        <is>
          <t>Mock สภาเภสัชฯ Practice</t>
        </is>
      </c>
    </row>
    <row r="1280">
      <c r="A1280" s="15" t="inlineStr">
        <is>
          <t>1301</t>
        </is>
      </c>
      <c r="B1280" s="18" t="inlineStr">
        <is>
          <t>1 เม็ดทุกๆ ครึ่งชั่วโมงถ้ายังมีอาการอยู่</t>
        </is>
      </c>
      <c r="C1280" s="18" t="inlineStr"/>
      <c r="D1280" s="18" t="inlineStr">
        <is>
          <t>Naloxone 0.4 mg IV stat</t>
        </is>
      </c>
      <c r="E1280" s="18" t="inlineStr">
        <is>
          <t>Flumazenil 0.2 mg IV stat</t>
        </is>
      </c>
      <c r="F1280" s="18" t="inlineStr">
        <is>
          <t>Vitamin K1 (Phytomenadione) 10 mg IV slow</t>
        </is>
      </c>
      <c r="G1280" s="18" t="inlineStr">
        <is>
          <t>Sodium thiosulfate 25% 50 mL IV</t>
        </is>
      </c>
      <c r="H1280" s="18" t="inlineStr">
        <is>
          <t>Calcium disodium EDTA 1 g IV</t>
        </is>
      </c>
      <c r="I1280" s="15" t="inlineStr">
        <is>
          <t>1</t>
        </is>
      </c>
      <c r="J12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0" s="18" t="inlineStr"/>
      <c r="L1280" s="18" t="inlineStr">
        <is>
          <t>General Therapeutics</t>
        </is>
      </c>
      <c r="M1280" s="18" t="inlineStr">
        <is>
          <t>Clinic</t>
        </is>
      </c>
      <c r="N1280" s="18" t="inlineStr">
        <is>
          <t>ข้อ 2 (PLE_CC1_Practice_Exam.md)</t>
        </is>
      </c>
      <c r="O1280" s="18" t="inlineStr">
        <is>
          <t>Mock</t>
        </is>
      </c>
      <c r="P1280" s="18" t="inlineStr">
        <is>
          <t>Mock สภาเภสัชฯ Practice</t>
        </is>
      </c>
    </row>
    <row r="1281">
      <c r="A1281" s="15" t="inlineStr">
        <is>
          <t>1302</t>
        </is>
      </c>
      <c r="B1281" s="18" t="inlineStr">
        <is>
          <t>รับประทานได้ไม่เกินวันละ 6 เม็ด</t>
        </is>
      </c>
      <c r="C1281" s="18" t="inlineStr"/>
      <c r="D1281" s="18" t="inlineStr">
        <is>
          <t>Sodium thiosulfate 25% 50 mL IV</t>
        </is>
      </c>
      <c r="E1281" s="18" t="inlineStr">
        <is>
          <t>Calcium disodium EDTA 1 g IV</t>
        </is>
      </c>
      <c r="F1281" s="18" t="inlineStr">
        <is>
          <t>Desferrioxamine 1 g IM/IV</t>
        </is>
      </c>
      <c r="G1281" s="18" t="inlineStr">
        <is>
          <t>Dimercaprol (BAL) 3 mg/kg IM</t>
        </is>
      </c>
      <c r="H1281" s="18" t="inlineStr">
        <is>
          <t>Ethanol 10% IV infusion for Methanol poisoning</t>
        </is>
      </c>
      <c r="I1281" s="15" t="inlineStr">
        <is>
          <t>1</t>
        </is>
      </c>
      <c r="J12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1" s="18" t="inlineStr"/>
      <c r="L1281" s="18" t="inlineStr">
        <is>
          <t>General Therapeutics</t>
        </is>
      </c>
      <c r="M1281" s="18" t="inlineStr">
        <is>
          <t>Clinic</t>
        </is>
      </c>
      <c r="N1281" s="18" t="inlineStr">
        <is>
          <t>ข้อ 3 (PLE_CC1_Practice_Exam.md)</t>
        </is>
      </c>
      <c r="O1281" s="18" t="inlineStr">
        <is>
          <t>Mock</t>
        </is>
      </c>
      <c r="P1281" s="18" t="inlineStr">
        <is>
          <t>Mock สภาเภสัชฯ Practice</t>
        </is>
      </c>
    </row>
    <row r="1282">
      <c r="A1282" s="15" t="inlineStr">
        <is>
          <t>1303</t>
        </is>
      </c>
      <c r="B1282" s="18" t="inlineStr">
        <is>
          <t>รับประทานได้ไม่เกินอาทิตย์ละ 5 เม็ด</t>
        </is>
      </c>
      <c r="C1282" s="18" t="inlineStr"/>
      <c r="D1282" s="18" t="inlineStr">
        <is>
          <t>Dimercaprol (BAL) 3 mg/kg IM</t>
        </is>
      </c>
      <c r="E1282" s="18" t="inlineStr">
        <is>
          <t>Ethanol 10% IV infusion for Methanol poisoning</t>
        </is>
      </c>
      <c r="F1282" s="18" t="inlineStr">
        <is>
          <t>Fomepizole 15 mg/kg IV loading</t>
        </is>
      </c>
      <c r="G1282" s="18" t="inlineStr">
        <is>
          <t>N-acetylcysteine (NAC) IV infusion protocol</t>
        </is>
      </c>
      <c r="H1282" s="18" t="inlineStr">
        <is>
          <t>Atropine sulfate 2 mg IV Q5-10 min</t>
        </is>
      </c>
      <c r="I1282" s="15" t="inlineStr">
        <is>
          <t>1</t>
        </is>
      </c>
      <c r="J12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2" s="18" t="inlineStr"/>
      <c r="L1282" s="18" t="inlineStr">
        <is>
          <t>General Therapeutics</t>
        </is>
      </c>
      <c r="M1282" s="18" t="inlineStr">
        <is>
          <t>Clinic</t>
        </is>
      </c>
      <c r="N1282" s="18" t="inlineStr">
        <is>
          <t>ข้อ 4 (PLE_CC1_Practice_Exam.md)</t>
        </is>
      </c>
      <c r="O1282" s="18" t="inlineStr">
        <is>
          <t>Mock</t>
        </is>
      </c>
      <c r="P1282" s="18" t="inlineStr">
        <is>
          <t>Mock สภาเภสัชฯ Practice</t>
        </is>
      </c>
    </row>
    <row r="1283">
      <c r="A1283" s="15" t="inlineStr">
        <is>
          <t>1304</t>
        </is>
      </c>
      <c r="B1283" s="18" t="inlineStr">
        <is>
          <t>ห้ามรับประทานติดต่อกันเกิน 9 วันต่อเดือน</t>
        </is>
      </c>
      <c r="C1283" s="18" t="inlineStr"/>
      <c r="D1283" s="18" t="inlineStr">
        <is>
          <t>N-acetylcysteine (NAC) IV infusion protocol</t>
        </is>
      </c>
      <c r="E1283" s="18" t="inlineStr">
        <is>
          <t>Atropine sulfate 2 mg IV Q5-10 min</t>
        </is>
      </c>
      <c r="F1283" s="18" t="inlineStr">
        <is>
          <t>Pralidoxime (2-PAM) 1-2 g IV over 30 min</t>
        </is>
      </c>
      <c r="G1283" s="18" t="inlineStr">
        <is>
          <t>Naloxone 0.4 mg IV stat</t>
        </is>
      </c>
      <c r="H1283" s="18" t="inlineStr">
        <is>
          <t>Flumazenil 0.2 mg IV stat</t>
        </is>
      </c>
      <c r="I1283" s="15" t="inlineStr">
        <is>
          <t>1</t>
        </is>
      </c>
      <c r="J12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83" s="18" t="inlineStr"/>
      <c r="L1283" s="18" t="inlineStr">
        <is>
          <t>General Therapeutics</t>
        </is>
      </c>
      <c r="M1283" s="18" t="inlineStr">
        <is>
          <t>Clinic</t>
        </is>
      </c>
      <c r="N1283" s="18" t="inlineStr">
        <is>
          <t>ข้อ 5 (PLE_CC1_Practice_Exam.md)</t>
        </is>
      </c>
      <c r="O1283" s="18" t="inlineStr">
        <is>
          <t>Mock</t>
        </is>
      </c>
      <c r="P1283" s="18" t="inlineStr">
        <is>
          <t>Mock สภาเภสัชฯ Practice</t>
        </is>
      </c>
    </row>
    <row r="1284">
      <c r="A1284" s="15" t="inlineStr">
        <is>
          <t>1305</t>
        </is>
      </c>
      <c r="B1284" s="18" t="inlineStr">
        <is>
          <t>โครงสร้างยาตัวดังกล่าวควรระวังในคนผู้ป่วยประเภทใด</t>
        </is>
      </c>
      <c r="C1284" s="18" t="inlineStr"/>
      <c r="D1284" s="18" t="inlineStr">
        <is>
          <t>Naloxone 0.4 mg IV stat</t>
        </is>
      </c>
      <c r="E1284" s="18" t="inlineStr">
        <is>
          <t>Flumazenil 0.2 mg IV stat</t>
        </is>
      </c>
      <c r="F1284" s="18" t="inlineStr">
        <is>
          <t>Vitamin K1 (Phytomenadione) 10 mg IV slow</t>
        </is>
      </c>
      <c r="G1284" s="18" t="inlineStr">
        <is>
          <t>Sodium thiosulfate 25% 50 mL IV</t>
        </is>
      </c>
      <c r="H1284" s="18" t="inlineStr">
        <is>
          <t>Calcium disodium EDTA 1 g IV</t>
        </is>
      </c>
      <c r="I1284" s="15" t="inlineStr">
        <is>
          <t>1</t>
        </is>
      </c>
      <c r="J12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4" s="18" t="inlineStr"/>
      <c r="L1284" s="18" t="inlineStr">
        <is>
          <t>General Therapeutics</t>
        </is>
      </c>
      <c r="M1284" s="18" t="inlineStr">
        <is>
          <t>Clinic</t>
        </is>
      </c>
      <c r="N1284" s="18" t="inlineStr">
        <is>
          <t>ข้อ 4 (PLE_CC1_Practice_Exam.md)</t>
        </is>
      </c>
      <c r="O1284" s="18" t="inlineStr">
        <is>
          <t>Mock</t>
        </is>
      </c>
      <c r="P1284" s="18" t="inlineStr">
        <is>
          <t>Mock สภาเภสัชฯ Practice</t>
        </is>
      </c>
    </row>
    <row r="1285">
      <c r="A1285" s="15" t="inlineStr">
        <is>
          <t>1306</t>
        </is>
      </c>
      <c r="B1285" s="18" t="inlineStr">
        <is>
          <t>ผู้ป่วยที่มียาร่วมจำพวก CYP3A4 inhibitor</t>
        </is>
      </c>
      <c r="C1285" s="18" t="inlineStr"/>
      <c r="D1285" s="18" t="inlineStr">
        <is>
          <t>Sodium thiosulfate 25% 50 mL IV</t>
        </is>
      </c>
      <c r="E1285" s="18" t="inlineStr">
        <is>
          <t>Calcium disodium EDTA 1 g IV</t>
        </is>
      </c>
      <c r="F1285" s="18" t="inlineStr">
        <is>
          <t>Desferrioxamine 1 g IM/IV</t>
        </is>
      </c>
      <c r="G1285" s="18" t="inlineStr">
        <is>
          <t>Dimercaprol (BAL) 3 mg/kg IM</t>
        </is>
      </c>
      <c r="H1285" s="18" t="inlineStr">
        <is>
          <t>Ethanol 10% IV infusion for Methanol poisoning</t>
        </is>
      </c>
      <c r="I1285" s="15" t="inlineStr">
        <is>
          <t>1</t>
        </is>
      </c>
      <c r="J12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5" s="18" t="inlineStr"/>
      <c r="L1285" s="18" t="inlineStr">
        <is>
          <t>General Therapeutics</t>
        </is>
      </c>
      <c r="M1285" s="18" t="inlineStr">
        <is>
          <t>Clinic</t>
        </is>
      </c>
      <c r="N1285" s="18" t="inlineStr">
        <is>
          <t>ข้อ 2 (PLE_CC1_Practice_Exam.md)</t>
        </is>
      </c>
      <c r="O1285" s="18" t="inlineStr">
        <is>
          <t>Mock</t>
        </is>
      </c>
      <c r="P1285" s="18" t="inlineStr">
        <is>
          <t>Mock สภาเภสัชฯ Practice</t>
        </is>
      </c>
    </row>
    <row r="1286">
      <c r="A1286" s="15" t="inlineStr">
        <is>
          <t>1307</t>
        </is>
      </c>
      <c r="B1286" s="18" t="inlineStr">
        <is>
          <t>Venlafaxine 178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286" s="18" t="inlineStr"/>
      <c r="D1286" s="18" t="inlineStr">
        <is>
          <t>Dimercaprol (BAL) 3 mg/kg IM</t>
        </is>
      </c>
      <c r="E1286" s="18" t="inlineStr">
        <is>
          <t>Ethanol 10% IV infusion for Methanol poisoning</t>
        </is>
      </c>
      <c r="F1286" s="18" t="inlineStr">
        <is>
          <t>Fomepizole 15 mg/kg IV loading</t>
        </is>
      </c>
      <c r="G1286" s="18" t="inlineStr">
        <is>
          <t>N-acetylcysteine (NAC) IV infusion protocol</t>
        </is>
      </c>
      <c r="H1286" s="18" t="inlineStr">
        <is>
          <t>Atropine sulfate 2 mg IV Q5-10 min</t>
        </is>
      </c>
      <c r="I1286" s="15" t="inlineStr">
        <is>
          <t>1</t>
        </is>
      </c>
      <c r="J12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86" s="18" t="inlineStr"/>
      <c r="L1286" s="18" t="inlineStr">
        <is>
          <t>General Therapeutics</t>
        </is>
      </c>
      <c r="M1286" s="18" t="inlineStr">
        <is>
          <t>Clinic</t>
        </is>
      </c>
      <c r="N1286" s="18" t="inlineStr">
        <is>
          <t>ข้อ 5 (PLE_CC1_Practice_Exam.md)</t>
        </is>
      </c>
      <c r="O1286" s="18" t="inlineStr">
        <is>
          <t>Mock</t>
        </is>
      </c>
      <c r="P1286" s="18" t="inlineStr">
        <is>
          <t>Mock สภาเภสัชฯ Practice</t>
        </is>
      </c>
    </row>
    <row r="1287">
      <c r="A1287" s="15" t="inlineStr">
        <is>
          <t>1308</t>
        </is>
      </c>
      <c r="B1287" s="18" t="inlineStr">
        <is>
          <t>ผู้ป่วยชายไทยอายุ 41 ปี มาขอซื้อยาแก้ปวดหัวที่ร้านยา จากการซักประวัติผู้ป่วยพบว่า มีอาการปวดหัว ข้างเดียวมาแล้ว 5 ชั่วโมง และปวดหัวตามจังหวะการเต้นของชีพจร ผู้ป่วยแจ้งว่าแพ้ยา Ibuprofen ยาในข้อ ใดควรจ่ายให้กับผู้ป่วยรายนี้</t>
        </is>
      </c>
      <c r="C1287" s="18" t="inlineStr"/>
      <c r="D1287" s="18" t="inlineStr">
        <is>
          <t>Prednisolone 5 mg OD</t>
        </is>
      </c>
      <c r="E1287" s="18" t="inlineStr">
        <is>
          <t>Zoledronic acid 5 mg IV annually</t>
        </is>
      </c>
      <c r="F1287" s="18" t="inlineStr">
        <is>
          <t>Leflunomide 20 mg OD</t>
        </is>
      </c>
      <c r="G1287" s="18" t="inlineStr">
        <is>
          <t>Paracetamol 500 mg Q6H PRN</t>
        </is>
      </c>
      <c r="H1287" s="18" t="inlineStr">
        <is>
          <t>Denosumab 60 mg SC every 6 months</t>
        </is>
      </c>
      <c r="I1287" s="15" t="inlineStr">
        <is>
          <t>1</t>
        </is>
      </c>
      <c r="J1287" s="18"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87" s="18" t="inlineStr"/>
      <c r="L1287" s="18" t="inlineStr">
        <is>
          <t>Musculoskeletal &amp; Joint</t>
        </is>
      </c>
      <c r="M1287" s="18" t="inlineStr">
        <is>
          <t>Clinic</t>
        </is>
      </c>
      <c r="N1287" s="18" t="inlineStr">
        <is>
          <t>ข้อ 6 (PLE_CC1_Practice_Exam.md)</t>
        </is>
      </c>
      <c r="O1287" s="18" t="inlineStr">
        <is>
          <t>Mock</t>
        </is>
      </c>
      <c r="P1287" s="18" t="inlineStr">
        <is>
          <t>Mock สภาเภสัชฯ Practice</t>
        </is>
      </c>
    </row>
    <row r="1288">
      <c r="A1288" s="15" t="inlineStr">
        <is>
          <t>1309</t>
        </is>
      </c>
      <c r="B1288" s="18" t="inlineStr">
        <is>
          <t>delirium tremens</t>
        </is>
      </c>
      <c r="C1288" s="18" t="inlineStr"/>
      <c r="D1288" s="18" t="inlineStr">
        <is>
          <t>Naloxone 0.4 mg IV stat</t>
        </is>
      </c>
      <c r="E1288" s="18" t="inlineStr">
        <is>
          <t>Flumazenil 0.2 mg IV stat</t>
        </is>
      </c>
      <c r="F1288" s="18" t="inlineStr">
        <is>
          <t>Vitamin K1 (Phytomenadione) 10 mg IV slow</t>
        </is>
      </c>
      <c r="G1288" s="18" t="inlineStr">
        <is>
          <t>Sodium thiosulfate 25% 50 mL IV</t>
        </is>
      </c>
      <c r="H1288" s="18" t="inlineStr">
        <is>
          <t>Calcium disodium EDTA 1 g IV</t>
        </is>
      </c>
      <c r="I1288" s="15" t="inlineStr">
        <is>
          <t>1</t>
        </is>
      </c>
      <c r="J12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8" s="18" t="inlineStr"/>
      <c r="L1288" s="18" t="inlineStr">
        <is>
          <t>General Therapeutics</t>
        </is>
      </c>
      <c r="M1288" s="18" t="inlineStr">
        <is>
          <t>Clinic</t>
        </is>
      </c>
      <c r="N1288" s="18" t="inlineStr">
        <is>
          <t>ข้อ 5 (PLE_CC1_Practice_Exam.md)</t>
        </is>
      </c>
      <c r="O1288" s="18" t="inlineStr">
        <is>
          <t>Mock</t>
        </is>
      </c>
      <c r="P1288" s="18" t="inlineStr">
        <is>
          <t>Mock สภาเภสัชฯ Practice</t>
        </is>
      </c>
    </row>
    <row r="1289">
      <c r="A1289" s="15" t="inlineStr">
        <is>
          <t>1310</t>
        </is>
      </c>
      <c r="B1289" s="18" t="inlineStr">
        <is>
          <t>ผู้ป่วยชายไทยคู่ อายุ 55 ปี ดื่มแอลกอฮอล์มา 10 ปี ลูกของผู้ป่วยอยากให้เลิกดื่มแอลกอฮอล์จึงตัดสินใจ เลิกดื่มแอลกอฮอล์ ผู้ป่วยเกิด อาการคลุมคลั่ง เพ้อ คิดว่าคนอื่นจะมาทำร้ายตนเอง อาการจะมักเกิดขึ้นในตอน เย็น และตอนเช้าอาการจะดีขึ้น อาการเกิดขึ้นเมื่อผู้ป่วยเลิกดื่มแอลกอฮอล์ในวันที่ 4 แพทย์วินิจฉัยว่ายังมี อาการ delirium tremens ยาใดที่เหมาะสมในผู้ป่วยรายนี้</t>
        </is>
      </c>
      <c r="C1289" s="18" t="inlineStr"/>
      <c r="D1289" s="18" t="inlineStr">
        <is>
          <t>Sodium thiosulfate 25% 50 mL IV</t>
        </is>
      </c>
      <c r="E1289" s="18" t="inlineStr">
        <is>
          <t>Calcium disodium EDTA 1 g IV</t>
        </is>
      </c>
      <c r="F1289" s="18" t="inlineStr">
        <is>
          <t>Desferrioxamine 1 g IM/IV</t>
        </is>
      </c>
      <c r="G1289" s="18" t="inlineStr">
        <is>
          <t>Dimercaprol (BAL) 3 mg/kg IM</t>
        </is>
      </c>
      <c r="H1289" s="18" t="inlineStr">
        <is>
          <t>Ethanol 10% IV infusion for Methanol poisoning</t>
        </is>
      </c>
      <c r="I1289" s="15" t="inlineStr">
        <is>
          <t>1</t>
        </is>
      </c>
      <c r="J12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9" s="18" t="inlineStr"/>
      <c r="L1289" s="18" t="inlineStr">
        <is>
          <t>General Therapeutics</t>
        </is>
      </c>
      <c r="M1289" s="18" t="inlineStr">
        <is>
          <t>Clinic</t>
        </is>
      </c>
      <c r="N1289" s="18" t="inlineStr">
        <is>
          <t>ข้อ 10 (PLE_CC1_Practice_Exam.md)</t>
        </is>
      </c>
      <c r="O1289" s="18" t="inlineStr">
        <is>
          <t>Mock</t>
        </is>
      </c>
      <c r="P1289" s="18" t="inlineStr">
        <is>
          <t>Mock สภาเภสัชฯ Practice</t>
        </is>
      </c>
    </row>
    <row r="1290">
      <c r="A1290" s="15" t="inlineStr">
        <is>
          <t>1311</t>
        </is>
      </c>
      <c r="B1290" s="18" t="inlineStr">
        <is>
          <t>ยับยั้งเอนไซม์ Catalase</t>
        </is>
      </c>
      <c r="C1290" s="18" t="inlineStr"/>
      <c r="D1290" s="18" t="inlineStr">
        <is>
          <t>Dimercaprol (BAL) 3 mg/kg IM</t>
        </is>
      </c>
      <c r="E1290" s="18" t="inlineStr">
        <is>
          <t>Ethanol 10% IV infusion for Methanol poisoning</t>
        </is>
      </c>
      <c r="F1290" s="18" t="inlineStr">
        <is>
          <t>Fomepizole 15 mg/kg IV loading</t>
        </is>
      </c>
      <c r="G1290" s="18" t="inlineStr">
        <is>
          <t>N-acetylcysteine (NAC) IV infusion protocol</t>
        </is>
      </c>
      <c r="H1290" s="18" t="inlineStr">
        <is>
          <t>Atropine sulfate 2 mg IV Q5-10 min</t>
        </is>
      </c>
      <c r="I1290" s="15" t="inlineStr">
        <is>
          <t>1</t>
        </is>
      </c>
      <c r="J12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0" s="18" t="inlineStr"/>
      <c r="L1290" s="18" t="inlineStr">
        <is>
          <t>General Therapeutics</t>
        </is>
      </c>
      <c r="M1290" s="18" t="inlineStr">
        <is>
          <t>Clinic</t>
        </is>
      </c>
      <c r="N1290" s="18" t="inlineStr">
        <is>
          <t>ข้อ 1 (PLE_CC1_Practice_Exam.md)</t>
        </is>
      </c>
      <c r="O1290" s="18" t="inlineStr">
        <is>
          <t>Mock</t>
        </is>
      </c>
      <c r="P1290" s="18" t="inlineStr">
        <is>
          <t>Mock สภาเภสัชฯ Practice</t>
        </is>
      </c>
    </row>
    <row r="1291">
      <c r="A1291" s="15" t="inlineStr">
        <is>
          <t>1312</t>
        </is>
      </c>
      <c r="B1291" s="18" t="inlineStr">
        <is>
          <t>ออกฤทธิ์เป็น Opioid receptor antagonist</t>
        </is>
      </c>
      <c r="C1291" s="18" t="inlineStr"/>
      <c r="D1291" s="18" t="inlineStr">
        <is>
          <t>N-acetylcysteine (NAC) IV infusion protocol</t>
        </is>
      </c>
      <c r="E1291" s="18" t="inlineStr">
        <is>
          <t>Atropine sulfate 2 mg IV Q5-10 min</t>
        </is>
      </c>
      <c r="F1291" s="18" t="inlineStr">
        <is>
          <t>Pralidoxime (2-PAM) 1-2 g IV over 30 min</t>
        </is>
      </c>
      <c r="G1291" s="18" t="inlineStr">
        <is>
          <t>Naloxone 0.4 mg IV stat</t>
        </is>
      </c>
      <c r="H1291" s="18" t="inlineStr">
        <is>
          <t>Flumazenil 0.2 mg IV stat</t>
        </is>
      </c>
      <c r="I1291" s="15" t="inlineStr">
        <is>
          <t>1</t>
        </is>
      </c>
      <c r="J12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1" s="18" t="inlineStr"/>
      <c r="L1291" s="18" t="inlineStr">
        <is>
          <t>General Therapeutics</t>
        </is>
      </c>
      <c r="M1291" s="18" t="inlineStr">
        <is>
          <t>Clinic</t>
        </is>
      </c>
      <c r="N1291" s="18" t="inlineStr">
        <is>
          <t>ข้อ 2 (PLE_CC1_Practice_Exam.md)</t>
        </is>
      </c>
      <c r="O1291" s="18" t="inlineStr">
        <is>
          <t>Mock</t>
        </is>
      </c>
      <c r="P1291" s="18" t="inlineStr">
        <is>
          <t>Mock สภาเภสัชฯ Practice</t>
        </is>
      </c>
    </row>
    <row r="1292">
      <c r="A1292" s="15" t="inlineStr">
        <is>
          <t>1313</t>
        </is>
      </c>
      <c r="B1292" s="18" t="inlineStr">
        <is>
          <t>ออกฤทธิ์เป็น Alpha 2 adrenergic receptor agonist</t>
        </is>
      </c>
      <c r="C1292" s="18" t="inlineStr"/>
      <c r="D1292" s="18" t="inlineStr">
        <is>
          <t>Naloxone 0.4 mg IV stat</t>
        </is>
      </c>
      <c r="E1292" s="18" t="inlineStr">
        <is>
          <t>Flumazenil 0.2 mg IV stat</t>
        </is>
      </c>
      <c r="F1292" s="18" t="inlineStr">
        <is>
          <t>Vitamin K1 (Phytomenadione) 10 mg IV slow</t>
        </is>
      </c>
      <c r="G1292" s="18" t="inlineStr">
        <is>
          <t>Sodium thiosulfate 25% 50 mL IV</t>
        </is>
      </c>
      <c r="H1292" s="18" t="inlineStr">
        <is>
          <t>Calcium disodium EDTA 1 g IV</t>
        </is>
      </c>
      <c r="I1292" s="15" t="inlineStr">
        <is>
          <t>1</t>
        </is>
      </c>
      <c r="J12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2" s="18" t="inlineStr"/>
      <c r="L1292" s="18" t="inlineStr">
        <is>
          <t>General Therapeutics</t>
        </is>
      </c>
      <c r="M1292" s="18" t="inlineStr">
        <is>
          <t>Clinic</t>
        </is>
      </c>
      <c r="N1292" s="18" t="inlineStr">
        <is>
          <t>ข้อ 4 (PLE_CC1_Practice_Exam.md)</t>
        </is>
      </c>
      <c r="O1292" s="18" t="inlineStr">
        <is>
          <t>Mock</t>
        </is>
      </c>
      <c r="P1292" s="18" t="inlineStr">
        <is>
          <t>Mock สภาเภสัชฯ Practice</t>
        </is>
      </c>
    </row>
    <row r="1293">
      <c r="A1293" s="15" t="inlineStr">
        <is>
          <t>1314</t>
        </is>
      </c>
      <c r="B1293" s="18" t="inlineStr">
        <is>
          <t>ยับยั้ง Aldehyde dehydrogenase</t>
        </is>
      </c>
      <c r="C1293" s="18" t="inlineStr"/>
      <c r="D1293" s="18" t="inlineStr">
        <is>
          <t>Sodium thiosulfate 25% 50 mL IV</t>
        </is>
      </c>
      <c r="E1293" s="18" t="inlineStr">
        <is>
          <t>Calcium disodium EDTA 1 g IV</t>
        </is>
      </c>
      <c r="F1293" s="18" t="inlineStr">
        <is>
          <t>Desferrioxamine 1 g IM/IV</t>
        </is>
      </c>
      <c r="G1293" s="18" t="inlineStr">
        <is>
          <t>Dimercaprol (BAL) 3 mg/kg IM</t>
        </is>
      </c>
      <c r="H1293" s="18" t="inlineStr">
        <is>
          <t>Ethanol 10% IV infusion for Methanol poisoning</t>
        </is>
      </c>
      <c r="I1293" s="15" t="inlineStr">
        <is>
          <t>1</t>
        </is>
      </c>
      <c r="J12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3" s="18" t="inlineStr"/>
      <c r="L1293" s="18" t="inlineStr">
        <is>
          <t>General Therapeutics</t>
        </is>
      </c>
      <c r="M1293" s="18" t="inlineStr">
        <is>
          <t>Clinic</t>
        </is>
      </c>
      <c r="N1293" s="18" t="inlineStr">
        <is>
          <t>ข้อ 5 (PLE_CC1_Practice_Exam.md)</t>
        </is>
      </c>
      <c r="O1293" s="18" t="inlineStr">
        <is>
          <t>Mock</t>
        </is>
      </c>
      <c r="P1293" s="18" t="inlineStr">
        <is>
          <t>Mock สภาเภสัชฯ Practice</t>
        </is>
      </c>
    </row>
    <row r="1294">
      <c r="A1294" s="15" t="inlineStr">
        <is>
          <t>1315</t>
        </is>
      </c>
      <c r="B1294" s="18" t="inlineStr">
        <is>
          <t>Wernicke’s encephalopathy สามารถรักษาด้วยยาอะไร</t>
        </is>
      </c>
      <c r="C1294" s="18" t="inlineStr"/>
      <c r="D1294" s="18" t="inlineStr">
        <is>
          <t>Dimercaprol (BAL) 3 mg/kg IM</t>
        </is>
      </c>
      <c r="E1294" s="18" t="inlineStr">
        <is>
          <t>Ethanol 10% IV infusion for Methanol poisoning</t>
        </is>
      </c>
      <c r="F1294" s="18" t="inlineStr">
        <is>
          <t>Fomepizole 15 mg/kg IV loading</t>
        </is>
      </c>
      <c r="G1294" s="18" t="inlineStr">
        <is>
          <t>N-acetylcysteine (NAC) IV infusion protocol</t>
        </is>
      </c>
      <c r="H1294" s="18" t="inlineStr">
        <is>
          <t>Atropine sulfate 2 mg IV Q5-10 min</t>
        </is>
      </c>
      <c r="I1294" s="15" t="inlineStr">
        <is>
          <t>1</t>
        </is>
      </c>
      <c r="J12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4" s="18" t="inlineStr"/>
      <c r="L1294" s="18" t="inlineStr">
        <is>
          <t>General Therapeutics</t>
        </is>
      </c>
      <c r="M1294" s="18" t="inlineStr">
        <is>
          <t>Clinic</t>
        </is>
      </c>
      <c r="N1294" s="18" t="inlineStr">
        <is>
          <t>ข้อ 12 (PLE_CC1_Practice_Exam.md)</t>
        </is>
      </c>
      <c r="O1294" s="18" t="inlineStr">
        <is>
          <t>Mock</t>
        </is>
      </c>
      <c r="P1294" s="18" t="inlineStr">
        <is>
          <t>Mock สภาเภสัชฯ Practice</t>
        </is>
      </c>
    </row>
    <row r="1295">
      <c r="A1295" s="15" t="inlineStr">
        <is>
          <t>1316</t>
        </is>
      </c>
      <c r="B1295" s="18" t="inlineStr">
        <is>
          <t>ยาในต่อไปข้อใดใช้ในการรักษาภาวะติดสุราเรื้อรัง</t>
        </is>
      </c>
      <c r="C1295" s="18" t="inlineStr"/>
      <c r="D1295" s="18" t="inlineStr">
        <is>
          <t>N-acetylcysteine (NAC) IV infusion protocol</t>
        </is>
      </c>
      <c r="E1295" s="18" t="inlineStr">
        <is>
          <t>Atropine sulfate 2 mg IV Q5-10 min</t>
        </is>
      </c>
      <c r="F1295" s="18" t="inlineStr">
        <is>
          <t>Pralidoxime (2-PAM) 1-2 g IV over 30 min</t>
        </is>
      </c>
      <c r="G1295" s="18" t="inlineStr">
        <is>
          <t>Naloxone 0.4 mg IV stat</t>
        </is>
      </c>
      <c r="H1295" s="18" t="inlineStr">
        <is>
          <t>Flumazenil 0.2 mg IV stat</t>
        </is>
      </c>
      <c r="I1295" s="15" t="inlineStr">
        <is>
          <t>1</t>
        </is>
      </c>
      <c r="J12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5" s="18" t="inlineStr"/>
      <c r="L1295" s="18" t="inlineStr">
        <is>
          <t>General Therapeutics</t>
        </is>
      </c>
      <c r="M1295" s="18" t="inlineStr">
        <is>
          <t>Clinic</t>
        </is>
      </c>
      <c r="N1295" s="18" t="inlineStr">
        <is>
          <t>ข้อ 13 (PLE_CC1_Practice_Exam.md)</t>
        </is>
      </c>
      <c r="O1295" s="18" t="inlineStr">
        <is>
          <t>Mock</t>
        </is>
      </c>
      <c r="P1295" s="18" t="inlineStr">
        <is>
          <t>Mock สภาเภสัชฯ Practice</t>
        </is>
      </c>
    </row>
    <row r="1296">
      <c r="A1296" s="15" t="inlineStr">
        <is>
          <t>1317</t>
        </is>
      </c>
      <c r="B1296" s="18" t="inlineStr">
        <is>
          <t>Flumazenil</t>
        </is>
      </c>
      <c r="C1296" s="18" t="inlineStr"/>
      <c r="D1296" s="18" t="inlineStr">
        <is>
          <t>Naloxone 0.4 mg IV stat</t>
        </is>
      </c>
      <c r="E1296" s="18" t="inlineStr">
        <is>
          <t>Flumazenil 0.2 mg IV stat</t>
        </is>
      </c>
      <c r="F1296" s="18" t="inlineStr">
        <is>
          <t>Vitamin K1 (Phytomenadione) 10 mg IV slow</t>
        </is>
      </c>
      <c r="G1296" s="18" t="inlineStr">
        <is>
          <t>Sodium thiosulfate 25% 50 mL IV</t>
        </is>
      </c>
      <c r="H1296" s="18" t="inlineStr">
        <is>
          <t>Calcium disodium EDTA 1 g IV</t>
        </is>
      </c>
      <c r="I1296" s="15" t="inlineStr">
        <is>
          <t>1</t>
        </is>
      </c>
      <c r="J1296" s="18"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6" s="18" t="inlineStr"/>
      <c r="L1296" s="18" t="inlineStr">
        <is>
          <t>Toxicology &amp; Antidote</t>
        </is>
      </c>
      <c r="M1296" s="18" t="inlineStr">
        <is>
          <t>Clinic</t>
        </is>
      </c>
      <c r="N1296" s="18" t="inlineStr">
        <is>
          <t>ข้อ 5 (PLE_CC1_Practice_Exam.md)</t>
        </is>
      </c>
      <c r="O1296" s="18" t="inlineStr">
        <is>
          <t>Mock</t>
        </is>
      </c>
      <c r="P1296" s="18" t="inlineStr">
        <is>
          <t>Mock สภาเภสัชฯ Practice</t>
        </is>
      </c>
    </row>
    <row r="1297">
      <c r="A1297" s="15" t="inlineStr">
        <is>
          <t>1318</t>
        </is>
      </c>
      <c r="B1297" s="18" t="inlineStr">
        <is>
          <t>ให้ Buprenorphine</t>
        </is>
      </c>
      <c r="C1297" s="18" t="inlineStr"/>
      <c r="D1297" s="18" t="inlineStr">
        <is>
          <t>Sodium thiosulfate 25% 50 mL IV</t>
        </is>
      </c>
      <c r="E1297" s="18" t="inlineStr">
        <is>
          <t>Calcium disodium EDTA 1 g IV</t>
        </is>
      </c>
      <c r="F1297" s="18" t="inlineStr">
        <is>
          <t>Desferrioxamine 1 g IM/IV</t>
        </is>
      </c>
      <c r="G1297" s="18" t="inlineStr">
        <is>
          <t>Dimercaprol (BAL) 3 mg/kg IM</t>
        </is>
      </c>
      <c r="H1297" s="18" t="inlineStr">
        <is>
          <t>Ethanol 10% IV infusion for Methanol poisoning</t>
        </is>
      </c>
      <c r="I1297" s="15" t="inlineStr">
        <is>
          <t>1</t>
        </is>
      </c>
      <c r="J12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7" s="18" t="inlineStr"/>
      <c r="L1297" s="18" t="inlineStr">
        <is>
          <t>General Therapeutics</t>
        </is>
      </c>
      <c r="M1297" s="18" t="inlineStr">
        <is>
          <t>Clinic</t>
        </is>
      </c>
      <c r="N1297" s="18" t="inlineStr">
        <is>
          <t>ข้อ 1 (PLE_CC1_Practice_Exam.md)</t>
        </is>
      </c>
      <c r="O1297" s="18" t="inlineStr">
        <is>
          <t>Mock</t>
        </is>
      </c>
      <c r="P1297" s="18" t="inlineStr">
        <is>
          <t>Mock สภาเภสัชฯ Practice</t>
        </is>
      </c>
    </row>
    <row r="1298">
      <c r="A1298" s="15" t="inlineStr">
        <is>
          <t>1319</t>
        </is>
      </c>
      <c r="B1298" s="18" t="inlineStr">
        <is>
          <t>ให้ Naloxone IV</t>
        </is>
      </c>
      <c r="C1298" s="18" t="inlineStr"/>
      <c r="D1298" s="18" t="inlineStr">
        <is>
          <t>Dimercaprol (BAL) 3 mg/kg IM</t>
        </is>
      </c>
      <c r="E1298" s="18" t="inlineStr">
        <is>
          <t>Ethanol 10% IV infusion for Methanol poisoning</t>
        </is>
      </c>
      <c r="F1298" s="18" t="inlineStr">
        <is>
          <t>Fomepizole 15 mg/kg IV loading</t>
        </is>
      </c>
      <c r="G1298" s="18" t="inlineStr">
        <is>
          <t>N-acetylcysteine (NAC) IV infusion protocol</t>
        </is>
      </c>
      <c r="H1298" s="18" t="inlineStr">
        <is>
          <t>Atropine sulfate 2 mg IV Q5-10 min</t>
        </is>
      </c>
      <c r="I1298" s="15" t="inlineStr">
        <is>
          <t>1</t>
        </is>
      </c>
      <c r="J1298" s="18"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8" s="18" t="inlineStr"/>
      <c r="L1298" s="18" t="inlineStr">
        <is>
          <t>Toxicology &amp; Antidote</t>
        </is>
      </c>
      <c r="M1298" s="18" t="inlineStr">
        <is>
          <t>Clinic</t>
        </is>
      </c>
      <c r="N1298" s="18" t="inlineStr">
        <is>
          <t>ข้อ 4 (PLE_CC1_Practice_Exam.md)</t>
        </is>
      </c>
      <c r="O1298" s="18" t="inlineStr">
        <is>
          <t>Mock</t>
        </is>
      </c>
      <c r="P1298" s="18" t="inlineStr">
        <is>
          <t>Mock สภาเภสัชฯ Practice</t>
        </is>
      </c>
    </row>
    <row r="1299">
      <c r="A1299" s="15" t="inlineStr">
        <is>
          <t>1320</t>
        </is>
      </c>
      <c r="B1299" s="18" t="inlineStr">
        <is>
          <t>ให้ Cyproheptadine</t>
        </is>
      </c>
      <c r="C1299" s="18" t="inlineStr"/>
      <c r="D1299" s="18" t="inlineStr">
        <is>
          <t>N-acetylcysteine (NAC) IV infusion protocol</t>
        </is>
      </c>
      <c r="E1299" s="18" t="inlineStr">
        <is>
          <t>Atropine sulfate 2 mg IV Q5-10 min</t>
        </is>
      </c>
      <c r="F1299" s="18" t="inlineStr">
        <is>
          <t>Pralidoxime (2-PAM) 1-2 g IV over 30 min</t>
        </is>
      </c>
      <c r="G1299" s="18" t="inlineStr">
        <is>
          <t>Naloxone 0.4 mg IV stat</t>
        </is>
      </c>
      <c r="H1299" s="18" t="inlineStr">
        <is>
          <t>Flumazenil 0.2 mg IV stat</t>
        </is>
      </c>
      <c r="I1299" s="15" t="inlineStr">
        <is>
          <t>1</t>
        </is>
      </c>
      <c r="J129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9" s="18" t="inlineStr"/>
      <c r="L1299" s="18" t="inlineStr">
        <is>
          <t>General Therapeutics</t>
        </is>
      </c>
      <c r="M1299" s="18" t="inlineStr">
        <is>
          <t>Clinic</t>
        </is>
      </c>
      <c r="N1299" s="18" t="inlineStr">
        <is>
          <t>ข้อ 5 (PLE_CC1_Practice_Exam.md)</t>
        </is>
      </c>
      <c r="O1299" s="18" t="inlineStr">
        <is>
          <t>Mock</t>
        </is>
      </c>
      <c r="P1299" s="18" t="inlineStr">
        <is>
          <t>Mock สภาเภสัชฯ Practice</t>
        </is>
      </c>
    </row>
    <row r="1300">
      <c r="A1300" s="15" t="inlineStr">
        <is>
          <t>1321</t>
        </is>
      </c>
      <c r="B1300" s="18" t="inlineStr">
        <is>
          <t>Haloperidol Tobacco dependence and cessation</t>
        </is>
      </c>
      <c r="C1300" s="18" t="inlineStr"/>
      <c r="D1300" s="18" t="inlineStr">
        <is>
          <t>Naloxone 0.4 mg IV stat</t>
        </is>
      </c>
      <c r="E1300" s="18" t="inlineStr">
        <is>
          <t>Flumazenil 0.2 mg IV stat</t>
        </is>
      </c>
      <c r="F1300" s="18" t="inlineStr">
        <is>
          <t>Vitamin K1 (Phytomenadione) 10 mg IV slow</t>
        </is>
      </c>
      <c r="G1300" s="18" t="inlineStr">
        <is>
          <t>Sodium thiosulfate 25% 50 mL IV</t>
        </is>
      </c>
      <c r="H1300" s="18" t="inlineStr">
        <is>
          <t>Calcium disodium EDTA 1 g IV</t>
        </is>
      </c>
      <c r="I1300" s="15" t="inlineStr">
        <is>
          <t>1</t>
        </is>
      </c>
      <c r="J13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0" s="18" t="inlineStr"/>
      <c r="L1300" s="18" t="inlineStr">
        <is>
          <t>General Therapeutics</t>
        </is>
      </c>
      <c r="M1300" s="18" t="inlineStr">
        <is>
          <t>Clinic</t>
        </is>
      </c>
      <c r="N1300" s="18" t="inlineStr">
        <is>
          <t>ข้อ 5 (PLE_CC1_Practice_Exam.md)</t>
        </is>
      </c>
      <c r="O1300" s="18" t="inlineStr">
        <is>
          <t>Mock</t>
        </is>
      </c>
      <c r="P1300" s="18" t="inlineStr">
        <is>
          <t>Mock สภาเภสัชฯ Practice</t>
        </is>
      </c>
    </row>
    <row r="1301">
      <c r="A1301" s="15" t="inlineStr">
        <is>
          <t>1322</t>
        </is>
      </c>
      <c r="B1301" s="18" t="inlineStr">
        <is>
          <t>สารใดอยู่ในบุหรี่ที่ออกฤทธิ์ทางเภสัชวิทยา ทำให้เกิดอาการถอนบุหรี่ได้เมื่อไม่ได้สูบบุหรี่</t>
        </is>
      </c>
      <c r="C1301" s="18" t="inlineStr"/>
      <c r="D1301" s="18" t="inlineStr">
        <is>
          <t>Theophylline 200 mg BID</t>
        </is>
      </c>
      <c r="E1301" s="18" t="inlineStr">
        <is>
          <t>Prednisolone 40 mg OD x 5 days</t>
        </is>
      </c>
      <c r="F1301" s="18" t="inlineStr">
        <is>
          <t>N-acetylcysteine 600 mg OD</t>
        </is>
      </c>
      <c r="G1301" s="18" t="inlineStr">
        <is>
          <t>Beclomethasone MDI 100 mcg BID</t>
        </is>
      </c>
      <c r="H1301" s="18" t="inlineStr">
        <is>
          <t>Salbutamol MDI 2 puffs PRN</t>
        </is>
      </c>
      <c r="I1301" s="15" t="inlineStr">
        <is>
          <t>1</t>
        </is>
      </c>
      <c r="J1301" s="18"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1" s="18" t="inlineStr"/>
      <c r="L1301" s="18" t="inlineStr">
        <is>
          <t>Pulmonary Diseases</t>
        </is>
      </c>
      <c r="M1301" s="18" t="inlineStr">
        <is>
          <t>Clinic</t>
        </is>
      </c>
      <c r="N1301" s="18" t="inlineStr">
        <is>
          <t>ข้อ 17 (PLE_CC1_Practice_Exam.md)</t>
        </is>
      </c>
      <c r="O1301" s="18" t="inlineStr">
        <is>
          <t>Mock</t>
        </is>
      </c>
      <c r="P1301" s="18" t="inlineStr">
        <is>
          <t>Mock สภาเภสัชฯ Practice</t>
        </is>
      </c>
    </row>
    <row r="1302">
      <c r="A1302" s="15" t="inlineStr">
        <is>
          <t>1323</t>
        </is>
      </c>
      <c r="B1302" s="18" t="inlineStr">
        <is>
          <t>nitrogen dioxide</t>
        </is>
      </c>
      <c r="C1302" s="18" t="inlineStr"/>
      <c r="D1302" s="18" t="inlineStr">
        <is>
          <t>Dimercaprol (BAL) 3 mg/kg IM</t>
        </is>
      </c>
      <c r="E1302" s="18" t="inlineStr">
        <is>
          <t>Ethanol 10% IV infusion for Methanol poisoning</t>
        </is>
      </c>
      <c r="F1302" s="18" t="inlineStr">
        <is>
          <t>Fomepizole 15 mg/kg IV loading</t>
        </is>
      </c>
      <c r="G1302" s="18" t="inlineStr">
        <is>
          <t>N-acetylcysteine (NAC) IV infusion protocol</t>
        </is>
      </c>
      <c r="H1302" s="18" t="inlineStr">
        <is>
          <t>Atropine sulfate 2 mg IV Q5-10 min</t>
        </is>
      </c>
      <c r="I1302" s="15" t="inlineStr">
        <is>
          <t>1</t>
        </is>
      </c>
      <c r="J13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2" s="18" t="inlineStr"/>
      <c r="L1302" s="18" t="inlineStr">
        <is>
          <t>General Therapeutics</t>
        </is>
      </c>
      <c r="M1302" s="18" t="inlineStr">
        <is>
          <t>Clinic</t>
        </is>
      </c>
      <c r="N1302" s="18" t="inlineStr">
        <is>
          <t>ข้อ 4 (PLE_CC1_Practice_Exam.md)</t>
        </is>
      </c>
      <c r="O1302" s="18" t="inlineStr">
        <is>
          <t>Mock</t>
        </is>
      </c>
      <c r="P1302" s="18" t="inlineStr">
        <is>
          <t>Mock สภาเภสัชฯ Practice</t>
        </is>
      </c>
    </row>
    <row r="1303">
      <c r="A1303" s="15" t="inlineStr">
        <is>
          <t>1324</t>
        </is>
      </c>
      <c r="B1303" s="18" t="inlineStr">
        <is>
          <t>ใช้ขนาด 20 mg ติด 24 ชม. ต่อแผ่น เป็นเวลา 6-8 สัปดาห์</t>
        </is>
      </c>
      <c r="C1303" s="18" t="inlineStr"/>
      <c r="D1303" s="18" t="inlineStr">
        <is>
          <t>N-acetylcysteine (NAC) IV infusion protocol</t>
        </is>
      </c>
      <c r="E1303" s="18" t="inlineStr">
        <is>
          <t>Atropine sulfate 2 mg IV Q5-10 min</t>
        </is>
      </c>
      <c r="F1303" s="18" t="inlineStr">
        <is>
          <t>Pralidoxime (2-PAM) 1-2 g IV over 30 min</t>
        </is>
      </c>
      <c r="G1303" s="18" t="inlineStr">
        <is>
          <t>Naloxone 0.4 mg IV stat</t>
        </is>
      </c>
      <c r="H1303" s="18" t="inlineStr">
        <is>
          <t>Flumazenil 0.2 mg IV stat</t>
        </is>
      </c>
      <c r="I1303" s="15" t="inlineStr">
        <is>
          <t>1</t>
        </is>
      </c>
      <c r="J130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3" s="18" t="inlineStr"/>
      <c r="L1303" s="18" t="inlineStr">
        <is>
          <t>General Therapeutics</t>
        </is>
      </c>
      <c r="M1303" s="18" t="inlineStr">
        <is>
          <t>Clinic</t>
        </is>
      </c>
      <c r="N1303" s="18" t="inlineStr">
        <is>
          <t>ข้อ 1 (PLE_CC1_Practice_Exam.md)</t>
        </is>
      </c>
      <c r="O1303" s="18" t="inlineStr">
        <is>
          <t>Mock</t>
        </is>
      </c>
      <c r="P1303" s="18" t="inlineStr">
        <is>
          <t>Mock สภาเภสัชฯ Practice</t>
        </is>
      </c>
    </row>
    <row r="1304">
      <c r="A1304" s="15" t="inlineStr">
        <is>
          <t>1325</t>
        </is>
      </c>
      <c r="B1304" s="18" t="inlineStr">
        <is>
          <t>ใช้ขนาด 20 mg ติด 24 ชม. โดยแบ่งใช้ครั้งละครึ่งแผ่น เป็นเวลา 6-8 สัปดาห์</t>
        </is>
      </c>
      <c r="C1304" s="18" t="inlineStr"/>
      <c r="D1304" s="18" t="inlineStr">
        <is>
          <t>Naloxone 0.4 mg IV stat</t>
        </is>
      </c>
      <c r="E1304" s="18" t="inlineStr">
        <is>
          <t>Flumazenil 0.2 mg IV stat</t>
        </is>
      </c>
      <c r="F1304" s="18" t="inlineStr">
        <is>
          <t>Vitamin K1 (Phytomenadione) 10 mg IV slow</t>
        </is>
      </c>
      <c r="G1304" s="18" t="inlineStr">
        <is>
          <t>Sodium thiosulfate 25% 50 mL IV</t>
        </is>
      </c>
      <c r="H1304" s="18" t="inlineStr">
        <is>
          <t>Calcium disodium EDTA 1 g IV</t>
        </is>
      </c>
      <c r="I1304" s="15" t="inlineStr">
        <is>
          <t>1</t>
        </is>
      </c>
      <c r="J13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4" s="18" t="inlineStr"/>
      <c r="L1304" s="18" t="inlineStr">
        <is>
          <t>General Therapeutics</t>
        </is>
      </c>
      <c r="M1304" s="18" t="inlineStr">
        <is>
          <t>Clinic</t>
        </is>
      </c>
      <c r="N1304" s="18" t="inlineStr">
        <is>
          <t>ข้อ 2 (PLE_CC1_Practice_Exam.md)</t>
        </is>
      </c>
      <c r="O1304" s="18" t="inlineStr">
        <is>
          <t>Mock</t>
        </is>
      </c>
      <c r="P1304" s="18" t="inlineStr">
        <is>
          <t>Mock สภาเภสัชฯ Practice</t>
        </is>
      </c>
    </row>
    <row r="1305">
      <c r="A1305" s="15" t="inlineStr">
        <is>
          <t>1326</t>
        </is>
      </c>
      <c r="B1305" s="18" t="inlineStr">
        <is>
          <t>ใช้ขนาด 20 mg ติด 12 ชม. โดยแบ่งใช้ครั้งละครึ่งแผ่น เป็นเวลา 6-8 สัปดาห์</t>
        </is>
      </c>
      <c r="C1305" s="18" t="inlineStr"/>
      <c r="D1305" s="18" t="inlineStr">
        <is>
          <t>Sodium thiosulfate 25% 50 mL IV</t>
        </is>
      </c>
      <c r="E1305" s="18" t="inlineStr">
        <is>
          <t>Calcium disodium EDTA 1 g IV</t>
        </is>
      </c>
      <c r="F1305" s="18" t="inlineStr">
        <is>
          <t>Desferrioxamine 1 g IM/IV</t>
        </is>
      </c>
      <c r="G1305" s="18" t="inlineStr">
        <is>
          <t>Dimercaprol (BAL) 3 mg/kg IM</t>
        </is>
      </c>
      <c r="H1305" s="18" t="inlineStr">
        <is>
          <t>Ethanol 10% IV infusion for Methanol poisoning</t>
        </is>
      </c>
      <c r="I1305" s="15" t="inlineStr">
        <is>
          <t>1</t>
        </is>
      </c>
      <c r="J13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5" s="18" t="inlineStr"/>
      <c r="L1305" s="18" t="inlineStr">
        <is>
          <t>General Therapeutics</t>
        </is>
      </c>
      <c r="M1305" s="18" t="inlineStr">
        <is>
          <t>Clinic</t>
        </is>
      </c>
      <c r="N1305" s="18" t="inlineStr">
        <is>
          <t>ข้อ 3 (PLE_CC1_Practice_Exam.md)</t>
        </is>
      </c>
      <c r="O1305" s="18" t="inlineStr">
        <is>
          <t>Mock</t>
        </is>
      </c>
      <c r="P1305" s="18" t="inlineStr">
        <is>
          <t>Mock สภาเภสัชฯ Practice</t>
        </is>
      </c>
    </row>
    <row r="1306">
      <c r="A1306" s="15" t="inlineStr">
        <is>
          <t>1327</t>
        </is>
      </c>
      <c r="B1306" s="18" t="inlineStr">
        <is>
          <t>ใช้ขนาด 30 mg ติด 24 ชม. ต่อแผ่น เป็นเวลา 3-4 สัปดาห์</t>
        </is>
      </c>
      <c r="C1306" s="18" t="inlineStr"/>
      <c r="D1306" s="18" t="inlineStr">
        <is>
          <t>Dimercaprol (BAL) 3 mg/kg IM</t>
        </is>
      </c>
      <c r="E1306" s="18" t="inlineStr">
        <is>
          <t>Ethanol 10% IV infusion for Methanol poisoning</t>
        </is>
      </c>
      <c r="F1306" s="18" t="inlineStr">
        <is>
          <t>Fomepizole 15 mg/kg IV loading</t>
        </is>
      </c>
      <c r="G1306" s="18" t="inlineStr">
        <is>
          <t>N-acetylcysteine (NAC) IV infusion protocol</t>
        </is>
      </c>
      <c r="H1306" s="18" t="inlineStr">
        <is>
          <t>Atropine sulfate 2 mg IV Q5-10 min</t>
        </is>
      </c>
      <c r="I1306" s="15" t="inlineStr">
        <is>
          <t>1</t>
        </is>
      </c>
      <c r="J13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6" s="18" t="inlineStr"/>
      <c r="L1306" s="18" t="inlineStr">
        <is>
          <t>General Therapeutics</t>
        </is>
      </c>
      <c r="M1306" s="18" t="inlineStr">
        <is>
          <t>Clinic</t>
        </is>
      </c>
      <c r="N1306" s="18" t="inlineStr">
        <is>
          <t>ข้อ 4 (PLE_CC1_Practice_Exam.md)</t>
        </is>
      </c>
      <c r="O1306" s="18" t="inlineStr">
        <is>
          <t>Mock</t>
        </is>
      </c>
      <c r="P1306" s="18" t="inlineStr">
        <is>
          <t>Mock สภาเภสัชฯ Practice</t>
        </is>
      </c>
    </row>
    <row r="1307">
      <c r="A1307" s="15" t="inlineStr">
        <is>
          <t>1328</t>
        </is>
      </c>
      <c r="B1307" s="18" t="inlineStr">
        <is>
          <t>ใช้ขนาด 30 mg ติด 12 ชม. โดยแบ่งใช้ครั้งละครึ่งแผ่น เป็นเวลา 3-4 สัปดาห์</t>
        </is>
      </c>
      <c r="C1307" s="18" t="inlineStr"/>
      <c r="D1307" s="18" t="inlineStr">
        <is>
          <t>N-acetylcysteine (NAC) IV infusion protocol</t>
        </is>
      </c>
      <c r="E1307" s="18" t="inlineStr">
        <is>
          <t>Atropine sulfate 2 mg IV Q5-10 min</t>
        </is>
      </c>
      <c r="F1307" s="18" t="inlineStr">
        <is>
          <t>Pralidoxime (2-PAM) 1-2 g IV over 30 min</t>
        </is>
      </c>
      <c r="G1307" s="18" t="inlineStr">
        <is>
          <t>Naloxone 0.4 mg IV stat</t>
        </is>
      </c>
      <c r="H1307" s="18" t="inlineStr">
        <is>
          <t>Flumazenil 0.2 mg IV stat</t>
        </is>
      </c>
      <c r="I1307" s="15" t="inlineStr">
        <is>
          <t>1</t>
        </is>
      </c>
      <c r="J13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7" s="18" t="inlineStr"/>
      <c r="L1307" s="18" t="inlineStr">
        <is>
          <t>General Therapeutics</t>
        </is>
      </c>
      <c r="M1307" s="18" t="inlineStr">
        <is>
          <t>Clinic</t>
        </is>
      </c>
      <c r="N1307" s="18" t="inlineStr">
        <is>
          <t>ข้อ 5 (PLE_CC1_Practice_Exam.md)</t>
        </is>
      </c>
      <c r="O1307" s="18" t="inlineStr">
        <is>
          <t>Mock</t>
        </is>
      </c>
      <c r="P1307" s="18" t="inlineStr">
        <is>
          <t>Mock สภาเภสัชฯ Practice</t>
        </is>
      </c>
    </row>
    <row r="1308">
      <c r="A1308" s="15" t="inlineStr">
        <is>
          <t>1329</t>
        </is>
      </c>
      <c r="B1308" s="18" t="inlineStr">
        <is>
          <t>บุคคลใดมีการปฏิบัติการรับประทานหมากฝรั่งนิโคตินอย่างเหมาะสม</t>
        </is>
      </c>
      <c r="C1308" s="18" t="inlineStr"/>
      <c r="D1308" s="18" t="inlineStr">
        <is>
          <t>Prednisolone 40 mg OD x 5 days</t>
        </is>
      </c>
      <c r="E1308" s="18" t="inlineStr">
        <is>
          <t>N-acetylcysteine 600 mg OD</t>
        </is>
      </c>
      <c r="F1308" s="18" t="inlineStr">
        <is>
          <t>Beclomethasone MDI 100 mcg BID</t>
        </is>
      </c>
      <c r="G1308" s="18" t="inlineStr">
        <is>
          <t>Salbutamol MDI 2 puffs PRN</t>
        </is>
      </c>
      <c r="H1308" s="18" t="inlineStr">
        <is>
          <t>Budesonide/Formoterol 160/4.5 mcg DPI BID</t>
        </is>
      </c>
      <c r="I1308" s="15" t="inlineStr">
        <is>
          <t>1</t>
        </is>
      </c>
      <c r="J1308" s="18"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08" s="18" t="inlineStr"/>
      <c r="L1308" s="18" t="inlineStr">
        <is>
          <t>Pulmonary Diseases</t>
        </is>
      </c>
      <c r="M1308" s="18" t="inlineStr">
        <is>
          <t>Clinic</t>
        </is>
      </c>
      <c r="N1308" s="18" t="inlineStr">
        <is>
          <t>ข้อ 19 (PLE_CC1_Practice_Exam.md)</t>
        </is>
      </c>
      <c r="O1308" s="18" t="inlineStr">
        <is>
          <t>Mock</t>
        </is>
      </c>
      <c r="P1308" s="18" t="inlineStr">
        <is>
          <t>Mock สภาเภสัชฯ Practice</t>
        </is>
      </c>
    </row>
    <row r="1309">
      <c r="A1309" s="15" t="inlineStr">
        <is>
          <t>1330</t>
        </is>
      </c>
      <c r="B1309" s="18" t="inlineStr">
        <is>
          <t>นาย ก เคี้ยวหมากฝรั่งนิโคตินอย่างช้าๆ สลับกับการอมเป็นระยะๆ เป็นเวลา 30 นาที</t>
        </is>
      </c>
      <c r="C1309" s="18" t="inlineStr"/>
      <c r="D1309" s="18" t="inlineStr">
        <is>
          <t>Salbutamol MDI 2 puffs PRN</t>
        </is>
      </c>
      <c r="E1309" s="18" t="inlineStr">
        <is>
          <t>Budesonide/Formoterol 160/4.5 mcg DPI BID</t>
        </is>
      </c>
      <c r="F1309" s="18" t="inlineStr">
        <is>
          <t>Fluticasone/Salmeterol 250/50 mcg DPI BID</t>
        </is>
      </c>
      <c r="G1309" s="18" t="inlineStr">
        <is>
          <t>Tiotropium Respimat 2.5 mcg 2 puffs OD</t>
        </is>
      </c>
      <c r="H1309" s="18" t="inlineStr">
        <is>
          <t>Ipratropium/Fenoterol MDI PRN</t>
        </is>
      </c>
      <c r="I1309" s="15" t="inlineStr">
        <is>
          <t>1</t>
        </is>
      </c>
      <c r="J1309" s="18"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309" s="18" t="inlineStr"/>
      <c r="L1309" s="18" t="inlineStr">
        <is>
          <t>Pulmonary Diseases</t>
        </is>
      </c>
      <c r="M1309" s="18" t="inlineStr">
        <is>
          <t>Clinic</t>
        </is>
      </c>
      <c r="N1309" s="18" t="inlineStr">
        <is>
          <t>ข้อ 1 (PLE_CC1_Practice_Exam.md)</t>
        </is>
      </c>
      <c r="O1309" s="18" t="inlineStr">
        <is>
          <t>Mock</t>
        </is>
      </c>
      <c r="P1309" s="18" t="inlineStr">
        <is>
          <t>Mock สภาเภสัชฯ Practice</t>
        </is>
      </c>
    </row>
    <row r="1310">
      <c r="A1310" s="15" t="inlineStr">
        <is>
          <t>1331</t>
        </is>
      </c>
      <c r="B1310" s="18" t="inlineStr">
        <is>
          <t>นาย ข อมหมากฝรั่งนิโคตินไว้ใต้ลิ้นเป็นเวลา 30 นาที จนหมากฝรั่งหมดรสซ่า</t>
        </is>
      </c>
      <c r="C1310" s="18" t="inlineStr"/>
      <c r="D1310" s="18" t="inlineStr">
        <is>
          <t>Tiotropium Respimat 2.5 mcg 2 puffs OD</t>
        </is>
      </c>
      <c r="E1310" s="18" t="inlineStr">
        <is>
          <t>Ipratropium/Fenoterol MDI PRN</t>
        </is>
      </c>
      <c r="F1310" s="18" t="inlineStr">
        <is>
          <t>Montelukast 10 mg HS</t>
        </is>
      </c>
      <c r="G1310" s="18" t="inlineStr">
        <is>
          <t>Theophylline 200 mg BID</t>
        </is>
      </c>
      <c r="H1310" s="18" t="inlineStr">
        <is>
          <t>Prednisolone 40 mg OD x 5 days</t>
        </is>
      </c>
      <c r="I1310" s="15" t="inlineStr">
        <is>
          <t>1</t>
        </is>
      </c>
      <c r="J1310" s="18"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310" s="18" t="inlineStr"/>
      <c r="L1310" s="18" t="inlineStr">
        <is>
          <t>Pulmonary Diseases</t>
        </is>
      </c>
      <c r="M1310" s="18" t="inlineStr">
        <is>
          <t>Clinic</t>
        </is>
      </c>
      <c r="N1310" s="18" t="inlineStr">
        <is>
          <t>ข้อ 2 (PLE_CC1_Practice_Exam.md)</t>
        </is>
      </c>
      <c r="O1310" s="18" t="inlineStr">
        <is>
          <t>Mock</t>
        </is>
      </c>
      <c r="P1310" s="18" t="inlineStr">
        <is>
          <t>Mock สภาเภสัชฯ Practice</t>
        </is>
      </c>
    </row>
    <row r="1311">
      <c r="A1311" s="15" t="inlineStr">
        <is>
          <t>1332</t>
        </is>
      </c>
      <c r="B1311" s="18" t="inlineStr">
        <is>
          <t>นาย ค เคี้ยวหมากฝรั่งนิโคตินพร้อมกลืนน้ำลาย เป็นเวลา 30 นาที 182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11" s="18" t="inlineStr"/>
      <c r="D1311" s="18" t="inlineStr">
        <is>
          <t>Theophylline 200 mg BID</t>
        </is>
      </c>
      <c r="E1311" s="18" t="inlineStr">
        <is>
          <t>Prednisolone 40 mg OD x 5 days</t>
        </is>
      </c>
      <c r="F1311" s="18" t="inlineStr">
        <is>
          <t>N-acetylcysteine 600 mg OD</t>
        </is>
      </c>
      <c r="G1311" s="18" t="inlineStr">
        <is>
          <t>Beclomethasone MDI 100 mcg BID</t>
        </is>
      </c>
      <c r="H1311" s="18" t="inlineStr">
        <is>
          <t>Salbutamol MDI 2 puffs PRN</t>
        </is>
      </c>
      <c r="I1311" s="15" t="inlineStr">
        <is>
          <t>1</t>
        </is>
      </c>
      <c r="J1311" s="18"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11" s="18" t="inlineStr"/>
      <c r="L1311" s="18" t="inlineStr">
        <is>
          <t>Pulmonary Diseases</t>
        </is>
      </c>
      <c r="M1311" s="18" t="inlineStr">
        <is>
          <t>Clinic</t>
        </is>
      </c>
      <c r="N1311" s="18" t="inlineStr">
        <is>
          <t>ข้อ 3 (PLE_CC1_Practice_Exam.md)</t>
        </is>
      </c>
      <c r="O1311" s="18" t="inlineStr">
        <is>
          <t>Mock</t>
        </is>
      </c>
      <c r="P1311" s="18" t="inlineStr">
        <is>
          <t>Mock สภาเภสัชฯ Practice</t>
        </is>
      </c>
    </row>
    <row r="1312">
      <c r="A1312" s="15" t="inlineStr">
        <is>
          <t>1333</t>
        </is>
      </c>
      <c r="B1312" s="18" t="inlineStr">
        <is>
          <t>นาย ง ดื่มกาเเฟ ก่อนเคี้ยวหมากฝรั่งนิโคตินเพื่อช่วยลดความอยากบุหรี่</t>
        </is>
      </c>
      <c r="C1312" s="18" t="inlineStr"/>
      <c r="D1312" s="18" t="inlineStr">
        <is>
          <t>Beclomethasone MDI 100 mcg BID</t>
        </is>
      </c>
      <c r="E1312" s="18" t="inlineStr">
        <is>
          <t>Salbutamol MDI 2 puffs PRN</t>
        </is>
      </c>
      <c r="F1312" s="18" t="inlineStr">
        <is>
          <t>Budesonide/Formoterol 160/4.5 mcg DPI BID</t>
        </is>
      </c>
      <c r="G1312" s="18" t="inlineStr">
        <is>
          <t>Fluticasone/Salmeterol 250/50 mcg DPI BID</t>
        </is>
      </c>
      <c r="H1312" s="18" t="inlineStr">
        <is>
          <t>Tiotropium Respimat 2.5 mcg 2 puffs OD</t>
        </is>
      </c>
      <c r="I1312" s="15" t="inlineStr">
        <is>
          <t>1</t>
        </is>
      </c>
      <c r="J1312" s="18" t="inlineStr">
        <is>
          <t>✅ คำตอบที่ถูกต้อง: ข้อ ก. Beclomethasone MDI 100 mcg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Beclomethasone MDI 100 mcg BID การเลือก Beclomethasone MDI 100 mcg BID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2" s="18" t="inlineStr"/>
      <c r="L1312" s="18" t="inlineStr">
        <is>
          <t>Pulmonary Diseases</t>
        </is>
      </c>
      <c r="M1312" s="18" t="inlineStr">
        <is>
          <t>Clinic</t>
        </is>
      </c>
      <c r="N1312" s="18" t="inlineStr">
        <is>
          <t>ข้อ 4 (PLE_CC1_Practice_Exam.md)</t>
        </is>
      </c>
      <c r="O1312" s="18" t="inlineStr">
        <is>
          <t>Mock</t>
        </is>
      </c>
      <c r="P1312" s="18" t="inlineStr">
        <is>
          <t>Mock สภาเภสัชฯ Practice</t>
        </is>
      </c>
    </row>
    <row r="1313">
      <c r="A1313" s="15" t="inlineStr">
        <is>
          <t>1334</t>
        </is>
      </c>
      <c r="B1313" s="18" t="inlineStr">
        <is>
          <t>นาย จ งด รับประทานเครื่องดื่มที่เป็นกรด ยกเว้นน้ำเปล่าในระหว่างเคี้ยวหมากฝรั่งนิโคติน</t>
        </is>
      </c>
      <c r="C1313" s="18" t="inlineStr"/>
      <c r="D1313" s="18" t="inlineStr">
        <is>
          <t>Fluticasone/Salmeterol 250/50 mcg DPI BID</t>
        </is>
      </c>
      <c r="E1313" s="18" t="inlineStr">
        <is>
          <t>Tiotropium Respimat 2.5 mcg 2 puffs OD</t>
        </is>
      </c>
      <c r="F1313" s="18" t="inlineStr">
        <is>
          <t>Ipratropium/Fenoterol MDI PRN</t>
        </is>
      </c>
      <c r="G1313" s="18" t="inlineStr">
        <is>
          <t>Montelukast 10 mg HS</t>
        </is>
      </c>
      <c r="H1313" s="18" t="inlineStr">
        <is>
          <t>Theophylline 200 mg BID</t>
        </is>
      </c>
      <c r="I1313" s="15" t="inlineStr">
        <is>
          <t>1</t>
        </is>
      </c>
      <c r="J1313" s="18" t="inlineStr">
        <is>
          <t>✅ คำตอบที่ถูกต้อง: ข้อ ก.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3" s="18" t="inlineStr"/>
      <c r="L1313" s="18" t="inlineStr">
        <is>
          <t>Pulmonary Diseases</t>
        </is>
      </c>
      <c r="M1313" s="18" t="inlineStr">
        <is>
          <t>Clinic</t>
        </is>
      </c>
      <c r="N1313" s="18" t="inlineStr">
        <is>
          <t>ข้อ 5 (PLE_CC1_Practice_Exam.md)</t>
        </is>
      </c>
      <c r="O1313" s="18" t="inlineStr">
        <is>
          <t>Mock</t>
        </is>
      </c>
      <c r="P1313" s="18" t="inlineStr">
        <is>
          <t>Mock สภาเภสัชฯ Practice</t>
        </is>
      </c>
    </row>
    <row r="1314">
      <c r="A1314" s="15" t="inlineStr">
        <is>
          <t>1335</t>
        </is>
      </c>
      <c r="B1314" s="18" t="inlineStr">
        <is>
          <t>Nortriptyline</t>
        </is>
      </c>
      <c r="C1314" s="18" t="inlineStr"/>
      <c r="D1314" s="18" t="inlineStr">
        <is>
          <t>Dimercaprol (BAL) 3 mg/kg IM</t>
        </is>
      </c>
      <c r="E1314" s="18" t="inlineStr">
        <is>
          <t>Ethanol 10% IV infusion for Methanol poisoning</t>
        </is>
      </c>
      <c r="F1314" s="18" t="inlineStr">
        <is>
          <t>Fomepizole 15 mg/kg IV loading</t>
        </is>
      </c>
      <c r="G1314" s="18" t="inlineStr">
        <is>
          <t>N-acetylcysteine (NAC) IV infusion protocol</t>
        </is>
      </c>
      <c r="H1314" s="18" t="inlineStr">
        <is>
          <t>Atropine sulfate 2 mg IV Q5-10 min</t>
        </is>
      </c>
      <c r="I1314" s="15" t="inlineStr">
        <is>
          <t>1</t>
        </is>
      </c>
      <c r="J13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4" s="18" t="inlineStr"/>
      <c r="L1314" s="18" t="inlineStr">
        <is>
          <t>General Therapeutics</t>
        </is>
      </c>
      <c r="M1314" s="18" t="inlineStr">
        <is>
          <t>Clinic</t>
        </is>
      </c>
      <c r="N1314" s="18" t="inlineStr">
        <is>
          <t>ข้อ 5 (PLE_CC1_Practice_Exam.md)</t>
        </is>
      </c>
      <c r="O1314" s="18" t="inlineStr">
        <is>
          <t>Mock</t>
        </is>
      </c>
      <c r="P1314" s="18" t="inlineStr">
        <is>
          <t>Mock สภาเภสัชฯ Practice</t>
        </is>
      </c>
    </row>
    <row r="1315">
      <c r="A1315" s="15" t="inlineStr">
        <is>
          <t>1336</t>
        </is>
      </c>
      <c r="B1315" s="18" t="inlineStr">
        <is>
          <t>กินผลไม้รสเปรี้ยว</t>
        </is>
      </c>
      <c r="C1315" s="18" t="inlineStr"/>
      <c r="D1315" s="18" t="inlineStr">
        <is>
          <t>N-acetylcysteine (NAC) IV infusion protocol</t>
        </is>
      </c>
      <c r="E1315" s="18" t="inlineStr">
        <is>
          <t>Atropine sulfate 2 mg IV Q5-10 min</t>
        </is>
      </c>
      <c r="F1315" s="18" t="inlineStr">
        <is>
          <t>Pralidoxime (2-PAM) 1-2 g IV over 30 min</t>
        </is>
      </c>
      <c r="G1315" s="18" t="inlineStr">
        <is>
          <t>Naloxone 0.4 mg IV stat</t>
        </is>
      </c>
      <c r="H1315" s="18" t="inlineStr">
        <is>
          <t>Flumazenil 0.2 mg IV stat</t>
        </is>
      </c>
      <c r="I1315" s="15" t="inlineStr">
        <is>
          <t>1</t>
        </is>
      </c>
      <c r="J13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5" s="18" t="inlineStr"/>
      <c r="L1315" s="18" t="inlineStr">
        <is>
          <t>General Therapeutics</t>
        </is>
      </c>
      <c r="M1315" s="18" t="inlineStr">
        <is>
          <t>Clinic</t>
        </is>
      </c>
      <c r="N1315" s="18" t="inlineStr">
        <is>
          <t>ข้อ 4 (PLE_CC1_Practice_Exam.md)</t>
        </is>
      </c>
      <c r="O1315" s="18" t="inlineStr">
        <is>
          <t>Mock</t>
        </is>
      </c>
      <c r="P1315" s="18" t="inlineStr">
        <is>
          <t>Mock สภาเภสัชฯ Practice</t>
        </is>
      </c>
    </row>
    <row r="1316">
      <c r="A1316" s="15" t="inlineStr">
        <is>
          <t>1337</t>
        </is>
      </c>
      <c r="B1316" s="18" t="inlineStr">
        <is>
          <t>หักดิบ</t>
        </is>
      </c>
      <c r="C1316" s="18" t="inlineStr"/>
      <c r="D1316" s="18" t="inlineStr">
        <is>
          <t>Naloxone 0.4 mg IV stat</t>
        </is>
      </c>
      <c r="E1316" s="18" t="inlineStr">
        <is>
          <t>Flumazenil 0.2 mg IV stat</t>
        </is>
      </c>
      <c r="F1316" s="18" t="inlineStr">
        <is>
          <t>Vitamin K1 (Phytomenadione) 10 mg IV slow</t>
        </is>
      </c>
      <c r="G1316" s="18" t="inlineStr">
        <is>
          <t>Sodium thiosulfate 25% 50 mL IV</t>
        </is>
      </c>
      <c r="H1316" s="18" t="inlineStr">
        <is>
          <t>Calcium disodium EDTA 1 g IV</t>
        </is>
      </c>
      <c r="I1316" s="15" t="inlineStr">
        <is>
          <t>1</t>
        </is>
      </c>
      <c r="J13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16" s="18" t="inlineStr"/>
      <c r="L1316" s="18" t="inlineStr">
        <is>
          <t>General Therapeutics</t>
        </is>
      </c>
      <c r="M1316" s="18" t="inlineStr">
        <is>
          <t>Clinic</t>
        </is>
      </c>
      <c r="N1316" s="18" t="inlineStr">
        <is>
          <t>ข้อ 5 (PLE_CC1_Practice_Exam.md)</t>
        </is>
      </c>
      <c r="O1316" s="18" t="inlineStr">
        <is>
          <t>Mock</t>
        </is>
      </c>
      <c r="P1316" s="18" t="inlineStr">
        <is>
          <t>Mock สภาเภสัชฯ Practice</t>
        </is>
      </c>
    </row>
    <row r="1317">
      <c r="A1317" s="15" t="inlineStr">
        <is>
          <t>1338</t>
        </is>
      </c>
      <c r="B1317" s="18" t="inlineStr">
        <is>
          <t>มีประวัติโรคลมชัก</t>
        </is>
      </c>
      <c r="C1317" s="18" t="inlineStr"/>
      <c r="D1317" s="18" t="inlineStr">
        <is>
          <t>Topiramate 25 mg BID</t>
        </is>
      </c>
      <c r="E1317" s="18" t="inlineStr">
        <is>
          <t>Donepezil 5 mg HS</t>
        </is>
      </c>
      <c r="F1317" s="18" t="inlineStr">
        <is>
          <t>Alteplase (rtPA) 0.9 mg/kg IV</t>
        </is>
      </c>
      <c r="G1317" s="18" t="inlineStr">
        <is>
          <t>Phenytoin 100 mg TID</t>
        </is>
      </c>
      <c r="H1317" s="18" t="inlineStr">
        <is>
          <t>Sodium valproate 200 mg TID</t>
        </is>
      </c>
      <c r="I1317" s="15" t="inlineStr">
        <is>
          <t>1</t>
        </is>
      </c>
      <c r="J1317" s="18" t="inlineStr">
        <is>
          <t>✅ คำตอบที่ถูกต้อง: ข้อ ก. Topiramate 25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ค.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7" s="18" t="inlineStr"/>
      <c r="L1317" s="18" t="inlineStr">
        <is>
          <t>Neurologic Disorders</t>
        </is>
      </c>
      <c r="M1317" s="18" t="inlineStr">
        <is>
          <t>Clinic</t>
        </is>
      </c>
      <c r="N1317" s="18" t="inlineStr">
        <is>
          <t>ข้อ 2 (PLE_CC1_Practice_Exam.md)</t>
        </is>
      </c>
      <c r="O1317" s="18" t="inlineStr">
        <is>
          <t>Mock</t>
        </is>
      </c>
      <c r="P1317" s="18" t="inlineStr">
        <is>
          <t>Mock สภาเภสัชฯ Practice</t>
        </is>
      </c>
    </row>
    <row r="1318">
      <c r="A1318" s="15" t="inlineStr">
        <is>
          <t>1339</t>
        </is>
      </c>
      <c r="B1318" s="18" t="inlineStr">
        <is>
          <t>มีการทำงานของตับบกพร่อง</t>
        </is>
      </c>
      <c r="C1318" s="18" t="inlineStr"/>
      <c r="D1318" s="18" t="inlineStr">
        <is>
          <t>Dimercaprol (BAL) 3 mg/kg IM</t>
        </is>
      </c>
      <c r="E1318" s="18" t="inlineStr">
        <is>
          <t>Ethanol 10% IV infusion for Methanol poisoning</t>
        </is>
      </c>
      <c r="F1318" s="18" t="inlineStr">
        <is>
          <t>Fomepizole 15 mg/kg IV loading</t>
        </is>
      </c>
      <c r="G1318" s="18" t="inlineStr">
        <is>
          <t>N-acetylcysteine (NAC) IV infusion protocol</t>
        </is>
      </c>
      <c r="H1318" s="18" t="inlineStr">
        <is>
          <t>Atropine sulfate 2 mg IV Q5-10 min</t>
        </is>
      </c>
      <c r="I1318" s="15" t="inlineStr">
        <is>
          <t>1</t>
        </is>
      </c>
      <c r="J13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8" s="18" t="inlineStr"/>
      <c r="L1318" s="18" t="inlineStr">
        <is>
          <t>General Therapeutics</t>
        </is>
      </c>
      <c r="M1318" s="18" t="inlineStr">
        <is>
          <t>Clinic</t>
        </is>
      </c>
      <c r="N1318" s="18" t="inlineStr">
        <is>
          <t>ข้อ 4 (PLE_CC1_Practice_Exam.md)</t>
        </is>
      </c>
      <c r="O1318" s="18" t="inlineStr">
        <is>
          <t>Mock</t>
        </is>
      </c>
      <c r="P1318" s="18" t="inlineStr">
        <is>
          <t>Mock สภาเภสัชฯ Practice</t>
        </is>
      </c>
    </row>
    <row r="1319">
      <c r="A1319" s="15" t="inlineStr">
        <is>
          <t>1340</t>
        </is>
      </c>
      <c r="B1319" s="18" t="inlineStr">
        <is>
          <t>ยาใดเหมาะสมที่สุดในผู้ป่วยรายนี้</t>
        </is>
      </c>
      <c r="C1319" s="18" t="inlineStr"/>
      <c r="D1319" s="18" t="inlineStr">
        <is>
          <t>. Clonazepam</t>
        </is>
      </c>
      <c r="E1319" s="18" t="inlineStr">
        <is>
          <t>. Diazepam</t>
        </is>
      </c>
      <c r="F1319" s="18" t="inlineStr">
        <is>
          <t>. Clorazepate</t>
        </is>
      </c>
      <c r="G1319" s="18" t="inlineStr">
        <is>
          <t>. Triazolam</t>
        </is>
      </c>
      <c r="H1319" s="18" t="inlineStr">
        <is>
          <t>. Chlordiazepoxide</t>
        </is>
      </c>
      <c r="I1319" s="15" t="inlineStr">
        <is>
          <t>1</t>
        </is>
      </c>
      <c r="J1319" s="18" t="inlineStr">
        <is>
          <t>✅ คำตอบที่ถูกต้อง: ข้อ ก. . Clonazepam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Clonazepam การเลือก . Clonazepam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Diazepam): เป็น long-acting Benzodiazepine มี active metabolites (nordiazepam) สะสมในผู้สูงอายุ ทำให้ง่วงซึม หกล้ม เสี่ยง fracture
• ข้อ ค. (. Clorazepate): ข้อนี้ไม่ใช่คำตอบที่ถูกต้องสำหรับภาวะ General Therapeutics เนื่องจากกลไกการออกฤทธิ์, efficacy หรือข้อบ่งใช้ไม่ตรงกับโจทย์ที่กำหนด
• ข้อ ง. (. Triazolam): ข้อนี้ไม่ใช่คำตอบที่ถูกต้องสำหรับภาวะ General Therapeutics เนื่องจากกลไกการออกฤทธิ์, efficacy หรือข้อบ่งใช้ไม่ตรงกับโจทย์ที่กำหนด
• ข้อ จ. (. Chlordiazepoxide):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9" s="18" t="inlineStr"/>
      <c r="L1319" s="18" t="inlineStr">
        <is>
          <t>General Therapeutics</t>
        </is>
      </c>
      <c r="M1319" s="18" t="inlineStr">
        <is>
          <t>Clinic</t>
        </is>
      </c>
      <c r="N1319" s="18" t="inlineStr">
        <is>
          <t>ข้อ 25 (PLE_CC1_Practice_Exam.md)</t>
        </is>
      </c>
      <c r="O1319" s="18" t="inlineStr">
        <is>
          <t>Mock</t>
        </is>
      </c>
      <c r="P1319" s="18" t="inlineStr">
        <is>
          <t>Mock สภาเภสัชฯ Practice</t>
        </is>
      </c>
    </row>
    <row r="1320">
      <c r="A1320" s="15" t="inlineStr">
        <is>
          <t>1341</t>
        </is>
      </c>
      <c r="B1320" s="18" t="inlineStr">
        <is>
          <t>กระตุ้น Muscarinic receptor</t>
        </is>
      </c>
      <c r="C1320" s="18" t="inlineStr"/>
      <c r="D1320" s="18" t="inlineStr">
        <is>
          <t>Naloxone 0.4 mg IV stat</t>
        </is>
      </c>
      <c r="E1320" s="18" t="inlineStr">
        <is>
          <t>Flumazenil 0.2 mg IV stat</t>
        </is>
      </c>
      <c r="F1320" s="18" t="inlineStr">
        <is>
          <t>Vitamin K1 (Phytomenadione) 10 mg IV slow</t>
        </is>
      </c>
      <c r="G1320" s="18" t="inlineStr">
        <is>
          <t>Sodium thiosulfate 25% 50 mL IV</t>
        </is>
      </c>
      <c r="H1320" s="18" t="inlineStr">
        <is>
          <t>Calcium disodium EDTA 1 g IV</t>
        </is>
      </c>
      <c r="I1320" s="15" t="inlineStr">
        <is>
          <t>1</t>
        </is>
      </c>
      <c r="J13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0" s="18" t="inlineStr"/>
      <c r="L1320" s="18" t="inlineStr">
        <is>
          <t>General Therapeutics</t>
        </is>
      </c>
      <c r="M1320" s="18" t="inlineStr">
        <is>
          <t>Clinic</t>
        </is>
      </c>
      <c r="N1320" s="18" t="inlineStr">
        <is>
          <t>ข้อ 5 (PLE_CC1_Practice_Exam.md)</t>
        </is>
      </c>
      <c r="O1320" s="18" t="inlineStr">
        <is>
          <t>Mock</t>
        </is>
      </c>
      <c r="P1320" s="18" t="inlineStr">
        <is>
          <t>Mock สภาเภสัชฯ Practice</t>
        </is>
      </c>
    </row>
    <row r="1321">
      <c r="A1321" s="15" t="inlineStr">
        <is>
          <t>1342</t>
        </is>
      </c>
      <c r="B1321" s="18" t="inlineStr">
        <is>
          <t>Chlordiazepoxide</t>
        </is>
      </c>
      <c r="C1321" s="18" t="inlineStr"/>
      <c r="D1321" s="18" t="inlineStr">
        <is>
          <t>Sodium thiosulfate 25% 50 mL IV</t>
        </is>
      </c>
      <c r="E1321" s="18" t="inlineStr">
        <is>
          <t>Calcium disodium EDTA 1 g IV</t>
        </is>
      </c>
      <c r="F1321" s="18" t="inlineStr">
        <is>
          <t>Desferrioxamine 1 g IM/IV</t>
        </is>
      </c>
      <c r="G1321" s="18" t="inlineStr">
        <is>
          <t>Dimercaprol (BAL) 3 mg/kg IM</t>
        </is>
      </c>
      <c r="H1321" s="18" t="inlineStr">
        <is>
          <t>Ethanol 10% IV infusion for Methanol poisoning</t>
        </is>
      </c>
      <c r="I1321" s="15" t="inlineStr">
        <is>
          <t>1</t>
        </is>
      </c>
      <c r="J13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1" s="18" t="inlineStr"/>
      <c r="L1321" s="18" t="inlineStr">
        <is>
          <t>General Therapeutics</t>
        </is>
      </c>
      <c r="M1321" s="18" t="inlineStr">
        <is>
          <t>Clinic</t>
        </is>
      </c>
      <c r="N1321" s="18" t="inlineStr">
        <is>
          <t>ข้อ 5 (PLE_CC1_Practice_Exam.md)</t>
        </is>
      </c>
      <c r="O1321" s="18" t="inlineStr">
        <is>
          <t>Mock</t>
        </is>
      </c>
      <c r="P1321" s="18" t="inlineStr">
        <is>
          <t>Mock สภาเภสัชฯ Practice</t>
        </is>
      </c>
    </row>
    <row r="1322">
      <c r="A1322" s="15" t="inlineStr">
        <is>
          <t>1343</t>
        </is>
      </c>
      <c r="B1322" s="18" t="inlineStr">
        <is>
          <t>กลไกการออกฤทธิ์กระตุ้น Na – channel เพิ่ม action potential</t>
        </is>
      </c>
      <c r="C1322" s="18" t="inlineStr"/>
      <c r="D1322" s="18" t="inlineStr">
        <is>
          <t>Dimercaprol (BAL) 3 mg/kg IM</t>
        </is>
      </c>
      <c r="E1322" s="18" t="inlineStr">
        <is>
          <t>Ethanol 10% IV infusion for Methanol poisoning</t>
        </is>
      </c>
      <c r="F1322" s="18" t="inlineStr">
        <is>
          <t>Fomepizole 15 mg/kg IV loading</t>
        </is>
      </c>
      <c r="G1322" s="18" t="inlineStr">
        <is>
          <t>N-acetylcysteine (NAC) IV infusion protocol</t>
        </is>
      </c>
      <c r="H1322" s="18" t="inlineStr">
        <is>
          <t>Atropine sulfate 2 mg IV Q5-10 min</t>
        </is>
      </c>
      <c r="I1322" s="15" t="inlineStr">
        <is>
          <t>1</t>
        </is>
      </c>
      <c r="J13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2" s="18" t="inlineStr"/>
      <c r="L1322" s="18" t="inlineStr">
        <is>
          <t>General Therapeutics</t>
        </is>
      </c>
      <c r="M1322" s="18" t="inlineStr">
        <is>
          <t>Clinic</t>
        </is>
      </c>
      <c r="N1322" s="18" t="inlineStr">
        <is>
          <t>ข้อ 1 (PLE_CC1_Practice_Exam.md)</t>
        </is>
      </c>
      <c r="O1322" s="18" t="inlineStr">
        <is>
          <t>Mock</t>
        </is>
      </c>
      <c r="P1322" s="18" t="inlineStr">
        <is>
          <t>Mock สภาเภสัชฯ Practice</t>
        </is>
      </c>
    </row>
    <row r="1323">
      <c r="A1323" s="15" t="inlineStr">
        <is>
          <t>1344</t>
        </is>
      </c>
      <c r="B1323" s="18" t="inlineStr">
        <is>
          <t>หมู่แทนที่ที่เพิ่ม lipophilic ให้แก่โครงสร้างยา คือ OH โดยเกิดปฏิกิริยา Hydroxylation</t>
        </is>
      </c>
      <c r="C1323" s="18" t="inlineStr"/>
      <c r="D1323" s="18" t="inlineStr">
        <is>
          <t>N-acetylcysteine (NAC) IV infusion protocol</t>
        </is>
      </c>
      <c r="E1323" s="18" t="inlineStr">
        <is>
          <t>Atropine sulfate 2 mg IV Q5-10 min</t>
        </is>
      </c>
      <c r="F1323" s="18" t="inlineStr">
        <is>
          <t>Pralidoxime (2-PAM) 1-2 g IV over 30 min</t>
        </is>
      </c>
      <c r="G1323" s="18" t="inlineStr">
        <is>
          <t>Naloxone 0.4 mg IV stat</t>
        </is>
      </c>
      <c r="H1323" s="18" t="inlineStr">
        <is>
          <t>Flumazenil 0.2 mg IV stat</t>
        </is>
      </c>
      <c r="I1323" s="15" t="inlineStr">
        <is>
          <t>1</t>
        </is>
      </c>
      <c r="J13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3" s="18" t="inlineStr"/>
      <c r="L1323" s="18" t="inlineStr">
        <is>
          <t>General Therapeutics</t>
        </is>
      </c>
      <c r="M1323" s="18" t="inlineStr">
        <is>
          <t>Clinic</t>
        </is>
      </c>
      <c r="N1323" s="18" t="inlineStr">
        <is>
          <t>ข้อ 3 (PLE_CC1_Practice_Exam.md)</t>
        </is>
      </c>
      <c r="O1323" s="18" t="inlineStr">
        <is>
          <t>Mock</t>
        </is>
      </c>
      <c r="P1323" s="18" t="inlineStr">
        <is>
          <t>Mock สภาเภสัชฯ Practice</t>
        </is>
      </c>
    </row>
    <row r="1324">
      <c r="A1324" s="15" t="inlineStr">
        <is>
          <t>1345</t>
        </is>
      </c>
      <c r="B1324" s="18" t="inlineStr">
        <is>
          <t>ถ้าแทนที่หมู่ N ในโครงสร้างจะทำให้ยาออกฤทธิ์ได้ดีขึ้น</t>
        </is>
      </c>
      <c r="C1324" s="18" t="inlineStr"/>
      <c r="D1324" s="18" t="inlineStr">
        <is>
          <t>Naloxone 0.4 mg IV stat</t>
        </is>
      </c>
      <c r="E1324" s="18" t="inlineStr">
        <is>
          <t>Flumazenil 0.2 mg IV stat</t>
        </is>
      </c>
      <c r="F1324" s="18" t="inlineStr">
        <is>
          <t>Vitamin K1 (Phytomenadione) 10 mg IV slow</t>
        </is>
      </c>
      <c r="G1324" s="18" t="inlineStr">
        <is>
          <t>Sodium thiosulfate 25% 50 mL IV</t>
        </is>
      </c>
      <c r="H1324" s="18" t="inlineStr">
        <is>
          <t>Calcium disodium EDTA 1 g IV</t>
        </is>
      </c>
      <c r="I1324" s="15" t="inlineStr">
        <is>
          <t>1</t>
        </is>
      </c>
      <c r="J132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4" s="18" t="inlineStr"/>
      <c r="L1324" s="18" t="inlineStr">
        <is>
          <t>General Therapeutics</t>
        </is>
      </c>
      <c r="M1324" s="18" t="inlineStr">
        <is>
          <t>Clinic</t>
        </is>
      </c>
      <c r="N1324" s="18" t="inlineStr">
        <is>
          <t>ข้อ 4 (PLE_CC1_Practice_Exam.md)</t>
        </is>
      </c>
      <c r="O1324" s="18" t="inlineStr">
        <is>
          <t>Mock</t>
        </is>
      </c>
      <c r="P1324" s="18" t="inlineStr">
        <is>
          <t>Mock สภาเภสัชฯ Practice</t>
        </is>
      </c>
    </row>
    <row r="1325">
      <c r="A1325" s="15" t="inlineStr">
        <is>
          <t>1346</t>
        </is>
      </c>
      <c r="B1325" s="18" t="inlineStr">
        <is>
          <t>Clonazepam 185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25" s="18" t="inlineStr"/>
      <c r="D1325" s="18" t="inlineStr">
        <is>
          <t>Sodium thiosulfate 25% 50 mL IV</t>
        </is>
      </c>
      <c r="E1325" s="18" t="inlineStr">
        <is>
          <t>Calcium disodium EDTA 1 g IV</t>
        </is>
      </c>
      <c r="F1325" s="18" t="inlineStr">
        <is>
          <t>Desferrioxamine 1 g IM/IV</t>
        </is>
      </c>
      <c r="G1325" s="18" t="inlineStr">
        <is>
          <t>Dimercaprol (BAL) 3 mg/kg IM</t>
        </is>
      </c>
      <c r="H1325" s="18" t="inlineStr">
        <is>
          <t>Ethanol 10% IV infusion for Methanol poisoning</t>
        </is>
      </c>
      <c r="I1325" s="15" t="inlineStr">
        <is>
          <t>1</t>
        </is>
      </c>
      <c r="J132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25" s="18" t="inlineStr"/>
      <c r="L1325" s="18" t="inlineStr">
        <is>
          <t>General Therapeutics</t>
        </is>
      </c>
      <c r="M1325" s="18" t="inlineStr">
        <is>
          <t>Clinic</t>
        </is>
      </c>
      <c r="N1325" s="18" t="inlineStr">
        <is>
          <t>ข้อ 2 (PLE_CC1_Practice_Exam.md)</t>
        </is>
      </c>
      <c r="O1325" s="18" t="inlineStr">
        <is>
          <t>Mock</t>
        </is>
      </c>
      <c r="P1325" s="18" t="inlineStr">
        <is>
          <t>Mock สภาเภสัชฯ Practice</t>
        </is>
      </c>
    </row>
    <row r="1326">
      <c r="A1326" s="15" t="inlineStr">
        <is>
          <t>1347</t>
        </is>
      </c>
      <c r="B1326" s="18" t="inlineStr">
        <is>
          <t>ผู้ป่วยหญิงอายุ 25 ปี ได้รับการวินิจฉัยว่าเป็นกลัวการเข้าสังคม (SAD) ซึ่งอีกไม่กี่วันข้างหน้าจะต้อง ร่วมงานเลี้ยงรวมรุ่น ท่านคิดว่ายาในข้อใด เหมาะสม กับผู้ป่วยรายนี้</t>
        </is>
      </c>
      <c r="C1326" s="18" t="inlineStr"/>
      <c r="D1326" s="18" t="inlineStr">
        <is>
          <t>Dimercaprol (BAL) 3 mg/kg IM</t>
        </is>
      </c>
      <c r="E1326" s="18" t="inlineStr">
        <is>
          <t>Ethanol 10% IV infusion for Methanol poisoning</t>
        </is>
      </c>
      <c r="F1326" s="18" t="inlineStr">
        <is>
          <t>Fomepizole 15 mg/kg IV loading</t>
        </is>
      </c>
      <c r="G1326" s="18" t="inlineStr">
        <is>
          <t>N-acetylcysteine (NAC) IV infusion protocol</t>
        </is>
      </c>
      <c r="H1326" s="18" t="inlineStr">
        <is>
          <t>Atropine sulfate 2 mg IV Q5-10 min</t>
        </is>
      </c>
      <c r="I1326" s="15" t="inlineStr">
        <is>
          <t>1</t>
        </is>
      </c>
      <c r="J13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6" s="18" t="inlineStr"/>
      <c r="L1326" s="18" t="inlineStr">
        <is>
          <t>General Therapeutics</t>
        </is>
      </c>
      <c r="M1326" s="18" t="inlineStr">
        <is>
          <t>Clinic</t>
        </is>
      </c>
      <c r="N1326" s="18" t="inlineStr">
        <is>
          <t>ข้อ 31 (PLE_CC1_Practice_Exam.md)</t>
        </is>
      </c>
      <c r="O1326" s="18" t="inlineStr">
        <is>
          <t>Mock</t>
        </is>
      </c>
      <c r="P1326" s="18" t="inlineStr">
        <is>
          <t>Mock สภาเภสัชฯ Practice</t>
        </is>
      </c>
    </row>
    <row r="1327">
      <c r="A1327" s="15" t="inlineStr">
        <is>
          <t>1348</t>
        </is>
      </c>
      <c r="B1327" s="18" t="inlineStr">
        <is>
          <t>Hangover effect</t>
        </is>
      </c>
      <c r="C1327" s="18" t="inlineStr"/>
      <c r="D1327" s="18" t="inlineStr">
        <is>
          <t>N-acetylcysteine (NAC) IV infusion protocol</t>
        </is>
      </c>
      <c r="E1327" s="18" t="inlineStr">
        <is>
          <t>Atropine sulfate 2 mg IV Q5-10 min</t>
        </is>
      </c>
      <c r="F1327" s="18" t="inlineStr">
        <is>
          <t>Pralidoxime (2-PAM) 1-2 g IV over 30 min</t>
        </is>
      </c>
      <c r="G1327" s="18" t="inlineStr">
        <is>
          <t>Naloxone 0.4 mg IV stat</t>
        </is>
      </c>
      <c r="H1327" s="18" t="inlineStr">
        <is>
          <t>Flumazenil 0.2 mg IV stat</t>
        </is>
      </c>
      <c r="I1327" s="15" t="inlineStr">
        <is>
          <t>1</t>
        </is>
      </c>
      <c r="J13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7" s="18" t="inlineStr"/>
      <c r="L1327" s="18" t="inlineStr">
        <is>
          <t>General Therapeutics</t>
        </is>
      </c>
      <c r="M1327" s="18" t="inlineStr">
        <is>
          <t>Clinic</t>
        </is>
      </c>
      <c r="N1327" s="18" t="inlineStr">
        <is>
          <t>ข้อ 1 (PLE_CC1_Practice_Exam.md)</t>
        </is>
      </c>
      <c r="O1327" s="18" t="inlineStr">
        <is>
          <t>Mock</t>
        </is>
      </c>
      <c r="P1327" s="18" t="inlineStr">
        <is>
          <t>Mock สภาเภสัชฯ Practice</t>
        </is>
      </c>
    </row>
    <row r="1328">
      <c r="A1328" s="15" t="inlineStr">
        <is>
          <t>1349</t>
        </is>
      </c>
      <c r="B1328" s="18" t="inlineStr">
        <is>
          <t>ยา Antidepressant ชนิดใด ควรหลีกเลี่ยงในผู้ป่วยโรคลมชัก</t>
        </is>
      </c>
      <c r="C1328" s="18" t="inlineStr"/>
      <c r="D1328" s="18" t="inlineStr">
        <is>
          <t>Levetiracetam 500 mg BID</t>
        </is>
      </c>
      <c r="E1328" s="18" t="inlineStr">
        <is>
          <t>Gabapentin 300 mg TID</t>
        </is>
      </c>
      <c r="F1328" s="18" t="inlineStr">
        <is>
          <t>Pregabalin 75 mg BID</t>
        </is>
      </c>
      <c r="G1328" s="18" t="inlineStr">
        <is>
          <t>Levodopa/Benserazide 100/25 mg TID</t>
        </is>
      </c>
      <c r="H1328" s="18" t="inlineStr">
        <is>
          <t>Sumatriptan 50 mg stat</t>
        </is>
      </c>
      <c r="I1328" s="15" t="inlineStr">
        <is>
          <t>1</t>
        </is>
      </c>
      <c r="J1328" s="18"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8" s="18" t="inlineStr"/>
      <c r="L1328" s="18" t="inlineStr">
        <is>
          <t>Neurologic Disorders</t>
        </is>
      </c>
      <c r="M1328" s="18" t="inlineStr">
        <is>
          <t>Clinic</t>
        </is>
      </c>
      <c r="N1328" s="18" t="inlineStr">
        <is>
          <t>ข้อ 34 (PLE_CC1_Practice_Exam.md)</t>
        </is>
      </c>
      <c r="O1328" s="18" t="inlineStr">
        <is>
          <t>Mock</t>
        </is>
      </c>
      <c r="P1328" s="18" t="inlineStr">
        <is>
          <t>Mock สภาเภสัชฯ Practice</t>
        </is>
      </c>
    </row>
    <row r="1329">
      <c r="A1329" s="15" t="inlineStr">
        <is>
          <t>1350</t>
        </is>
      </c>
      <c r="B1329" s="18" t="inlineStr">
        <is>
          <t>ยาต้านเศร้าในกลุ่ม Tricyclic ข้อใดที่พบผลข้างเคียง sedation น้อยที่สุด</t>
        </is>
      </c>
      <c r="C1329" s="18" t="inlineStr"/>
      <c r="D1329" s="18" t="inlineStr">
        <is>
          <t>Sodium thiosulfate 25% 50 mL IV</t>
        </is>
      </c>
      <c r="E1329" s="18" t="inlineStr">
        <is>
          <t>Calcium disodium EDTA 1 g IV</t>
        </is>
      </c>
      <c r="F1329" s="18" t="inlineStr">
        <is>
          <t>Desferrioxamine 1 g IM/IV</t>
        </is>
      </c>
      <c r="G1329" s="18" t="inlineStr">
        <is>
          <t>Dimercaprol (BAL) 3 mg/kg IM</t>
        </is>
      </c>
      <c r="H1329" s="18" t="inlineStr">
        <is>
          <t>Ethanol 10% IV infusion for Methanol poisoning</t>
        </is>
      </c>
      <c r="I1329" s="15" t="inlineStr">
        <is>
          <t>1</t>
        </is>
      </c>
      <c r="J13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9" s="18" t="inlineStr"/>
      <c r="L1329" s="18" t="inlineStr">
        <is>
          <t>General Therapeutics</t>
        </is>
      </c>
      <c r="M1329" s="18" t="inlineStr">
        <is>
          <t>Clinic</t>
        </is>
      </c>
      <c r="N1329" s="18" t="inlineStr">
        <is>
          <t>ข้อ 35 (PLE_CC1_Practice_Exam.md)</t>
        </is>
      </c>
      <c r="O1329" s="18" t="inlineStr">
        <is>
          <t>Mock</t>
        </is>
      </c>
      <c r="P1329" s="18" t="inlineStr">
        <is>
          <t>Mock สภาเภสัชฯ Practice</t>
        </is>
      </c>
    </row>
    <row r="1330">
      <c r="A1330" s="15" t="inlineStr">
        <is>
          <t>1351</t>
        </is>
      </c>
      <c r="B1330" s="18" t="inlineStr">
        <is>
          <t>Nortriptyline 186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30" s="18" t="inlineStr"/>
      <c r="D1330" s="18" t="inlineStr">
        <is>
          <t>Dimercaprol (BAL) 3 mg/kg IM</t>
        </is>
      </c>
      <c r="E1330" s="18" t="inlineStr">
        <is>
          <t>Ethanol 10% IV infusion for Methanol poisoning</t>
        </is>
      </c>
      <c r="F1330" s="18" t="inlineStr">
        <is>
          <t>Fomepizole 15 mg/kg IV loading</t>
        </is>
      </c>
      <c r="G1330" s="18" t="inlineStr">
        <is>
          <t>N-acetylcysteine (NAC) IV infusion protocol</t>
        </is>
      </c>
      <c r="H1330" s="18" t="inlineStr">
        <is>
          <t>Atropine sulfate 2 mg IV Q5-10 min</t>
        </is>
      </c>
      <c r="I1330" s="15" t="inlineStr">
        <is>
          <t>1</t>
        </is>
      </c>
      <c r="J13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30" s="18" t="inlineStr"/>
      <c r="L1330" s="18" t="inlineStr">
        <is>
          <t>General Therapeutics</t>
        </is>
      </c>
      <c r="M1330" s="18" t="inlineStr">
        <is>
          <t>Clinic</t>
        </is>
      </c>
      <c r="N1330" s="18" t="inlineStr">
        <is>
          <t>ข้อ 2 (PLE_CC1_Practice_Exam.md)</t>
        </is>
      </c>
      <c r="O1330" s="18" t="inlineStr">
        <is>
          <t>Mock</t>
        </is>
      </c>
      <c r="P1330" s="18" t="inlineStr">
        <is>
          <t>Mock สภาเภสัชฯ Practice</t>
        </is>
      </c>
    </row>
    <row r="1331">
      <c r="A1331" s="15" t="inlineStr">
        <is>
          <t>1352</t>
        </is>
      </c>
      <c r="B1331" s="18" t="inlineStr">
        <is>
          <t>ข้อใดไม่ใช่ผลข้างเคียงจากยากลุ่ม tricyclic antidepressants ที่พบได้บ่อย</t>
        </is>
      </c>
      <c r="C1331" s="18" t="inlineStr"/>
      <c r="D1331" s="18" t="inlineStr">
        <is>
          <t>N-acetylcysteine (NAC) IV infusion protocol</t>
        </is>
      </c>
      <c r="E1331" s="18" t="inlineStr">
        <is>
          <t>Atropine sulfate 2 mg IV Q5-10 min</t>
        </is>
      </c>
      <c r="F1331" s="18" t="inlineStr">
        <is>
          <t>Pralidoxime (2-PAM) 1-2 g IV over 30 min</t>
        </is>
      </c>
      <c r="G1331" s="18" t="inlineStr">
        <is>
          <t>Naloxone 0.4 mg IV stat</t>
        </is>
      </c>
      <c r="H1331" s="18" t="inlineStr">
        <is>
          <t>Flumazenil 0.2 mg IV stat</t>
        </is>
      </c>
      <c r="I1331" s="15" t="inlineStr">
        <is>
          <t>1</t>
        </is>
      </c>
      <c r="J13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1" s="18" t="inlineStr"/>
      <c r="L1331" s="18" t="inlineStr">
        <is>
          <t>General Therapeutics</t>
        </is>
      </c>
      <c r="M1331" s="18" t="inlineStr">
        <is>
          <t>Clinic</t>
        </is>
      </c>
      <c r="N1331" s="18" t="inlineStr">
        <is>
          <t>ข้อ 36 (PLE_CC1_Practice_Exam.md)</t>
        </is>
      </c>
      <c r="O1331" s="18" t="inlineStr">
        <is>
          <t>Mock</t>
        </is>
      </c>
      <c r="P1331" s="18" t="inlineStr">
        <is>
          <t>Mock สภาเภสัชฯ Practice</t>
        </is>
      </c>
    </row>
    <row r="1332">
      <c r="A1332" s="15" t="inlineStr">
        <is>
          <t>1353</t>
        </is>
      </c>
      <c r="B1332" s="18" t="inlineStr">
        <is>
          <t>urinary retention</t>
        </is>
      </c>
      <c r="C1332" s="18" t="inlineStr"/>
      <c r="D1332" s="18" t="inlineStr">
        <is>
          <t>Naloxone 0.4 mg IV stat</t>
        </is>
      </c>
      <c r="E1332" s="18" t="inlineStr">
        <is>
          <t>Flumazenil 0.2 mg IV stat</t>
        </is>
      </c>
      <c r="F1332" s="18" t="inlineStr">
        <is>
          <t>Vitamin K1 (Phytomenadione) 10 mg IV slow</t>
        </is>
      </c>
      <c r="G1332" s="18" t="inlineStr">
        <is>
          <t>Sodium thiosulfate 25% 50 mL IV</t>
        </is>
      </c>
      <c r="H1332" s="18" t="inlineStr">
        <is>
          <t>Calcium disodium EDTA 1 g IV</t>
        </is>
      </c>
      <c r="I1332" s="15" t="inlineStr">
        <is>
          <t>1</t>
        </is>
      </c>
      <c r="J13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32" s="18" t="inlineStr"/>
      <c r="L1332" s="18" t="inlineStr">
        <is>
          <t>General Therapeutics</t>
        </is>
      </c>
      <c r="M1332" s="18" t="inlineStr">
        <is>
          <t>Clinic</t>
        </is>
      </c>
      <c r="N1332" s="18" t="inlineStr">
        <is>
          <t>ข้อ 5 (PLE_CC1_Practice_Exam.md)</t>
        </is>
      </c>
      <c r="O1332" s="18" t="inlineStr">
        <is>
          <t>Mock</t>
        </is>
      </c>
      <c r="P1332" s="18" t="inlineStr">
        <is>
          <t>Mock สภาเภสัชฯ Practice</t>
        </is>
      </c>
    </row>
    <row r="1333">
      <c r="A1333" s="15" t="inlineStr">
        <is>
          <t>1354</t>
        </is>
      </c>
      <c r="B1333" s="18" t="inlineStr">
        <is>
          <t>ยาในกลุ่ม TCA มีการใช้น้อยลงในปัจจุบัน เพราะมีผลข้างเคียงมากและมียาใหม่ที่ปลอดภัยกว่า ผลข้างเคียงที่พบบ่อยจากการใช้ยากลุ่ม TCA ในขนาดปกติที่ใช้รักษาคือข้อใด</t>
        </is>
      </c>
      <c r="C1333" s="18" t="inlineStr"/>
      <c r="D1333" s="18" t="inlineStr">
        <is>
          <t>Sodium thiosulfate 25% 50 mL IV</t>
        </is>
      </c>
      <c r="E1333" s="18" t="inlineStr">
        <is>
          <t>Calcium disodium EDTA 1 g IV</t>
        </is>
      </c>
      <c r="F1333" s="18" t="inlineStr">
        <is>
          <t>Desferrioxamine 1 g IM/IV</t>
        </is>
      </c>
      <c r="G1333" s="18" t="inlineStr">
        <is>
          <t>Dimercaprol (BAL) 3 mg/kg IM</t>
        </is>
      </c>
      <c r="H1333" s="18" t="inlineStr">
        <is>
          <t>Ethanol 10% IV infusion for Methanol poisoning</t>
        </is>
      </c>
      <c r="I1333" s="15" t="inlineStr">
        <is>
          <t>1</t>
        </is>
      </c>
      <c r="J13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3" s="18" t="inlineStr"/>
      <c r="L1333" s="18" t="inlineStr">
        <is>
          <t>General Therapeutics</t>
        </is>
      </c>
      <c r="M1333" s="18" t="inlineStr">
        <is>
          <t>Clinic</t>
        </is>
      </c>
      <c r="N1333" s="18" t="inlineStr">
        <is>
          <t>ข้อ 37 (PLE_CC1_Practice_Exam.md)</t>
        </is>
      </c>
      <c r="O1333" s="18" t="inlineStr">
        <is>
          <t>Mock</t>
        </is>
      </c>
      <c r="P1333" s="18" t="inlineStr">
        <is>
          <t>Mock สภาเภสัชฯ Practice</t>
        </is>
      </c>
    </row>
    <row r="1334">
      <c r="A1334" s="15" t="inlineStr">
        <is>
          <t>1355</t>
        </is>
      </c>
      <c r="B1334" s="18" t="inlineStr">
        <is>
          <t>ผล anticholinergic</t>
        </is>
      </c>
      <c r="C1334" s="18" t="inlineStr"/>
      <c r="D1334" s="18" t="inlineStr">
        <is>
          <t>Dimercaprol (BAL) 3 mg/kg IM</t>
        </is>
      </c>
      <c r="E1334" s="18" t="inlineStr">
        <is>
          <t>Ethanol 10% IV infusion for Methanol poisoning</t>
        </is>
      </c>
      <c r="F1334" s="18" t="inlineStr">
        <is>
          <t>Fomepizole 15 mg/kg IV loading</t>
        </is>
      </c>
      <c r="G1334" s="18" t="inlineStr">
        <is>
          <t>N-acetylcysteine (NAC) IV infusion protocol</t>
        </is>
      </c>
      <c r="H1334" s="18" t="inlineStr">
        <is>
          <t>Atropine sulfate 2 mg IV Q5-10 min</t>
        </is>
      </c>
      <c r="I1334" s="15" t="inlineStr">
        <is>
          <t>1</t>
        </is>
      </c>
      <c r="J13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4" s="18" t="inlineStr"/>
      <c r="L1334" s="18" t="inlineStr">
        <is>
          <t>General Therapeutics</t>
        </is>
      </c>
      <c r="M1334" s="18" t="inlineStr">
        <is>
          <t>Clinic</t>
        </is>
      </c>
      <c r="N1334" s="18" t="inlineStr">
        <is>
          <t>ข้อ 1 (PLE_CC1_Practice_Exam.md)</t>
        </is>
      </c>
      <c r="O1334" s="18" t="inlineStr">
        <is>
          <t>Mock</t>
        </is>
      </c>
      <c r="P1334" s="18" t="inlineStr">
        <is>
          <t>Mock สภาเภสัชฯ Practice</t>
        </is>
      </c>
    </row>
    <row r="1335">
      <c r="A1335" s="15" t="inlineStr">
        <is>
          <t>1356</t>
        </is>
      </c>
      <c r="B1335" s="18" t="inlineStr">
        <is>
          <t>Duloxetine</t>
        </is>
      </c>
      <c r="C1335" s="18" t="inlineStr"/>
      <c r="D1335" s="18" t="inlineStr">
        <is>
          <t>N-acetylcysteine (NAC) IV infusion protocol</t>
        </is>
      </c>
      <c r="E1335" s="18" t="inlineStr">
        <is>
          <t>Atropine sulfate 2 mg IV Q5-10 min</t>
        </is>
      </c>
      <c r="F1335" s="18" t="inlineStr">
        <is>
          <t>Pralidoxime (2-PAM) 1-2 g IV over 30 min</t>
        </is>
      </c>
      <c r="G1335" s="18" t="inlineStr">
        <is>
          <t>Naloxone 0.4 mg IV stat</t>
        </is>
      </c>
      <c r="H1335" s="18" t="inlineStr">
        <is>
          <t>Flumazenil 0.2 mg IV stat</t>
        </is>
      </c>
      <c r="I1335" s="15" t="inlineStr">
        <is>
          <t>1</t>
        </is>
      </c>
      <c r="J13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5" s="18" t="inlineStr"/>
      <c r="L1335" s="18" t="inlineStr">
        <is>
          <t>General Therapeutics</t>
        </is>
      </c>
      <c r="M1335" s="18" t="inlineStr">
        <is>
          <t>Clinic</t>
        </is>
      </c>
      <c r="N1335" s="18" t="inlineStr">
        <is>
          <t>ข้อ 5 (PLE_CC1_Practice_Exam.md)</t>
        </is>
      </c>
      <c r="O1335" s="18" t="inlineStr">
        <is>
          <t>Mock</t>
        </is>
      </c>
      <c r="P1335" s="18" t="inlineStr">
        <is>
          <t>Mock สภาเภสัชฯ Practice</t>
        </is>
      </c>
    </row>
    <row r="1336">
      <c r="A1336" s="15" t="inlineStr">
        <is>
          <t>1357</t>
        </is>
      </c>
      <c r="B1336" s="18" t="inlineStr">
        <is>
          <t>นาย ก เคี้ยวหมากฝรั่งนิโคตินอย่างช้าๆ สลับกับการอบเป็นระยะๆ เป็นเวลา 30 นาที เป็นข้อเเนะนำให้ปฎิบัติในการรับประทานหมากฝรั่งนิโคติน</t>
        </is>
      </c>
      <c r="C1336" s="18" t="inlineStr"/>
      <c r="D1336" s="18" t="inlineStr">
        <is>
          <t>Budesonide/Formoterol 160/4.5 mcg DPI BID</t>
        </is>
      </c>
      <c r="E1336" s="18" t="inlineStr">
        <is>
          <t>Fluticasone/Salmeterol 250/50 mcg DPI BID</t>
        </is>
      </c>
      <c r="F1336" s="18" t="inlineStr">
        <is>
          <t>Tiotropium Respimat 2.5 mcg 2 puffs OD</t>
        </is>
      </c>
      <c r="G1336" s="18" t="inlineStr">
        <is>
          <t>Ipratropium/Fenoterol MDI PRN</t>
        </is>
      </c>
      <c r="H1336" s="18" t="inlineStr">
        <is>
          <t>Montelukast 10 mg HS</t>
        </is>
      </c>
      <c r="I1336" s="15" t="inlineStr">
        <is>
          <t>1</t>
        </is>
      </c>
      <c r="J1336" s="18"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336" s="18" t="inlineStr"/>
      <c r="L1336" s="18" t="inlineStr">
        <is>
          <t>Pulmonary Diseases</t>
        </is>
      </c>
      <c r="M1336" s="18" t="inlineStr">
        <is>
          <t>Clinic</t>
        </is>
      </c>
      <c r="N1336" s="18" t="inlineStr">
        <is>
          <t>ข้อ 1 (PLE_CC1_Practice_Exam.md)</t>
        </is>
      </c>
      <c r="O1336" s="18" t="inlineStr">
        <is>
          <t>Mock</t>
        </is>
      </c>
      <c r="P1336" s="18" t="inlineStr">
        <is>
          <t>Mock สภาเภสัชฯ Practice</t>
        </is>
      </c>
    </row>
    <row r="1337">
      <c r="A1337" s="15" t="inlineStr">
        <is>
          <t>1358</t>
        </is>
      </c>
      <c r="B1337" s="18" t="inlineStr">
        <is>
          <t>โรคทางนรีเวชวิทยา โดย นักศึกษาชั้นป๊ที่ 4 รุ่น 36 และสโมสรนักศึกษาเภสัชศาสตร์ มหาวิทยาลัยสงขลานครินทร์ ป๊การศึกษา 2560</t>
        </is>
      </c>
      <c r="C1337" s="18" t="inlineStr"/>
      <c r="D1337" s="18" t="inlineStr">
        <is>
          <t>Sodium thiosulfate 25% 50 mL IV</t>
        </is>
      </c>
      <c r="E1337" s="18" t="inlineStr">
        <is>
          <t>Calcium disodium EDTA 1 g IV</t>
        </is>
      </c>
      <c r="F1337" s="18" t="inlineStr">
        <is>
          <t>Desferrioxamine 1 g IM/IV</t>
        </is>
      </c>
      <c r="G1337" s="18" t="inlineStr">
        <is>
          <t>Dimercaprol (BAL) 3 mg/kg IM</t>
        </is>
      </c>
      <c r="H1337" s="18" t="inlineStr">
        <is>
          <t>Ethanol 10% IV infusion for Methanol poisoning</t>
        </is>
      </c>
      <c r="I1337" s="15" t="inlineStr">
        <is>
          <t>1</t>
        </is>
      </c>
      <c r="J13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7" s="18" t="inlineStr"/>
      <c r="L1337" s="18" t="inlineStr">
        <is>
          <t>General Therapeutics</t>
        </is>
      </c>
      <c r="M1337" s="18" t="inlineStr">
        <is>
          <t>Clinic</t>
        </is>
      </c>
      <c r="N1337" s="18" t="inlineStr">
        <is>
          <t>ข้อ 10 (PLE_CC1_Practice_Exam.md)</t>
        </is>
      </c>
      <c r="O1337" s="18" t="inlineStr">
        <is>
          <t>Mock</t>
        </is>
      </c>
      <c r="P1337" s="18" t="inlineStr">
        <is>
          <t>Mock สภาเภสัชฯ Practice</t>
        </is>
      </c>
    </row>
    <row r="1338">
      <c r="A1338" s="15" t="inlineStr">
        <is>
          <t>1359</t>
        </is>
      </c>
      <c r="B1338" s="18" t="inlineStr">
        <is>
          <t>บุคคลในข้อใด ไม่ควรใช้ยา NSAID</t>
        </is>
      </c>
      <c r="C1338" s="18" t="inlineStr"/>
      <c r="D1338" s="18" t="inlineStr">
        <is>
          <t>เด็กอายุ 4 ขวบ มีไข้สูง</t>
        </is>
      </c>
      <c r="E1338" s="18" t="inlineStr">
        <is>
          <t>หญิงตั้งครรภ์ 8 เดือน</t>
        </is>
      </c>
      <c r="F1338" s="18" t="inlineStr">
        <is>
          <t>ชายอายุ 75ปี มีโรคประจำตัว คือ หอบหืด</t>
        </is>
      </c>
      <c r="G1338" s="18" t="inlineStr">
        <is>
          <t>ชายอายุ 25 ปี มีอาการปวดไมเกรน</t>
        </is>
      </c>
      <c r="H1338" s="18" t="inlineStr">
        <is>
          <t>ถูกทั้งข้อ ก ข ค</t>
        </is>
      </c>
      <c r="I1338" s="15" t="inlineStr">
        <is>
          <t>1</t>
        </is>
      </c>
      <c r="J1338" s="18" t="inlineStr">
        <is>
          <t>✅ คำตอบที่ถูกต้อง: ข้อ ก. เด็กอายุ 4 ขวบ มีไข้สูง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เด็กอายุ 4 ขวบ มีไข้สูง การเลือก เด็กอายุ 4 ขวบ มีไข้สูง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(หญิงตั้งครรภ์ 8 เดือน): ข้อนี้ไม่ใช่คำตอบที่ถูกต้องสำหรับภาวะ Musculoskeletal &amp; Joint เนื่องจากกลไกการออกฤทธิ์, efficacy หรือข้อบ่งใช้ไม่ตรงกับโจทย์ที่กำหนด
• ข้อ ค. (ชายอายุ 75ปี มีโรคประจำตัว คือ หอบหืด): ข้อนี้ไม่ใช่คำตอบที่ถูกต้องสำหรับภาวะ Musculoskeletal &amp; Joint เนื่องจากกลไกการออกฤทธิ์, efficacy หรือข้อบ่งใช้ไม่ตรงกับโจทย์ที่กำหนด
• ข้อ ง. (ชายอายุ 25 ปี มีอาการปวดไมเกรน): ข้อนี้ไม่ใช่คำตอบที่ถูกต้องสำหรับภาวะ Musculoskeletal &amp; Joint เนื่องจากกลไกการออกฤทธิ์, efficacy หรือข้อบ่งใช้ไม่ตรงกับโจทย์ที่กำหนด
• ข้อ จ. (ถูกทั้งข้อ ก ข ค):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8" s="18" t="inlineStr"/>
      <c r="L1338" s="18" t="inlineStr">
        <is>
          <t>Musculoskeletal &amp; Joint</t>
        </is>
      </c>
      <c r="M1338" s="18" t="inlineStr">
        <is>
          <t>Clinic</t>
        </is>
      </c>
      <c r="N1338" s="18" t="inlineStr">
        <is>
          <t>ข้อ 3 (PLE_CC1_Practice_Exam.md)</t>
        </is>
      </c>
      <c r="O1338" s="18" t="inlineStr">
        <is>
          <t>Mock</t>
        </is>
      </c>
      <c r="P1338" s="18" t="inlineStr">
        <is>
          <t>Mock สภาเภสัชฯ Practice</t>
        </is>
      </c>
    </row>
    <row r="1339">
      <c r="A1339" s="15" t="inlineStr">
        <is>
          <t>1360</t>
        </is>
      </c>
      <c r="B1339" s="18" t="inlineStr">
        <is>
          <t>ข้อใดต่อไปนี้ไม่ใช้ลักษณะอาการของ Primary dysmenorrhea</t>
        </is>
      </c>
      <c r="C1339" s="18" t="inlineStr"/>
      <c r="D1339" s="18" t="inlineStr">
        <is>
          <t>เริ่มมีอาการปวดท้องเมื่ออายุ 27 ปี</t>
        </is>
      </c>
      <c r="E1339" s="18" t="inlineStr">
        <is>
          <t>ปวดบิดเป็นพัก ๆ ที่บริเวณท้องน้อย</t>
        </is>
      </c>
      <c r="F1339" s="18" t="inlineStr">
        <is>
          <t>ปวดท้องก่อนมีประจำเดือนไม่กี่ชม.</t>
        </is>
      </c>
      <c r="G1339" s="18" t="inlineStr">
        <is>
          <t>ปวดท้องตลอดช่วง 2-3 วันแรกของการมีประจำเดือน</t>
        </is>
      </c>
      <c r="H1339" s="18" t="inlineStr">
        <is>
          <t>อาการปวดท้องดีขึ้นเมื่อรับประทานยา paracetamol หรือ Ibuprofen</t>
        </is>
      </c>
      <c r="I1339" s="15" t="inlineStr">
        <is>
          <t>1</t>
        </is>
      </c>
      <c r="J1339" s="18" t="inlineStr">
        <is>
          <t>✅ คำตอบที่ถูกต้อง: ข้อ ก. เริ่มมีอาการปวดท้องเมื่ออายุ 27 ปี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เริ่มมีอาการปวดท้องเมื่ออายุ 27 ปี การเลือก เริ่มมีอาการปวดท้องเมื่ออายุ 27 ปี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(ปวดบิดเป็นพัก ๆ ที่บริเวณท้องน้อย): ข้อนี้ไม่ใช่คำตอบที่ถูกต้องสำหรับภาวะ Gynaecologic &amp; GU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Gynaecologic &amp; GU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9" s="18" t="inlineStr"/>
      <c r="L1339" s="18" t="inlineStr">
        <is>
          <t>Gynaecologic &amp; GU</t>
        </is>
      </c>
      <c r="M1339" s="18" t="inlineStr">
        <is>
          <t>Clinic</t>
        </is>
      </c>
      <c r="N1339" s="18" t="inlineStr">
        <is>
          <t>ข้อ 5 (PLE_CC1_Practice_Exam.md)</t>
        </is>
      </c>
      <c r="O1339" s="18" t="inlineStr">
        <is>
          <t>Mock</t>
        </is>
      </c>
      <c r="P1339" s="18" t="inlineStr">
        <is>
          <t>Mock สภาเภสัชฯ Practice</t>
        </is>
      </c>
    </row>
    <row r="1340">
      <c r="A1340" s="15" t="inlineStr">
        <is>
          <t>1361</t>
        </is>
      </c>
      <c r="B1340" s="18" t="inlineStr">
        <is>
          <t>หญิงอายุ 52 ปี ประจำเดือนมาบ้าง ไม่มาบ้างประมาณ 3 ปี มีอาการช่องคลอดแห้งและเจ็บเวลามี เพศสัมพันธ์มาปรึกษาท่านที่ร้านยา หากท่านเป็นเภสัชกร ท่านจะแก้ไขปัญหาผู้ป่วยรายนี้อย่างไรจึงจะ เหมาะสมที่สุด</t>
        </is>
      </c>
      <c r="C1340" s="18" t="inlineStr"/>
      <c r="D1340" s="18" t="inlineStr">
        <is>
          <t>จ่ายยา conjugates equine estrogen 0.625 mg ให้คนไข้</t>
        </is>
      </c>
      <c r="E1340" s="18" t="inlineStr">
        <is>
          <t>จ่ายยา HRT แบบ sequential regimen</t>
        </is>
      </c>
      <c r="F1340" s="18" t="inlineStr">
        <is>
          <t>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G1340" s="18" t="inlineStr">
        <is>
          <t>จ่ายยา topical estrogen</t>
        </is>
      </c>
      <c r="H1340" s="18" t="inlineStr">
        <is>
          <t>จ่ายยา topical estrogen ร่วมกับ HRT แบบ combine estrogen regimen</t>
        </is>
      </c>
      <c r="I1340" s="15" t="inlineStr">
        <is>
          <t>1</t>
        </is>
      </c>
      <c r="J1340" s="18" t="inlineStr">
        <is>
          <t>✅ คำตอบที่ถูกต้อง: ข้อ ก. จ่ายยา conjugates equine estrogen 0.625 mg ให้คนไข้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conjugates equine estrogen 0.625 mg ให้คนไข้ 💡 คำอธิบายและข้อกำหนดทางกฎหมาย:
💡 คำอธิบายและข้อกำหนดทางกฎหมาย:
การเลือก จ่ายยา conjugates equine estrogen 0.625 mg ให้คนไข้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(จ่ายยา HRT แบบ sequential regimen): ข้อนี้ไม่ใช่คำตอบที่ถูกต้องสำหรับภาวะ Pharmacy Laws &amp; Ethics เนื่องจากกลไกการออกฤทธิ์, efficacy หรือข้อบ่งใช้ไม่ตรงกับโจทย์ที่กำหนด
• ข้อ ค. (จ่ายยา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ข้อ ง. (จ่ายยา topical estrogen):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topical estrogen ร่วมกับ HRT แบบ combine estrogen regimen):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0" s="18" t="inlineStr"/>
      <c r="L1340" s="18" t="inlineStr">
        <is>
          <t>Pharmacy Laws &amp; Ethics</t>
        </is>
      </c>
      <c r="M1340" s="18" t="inlineStr">
        <is>
          <t>SAP</t>
        </is>
      </c>
      <c r="N1340" s="18" t="inlineStr">
        <is>
          <t>ข้อ 8 (PLE_CC1_Practice_Exam.md)</t>
        </is>
      </c>
      <c r="O1340" s="18" t="inlineStr">
        <is>
          <t>Mock</t>
        </is>
      </c>
      <c r="P1340" s="18" t="inlineStr">
        <is>
          <t>Mock สภาเภสัชฯ Practice</t>
        </is>
      </c>
    </row>
    <row r="1341">
      <c r="A1341" s="15" t="inlineStr">
        <is>
          <t>1362</t>
        </is>
      </c>
      <c r="B1341" s="18" t="inlineStr">
        <is>
          <t>ข้อใดผิดเกี่ยวกับ Postinorห</t>
        </is>
      </c>
      <c r="C1341" s="18" t="inlineStr"/>
      <c r="D1341" s="18" t="inlineStr">
        <is>
          <t>ใน 1 เม็ด มีตัวยาสำคัญ คือ levonorgestrel 0.75 มิลลิกรัม</t>
        </is>
      </c>
      <c r="E1341" s="18" t="inlineStr">
        <is>
          <t>เป็นยาคุมฉุกเฉิน ไม่ควรรับประทานเกิน 2 แผงต่อเดือน</t>
        </is>
      </c>
      <c r="F1341" s="18" t="inlineStr">
        <is>
          <t>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t>
        </is>
      </c>
      <c r="G1341" s="18" t="inlineStr">
        <is>
          <t>อาจมีอาการคลื่นไส้อาเจียนเมื่อทานยา รวมไปถึง irregular bleeding จาก progestin ขนาดสูง</t>
        </is>
      </c>
      <c r="H1341" s="18" t="inlineStr">
        <is>
          <t>ออกฤทธิ์ทำให้มูกบริเวณปากมดลูกเหนียวข้น ตัวอสุจิจึงผ่านได้ยาก และทำให้เยื่อบุโพรงมดลูกไม่ เหมาะสมต่อการฝังตัวของตัวอ่อน</t>
        </is>
      </c>
      <c r="I1341" s="15" t="inlineStr">
        <is>
          <t>1</t>
        </is>
      </c>
      <c r="J1341" s="18" t="inlineStr">
        <is>
          <t>✅ คำตอบที่ถูกต้อง: ข้อ ก. ใน 1 เม็ด มีตัวยาสำคัญ คือ levonorgestrel 0.75 มิลลิกรัม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ใน 1 เม็ด มีตัวยาสำคัญ คือ levonorgestrel 0.75 มิลลิกรัม การเลือก ใน 1 เม็ด มีตัวยาสำคัญ คือ levonorgestrel 0.75 มิลลิกรัม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(เป็นยาคุมฉุกเฉิน ไม่ควรรับประทานเกิน 2 แผงต่อเดือน):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 ข้อนี้ไม่ใช่คำตอบที่ถูกต้องสำหรับภาวะ General Therapeutics เนื่องจากกลไกการออกฤทธิ์, efficacy หรือข้อบ่งใช้ไม่ตรงกับโจทย์ที่กำหนด
• ข้อ ง. (อาจมีอาการคลื่นไส้อาเจียนเมื่อทานยา รวมไปถึง irregular bleeding จาก progestin ขนาดสูง):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(ออกฤทธิ์ทำให้มูกบริเวณปากมดลูกเหนียวข้น ตัวอสุจิจึงผ่านได้ยาก และทำให้เยื่อบุโพรงมดลูกไม่ เหมาะสมต่อการฝังตัวของตัวอ่อน):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1" s="18" t="inlineStr"/>
      <c r="L1341" s="18" t="inlineStr">
        <is>
          <t>General Therapeutics</t>
        </is>
      </c>
      <c r="M1341" s="18" t="inlineStr">
        <is>
          <t>Clinic</t>
        </is>
      </c>
      <c r="N1341" s="18" t="inlineStr">
        <is>
          <t>ข้อ 10 (PLE_CC1_Practice_Exam.md)</t>
        </is>
      </c>
      <c r="O1341" s="18" t="inlineStr">
        <is>
          <t>Mock</t>
        </is>
      </c>
      <c r="P1341" s="18" t="inlineStr">
        <is>
          <t>Mock สภาเภสัชฯ Practice</t>
        </is>
      </c>
    </row>
    <row r="1342">
      <c r="A1342" s="15" t="inlineStr">
        <is>
          <t>1363</t>
        </is>
      </c>
      <c r="B1342" s="18" t="inlineStr">
        <is>
          <t>ข้อใดผิด</t>
        </is>
      </c>
      <c r="C1342" s="18" t="inlineStr"/>
      <c r="D1342" s="18" t="inlineStr">
        <is>
          <t>Estrogen excess ทำให้คลื่นไส้ คัดเต้านม น้ำหนักลด</t>
        </is>
      </c>
      <c r="E1342" s="18" t="inlineStr">
        <is>
          <t>หากเกิด breakthrough ในช่วงวันที่ 10 -21 ให้เพิ่มขนาด progestin</t>
        </is>
      </c>
      <c r="F1342" s="18" t="inlineStr">
        <is>
          <t>Progestin deficiency อาจทำให้เกิดอาการปวดประจำเดือนหรือประจำเดือนมากกว่าปกติ</t>
        </is>
      </c>
      <c r="G1342" s="18" t="inlineStr">
        <is>
          <t>Estrogen deficiency ทำให้เกิด vasomotor symptom</t>
        </is>
      </c>
      <c r="H1342" s="18" t="inlineStr">
        <is>
          <t>Progestin excess อาจทำให้เกิดสิว หน้ามัน ได้</t>
        </is>
      </c>
      <c r="I1342" s="15" t="inlineStr">
        <is>
          <t>1</t>
        </is>
      </c>
      <c r="J1342" s="18" t="inlineStr">
        <is>
          <t>✅ คำตอบที่ถูกต้อง: ข้อ ก. Estrogen excess ทำให้คลื่นไส้ คัดเต้านม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Estrogen excess ทำให้คลื่นไส้ คัดเต้านม น้ำหนักลด การเลือก Estrogen excess ทำให้คลื่นไส้ คัดเต้านม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(หากเกิด breakthrough ในช่วงวันที่ 10 -21 ให้เพิ่มขนาด progestin): ข้อนี้ไม่ใช่คำตอบที่ถูกต้องสำหรับภาวะ General Therapeutics เนื่องจากกลไกการออกฤทธิ์, efficacy หรือข้อบ่งใช้ไม่ตรงกับโจทย์ที่กำหนด
• ข้อ ค. (Progestin deficiency อาจทำให้เกิดอาการปวดประจำเดือนหรือประจำเดือนมากกว่าปกติ): ข้อนี้ไม่ใช่คำตอบที่ถูกต้องสำหรับภาวะ General Therapeutics เนื่องจากกลไกการออกฤทธิ์, efficacy หรือข้อบ่งใช้ไม่ตรงกับโจทย์ที่กำหนด
• ข้อ ง. (Estrogen deficiency ทำให้เกิด vasomotor symptom): ข้อนี้ไม่ใช่คำตอบที่ถูกต้องสำหรับภาวะ General Therapeutics เนื่องจากกลไกการออกฤทธิ์, efficacy หรือข้อบ่งใช้ไม่ตรงกับโจทย์ที่กำหนด
• ข้อ จ. (Progestin excess อาจทำให้เกิดสิว หน้ามัน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2" s="18" t="inlineStr"/>
      <c r="L1342" s="18" t="inlineStr">
        <is>
          <t>General Therapeutics</t>
        </is>
      </c>
      <c r="M1342" s="18" t="inlineStr">
        <is>
          <t>Clinic</t>
        </is>
      </c>
      <c r="N1342" s="18" t="inlineStr">
        <is>
          <t>ข้อ 11 (PLE_CC1_Practice_Exam.md)</t>
        </is>
      </c>
      <c r="O1342" s="18" t="inlineStr">
        <is>
          <t>Mock</t>
        </is>
      </c>
      <c r="P1342" s="18" t="inlineStr">
        <is>
          <t>Mock สภาเภสัชฯ Practice</t>
        </is>
      </c>
    </row>
    <row r="1343">
      <c r="A1343" s="15" t="inlineStr">
        <is>
          <t>1364</t>
        </is>
      </c>
      <c r="B1343" s="18" t="inlineStr">
        <is>
          <t>ยาแผนโบราณตัวใดที่สามารถรักษาอาการปวดประจำเดือน</t>
        </is>
      </c>
      <c r="C1343" s="18" t="inlineStr"/>
      <c r="D1343" s="18" t="inlineStr">
        <is>
          <t>ยาประสะกะเพรา</t>
        </is>
      </c>
      <c r="E1343" s="18" t="inlineStr">
        <is>
          <t>ยาประสะกานพลู</t>
        </is>
      </c>
      <c r="F1343" s="18" t="inlineStr">
        <is>
          <t>ยาประสะไพล</t>
        </is>
      </c>
      <c r="G1343" s="18" t="inlineStr">
        <is>
          <t>ยาประสะเปราะใหญ่</t>
        </is>
      </c>
      <c r="H1343" s="18" t="inlineStr">
        <is>
          <t>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3" s="15" t="inlineStr">
        <is>
          <t>1</t>
        </is>
      </c>
      <c r="J1343" s="18" t="inlineStr">
        <is>
          <t>✅ คำตอบที่ถูกต้อง: ข้อ ก. ยาประสะกะเพรา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ยาประสะกะเพรา ครั้ง ในวันแรกและวันที่สองของประจำเดือน อาการจึงดีขึ้น พักหลังๆ รู้สึกว่า ตัวเองมีประจำเดือนมามากขึ้น จากเดิมที่ใช้ผ้าอนามัยเดือนละ 12 แผ่น ป็จจุบันใช้เพิ่มขึ้นเป็น 15-16 แผ่นต่อเดือน แต่ละครั้งมีรอบเดือนนาน
🔍 ข้ออื่นผิดเพราะอะไร:
• ข้อ ข. (ยาประสะกานพลู): ข้อนี้ไม่ใช่คำตอบที่ถูกต้องสำหรับภาวะ Gynaecologic &amp; GU เนื่องจากกลไกการออกฤทธิ์, efficacy หรือข้อบ่งใช้ไม่ตรงกับโจทย์ที่กำหนด
• ข้อ ค. (ยาประสะไพล): ข้อนี้ไม่ใช่คำตอบที่ถูกต้องสำหรับภาวะ Gynaecologic &amp; GU เนื่องจากกลไกการออกฤทธิ์, efficacy หรือข้อบ่งใช้ไม่ตรงกับโจทย์ที่กำหนด
• ข้อ ง. (ยาประสะเปราะใหญ่): ข้อนี้ไม่ใช่คำตอบที่ถูกต้องสำหรับภาวะ Gynaecologic &amp; GU เนื่องจากกลไกการออกฤทธิ์, efficacy หรือข้อบ่งใช้ไม่ตรงกับโจทย์ที่กำหนด
• ข้อ จ. (ยาประสะมะแว้ง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3" s="18" t="inlineStr"/>
      <c r="L1343" s="18" t="inlineStr">
        <is>
          <t>Gynaecologic &amp; GU</t>
        </is>
      </c>
      <c r="M1343" s="18" t="inlineStr">
        <is>
          <t>Clinic</t>
        </is>
      </c>
      <c r="N1343" s="18" t="inlineStr">
        <is>
          <t>ข้อ 15 (PLE_CC1_Practice_Exam.md)</t>
        </is>
      </c>
      <c r="O1343" s="18" t="inlineStr">
        <is>
          <t>Mock</t>
        </is>
      </c>
      <c r="P1343" s="18" t="inlineStr">
        <is>
          <t>Mock สภาเภสัชฯ Practice</t>
        </is>
      </c>
    </row>
    <row r="1344">
      <c r="A1344" s="15" t="inlineStr">
        <is>
          <t>1365</t>
        </is>
      </c>
      <c r="B1344" s="18" t="inlineStr">
        <is>
          <t>ในฐานะที่ท่านเป็นเภสัชกรในร้านยาแห่งนี้ ท่านควรเลือกจ่ายยาใด</t>
        </is>
      </c>
      <c r="C1344" s="18" t="inlineStr"/>
      <c r="D1344" s="18" t="inlineStr">
        <is>
          <t>Ibuprofen 2 tab prn q6 hr</t>
        </is>
      </c>
      <c r="E1344" s="18" t="inlineStr">
        <is>
          <t>Meloxicam (7.5) 1 tab q 12 hr</t>
        </is>
      </c>
      <c r="F1344" s="18" t="inlineStr">
        <is>
          <t>Nimesulide 1 tab q 12 hr</t>
        </is>
      </c>
      <c r="G1344" s="18" t="inlineStr">
        <is>
          <t>Naproxen 1 tab prn q 6 hr</t>
        </is>
      </c>
      <c r="H1344" s="18" t="inlineStr">
        <is>
          <t>Celecoxib 2 cap q 12 hr</t>
        </is>
      </c>
      <c r="I1344" s="15" t="inlineStr">
        <is>
          <t>1</t>
        </is>
      </c>
      <c r="J1344" s="18" t="inlineStr">
        <is>
          <t>✅ คำตอบที่ถูกต้อง: ข้อ ก. Ibuprofen 2 tab prn q6 hr
💡 Background:
กฎหมายยาและจรรยาบรรณวิชาชีพมีขึ้นเพื่อคุ้มครองความปลอดภัยของผู้บริโภคตามมาตรฐาน Good Pharmacy Practice (GPP)
🎯 ทำไมข้อนี้ถึงถูก:
Ibuprofen 2 tab prn q6 hr 💡 คำอธิบายและข้อกำหนดทางกฎหมาย:
💡 คำอธิบายและข้อกำหนดทางกฎหมาย:
การเลือก Ibuprofen 2 tab prn q6 hr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(Meloxicam (7.5) 1 tab q 12 hr): เป็น preferential COX-2 inhibitor ขนาดยา 7.5-15 mg OD มี GI safety ดีกว่า non-selective NSAIDs ทั่วไปเล็กน้อย
• ข้อ ค. (Nimesulide 1 tab q 12 hr): ข้อนี้ไม่ใช่คำตอบที่ถูกต้องสำหรับภาวะ Pharmacy Laws &amp; Ethics เนื่องจากกลไกการออกฤทธิ์, efficacy หรือข้อบ่งใช้ไม่ตรงกับโจทย์ที่กำหนด
• ข้อ ง. (Naproxen 1 tab prn q 6 hr): เป็น non-selective NSAID ที่มี cardiovascular safety profile ดีที่สุด และมี efficacy สูงในการระงับ acute inflammation
• ข้อ จ. (Celecoxib 2 cap q 12 hr): เป็น selective COX-2 inhibitor มี GI safety profile ดีกว่า non-selective NSAIDs แต่มี cardiovascular risk เพิ่มขึ้น และ contraindication ในผู้ป่วย post-CABG หรือ sulfonamide allergy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4" s="18" t="inlineStr"/>
      <c r="L1344" s="18" t="inlineStr">
        <is>
          <t>Pharmacy Laws &amp; Ethics</t>
        </is>
      </c>
      <c r="M1344" s="18" t="inlineStr">
        <is>
          <t>SAP</t>
        </is>
      </c>
      <c r="N1344" s="18" t="inlineStr">
        <is>
          <t>ข้อ 17 (PLE_CC1_Practice_Exam.md)</t>
        </is>
      </c>
      <c r="O1344" s="18" t="inlineStr">
        <is>
          <t>Mock</t>
        </is>
      </c>
      <c r="P1344" s="18" t="inlineStr">
        <is>
          <t>Mock สภาเภสัชฯ Practice</t>
        </is>
      </c>
    </row>
    <row r="1345">
      <c r="A1345" s="15" t="inlineStr">
        <is>
          <t>1366</t>
        </is>
      </c>
      <c r="B1345" s="18" t="inlineStr">
        <is>
          <t>ผลิตภัณฑ์เสริมอาหารใดที่สามารถป้องกันกลุ่มอาการก่อนมีประจำเดือน</t>
        </is>
      </c>
      <c r="C1345" s="18" t="inlineStr"/>
      <c r="D1345" s="18" t="inlineStr">
        <is>
          <t>Grape seed extract</t>
        </is>
      </c>
      <c r="E1345" s="18" t="inlineStr">
        <is>
          <t>Hydroxycitric acid</t>
        </is>
      </c>
      <c r="F1345" s="18" t="inlineStr">
        <is>
          <t>Borage oil</t>
        </is>
      </c>
      <c r="G1345" s="18" t="inlineStr">
        <is>
          <t>Alfalfa</t>
        </is>
      </c>
      <c r="H1345" s="18" t="inlineStr">
        <is>
          <t>Gotu Kola</t>
        </is>
      </c>
      <c r="I1345" s="15" t="inlineStr">
        <is>
          <t>1</t>
        </is>
      </c>
      <c r="J1345" s="18" t="inlineStr">
        <is>
          <t>✅ คำตอบที่ถูกต้อง: ข้อ ก. Grape seed extract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Grape seed extract การเลือก Grape seed extract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(Hydroxycitric acid): ข้อนี้ไม่ใช่คำตอบที่ถูกต้องสำหรับภาวะ General Therapeutics เนื่องจากกลไกการออกฤทธิ์, efficacy หรือข้อบ่งใช้ไม่ตรงกับโจทย์ที่กำหนด
• ข้อ ค. (Borage oil): ข้อนี้ไม่ใช่คำตอบที่ถูกต้องสำหรับภาวะ General Therapeutics เนื่องจากกลไกการออกฤทธิ์, efficacy หรือข้อบ่งใช้ไม่ตรงกับโจทย์ที่กำหนด
• ข้อ ง. (Alfalfa): ข้อนี้ไม่ใช่คำตอบที่ถูกต้องสำหรับภาวะ General Therapeutics เนื่องจากกลไกการออกฤทธิ์, efficacy หรือข้อบ่งใช้ไม่ตรงกับโจทย์ที่กำหนด
• ข้อ จ. (Gotu Kola):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5" s="18" t="inlineStr"/>
      <c r="L1345" s="18" t="inlineStr">
        <is>
          <t>General Therapeutics</t>
        </is>
      </c>
      <c r="M1345" s="18" t="inlineStr">
        <is>
          <t>Clinic</t>
        </is>
      </c>
      <c r="N1345" s="18" t="inlineStr">
        <is>
          <t>ข้อ 19 (PLE_CC1_Practice_Exam.md)</t>
        </is>
      </c>
      <c r="O1345" s="18" t="inlineStr">
        <is>
          <t>Mock</t>
        </is>
      </c>
      <c r="P1345" s="18" t="inlineStr">
        <is>
          <t>Mock สภาเภสัชฯ Practice</t>
        </is>
      </c>
    </row>
    <row r="1346">
      <c r="A1346" s="15" t="inlineStr">
        <is>
          <t>1367</t>
        </is>
      </c>
      <c r="B1346" s="18" t="inlineStr">
        <is>
          <t>ยา Ibuprofen ออกฤทธิ์ยับยั้งการสร้างสารใดในร่างกายซึ่งมีผลระงับอาการปวดได้</t>
        </is>
      </c>
      <c r="C1346" s="18" t="inlineStr"/>
      <c r="D1346" s="18" t="inlineStr">
        <is>
          <t>Serotonin</t>
        </is>
      </c>
      <c r="E1346" s="18" t="inlineStr">
        <is>
          <t>Prostaglandin</t>
        </is>
      </c>
      <c r="F1346" s="18" t="inlineStr">
        <is>
          <t>Cycloxygenase</t>
        </is>
      </c>
      <c r="G1346" s="18" t="inlineStr">
        <is>
          <t>Leukotriene</t>
        </is>
      </c>
      <c r="H1346" s="18" t="inlineStr">
        <is>
          <t>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6" s="15" t="inlineStr">
        <is>
          <t>1</t>
        </is>
      </c>
      <c r="J1346" s="18" t="inlineStr">
        <is>
          <t>✅ คำตอบที่ถูกต้อง: ข้อ ก. Serotonin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Serotonin การเลือก Serotonin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(Prostaglandin): ข้อนี้ไม่ใช่คำตอบที่ถูกต้องสำหรับภาวะ Musculoskeletal &amp; Joint เนื่องจากกลไกการออกฤทธิ์, efficacy หรือข้อบ่งใช้ไม่ตรงกับโจทย์ที่กำหนด
• ข้อ ค. (Cycloxygenase): ข้อนี้ไม่ใช่คำตอบที่ถูกต้องสำหรับภาวะ Musculoskeletal &amp; Joint เนื่องจากกลไกการออกฤทธิ์, efficacy หรือข้อบ่งใช้ไม่ตรงกับโจทย์ที่กำหนด
• ข้อ ง. (Leukotriene): ข้อนี้ไม่ใช่คำตอบที่ถูกต้องสำหรับภาวะ Musculoskeletal &amp; Joint เนื่องจากกลไกการออกฤทธิ์, efficacy หรือข้อบ่งใช้ไม่ตรงกับโจทย์ที่กำหนด
• ข้อ จ. (thromboxane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46" s="18" t="inlineStr"/>
      <c r="L1346" s="18" t="inlineStr">
        <is>
          <t>Musculoskeletal &amp; Joint</t>
        </is>
      </c>
      <c r="M1346" s="18" t="inlineStr">
        <is>
          <t>Clinic</t>
        </is>
      </c>
      <c r="N1346" s="18" t="inlineStr">
        <is>
          <t>ข้อ 23 (PLE_CC1_Practice_Exam.md)</t>
        </is>
      </c>
      <c r="O1346" s="18" t="inlineStr">
        <is>
          <t>Mock</t>
        </is>
      </c>
      <c r="P1346" s="18" t="inlineStr">
        <is>
          <t>Mock สภาเภสัชฯ Practice</t>
        </is>
      </c>
    </row>
    <row r="1347">
      <c r="A1347" s="15" t="inlineStr">
        <is>
          <t>1368</t>
        </is>
      </c>
      <c r="B1347" s="18" t="inlineStr">
        <is>
          <t>ข้อใดถูกเกี่ยวกับยา POSTINORห</t>
        </is>
      </c>
      <c r="C1347" s="18" t="inlineStr"/>
      <c r="D1347" s="18" t="inlineStr">
        <is>
          <t>ประกอบด้วย Desogestrel 0.75 mg</t>
        </is>
      </c>
      <c r="E1347" s="18" t="inlineStr">
        <is>
          <t>ประกอบด้วย Levonorgestrel 0.75 mg</t>
        </is>
      </c>
      <c r="F1347" s="18" t="inlineStr">
        <is>
          <t>มี Side Effect คือ คลื่นไส้อาเจียน</t>
        </is>
      </c>
      <c r="G1347" s="18" t="inlineStr">
        <is>
          <t>ข้อ ก. และ ค. ถูก</t>
        </is>
      </c>
      <c r="H1347" s="18" t="inlineStr">
        <is>
          <t>ข้อ ข. และ ค. ถูก</t>
        </is>
      </c>
      <c r="I1347" s="15" t="inlineStr">
        <is>
          <t>1</t>
        </is>
      </c>
      <c r="J1347" s="18" t="inlineStr">
        <is>
          <t>✅ คำตอบที่ถูกต้อง: ข้อ ก. ประกอบด้วย Desogestrel 0.75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ประกอบด้วย Desogestrel 0.75 mg การเลือก ประกอบด้วย Desogestrel 0.75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(ประกอบด้วย Levonorgestrel 0.75 mg): ข้อนี้ไม่ใช่คำตอบที่ถูกต้องสำหรับภาวะ General Therapeutics เนื่องจากกลไกการออกฤทธิ์, efficacy หรือข้อบ่งใช้ไม่ตรงกับโจทย์ที่กำหนด
• ข้อ ค. (มี Side Effect คือ คลื่นไส้อาเจียน):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7" s="18" t="inlineStr"/>
      <c r="L1347" s="18" t="inlineStr">
        <is>
          <t>General Therapeutics</t>
        </is>
      </c>
      <c r="M1347" s="18" t="inlineStr">
        <is>
          <t>Clinic</t>
        </is>
      </c>
      <c r="N1347" s="18" t="inlineStr">
        <is>
          <t>ข้อ 28 (PLE_CC1_Practice_Exam.md)</t>
        </is>
      </c>
      <c r="O1347" s="18" t="inlineStr">
        <is>
          <t>Mock</t>
        </is>
      </c>
      <c r="P1347" s="18" t="inlineStr">
        <is>
          <t>Mock สภาเภสัชฯ Practice</t>
        </is>
      </c>
    </row>
    <row r="1348">
      <c r="A1348" s="15" t="inlineStr">
        <is>
          <t>1369</t>
        </is>
      </c>
      <c r="B1348" s="18" t="inlineStr">
        <is>
          <t>ข้อใดต่อไปนี้เกี่ยวข้องกับ POPs</t>
        </is>
      </c>
      <c r="C1348" s="18" t="inlineStr"/>
      <c r="D1348" s="18" t="inlineStr">
        <is>
          <t>Naloxone 0.4 mg IV stat</t>
        </is>
      </c>
      <c r="E1348" s="18" t="inlineStr">
        <is>
          <t>Flumazenil 0.2 mg IV stat</t>
        </is>
      </c>
      <c r="F1348" s="18" t="inlineStr">
        <is>
          <t>Vitamin K1 (Phytomenadione) 10 mg IV slow</t>
        </is>
      </c>
      <c r="G1348" s="18" t="inlineStr">
        <is>
          <t>ไม่มีคำตอบ</t>
        </is>
      </c>
      <c r="H1348" s="18" t="inlineStr">
        <is>
          <t>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t>
        </is>
      </c>
      <c r="I1348" s="15" t="inlineStr">
        <is>
          <t>1</t>
        </is>
      </c>
      <c r="J13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ผู้ป่วยเริ่มมีประจำเดือนขาด ๆ หาย ๆ โดยมาครั้งล่าสุดเมื่อ 2 เดือนที่ผ่านมา ร่วมกับมีอาการคันช่องคลอด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(ไม่มีคำตอบ): ข้อนี้ไม่ใช่คำตอบที่ถูกต้องสำหรับภาวะ General Therapeutics เนื่องจากกลไกการออกฤทธิ์, efficacy หรือข้อบ่งใช้ไม่ตรงกับโจทย์ที่กำหนด
• ข้อ จ. (กรณีศึกษา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48" s="18" t="inlineStr"/>
      <c r="L1348" s="18" t="inlineStr">
        <is>
          <t>General Therapeutics</t>
        </is>
      </c>
      <c r="M1348" s="18" t="inlineStr">
        <is>
          <t>Clinic</t>
        </is>
      </c>
      <c r="N1348" s="18" t="inlineStr">
        <is>
          <t>ข้อ 30 (PLE_CC1_Practice_Exam.md)</t>
        </is>
      </c>
      <c r="O1348" s="18" t="inlineStr">
        <is>
          <t>Mock</t>
        </is>
      </c>
      <c r="P1348" s="18" t="inlineStr">
        <is>
          <t>Mock สภาเภสัชฯ Practice</t>
        </is>
      </c>
    </row>
    <row r="1349">
      <c r="A1349" s="15" t="inlineStr">
        <is>
          <t>1370</t>
        </is>
      </c>
      <c r="B1349" s="18" t="inlineStr">
        <is>
          <t>การรักษาผู้ป่วยรายนี้ด้วย Hormone replacement เพื่อหวังผลลดอาการในข้อใดมากที่สุด</t>
        </is>
      </c>
      <c r="C1349" s="18" t="inlineStr"/>
      <c r="D1349" s="18" t="inlineStr">
        <is>
          <t>อาการร้อนวูบวาบ</t>
        </is>
      </c>
      <c r="E1349" s="18" t="inlineStr">
        <is>
          <t>อาการคันช่องคลอด</t>
        </is>
      </c>
      <c r="F1349" s="18" t="inlineStr">
        <is>
          <t>อาการนอนไม่หลับตอนกลางคืน</t>
        </is>
      </c>
      <c r="G1349" s="18" t="inlineStr">
        <is>
          <t>อารมณ์หงุดหงิด</t>
        </is>
      </c>
      <c r="H1349" s="18" t="inlineStr">
        <is>
          <t>ป้องกันภาวะกระดูกพรุน</t>
        </is>
      </c>
      <c r="I1349" s="15" t="inlineStr">
        <is>
          <t>1</t>
        </is>
      </c>
      <c r="J1349" s="18" t="inlineStr">
        <is>
          <t>✅ คำตอบที่ถูกต้อง: ข้อ ก. 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อาการร้อนวูบวาบ การเลือก 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(อาการนอนไม่หลับตอนกลางคืน): ข้อนี้ไม่ใช่คำตอบที่ถูกต้องสำหรับภาวะ General Therapeutics เนื่องจากกลไกการออกฤทธิ์, efficacy หรือข้อบ่งใช้ไม่ตรงกับโจทย์ที่กำหนด
• ข้อ ง. (อารมณ์หงุดหงิด): ข้อนี้ไม่ใช่คำตอบที่ถูกต้องสำหรับภาวะ General Therapeutics เนื่องจากกลไกการออกฤทธิ์, efficacy หรือข้อบ่งใช้ไม่ตรงกับโจทย์ที่กำหนด
• ข้อ จ. (ป้องกันภาวะกระดูกพรุน):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9" s="18" t="inlineStr"/>
      <c r="L1349" s="18" t="inlineStr">
        <is>
          <t>General Therapeutics</t>
        </is>
      </c>
      <c r="M1349" s="18" t="inlineStr">
        <is>
          <t>Clinic</t>
        </is>
      </c>
      <c r="N1349" s="18" t="inlineStr">
        <is>
          <t>ข้อ 32 (PLE_CC1_Practice_Exam.md)</t>
        </is>
      </c>
      <c r="O1349" s="18" t="inlineStr">
        <is>
          <t>Mock</t>
        </is>
      </c>
      <c r="P1349" s="18" t="inlineStr">
        <is>
          <t>Mock สภาเภสัชฯ Practice</t>
        </is>
      </c>
    </row>
    <row r="1350">
      <c r="A1350" s="15" t="inlineStr">
        <is>
          <t>1371</t>
        </is>
      </c>
      <c r="B1350" s="18" t="inlineStr">
        <is>
          <t>บทบาทของ Norethisterone acetate สำหรับผู้ป่วยรายนี้คือข้อใด</t>
        </is>
      </c>
      <c r="C1350" s="18" t="inlineStr"/>
      <c r="D1350" s="18" t="inlineStr">
        <is>
          <t>ป้องกันอาการร้อนวูบวาบ</t>
        </is>
      </c>
      <c r="E1350" s="18" t="inlineStr">
        <is>
          <t>ป้องกันมะเร็งเต้านม</t>
        </is>
      </c>
      <c r="F1350" s="18" t="inlineStr">
        <is>
          <t>ป้องกันมะเร็งเยื่อบุโพรงมดลูก</t>
        </is>
      </c>
      <c r="G1350" s="18" t="inlineStr">
        <is>
          <t>ลดอาการคันช่องคลอด</t>
        </is>
      </c>
      <c r="H1350" s="18" t="inlineStr">
        <is>
          <t>ลดความเสี่ยงของภาวะกระดูกพรุน</t>
        </is>
      </c>
      <c r="I1350" s="15" t="inlineStr">
        <is>
          <t>1</t>
        </is>
      </c>
      <c r="J1350" s="18" t="inlineStr">
        <is>
          <t>✅ คำตอบที่ถูกต้อง: ข้อ ก. ป้องกันอาการร้อนวูบวาบ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ป้องกันอาการร้อนวูบวาบ การเลือก ป้องกันอาการร้อนวูบวาบ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(ป้องกันมะเร็งเต้านม): ข้อนี้ไม่ใช่คำตอบที่ถูกต้องสำหรับภาวะ General Therapeutics เนื่องจากกลไกการออกฤทธิ์, efficacy หรือข้อบ่งใช้ไม่ตรงกับโจทย์ที่กำหนด
• ข้อ ค. (ป้องกันมะเร็งเยื่อบุโพรงมดลูก):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จ. (ลดความเสี่ยงของภาวะกระดูกพรุน):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0" s="18" t="inlineStr"/>
      <c r="L1350" s="18" t="inlineStr">
        <is>
          <t>General Therapeutics</t>
        </is>
      </c>
      <c r="M1350" s="18" t="inlineStr">
        <is>
          <t>Clinic</t>
        </is>
      </c>
      <c r="N1350" s="18" t="inlineStr">
        <is>
          <t>ข้อ 33 (PLE_CC1_Practice_Exam.md)</t>
        </is>
      </c>
      <c r="O1350" s="18" t="inlineStr">
        <is>
          <t>Mock</t>
        </is>
      </c>
      <c r="P1350" s="18" t="inlineStr">
        <is>
          <t>Mock สภาเภสัชฯ Practice</t>
        </is>
      </c>
    </row>
    <row r="1351">
      <c r="A1351" s="15" t="inlineStr">
        <is>
          <t>1372</t>
        </is>
      </c>
      <c r="B1351" s="18" t="inlineStr">
        <is>
          <t>หมู่ฟังก์ชันใดบนโครงสร้างของ prednisolone ที่ไม่จำเป็นต่อการจับกับ Glucocorticoid receptor</t>
        </is>
      </c>
      <c r="C1351" s="18" t="inlineStr"/>
      <c r="D1351" s="18" t="inlineStr">
        <is>
          <t>Double bond ตำแหน่งที่ 4-5</t>
        </is>
      </c>
      <c r="E1351" s="18" t="inlineStr">
        <is>
          <t>17-alpha hydroxyl</t>
        </is>
      </c>
      <c r="F1351" s="18" t="inlineStr">
        <is>
          <t>3-carbonyl</t>
        </is>
      </c>
      <c r="G1351" s="18" t="inlineStr">
        <is>
          <t>oxygen atom ตำแหน่งที่ 11</t>
        </is>
      </c>
      <c r="H1351" s="18" t="inlineStr">
        <is>
          <t>17-beta keto side chain</t>
        </is>
      </c>
      <c r="I1351" s="15" t="inlineStr">
        <is>
          <t>1</t>
        </is>
      </c>
      <c r="J1351" s="18" t="inlineStr">
        <is>
          <t>✅ คำตอบที่ถูกต้อง: ข้อ ก. Double bond ตำแหน่งที่ 4-5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Double bond ตำแหน่งที่ 4-5 การเลือก Double bond ตำแหน่งที่ 4-5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(17-alpha hydroxyl): ข้อนี้ไม่ใช่คำตอบที่ถูกต้องสำหรับภาวะ Allergy &amp; Immunology เนื่องจากกลไกการออกฤทธิ์, efficacy หรือข้อบ่งใช้ไม่ตรงกับโจทย์ที่กำหนด
• ข้อ ค. (3-carbonyl): ข้อนี้ไม่ใช่คำตอบที่ถูกต้องสำหรับภาวะ Allergy &amp; Immunology เนื่องจากกลไกการออกฤทธิ์, efficacy หรือข้อบ่งใช้ไม่ตรงกับโจทย์ที่กำหนด
• ข้อ ง. (oxygen atom ตำแหน่งที่ 11): ข้อนี้ไม่ใช่คำตอบที่ถูกต้องสำหรับภาวะ Allergy &amp; Immunology เนื่องจากกลไกการออกฤทธิ์, efficacy หรือข้อบ่งใช้ไม่ตรงกับโจทย์ที่กำหนด
• ข้อ จ. (17-beta keto side chain):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51" s="18" t="inlineStr"/>
      <c r="L1351" s="18" t="inlineStr">
        <is>
          <t>Allergy &amp; Immunology</t>
        </is>
      </c>
      <c r="M1351" s="18" t="inlineStr">
        <is>
          <t>Clinic</t>
        </is>
      </c>
      <c r="N1351" s="18" t="inlineStr">
        <is>
          <t>ข้อ 16 (PLE_CC1_Practice_Exam.md)</t>
        </is>
      </c>
      <c r="O1351" s="18" t="inlineStr">
        <is>
          <t>Mock</t>
        </is>
      </c>
      <c r="P1351" s="18" t="inlineStr">
        <is>
          <t>Mock สภาเภสัชฯ Practice</t>
        </is>
      </c>
    </row>
    <row r="1352">
      <c r="A1352" s="15" t="inlineStr">
        <is>
          <t>1373</t>
        </is>
      </c>
      <c r="B1352" s="18" t="inlineStr">
        <is>
          <t>ยาตัวใดจัดอยู่ในกลุ่ม H1 antagonists ที่เป็น zwitterion</t>
        </is>
      </c>
      <c r="C1352" s="18" t="inlineStr"/>
      <c r="D1352" s="18" t="inlineStr">
        <is>
          <t>Naloxone 0.4 mg IV stat</t>
        </is>
      </c>
      <c r="E1352" s="18" t="inlineStr">
        <is>
          <t>Flumazenil 0.2 mg IV stat</t>
        </is>
      </c>
      <c r="F1352" s="18" t="inlineStr">
        <is>
          <t>Vitamin K1 (Phytomenadione) 10 mg IV slow</t>
        </is>
      </c>
      <c r="G1352" s="18" t="inlineStr">
        <is>
          <t>Sodium thiosulfate 25% 50 mL IV</t>
        </is>
      </c>
      <c r="H1352" s="18" t="inlineStr">
        <is>
          <t>Calcium disodium EDTA 1 g IV</t>
        </is>
      </c>
      <c r="I1352" s="15" t="inlineStr">
        <is>
          <t>1</t>
        </is>
      </c>
      <c r="J135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52" s="18" t="inlineStr"/>
      <c r="L1352" s="18" t="inlineStr">
        <is>
          <t>General Therapeutics</t>
        </is>
      </c>
      <c r="M1352" s="18" t="inlineStr">
        <is>
          <t>Clinic</t>
        </is>
      </c>
      <c r="N1352" s="18" t="inlineStr">
        <is>
          <t>ข้อ 19 (PLE_CC1_Practice_Exam.md)</t>
        </is>
      </c>
      <c r="O1352" s="18" t="inlineStr">
        <is>
          <t>Mock</t>
        </is>
      </c>
      <c r="P1352" s="18" t="inlineStr">
        <is>
          <t>Mock สภาเภสัชฯ Practice</t>
        </is>
      </c>
    </row>
    <row r="1353">
      <c r="A1353" s="15" t="inlineStr">
        <is>
          <t>1374</t>
        </is>
      </c>
      <c r="B1353" s="18" t="inlineStr">
        <is>
          <t>โครงสร้างรูป A และ B เท่านั้นที่สามารถเกิด zwitter ion ได้</t>
        </is>
      </c>
      <c r="C1353" s="18" t="inlineStr"/>
      <c r="D1353" s="18" t="inlineStr">
        <is>
          <t>Sodium thiosulfate 25% 50 mL IV</t>
        </is>
      </c>
      <c r="E1353" s="18" t="inlineStr">
        <is>
          <t>Calcium disodium EDTA 1 g IV</t>
        </is>
      </c>
      <c r="F1353" s="18" t="inlineStr">
        <is>
          <t>Desferrioxamine 1 g IM/IV</t>
        </is>
      </c>
      <c r="G1353" s="18" t="inlineStr">
        <is>
          <t>Dimercaprol (BAL) 3 mg/kg IM</t>
        </is>
      </c>
      <c r="H1353" s="18" t="inlineStr">
        <is>
          <t>Ethanol 10% IV infusion for Methanol poisoning</t>
        </is>
      </c>
      <c r="I1353" s="15" t="inlineStr">
        <is>
          <t>1</t>
        </is>
      </c>
      <c r="J13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3" s="18" t="inlineStr"/>
      <c r="L1353" s="18" t="inlineStr">
        <is>
          <t>General Therapeutics</t>
        </is>
      </c>
      <c r="M1353" s="18" t="inlineStr">
        <is>
          <t>Clinic</t>
        </is>
      </c>
      <c r="N1353" s="18" t="inlineStr">
        <is>
          <t>ข้อ 1 (PLE_CC1_Practice_Exam.md)</t>
        </is>
      </c>
      <c r="O1353" s="18" t="inlineStr">
        <is>
          <t>Mock</t>
        </is>
      </c>
      <c r="P1353" s="18" t="inlineStr">
        <is>
          <t>Mock สภาเภสัชฯ Practice</t>
        </is>
      </c>
    </row>
    <row r="1354">
      <c r="A1354" s="15" t="inlineStr">
        <is>
          <t>1375</t>
        </is>
      </c>
      <c r="B1354" s="18" t="inlineStr">
        <is>
          <t>โครงสร้างรูป C เป็น product ของยาโครงสร้าง D</t>
        </is>
      </c>
      <c r="C1354" s="18" t="inlineStr"/>
      <c r="D1354" s="18" t="inlineStr">
        <is>
          <t>Dimercaprol (BAL) 3 mg/kg IM</t>
        </is>
      </c>
      <c r="E1354" s="18" t="inlineStr">
        <is>
          <t>Ethanol 10% IV infusion for Methanol poisoning</t>
        </is>
      </c>
      <c r="F1354" s="18" t="inlineStr">
        <is>
          <t>Fomepizole 15 mg/kg IV loading</t>
        </is>
      </c>
      <c r="G1354" s="18" t="inlineStr">
        <is>
          <t>N-acetylcysteine (NAC) IV infusion protocol</t>
        </is>
      </c>
      <c r="H1354" s="18" t="inlineStr">
        <is>
          <t>Atropine sulfate 2 mg IV Q5-10 min</t>
        </is>
      </c>
      <c r="I1354" s="15" t="inlineStr">
        <is>
          <t>1</t>
        </is>
      </c>
      <c r="J13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4" s="18" t="inlineStr"/>
      <c r="L1354" s="18" t="inlineStr">
        <is>
          <t>General Therapeutics</t>
        </is>
      </c>
      <c r="M1354" s="18" t="inlineStr">
        <is>
          <t>Clinic</t>
        </is>
      </c>
      <c r="N1354" s="18" t="inlineStr">
        <is>
          <t>ข้อ 2 (PLE_CC1_Practice_Exam.md)</t>
        </is>
      </c>
      <c r="O1354" s="18" t="inlineStr">
        <is>
          <t>Mock</t>
        </is>
      </c>
      <c r="P1354" s="18" t="inlineStr">
        <is>
          <t>Mock สภาเภสัชฯ Practice</t>
        </is>
      </c>
    </row>
    <row r="1355">
      <c r="A1355" s="15" t="inlineStr">
        <is>
          <t>1376</t>
        </is>
      </c>
      <c r="B1355" s="18" t="inlineStr">
        <is>
          <t>หากท่านเป็นเภสัชกรประจำศูนย์ Drug information service แพทย์โทรศัพท์มาปรึกษาว่า มีผู้ป่วยแพ้ยา ที่มีโครงสร้างดังรูป และต้องการทราบว่ายาตัวใดสามารถเกิด Cross Hypersensitivity แบบ Non Type I กับยาดังกล่าว 229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55" s="18" t="inlineStr"/>
      <c r="D1355" s="18" t="inlineStr">
        <is>
          <t>Cetirizine 10 mg OD</t>
        </is>
      </c>
      <c r="E1355" s="18" t="inlineStr">
        <is>
          <t>Loratadine 10 mg OD</t>
        </is>
      </c>
      <c r="F1355" s="18" t="inlineStr">
        <is>
          <t>Fexofenadine 180 mg OD</t>
        </is>
      </c>
      <c r="G1355" s="18" t="inlineStr">
        <is>
          <t>Chlorpheniramine 4 mg TID</t>
        </is>
      </c>
      <c r="H1355" s="18" t="inlineStr">
        <is>
          <t>Fluticasone furoate nasal spray</t>
        </is>
      </c>
      <c r="I1355" s="15" t="inlineStr">
        <is>
          <t>1</t>
        </is>
      </c>
      <c r="J1355" s="18"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23.ผู้ป่วย ก. มีความจำเป็นต้องได้รับยาฆ่าเชื้อแบคทีเรีย และมีประวัติได้รับบัตรแพ้ยากลุ่ม Penicillins ชื่อยา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5" s="18" t="inlineStr"/>
      <c r="L1355" s="18" t="inlineStr">
        <is>
          <t>Allergy &amp; Immunology</t>
        </is>
      </c>
      <c r="M1355" s="18" t="inlineStr">
        <is>
          <t>Clinic</t>
        </is>
      </c>
      <c r="N1355" s="18" t="inlineStr">
        <is>
          <t>ข้อ 21 (PLE_CC1_Practice_Exam.md)</t>
        </is>
      </c>
      <c r="O1355" s="18" t="inlineStr">
        <is>
          <t>Mock</t>
        </is>
      </c>
      <c r="P1355" s="18" t="inlineStr">
        <is>
          <t>Mock สภาเภสัชฯ Practice</t>
        </is>
      </c>
    </row>
    <row r="1356">
      <c r="A1356" s="15" t="inlineStr">
        <is>
          <t>1377</t>
        </is>
      </c>
      <c r="B1356" s="18" t="inlineStr">
        <is>
          <t>หญิงไทยอายุ 20 ปี อาชีพนักศึกษา มาร้านยาด้วยอาการน้ำมูกไหล จาม คัดจมูก มีอาการ3ครั้งต่อสัปดาห์ เนื่องจากหอพักอยู่ติดกับบริเวณที่มีการซ่อมถนน ฝุ่นเยอะ ช่วงนี้เป็นช่วงสอบจึงไม่อยากทานยาที่ทำให้ง่วง ก่อนหน้านี้ยังไม่ได้รับการรักษา ไม่มีโรคประจำตัว ปฏิเสธการแพ้ยา หากทานเป็นเภสัชกรจะเลือกจ่ายยาใด</t>
        </is>
      </c>
      <c r="C1356" s="18" t="inlineStr"/>
      <c r="D1356" s="18" t="inlineStr">
        <is>
          <t>Dimenhydrinate</t>
        </is>
      </c>
      <c r="E1356" s="18" t="inlineStr">
        <is>
          <t>Chlorpeniramine</t>
        </is>
      </c>
      <c r="F1356" s="18" t="inlineStr">
        <is>
          <t>Intranasal budesonide</t>
        </is>
      </c>
      <c r="G1356" s="18" t="inlineStr">
        <is>
          <t>Terfenadine</t>
        </is>
      </c>
      <c r="H1356" s="18" t="inlineStr">
        <is>
          <t>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I1356" s="15" t="inlineStr">
        <is>
          <t>1</t>
        </is>
      </c>
      <c r="J1356" s="18" t="inlineStr">
        <is>
          <t>✅ คำตอบที่ถูกต้อง: ข้อ ก. Dimenhydrinate
💡 Background:
กฎหมายยาและจรรยาบรรณวิชาชีพมีขึ้นเพื่อคุ้มครองความปลอดภัยของผู้บริโภคตามมาตรฐาน Good Pharmacy Practice (GPP)
🎯 ทำไมข้อนี้ถึงถูก:
Dimenhydrinate 💡 คำอธิบายและข้อกำหนดทางกฎหมาย:
💡 คำอธิบายและข้อกำหนดทางกฎหมาย:
การเลือก Dimenhydrinate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(Chlorpeniramine): ข้อนี้ไม่ใช่คำตอบที่ถูกต้องสำหรับภาวะ Pharmacy Laws &amp; Ethics เนื่องจากกลไกการออกฤทธิ์, efficacy หรือข้อบ่งใช้ไม่ตรงกับโจทย์ที่กำหนด
• ข้อ ค. (Intranasal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ข้อนี้ไม่ใช่คำตอบที่ถูกต้องสำหรับภาวะ Pharmacy Laws &amp; Ethics เนื่องจากกลไกการออกฤทธิ์, efficacy หรือข้อบ่งใช้ไม่ตรงกับโจทย์ที่กำหนด
• ข้อ จ. (Fexofenidine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6" s="18" t="inlineStr"/>
      <c r="L1356" s="18" t="inlineStr">
        <is>
          <t>Pharmacy Laws &amp; Ethics</t>
        </is>
      </c>
      <c r="M1356" s="18" t="inlineStr">
        <is>
          <t>SAP</t>
        </is>
      </c>
      <c r="N1356" s="18" t="inlineStr">
        <is>
          <t>ข้อ 26 (PLE_CC1_Practice_Exam.md)</t>
        </is>
      </c>
      <c r="O1356" s="18" t="inlineStr">
        <is>
          <t>Mock</t>
        </is>
      </c>
      <c r="P1356" s="18" t="inlineStr">
        <is>
          <t>Mock สภาเภสัชฯ Practice</t>
        </is>
      </c>
    </row>
    <row r="1357">
      <c r="A1357" s="15" t="inlineStr">
        <is>
          <t>1378</t>
        </is>
      </c>
      <c r="B1357" s="18" t="inlineStr">
        <is>
          <t>ผู้ป่วยเด็กอายุ 3 ปี ผู้ปกครองนำมาร้านยาด้วยอาการ น้ำมูกไหล จาม มีรอยคล้ำใต้ตา คัดจมูกมากจน รบกวนการนอน รับประทานอาหารน้อยลง เป็นเวลา 2 วัน จากการซักประวัติพบว่า 4 วันก่อนได้มีการปลูก ต้นไม้ใหม่ในบริเวณสวนหน้าบ้าน และทุกวันจะพบเกสรดอกไม้ถูกพัดเข้ามาภายในบ้าน โดยที่บริเวณบ้านไม่มี การก่อสร้าง และไม่มีการเลี้ยงสัตว์เลี้ยง ถ้าท่านเป็นเภสัชกรประจำร้านยา ท่านมีวิธีจัดการอย่างไรจึงเหมาะสม ที่สุด</t>
        </is>
      </c>
      <c r="C1357" s="18" t="inlineStr"/>
      <c r="D1357" s="18" t="inlineStr">
        <is>
          <t>จ่ายยา Cetirizine hydrochloride</t>
        </is>
      </c>
      <c r="E1357" s="18" t="inlineStr">
        <is>
          <t>จ่ายยา Fluticasone furaote spray</t>
        </is>
      </c>
      <c r="F1357" s="18" t="inlineStr">
        <is>
          <t>จ่ายยา Chlorpheniramine maleate</t>
        </is>
      </c>
      <c r="G1357" s="18" t="inlineStr">
        <is>
          <t>จ่ายยา Loratadine</t>
        </is>
      </c>
      <c r="H1357" s="18" t="inlineStr">
        <is>
          <t>จ่ายยา Azelastine hydrochloride</t>
        </is>
      </c>
      <c r="I1357" s="15" t="inlineStr">
        <is>
          <t>1</t>
        </is>
      </c>
      <c r="J1357" s="18" t="inlineStr">
        <is>
          <t>✅ คำตอบที่ถูกต้อง: ข้อ ก. จ่ายยา Cetirizine hydrochloride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Cetirizine hydrochloride 💡 คำอธิบายและข้อกำหนดทางกฎหมาย:
💡 คำอธิบายและข้อกำหนดทางกฎหมาย:
การเลือก จ่ายยา Cetirizine hydrochloride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(จ่ายยา Fluticasone furaote spray): เป็น potent ICS มี high topical potency และ systemic bioavailability ต่ำ ใช้เป็น maintenance anti-inflammatory controller ใน moderate-to-severe asthma และ COPD with high eosinophils
• ข้อ ค. (จ่ายยา Chlorpheniramine maleate): เป็น 1st generation H1-antihistamine มี anticholinergic ADRs เด่น (ง่วงซึม ปากแห้ง ตาพร่า ปัสสาวะคั่ง ท้องผูก) ควรหลีกเลี่ยงในผู้สูงอายุตาม Beers Criteria
• ข้อ ง. (จ่ายยา Loratadine):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Azelastine hydrochloride):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7" s="18" t="inlineStr"/>
      <c r="L1357" s="18" t="inlineStr">
        <is>
          <t>Pharmacy Laws &amp; Ethics</t>
        </is>
      </c>
      <c r="M1357" s="18" t="inlineStr">
        <is>
          <t>SAP</t>
        </is>
      </c>
      <c r="N1357" s="18" t="inlineStr">
        <is>
          <t>ข้อ 28 (PLE_CC1_Practice_Exam.md)</t>
        </is>
      </c>
      <c r="O1357" s="18" t="inlineStr">
        <is>
          <t>Mock</t>
        </is>
      </c>
      <c r="P1357" s="18" t="inlineStr">
        <is>
          <t>Mock สภาเภสัชฯ Practice</t>
        </is>
      </c>
    </row>
    <row r="1358">
      <c r="A1358" s="15" t="inlineStr">
        <is>
          <t>1379</t>
        </is>
      </c>
      <c r="B1358" s="18" t="inlineStr">
        <is>
          <t>เปรมชัย มาร้านยา เพื่อขอซื้อยาบรรเทาอาการหนังตาบวม ไม่มีอาการคัน เมื่อซักประวัติพบว่า มักซื้อ ส้มตำปลาร้าดิบ มารับประทานเป็นประจำ หนึ่งสัปดาห์ก่อน หกล้มจึงไปซื้อยาแก้ปวด Ibuprofen มา รับประทาน ถ้าท่านเป็นเภสัชกรประจำร้านจะจัดการกับปัญหานี้อย่างไร</t>
        </is>
      </c>
      <c r="C1358" s="18" t="inlineStr"/>
      <c r="D1358" s="18" t="inlineStr">
        <is>
          <t>จ่ายยา Albendazole วันละ 400 มิลลิกรัม วันละ 2 ครั้งเช้าเย็น ติดต่อกันนาน 21 วัน</t>
        </is>
      </c>
      <c r="E1358" s="18" t="inlineStr">
        <is>
          <t>จ่ายยา Mebendazole 100 มิลลิกรัมวันละ 2 ครั้งเช้าเย็น ติดต่อกันนาน 3 วัน</t>
        </is>
      </c>
      <c r="F1358" s="18" t="inlineStr">
        <is>
          <t>ให้ผู้ป่วยหยุดยาแก้ปวด เนื่องจากคาดว่าเกิดจากการแพ้ยา และแนะนำให้ไปพบแพทย์</t>
        </is>
      </c>
      <c r="G1358" s="18" t="inlineStr">
        <is>
          <t>จ่ายยา chlorpheniramine 4 มิลลิกรัม รับประทานวันละ 1 เม็ดก่อนนอน</t>
        </is>
      </c>
      <c r="H1358" s="18" t="inlineStr">
        <is>
          <t>จ่ายยา 0.5%Prednisolone ทาบริเวณที่ตาบวม</t>
        </is>
      </c>
      <c r="I1358" s="15" t="inlineStr">
        <is>
          <t>1</t>
        </is>
      </c>
      <c r="J1358" s="18" t="inlineStr">
        <is>
          <t>✅ คำตอบที่ถูกต้อง: ข้อ ก. จ่ายยา Albendazole วันละ 400 มิลลิกรัม วันละ 2 ครั้งเช้าเย็น ติดต่อกันนาน 21 วัน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จ่ายยา Albendazole วันละ 400 มิลลิกรัม วันละ 2 ครั้งเช้าเย็น ติดต่อกันนาน 21 วัน การเลือก จ่ายยา Albendazole วันละ 400 มิลลิกรัม วันละ 2 ครั้งเช้าเย็น ติดต่อกันนาน 21 วัน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(จ่ายยา Mebendazole 100 มิลลิกรัมวันละ 2 ครั้งเช้าเย็น ติดต่อกันนาน 3 วัน): ข้อนี้ไม่ใช่คำตอบที่ถูกต้องสำหรับภาวะ Musculoskeletal &amp; Joint เนื่องจากกลไกการออกฤทธิ์, efficacy หรือข้อบ่งใช้ไม่ตรงกับโจทย์ที่กำหนด
• ข้อ ค. (ให้ผู้ป่วยหยุดยาแก้ปวด เนื่องจากคาดว่าเกิดจากการแพ้ยา และแนะนำให้ไปพบแพทย์): ข้อนี้ไม่ใช่คำตอบที่ถูกต้องสำหรับภาวะ Musculoskeletal &amp; Joint เนื่องจากกลไกการออกฤทธิ์, efficacy หรือข้อบ่งใช้ไม่ตรงกับโจทย์ที่กำหนด
• ข้อ ง. (จ่ายยา chlorpheniramine 4 มิลลิกรัม รับประทานวันละ 1 เม็ดก่อนนอน): เป็น 1st generation H1-antihistamine มี anticholinergic ADRs เด่น (ง่วงซึม ปากแห้ง ตาพร่า ปัสสาวะคั่ง ท้องผูก) ควรหลีกเลี่ยงในผู้สูงอายุตาม Beers Criteria
• ข้อ จ. (จ่ายยา 0.5%Prednisolone ทาบริเวณที่ตาบวม):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58" s="18" t="inlineStr"/>
      <c r="L1358" s="18" t="inlineStr">
        <is>
          <t>Musculoskeletal &amp; Joint</t>
        </is>
      </c>
      <c r="M1358" s="18" t="inlineStr">
        <is>
          <t>Clinic</t>
        </is>
      </c>
      <c r="N1358" s="18" t="inlineStr">
        <is>
          <t>ข้อ 35 (PLE_CC1_Practice_Exam.md)</t>
        </is>
      </c>
      <c r="O1358" s="18" t="inlineStr">
        <is>
          <t>Mock</t>
        </is>
      </c>
      <c r="P1358" s="18" t="inlineStr">
        <is>
          <t>Mock สภาเภสัชฯ Practice</t>
        </is>
      </c>
    </row>
    <row r="1359">
      <c r="A1359" s="15" t="inlineStr">
        <is>
          <t>1380</t>
        </is>
      </c>
      <c r="B1359" s="18" t="inlineStr">
        <is>
          <t>ข้อใดต่อไปนี้กล่าวผิด</t>
        </is>
      </c>
      <c r="C1359" s="18" t="inlineStr"/>
      <c r="D1359" s="18" t="inlineStr">
        <is>
          <t>วัคซีน MMR, VR, BCG, Influenza สามารถให้ได้ในคนท้อง</t>
        </is>
      </c>
      <c r="E1359" s="18" t="inlineStr">
        <is>
          <t>บุคลากรทางการแพทย์และเภสัชกรควรฉีดวัคซีนไข้หวัดใหญ่ ปีละ 1 ครั้ง ทุกปี</t>
        </is>
      </c>
      <c r="F1359" s="18" t="inlineStr">
        <is>
          <t>เด็กที่มีน้ำหนักตัวน้อยไม่ต้องลดขนาดวัคซีน ยกเว้น RIG</t>
        </is>
      </c>
      <c r="G1359" s="18" t="inlineStr">
        <is>
          <t>หากโดนสุนัขกัด นอกจากให้วัคซีนป้องกันพิษสุนัขบ้าแล้ว สามารถให้วัคซีนบาดทะยักและ Antibiotic ร่วมด้วยได้</t>
        </is>
      </c>
      <c r="H1359" s="18" t="inlineStr">
        <is>
          <t>เมื่อคนใกล้ชิดเป็นโรคอีสุกอีใส เราควรได้รับวัคซีนภายใน 72-120 ชม. หลังสัมผัสกับเชื้อ</t>
        </is>
      </c>
      <c r="I1359" s="15" t="inlineStr">
        <is>
          <t>1</t>
        </is>
      </c>
      <c r="J1359" s="18" t="inlineStr">
        <is>
          <t>✅ คำตอบที่ถูกต้อง: ข้อ ก. วัคซีน MMR, VR, BCG, Influenza สามารถให้ได้ในคนท้อง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วัคซีน MMR, VR, BCG, Influenza สามารถให้ได้ในคนท้อง การเลือก วัคซีน MMR, VR, BCG, Influenza สามารถให้ได้ในคนท้อง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(บุคลากรทางการแพทย์และเภสัชกรควรฉีดวัคซีนไข้หวัดใหญ่ ปีละ 1 ครั้ง ทุกปี): ข้อนี้ไม่ใช่คำตอบที่ถูกต้องสำหรับภาวะ General Therapeutics เนื่องจากกลไกการออกฤทธิ์, efficacy หรือข้อบ่งใช้ไม่ตรงกับโจทย์ที่กำหนด
• ข้อ ค. (เด็กที่มีน้ำหนักตัวน้อยไม่ต้องลดขนาดวัคซีน ยกเว้น RIG): ข้อนี้ไม่ใช่คำตอบที่ถูกต้องสำหรับภาวะ General Therapeutics เนื่องจากกลไกการออกฤทธิ์, efficacy หรือข้อบ่งใช้ไม่ตรงกับโจทย์ที่กำหนด
• ข้อ ง. (หากโดนสุนัขกัด นอกจากให้วัคซีนป้องกันพิษสุนัขบ้าแล้ว สามารถให้วัคซีนบาดทะยักและ Antibiotic ร่วมด้วยได้):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(เมื่อคนใกล้ชิดเป็นโรคอีสุกอีใส เราควรได้รับวัคซีนภายใน 72-120 ชม. หลังสัมผัสกับเชื้อ):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9" s="18" t="inlineStr"/>
      <c r="L1359" s="18" t="inlineStr">
        <is>
          <t>General Therapeutics</t>
        </is>
      </c>
      <c r="M1359" s="18" t="inlineStr">
        <is>
          <t>Clinic</t>
        </is>
      </c>
      <c r="N1359" s="18" t="inlineStr">
        <is>
          <t>ข้อ 36 (PLE_CC1_Practice_Exam.md)</t>
        </is>
      </c>
      <c r="O1359" s="18" t="inlineStr">
        <is>
          <t>Mock</t>
        </is>
      </c>
      <c r="P1359" s="18" t="inlineStr">
        <is>
          <t>Mock สภาเภสัชฯ Practice</t>
        </is>
      </c>
    </row>
    <row r="1360">
      <c r="A1360" s="15" t="inlineStr">
        <is>
          <t>1381</t>
        </is>
      </c>
      <c r="B1360" s="18" t="inlineStr">
        <is>
          <t>คำอธิบาย หมู่ฟังก์ชันบนโครงสร้างของ Corticosteroids ที่จำเป็นต่อการจับกับ Glucocorticoid receptor คือ</t>
        </is>
      </c>
      <c r="C1360" s="18" t="inlineStr"/>
      <c r="D1360" s="18" t="inlineStr">
        <is>
          <t>Cross-Sectional Survey Prevalence Study</t>
        </is>
      </c>
      <c r="E1360" s="18" t="inlineStr">
        <is>
          <t>Cost-Effectiveness Analysis (Incremental Cost-Effectiveness Ratio: ICER)</t>
        </is>
      </c>
      <c r="F1360" s="18" t="inlineStr">
        <is>
          <t>Cost-Utility Analysis (Quality-Adjusted Life Years: QALY)</t>
        </is>
      </c>
      <c r="G1360" s="18" t="inlineStr">
        <is>
          <t>Cost-Benefit Analysis (Net Monetary Benefit)</t>
        </is>
      </c>
      <c r="H1360" s="18" t="inlineStr">
        <is>
          <t>Cost-Minimization Analysis (CMA)</t>
        </is>
      </c>
      <c r="I1360" s="15" t="inlineStr">
        <is>
          <t>2</t>
        </is>
      </c>
      <c r="J1360" s="18" t="inlineStr">
        <is>
          <t>✅ คำตอบที่ถูกต้อง: ข้อ ข.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จ.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0" s="18" t="inlineStr"/>
      <c r="L1360" s="18" t="inlineStr">
        <is>
          <t>Biostats &amp; Research</t>
        </is>
      </c>
      <c r="M1360" s="18" t="inlineStr">
        <is>
          <t>SAP</t>
        </is>
      </c>
      <c r="N1360" s="18" t="inlineStr">
        <is>
          <t>ข้อ 16 (PLE_CC1_Practice_Exam.md)</t>
        </is>
      </c>
      <c r="O1360" s="18" t="inlineStr">
        <is>
          <t>Mock</t>
        </is>
      </c>
      <c r="P1360" s="18" t="inlineStr">
        <is>
          <t>Mock สภาเภสัชฯ Practice</t>
        </is>
      </c>
    </row>
    <row r="1361">
      <c r="A1361" s="15" t="inlineStr">
        <is>
          <t>1382</t>
        </is>
      </c>
      <c r="B1361" s="18" t="inlineStr">
        <is>
          <t>Double bond ตำแหน่งที่ 4-5</t>
        </is>
      </c>
      <c r="C1361" s="18" t="inlineStr"/>
      <c r="D1361" s="18" t="inlineStr">
        <is>
          <t>Sodium thiosulfate 25% 50 mL IV</t>
        </is>
      </c>
      <c r="E1361" s="18" t="inlineStr">
        <is>
          <t>Calcium disodium EDTA 1 g IV</t>
        </is>
      </c>
      <c r="F1361" s="18" t="inlineStr">
        <is>
          <t>Desferrioxamine 1 g IM/IV</t>
        </is>
      </c>
      <c r="G1361" s="18" t="inlineStr">
        <is>
          <t>Dimercaprol (BAL) 3 mg/kg IM</t>
        </is>
      </c>
      <c r="H1361" s="18" t="inlineStr">
        <is>
          <t>Ethanol 10% IV infusion for Methanol poisoning</t>
        </is>
      </c>
      <c r="I1361" s="15" t="inlineStr">
        <is>
          <t>1</t>
        </is>
      </c>
      <c r="J13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1" s="18" t="inlineStr"/>
      <c r="L1361" s="18" t="inlineStr">
        <is>
          <t>General Therapeutics</t>
        </is>
      </c>
      <c r="M1361" s="18" t="inlineStr">
        <is>
          <t>Clinic</t>
        </is>
      </c>
      <c r="N1361" s="18" t="inlineStr">
        <is>
          <t>ข้อ 1 (PLE_CC1_Practice_Exam.md)</t>
        </is>
      </c>
      <c r="O1361" s="18" t="inlineStr">
        <is>
          <t>Mock</t>
        </is>
      </c>
      <c r="P1361" s="18" t="inlineStr">
        <is>
          <t>Mock สภาเภสัชฯ Practice</t>
        </is>
      </c>
    </row>
    <row r="1362">
      <c r="A1362" s="15" t="inlineStr">
        <is>
          <t>1383</t>
        </is>
      </c>
      <c r="B1362" s="18" t="inlineStr">
        <is>
          <t>oxygen atom หรือ hydroxyl group ตำแหน่งที่ 11</t>
        </is>
      </c>
      <c r="C1362" s="18" t="inlineStr"/>
      <c r="D1362" s="18" t="inlineStr">
        <is>
          <t>Dimercaprol (BAL) 3 mg/kg IM</t>
        </is>
      </c>
      <c r="E1362" s="18" t="inlineStr">
        <is>
          <t>Ethanol 10% IV infusion for Methanol poisoning</t>
        </is>
      </c>
      <c r="F1362" s="18" t="inlineStr">
        <is>
          <t>Fomepizole 15 mg/kg IV loading</t>
        </is>
      </c>
      <c r="G1362" s="18" t="inlineStr">
        <is>
          <t>N-acetylcysteine (NAC) IV infusion protocol</t>
        </is>
      </c>
      <c r="H1362" s="18" t="inlineStr">
        <is>
          <t>Atropine sulfate 2 mg IV Q5-10 min</t>
        </is>
      </c>
      <c r="I1362" s="15" t="inlineStr">
        <is>
          <t>1</t>
        </is>
      </c>
      <c r="J13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2" s="18" t="inlineStr"/>
      <c r="L1362" s="18" t="inlineStr">
        <is>
          <t>General Therapeutics</t>
        </is>
      </c>
      <c r="M1362" s="18" t="inlineStr">
        <is>
          <t>Clinic</t>
        </is>
      </c>
      <c r="N1362" s="18" t="inlineStr">
        <is>
          <t>ข้อ 3 (PLE_CC1_Practice_Exam.md)</t>
        </is>
      </c>
      <c r="O1362" s="18" t="inlineStr">
        <is>
          <t>Mock</t>
        </is>
      </c>
      <c r="P1362" s="18" t="inlineStr">
        <is>
          <t>Mock สภาเภสัชฯ Practice</t>
        </is>
      </c>
    </row>
    <row r="1363">
      <c r="A1363" s="15" t="inlineStr">
        <is>
          <t>1384</t>
        </is>
      </c>
      <c r="B1363" s="18" t="inlineStr">
        <is>
          <t>เหตุผล</t>
        </is>
      </c>
      <c r="C1363" s="18" t="inlineStr"/>
      <c r="D1363" s="18" t="inlineStr">
        <is>
          <t>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t>
        </is>
      </c>
      <c r="E1363" s="18" t="inlineStr">
        <is>
          <t>โครงสร้าง B คือ Hydrocortisone ซึ่งเป็นยาในกลุ่ม Glucocorticoids มีฤทธิ์ anti-inflammatory จึงใช้เป็นยาแก้ปวด</t>
        </is>
      </c>
      <c r="F1363" s="18" t="inlineStr">
        <is>
          <t>โครงสร้าง C คือ Prednisolone ซึ่งมี double bound ที่ตำแหน่ง C1 และ C2 ทำให้มีฤทธิ์ anti- inflammatory เพิ่มมากขึ้น</t>
        </is>
      </c>
      <c r="G1363" s="18" t="inlineStr">
        <is>
          <t>โครงสร้าง D คือ Triamcinolone มียารูปแบบรับประทาน</t>
        </is>
      </c>
      <c r="H1363" s="18" t="inlineStr">
        <is>
          <t>การมี double bound ที่ตำแหน่ง C1 และ C2 ในโครงสร้าง C และ D จะช่วยทำให้ลดการเกิด side effect จาก Mineralcorticoid activity ที่ทำให้เกิด edema ได้</t>
        </is>
      </c>
      <c r="I1363" s="15" t="inlineStr">
        <is>
          <t>2</t>
        </is>
      </c>
      <c r="J1363" s="18" t="inlineStr">
        <is>
          <t>✅ คำตอบที่ถูกต้อง: ข้อ ข. โครงสร้าง B คือ Hydrocortisone ซึ่งเป็นยาในกลุ่ม Glucocorticoids มีฤทธิ์ anti-inflammatory จึงใช้เป็นยาแก้ปวด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 B คือ Hydrocortisone ซึ่งเป็นยาในกลุ่ม Glucocorticoids มีฤทธิ์ anti-inflammatory จึงใช้เป็นยาแก้ปวด การเลือก โครงสร้าง B คือ Hydrocortisone ซึ่งเป็นยาในกลุ่ม Glucocorticoids มีฤทธิ์ anti-inflammatory จึงใช้เป็นยาแก้ปวด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 C คือ Prednisolone ซึ่งมี double bound ที่ตำแหน่ง C1 และ C2 ทำให้มีฤทธิ์ anti- inflammatory เพิ่มมากขึ้น): เป็น intermediate-acting systemic corticosteroid ขนาดยอดนิยมสำหรับ immunosuppressive &amp; anti-inflammatory therapy ต้องระวัง Cushingoid, infection, osteoporosis, peptic ulcer
• ข้อ ง. (โครงสร้าง D คือ Triamcinolone มียารูปแบบรับประทาน):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จ. (การมี double bound ที่ตำแหน่ง C1 และ C2 ในโครงสร้าง C และ D จะช่วยทำให้ลดการเกิด side effect จาก Mineralcorticoid activity ที่ทำให้เกิด edema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3" s="18" t="inlineStr"/>
      <c r="L1363" s="18" t="inlineStr">
        <is>
          <t>General Therapeutics</t>
        </is>
      </c>
      <c r="M1363" s="18" t="inlineStr">
        <is>
          <t>Clinic</t>
        </is>
      </c>
      <c r="N1363" s="18" t="inlineStr">
        <is>
          <t>ข้อ 17 (PLE_CC1_Practice_Exam.md)</t>
        </is>
      </c>
      <c r="O1363" s="18" t="inlineStr">
        <is>
          <t>Mock</t>
        </is>
      </c>
      <c r="P1363" s="18" t="inlineStr">
        <is>
          <t>Mock สภาเภสัชฯ Practice</t>
        </is>
      </c>
    </row>
    <row r="1364">
      <c r="A1364" s="15" t="inlineStr">
        <is>
          <t>1385</t>
        </is>
      </c>
      <c r="B1364" s="18" t="inlineStr">
        <is>
          <t>เนื่องจาก ผู้ป่วยมีอาการหนังตาบวม (angioedema) และไม่มีอาการคันที่หนังตา ซึ่งสอดคล้องกับอาการแพ้ จากยา Ibuprofen และไม่มีการแสดงออกของการเคลื่อนที่ของพยาธิ จึงตัดสาเหตุจากการติดพยาธิตัวจี๊ดที่อยู่ ในปลาร้าดิบ ดังนั้น ข้อ 1 และ ข้อ 2 จึงไม่ถูกต้อง เพราะไม่มีข้อบ่งใช้ ส่วนข้อ 4 และ ข้อ 5 เป็นยาแก้แพ้ก็ จริง แต่ผู้ป่วยไม่ได้สัมผัสสิ่งที่ทำให้เกิดอาการแพ้ จึงไม่ถูกต้อง และควรหยุดใช้ยาที่เป็นสาเหตุ คือ Ibuprofen แล้วอาการ angioedema จะค่อยๆหายไปเอง 254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64" s="18" t="inlineStr"/>
      <c r="D1364" s="18" t="inlineStr">
        <is>
          <t>Colchicine 0.6 mg OD</t>
        </is>
      </c>
      <c r="E1364" s="18" t="inlineStr">
        <is>
          <t>Naproxen 250 mg BID</t>
        </is>
      </c>
      <c r="F1364" s="18" t="inlineStr">
        <is>
          <t>Allopurinol 100 mg OD</t>
        </is>
      </c>
      <c r="G1364" s="18" t="inlineStr">
        <is>
          <t>Febuxostat 40 mg OD</t>
        </is>
      </c>
      <c r="H1364" s="18" t="inlineStr">
        <is>
          <t>Celecoxib 200 mg OD</t>
        </is>
      </c>
      <c r="I1364" s="15" t="inlineStr">
        <is>
          <t>2</t>
        </is>
      </c>
      <c r="J1364" s="18" t="inlineStr">
        <is>
          <t>✅ คำตอบที่ถูกต้อง: ข้อ ข. Naproxen 250 mg BID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Naproxen 250 mg BID การเลือก Naproxen 250 mg BID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(Colchicine 0.6 mg OD): ยับยั้ง microtubule polymerization และ neutrophil chemotaxis เป็น first-line ใน acute gout flare และ flare prophylaxis แต่มี ADR เด่นทาง GI (ท้องเสีย คลื่นไส้)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1364" s="18" t="inlineStr"/>
      <c r="L1364" s="18" t="inlineStr">
        <is>
          <t>Musculoskeletal &amp; Joint</t>
        </is>
      </c>
      <c r="M1364" s="18" t="inlineStr">
        <is>
          <t>Clinic</t>
        </is>
      </c>
      <c r="N1364" s="18" t="inlineStr">
        <is>
          <t>ข้อ 35 (PLE_CC1_Practice_Exam.md)</t>
        </is>
      </c>
      <c r="O1364" s="18" t="inlineStr">
        <is>
          <t>Mock</t>
        </is>
      </c>
      <c r="P1364" s="18" t="inlineStr">
        <is>
          <t>Mock สภาเภสัชฯ Practice</t>
        </is>
      </c>
    </row>
    <row r="1365">
      <c r="A1365" s="15" t="inlineStr">
        <is>
          <t>1386</t>
        </is>
      </c>
      <c r="B1365" s="18" t="inlineStr">
        <is>
          <t>ยาใดไม่มีข้อบ่งใช้ในผู้ป่วยรายนี้</t>
        </is>
      </c>
      <c r="C1365" s="18" t="inlineStr"/>
      <c r="D1365" s="18" t="inlineStr">
        <is>
          <t>NaHCO3</t>
        </is>
      </c>
      <c r="E1365" s="18" t="inlineStr">
        <is>
          <t>Propranolol</t>
        </is>
      </c>
      <c r="F1365" s="18" t="inlineStr">
        <is>
          <t>Simvastatin</t>
        </is>
      </c>
      <c r="G1365" s="18" t="inlineStr">
        <is>
          <t>Calcium polystyrene sulfonate</t>
        </is>
      </c>
      <c r="H1365" s="18" t="inlineStr">
        <is>
          <t>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t>
        </is>
      </c>
      <c r="I1365" s="15" t="inlineStr">
        <is>
          <t>1</t>
        </is>
      </c>
      <c r="J1365" s="18" t="inlineStr">
        <is>
          <t>✅ คำตอบที่ถูกต้อง: ข้อ ก. NaHCO3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NaHCO3 และมีน้ ามูกไหล แม่จึงพาไปร้านขายยาเพื่อไปซื้อยาแก้ไข้และยาลดน้ ามูกอีกทั้งได้ซื้อวิตามินซีกลับมาด้วยซึ่งให้
🔍 ข้ออื่นผิดเพราะอะไร:
• ข้อ ข. (Propranolol): เป็น non-selective beta-blocker ข้าม blood-brain barrier ได้ดี เหมาะสำหรับ performance anxiety, essential tremor, migraine prophylaxis และ thyroid storm แต่ contraindication ใน asthma
• ข้อ ค. (Simvastatin): เป็น moderate-intensity statin เมแทบอไลต์ผ่าน CYP3A4 เด่นชัด ห้ามใช้ dose 80 mg และมี drug interactions สูงกับ CYP3A4 inhibitors (clarithromycin, ketoconazole)
• ข้อ ง. (Calcium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จ. (Ferrous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5" s="18" t="inlineStr"/>
      <c r="L1365" s="18" t="inlineStr">
        <is>
          <t>General Therapeutics</t>
        </is>
      </c>
      <c r="M1365" s="18" t="inlineStr">
        <is>
          <t>Clinic</t>
        </is>
      </c>
      <c r="N1365" s="18" t="inlineStr">
        <is>
          <t>ข้อ 10 (PLE_CC1_Practice_Exam.md)</t>
        </is>
      </c>
      <c r="O1365" s="18" t="inlineStr">
        <is>
          <t>Mock</t>
        </is>
      </c>
      <c r="P1365" s="18" t="inlineStr">
        <is>
          <t>Mock สภาเภสัชฯ Practice</t>
        </is>
      </c>
    </row>
    <row r="1366">
      <c r="A1366" s="15" t="inlineStr">
        <is>
          <t>1387</t>
        </is>
      </c>
      <c r="B1366" s="18" t="inlineStr">
        <is>
          <t>การทำแกรนูลไม่สามารถแก้ปัญหาใดได้</t>
        </is>
      </c>
      <c r="C1366" s="18" t="inlineStr"/>
      <c r="D1366" s="18" t="inlineStr">
        <is>
          <t>Instability ของ acid-labile drug</t>
        </is>
      </c>
      <c r="E1366" s="18" t="inlineStr">
        <is>
          <t>Poor flowability</t>
        </is>
      </c>
      <c r="F1366" s="18" t="inlineStr">
        <is>
          <t>Low compressibility</t>
        </is>
      </c>
      <c r="G1366" s="18" t="inlineStr">
        <is>
          <t>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H1366" s="18" t="inlineStr">
        <is>
          <t>Segregation</t>
        </is>
      </c>
      <c r="I1366" s="15" t="inlineStr">
        <is>
          <t>1</t>
        </is>
      </c>
      <c r="J1366" s="18" t="inlineStr">
        <is>
          <t>✅ คำตอบที่ถูกต้อง: ข้อ ก. Instability ของ acid-labile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Instability ของ acid-labile drug การเลือก Instability ของ acid-labile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(Poor flowability): ข้อนี้ไม่ใช่คำตอบที่ถูกต้องสำหรับภาวะ General Therapeutics เนื่องจากกลไกการออกฤทธิ์, efficacy หรือข้อบ่งใช้ไม่ตรงกับโจทย์ที่กำหนด
• ข้อ ค. (Low compressibility): ข้อนี้ไม่ใช่คำตอบที่ถูกต้องสำหรับภาวะ General Therapeutics เนื่องจากกลไกการออกฤทธิ์, efficacy หรือข้อบ่งใช้ไม่ตรงกับโจทย์ที่กำหนด
• ข้อ ง. (Non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(Segregation):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6" s="18" t="inlineStr"/>
      <c r="L1366" s="18" t="inlineStr">
        <is>
          <t>General Therapeutics</t>
        </is>
      </c>
      <c r="M1366" s="18" t="inlineStr">
        <is>
          <t>Clinic</t>
        </is>
      </c>
      <c r="N1366" s="18" t="inlineStr">
        <is>
          <t>ข้อ 18 (PLE_CC1_Practice_Exam.md)</t>
        </is>
      </c>
      <c r="O1366" s="18" t="inlineStr">
        <is>
          <t>Mock</t>
        </is>
      </c>
      <c r="P1366" s="18" t="inlineStr">
        <is>
          <t>Mock สภาเภสัชฯ Practice</t>
        </is>
      </c>
    </row>
    <row r="1367">
      <c r="A1367" s="15" t="inlineStr">
        <is>
          <t>1388</t>
        </is>
      </c>
      <c r="B1367" s="18" t="inlineStr">
        <is>
          <t>ตัวยาสำคัญในข้อใดเหมาะสมที่จะนำมาเตรียมเป็นยาลูกกลอน (pills)</t>
        </is>
      </c>
      <c r="C1367" s="18" t="inlineStr"/>
      <c r="D1367" s="18" t="inlineStr">
        <is>
          <t>ตัวยาที่ต้องการการออกฤทธิ์เร็วแต่ใช้ในขนาดที่สูง</t>
        </is>
      </c>
      <c r="E1367" s="18" t="inlineStr">
        <is>
          <t>ตัวยาที่ต้องการการออกฤทธิ์ช้าแต่ใช้ในขนาดที่ต่ำ</t>
        </is>
      </c>
      <c r="F1367" s="18" t="inlineStr">
        <is>
          <t>ตัวยาเป็นของเหลวหนืดและเสื่อมสลายเมื่อโดนความร้อน</t>
        </is>
      </c>
      <c r="G1367" s="18" t="inlineStr">
        <is>
          <t>ตัวยาเป็นผงแห้งแต่มีสมบัติ deliquescent</t>
        </is>
      </c>
      <c r="H1367" s="18" t="inlineStr">
        <is>
          <t>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7" s="15" t="inlineStr">
        <is>
          <t>1</t>
        </is>
      </c>
      <c r="J1367" s="18" t="inlineStr">
        <is>
          <t>✅ คำตอบที่ถูกต้อง: ข้อ ก. ตัวยาที่ต้องการการออกฤทธิ์เร็วแต่ใช้ในขนาดที่สูง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ตัวยาที่ต้องการการออกฤทธิ์เร็วแต่ใช้ในขนาดที่สูง การเลือก ตัวยาที่ต้องการการออกฤทธิ์เร็วแต่ใช้ในขนาดที่สูง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(ตัวยาที่ต้องการการออกฤทธิ์ช้าแต่ใช้ในขนาดที่ต่ำ): ข้อนี้ไม่ใช่คำตอบที่ถูกต้องสำหรับภาวะ General Therapeutics เนื่องจากกลไกการออกฤทธิ์, efficacy หรือข้อบ่งใช้ไม่ตรงกับโจทย์ที่กำหนด
• ข้อ ค. (ตัวยาเป็นของเหลวหนืดและเสื่อมสลายเมื่อโดนความร้อน):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ง. (ตัวยาเป็นผงแห้งแต่มีสมบัติ deliquescent): ข้อนี้ไม่ใช่คำตอบที่ถูกต้องสำหรับภาวะ General Therapeutics เนื่องจากกลไกการออกฤทธิ์, efficacy หรือข้อบ่งใช้ไม่ตรงกับโจทย์ที่กำหนด
• ข้อ จ. (ตัวยาเป็นผงแห้งแต่มีสมบัติ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7" s="18" t="inlineStr"/>
      <c r="L1367" s="18" t="inlineStr">
        <is>
          <t>General Therapeutics</t>
        </is>
      </c>
      <c r="M1367" s="18" t="inlineStr">
        <is>
          <t>Clinic</t>
        </is>
      </c>
      <c r="N1367" s="18" t="inlineStr">
        <is>
          <t>ข้อ 26 (PLE_CC1_Practice_Exam.md)</t>
        </is>
      </c>
      <c r="O1367" s="18" t="inlineStr">
        <is>
          <t>Mock</t>
        </is>
      </c>
      <c r="P1367" s="18" t="inlineStr">
        <is>
          <t>Mock สภาเภสัชฯ Practice</t>
        </is>
      </c>
    </row>
    <row r="1368">
      <c r="A1368" s="15" t="inlineStr">
        <is>
          <t>1389</t>
        </is>
      </c>
      <c r="B1368" s="18" t="inlineStr">
        <is>
          <t>ลักษณะใดที่บ่งชี้ว่าเป็นยาเสื่อมคุณภาพ</t>
        </is>
      </c>
      <c r="C1368" s="18" t="inlineStr"/>
      <c r="D1368" s="18" t="inlineStr">
        <is>
          <t>จำนวนเม็ดยาใน blister pack ไม่ครบ</t>
        </is>
      </c>
      <c r="E1368" s="18" t="inlineStr">
        <is>
          <t>เม็ดยาแยกเป็นสามชั้นก่อนบรรจุใน blister pack</t>
        </is>
      </c>
      <c r="F1368" s="18" t="inlineStr">
        <is>
          <t>เม็ดยามีขนาดไม่เท่ากัน</t>
        </is>
      </c>
      <c r="G1368" s="18" t="inlineStr">
        <is>
          <t>เม็ดยาเป็นลายจุดของสีสม่ำเสมอ</t>
        </is>
      </c>
      <c r="H1368" s="18" t="inlineStr">
        <is>
          <t>เม็ดยาเยิ้มเหนียว</t>
        </is>
      </c>
      <c r="I1368" s="15" t="inlineStr">
        <is>
          <t>1</t>
        </is>
      </c>
      <c r="J1368" s="18" t="inlineStr">
        <is>
          <t>✅ คำตอบที่ถูกต้อง: ข้อ ก. จำนวนเม็ดยาใน blister pack ไม่ครบ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จำนวนเม็ดยาใน blister pack ไม่ครบ การเลือก จำนวนเม็ดยาใน blister pack ไม่ครบ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(เม็ดยาแยกเป็นสามชั้นก่อนบรรจุใน blister pack): ข้อนี้ไม่ใช่คำตอบที่ถูกต้องสำหรับภาวะ General Therapeutics เนื่องจากกลไกการออกฤทธิ์, efficacy หรือข้อบ่งใช้ไม่ตรงกับโจทย์ที่กำหนด
• ข้อ ค. (เม็ดยามีขนาดไม่เท่ากัน): ข้อนี้ไม่ใช่คำตอบที่ถูกต้องสำหรับภาวะ General Therapeutics เนื่องจากกลไกการออกฤทธิ์, efficacy หรือข้อบ่งใช้ไม่ตรงกับโจทย์ที่กำหนด
• ข้อ ง. (เม็ดยาเป็นลายจุดของสีสม่ำเสมอ): ข้อนี้ไม่ใช่คำตอบที่ถูกต้องสำหรับภาวะ General Therapeutics เนื่องจากกลไกการออกฤทธิ์, efficacy หรือข้อบ่งใช้ไม่ตรงกับโจทย์ที่กำหนด
• ข้อ จ. (เม็ดยาเยิ้มเหนียว):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8" s="18" t="inlineStr"/>
      <c r="L1368" s="18" t="inlineStr">
        <is>
          <t>General Therapeutics</t>
        </is>
      </c>
      <c r="M1368" s="18" t="inlineStr">
        <is>
          <t>Clinic</t>
        </is>
      </c>
      <c r="N1368" s="18" t="inlineStr">
        <is>
          <t>ข้อ 28 (PLE_CC1_Practice_Exam.md)</t>
        </is>
      </c>
      <c r="O1368" s="18" t="inlineStr">
        <is>
          <t>Mock</t>
        </is>
      </c>
      <c r="P1368" s="18" t="inlineStr">
        <is>
          <t>Mock สภาเภสัชฯ Practice</t>
        </is>
      </c>
    </row>
    <row r="1369">
      <c r="A1369" s="15" t="inlineStr">
        <is>
          <t>1390</t>
        </is>
      </c>
      <c r="B1369" s="18" t="inlineStr">
        <is>
          <t>คุณสมบัติใดของยาผงอาจทำให้เกิดปัญหา overdose</t>
        </is>
      </c>
      <c r="C1369" s="18" t="inlineStr"/>
      <c r="D1369" s="18" t="inlineStr">
        <is>
          <t>Hygroscopic</t>
        </is>
      </c>
      <c r="E1369" s="18" t="inlineStr">
        <is>
          <t>Efflorescent</t>
        </is>
      </c>
      <c r="F1369" s="18" t="inlineStr">
        <is>
          <t>Eutectic mixture</t>
        </is>
      </c>
      <c r="G1369" s="18" t="inlineStr">
        <is>
          <t>Polymorphism</t>
        </is>
      </c>
      <c r="H1369" s="18" t="inlineStr">
        <is>
          <t>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9" s="15" t="inlineStr">
        <is>
          <t>1</t>
        </is>
      </c>
      <c r="J1369" s="18" t="inlineStr">
        <is>
          <t>✅ คำตอบที่ถูกต้อง: ข้อ ก. Hygroscopic
💡 Background:
ภาวะ acute poisoning ต้องได้รับการประเมิน supportive care ควบคู่กับการให้ specific antidote อย่างทันท่วงที
🎯 ทำไมข้อนี้ถึงถูก:
Hygroscopic การเลือก Hygroscopic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(Efflorescent): ข้อนี้ไม่ใช่คำตอบที่ถูกต้องสำหรับภาวะ Toxicology &amp; Antidote เนื่องจากกลไกการออกฤทธิ์, efficacy หรือข้อบ่งใช้ไม่ตรงกับโจทย์ที่กำหนด
• ข้อ ค. (Eutectic mixture): ข้อนี้ไม่ใช่คำตอบที่ถูกต้องสำหรับภาวะ Toxicology &amp; Antidote เนื่องจากกลไกการออกฤทธิ์, efficacy หรือข้อบ่งใช้ไม่ตรงกับโจทย์ที่กำหนด
• ข้อ ง. (Polymorphism): ข้อนี้ไม่ใช่คำตอบที่ถูกต้องสำหรับภาวะ Toxicology &amp; Antidote เนื่องจากกลไกการออกฤทธิ์, efficacy หรือข้อบ่งใช้ไม่ตรงกับโจทย์ที่กำหนด
• ข้อ จ. (Deliquescent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369" s="18" t="inlineStr"/>
      <c r="L1369" s="18" t="inlineStr">
        <is>
          <t>Toxicology &amp; Antidote</t>
        </is>
      </c>
      <c r="M1369" s="18" t="inlineStr">
        <is>
          <t>Clinic</t>
        </is>
      </c>
      <c r="N1369" s="18" t="inlineStr">
        <is>
          <t>ข้อ 35 (PLE_CC1_Practice_Exam.md)</t>
        </is>
      </c>
      <c r="O1369" s="18" t="inlineStr">
        <is>
          <t>Mock</t>
        </is>
      </c>
      <c r="P1369" s="18" t="inlineStr">
        <is>
          <t>Mock สภาเภสัชฯ Practice</t>
        </is>
      </c>
    </row>
    <row r="1370">
      <c r="A1370" s="15" t="inlineStr">
        <is>
          <t>1391</t>
        </is>
      </c>
      <c r="B1370" s="18" t="inlineStr">
        <is>
          <t>ข้อถูกต้องเกี่ยวกับความแตกต่างของ Aromatic Waters และ Spirits</t>
        </is>
      </c>
      <c r="C1370" s="18" t="inlineStr"/>
      <c r="D1370" s="18" t="inlineStr">
        <is>
          <t>Aromatic Waters มีปริมาณของ Alcohol ในตำรับน้อยกว่า Spirits</t>
        </is>
      </c>
      <c r="E1370" s="18" t="inlineStr">
        <is>
          <t>Aromatic Waters มีปริมาณของ Alcohol ในตำรับมากกว่า Spirits</t>
        </is>
      </c>
      <c r="F1370" s="18" t="inlineStr">
        <is>
          <t>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G1370" s="18" t="inlineStr">
        <is>
          <t>Aromatic Waters มีปริมาณของสารหอมระเหย ในตำรับน้อยกว่า Spirits</t>
        </is>
      </c>
      <c r="H1370" s="18" t="inlineStr">
        <is>
          <t>ถูกทั้งข้อ ก. และ ง.</t>
        </is>
      </c>
      <c r="I1370" s="15" t="inlineStr">
        <is>
          <t>1</t>
        </is>
      </c>
      <c r="J1370" s="18" t="inlineStr">
        <is>
          <t>✅ คำตอบที่ถูกต้อง: ข้อ ก. Aromatic Waters มีปริมาณของ Alcohol ในตำรับน้อยกว่า Spirits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Aromatic Waters มีปริมาณของ Alcohol ในตำรับน้อยกว่า Spirits การเลือก Aromatic Waters มีปริมาณของ Alcohol ในตำรับน้อยกว่า Spirits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(Aromatic Waters มีปริมาณของ Alcohol ในตำรับมากกว่า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ค. (Aromatic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(Aromatic Waters มีปริมาณของสารหอมระเหย ในตำรับน้อยกว่า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0" s="18" t="inlineStr"/>
      <c r="L1370" s="18" t="inlineStr">
        <is>
          <t>General Therapeutics</t>
        </is>
      </c>
      <c r="M1370" s="18" t="inlineStr">
        <is>
          <t>Clinic</t>
        </is>
      </c>
      <c r="N1370" s="18" t="inlineStr">
        <is>
          <t>ข้อ 7 (PLE_CC1_Practice_Exam.md)</t>
        </is>
      </c>
      <c r="O1370" s="18" t="inlineStr">
        <is>
          <t>Mock</t>
        </is>
      </c>
      <c r="P1370" s="18" t="inlineStr">
        <is>
          <t>Mock สภาเภสัชฯ Practice</t>
        </is>
      </c>
    </row>
    <row r="1371">
      <c r="A1371" s="15" t="inlineStr">
        <is>
          <t>1392</t>
        </is>
      </c>
      <c r="B1371" s="18" t="inlineStr">
        <is>
          <t>ข้อใดจัดเป็น Non-medicated Elixirs</t>
        </is>
      </c>
      <c r="C1371" s="18" t="inlineStr"/>
      <c r="D1371" s="18" t="inlineStr">
        <is>
          <t>Phenobabital Elixirs</t>
        </is>
      </c>
      <c r="E1371" s="18" t="inlineStr">
        <is>
          <t>Pediatric Chloral Hydrate Elixirs</t>
        </is>
      </c>
      <c r="F1371" s="18" t="inlineStr">
        <is>
          <t>Compound Benzaldehyde Elixirs</t>
        </is>
      </c>
      <c r="G1371" s="18" t="inlineStr">
        <is>
          <t>Potassium Chloride Elixirs</t>
        </is>
      </c>
      <c r="H1371" s="18" t="inlineStr">
        <is>
          <t>Diphenhydramine HCl Elixirs</t>
        </is>
      </c>
      <c r="I1371" s="15" t="inlineStr">
        <is>
          <t>1</t>
        </is>
      </c>
      <c r="J1371" s="18" t="inlineStr">
        <is>
          <t>✅ คำตอบที่ถูกต้อง: ข้อ ก. Phenobabital Elixirs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Phenobabital Elixirs 💡 คำอธิบายและเหตุผลทางเภสัชกรรม:
💡 คำอธิบายและเหตุผลทางเภสัชกรรม:
การเลือก Phenobabital Elixirs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(Pediatric Chloral Hydrate Elixirs): ข้อนี้ไม่ใช่คำตอบที่ถูกต้องสำหรับภาวะ Liquid &amp; Semisolids เนื่องจากกลไกการออกฤทธิ์, efficacy หรือข้อบ่งใช้ไม่ตรงกับโจทย์ที่กำหนด
• ข้อ ค. (Compound Benzaldehyde Elixirs): ข้อนี้ไม่ใช่คำตอบที่ถูกต้องสำหรับภาวะ Liquid &amp; Semisolids เนื่องจากกลไกการออกฤทธิ์, efficacy หรือข้อบ่งใช้ไม่ตรงกับโจทย์ที่กำหนด
• ข้อ ง. (Potassium Chloride Elixirs): ข้อนี้ไม่ใช่คำตอบที่ถูกต้องสำหรับภาวะ Liquid &amp; Semisolids เนื่องจากกลไกการออกฤทธิ์, efficacy หรือข้อบ่งใช้ไม่ตรงกับโจทย์ที่กำหนด
• ข้อ จ. (Diphenhydramine HCl Elixirs):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1" s="18" t="inlineStr"/>
      <c r="L1371" s="18" t="inlineStr">
        <is>
          <t>Liquid &amp; Semisolids</t>
        </is>
      </c>
      <c r="M1371" s="18" t="inlineStr">
        <is>
          <t>Product</t>
        </is>
      </c>
      <c r="N1371" s="18" t="inlineStr">
        <is>
          <t>ข้อ 15 (PLE_CC1_Practice_Exam.md)</t>
        </is>
      </c>
      <c r="O1371" s="18" t="inlineStr">
        <is>
          <t>Mock</t>
        </is>
      </c>
      <c r="P1371" s="18" t="inlineStr">
        <is>
          <t>Mock สภาเภสัชฯ Practice</t>
        </is>
      </c>
    </row>
    <row r="1372">
      <c r="A1372" s="15" t="inlineStr">
        <is>
          <t>1393</t>
        </is>
      </c>
      <c r="B1372" s="18" t="inlineStr">
        <is>
          <t>ข้อใดไม่ใช่ elixirs</t>
        </is>
      </c>
      <c r="C1372" s="18" t="inlineStr"/>
      <c r="D1372" s="18" t="inlineStr">
        <is>
          <t>เติมสารละลายแอลกอฮอล์ลงในสารละลายน้ำ พร้อมกับคนให้เข้ากัน</t>
        </is>
      </c>
      <c r="E1372" s="18" t="inlineStr">
        <is>
          <t>เก็บไว้ในตู้เย็น อุณหภูมิ 8 องศาเซลเซียส</t>
        </is>
      </c>
      <c r="F1372" s="18" t="inlineStr">
        <is>
          <t>ต้องเติมสารกันเสีย เมื่อมีแอลกอฮอล์ต่ำกว่า 15-20%</t>
        </is>
      </c>
      <c r="G1372" s="18" t="inlineStr">
        <is>
          <t>เทสารละลายน้ำลงในสารละลายแอลกอฮอล์</t>
        </is>
      </c>
      <c r="H1372" s="18" t="inlineStr">
        <is>
          <t>น้ำมันหอมระเหยจะทำให้ elixirs ขุ่น จากการแยกตัวจากแอลกอฮอล์</t>
        </is>
      </c>
      <c r="I1372" s="15" t="inlineStr">
        <is>
          <t>1</t>
        </is>
      </c>
      <c r="J1372" s="18" t="inlineStr">
        <is>
          <t>✅ คำตอบที่ถูกต้อง: ข้อ ก. เติมสารละลายแอลกอฮอล์ลงในสารละลายน้ำ พร้อมกับคนให้เข้ากัน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เติมสารละลายแอลกอฮอล์ลงในสารละลายน้ำ พร้อมกับคนให้เข้ากัน 💡 คำอธิบายและเหตุผลทางเภสัชกรรม:
💡 คำอธิบายและเหตุผลทางเภสัชกรรม:
การเลือก เติมสารละลายแอลกอฮอล์ลงในสารละลายน้ำ พร้อมกับคนให้เข้ากัน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(เก็บไว้ในตู้เย็น อุณหภูมิ 8 องศาเซลเซียส): ข้อนี้ไม่ใช่คำตอบที่ถูกต้องสำหรับภาวะ Liquid &amp; Semisolids เนื่องจากกลไกการออกฤทธิ์, efficacy หรือข้อบ่งใช้ไม่ตรงกับโจทย์ที่กำหนด
• ข้อ ค. (ต้องเติมสารกันเสีย เมื่อมีแอลกอฮอล์ต่ำกว่า 15-20%): ข้อนี้ไม่ใช่คำตอบที่ถูกต้องสำหรับภาวะ Liquid &amp; Semisolids เนื่องจากกลไกการออกฤทธิ์, efficacy หรือข้อบ่งใช้ไม่ตรงกับโจทย์ที่กำหนด
• ข้อ ง. (เทสารละลายน้ำลงในสารละลายแอลกอฮอล์): ข้อนี้ไม่ใช่คำตอบที่ถูกต้องสำหรับภาวะ Liquid &amp; Semisolids เนื่องจากกลไกการออกฤทธิ์, efficacy หรือข้อบ่งใช้ไม่ตรงกับโจทย์ที่กำหนด
• ข้อ จ. (น้ำมันหอมระเหยจะทำให้ elixirs ขุ่น จากการแยกตัวจากแอลกอฮอล์):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2" s="18" t="inlineStr"/>
      <c r="L1372" s="18" t="inlineStr">
        <is>
          <t>Liquid &amp; Semisolids</t>
        </is>
      </c>
      <c r="M1372" s="18" t="inlineStr">
        <is>
          <t>Product</t>
        </is>
      </c>
      <c r="N1372" s="18" t="inlineStr">
        <is>
          <t>ข้อ 16 (PLE_CC1_Practice_Exam.md)</t>
        </is>
      </c>
      <c r="O1372" s="18" t="inlineStr">
        <is>
          <t>Mock</t>
        </is>
      </c>
      <c r="P1372" s="18" t="inlineStr">
        <is>
          <t>Mock สภาเภสัชฯ Practice</t>
        </is>
      </c>
    </row>
    <row r="1373">
      <c r="A1373" s="15" t="inlineStr">
        <is>
          <t>1394</t>
        </is>
      </c>
      <c r="B1373" s="18" t="inlineStr">
        <is>
          <t>สารใดไม่ละลายในแอลกอฮอล์</t>
        </is>
      </c>
      <c r="C1373" s="18" t="inlineStr"/>
      <c r="D1373" s="18" t="inlineStr">
        <is>
          <t>Orange oil</t>
        </is>
      </c>
      <c r="E1373" s="18" t="inlineStr">
        <is>
          <t>Glycerol</t>
        </is>
      </c>
      <c r="F1373" s="18" t="inlineStr">
        <is>
          <t>Vanillin</t>
        </is>
      </c>
      <c r="G1373" s="18" t="inlineStr">
        <is>
          <t>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3" s="18" t="inlineStr">
        <is>
          <t>Benzaldehyde - สป้ริต</t>
        </is>
      </c>
      <c r="I1373" s="15" t="inlineStr">
        <is>
          <t>1</t>
        </is>
      </c>
      <c r="J1373" s="18" t="inlineStr">
        <is>
          <t>✅ คำตอบที่ถูกต้อง: ข้อ ก. Orange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Orange oil การเลือก Orange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(Glycerol): ข้อนี้ไม่ใช่คำตอบที่ถูกต้องสำหรับภาวะ General Therapeutics เนื่องจากกลไกการออกฤทธิ์, efficacy หรือข้อบ่งใช้ไม่ตรงกับโจทย์ที่กำหนด
• ข้อ ค. (Vanillin): ข้อนี้ไม่ใช่คำตอบที่ถูกต้องสำหรับภาวะ General Therapeutics เนื่องจากกลไกการออกฤทธิ์, efficacy หรือข้อบ่งใช้ไม่ตรงกับโจทย์ที่กำหนด
• ข้อ ง. (Syrup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(Benzaldehyde - สป้ริต):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3" s="18" t="inlineStr"/>
      <c r="L1373" s="18" t="inlineStr">
        <is>
          <t>General Therapeutics</t>
        </is>
      </c>
      <c r="M1373" s="18" t="inlineStr">
        <is>
          <t>Clinic</t>
        </is>
      </c>
      <c r="N1373" s="18" t="inlineStr">
        <is>
          <t>ข้อ 18 (PLE_CC1_Practice_Exam.md)</t>
        </is>
      </c>
      <c r="O1373" s="18" t="inlineStr">
        <is>
          <t>Mock</t>
        </is>
      </c>
      <c r="P1373" s="18" t="inlineStr">
        <is>
          <t>Mock สภาเภสัชฯ Practice</t>
        </is>
      </c>
    </row>
    <row r="1374">
      <c r="A1374" s="15" t="inlineStr">
        <is>
          <t>1395</t>
        </is>
      </c>
      <c r="B1374" s="18" t="inlineStr">
        <is>
          <t>มีปริมาณของ Alcohol มากกว่า 40%</t>
        </is>
      </c>
      <c r="C1374" s="18" t="inlineStr"/>
      <c r="D1374" s="18" t="inlineStr">
        <is>
          <t>Dimercaprol (BAL) 3 mg/kg IM</t>
        </is>
      </c>
      <c r="E1374" s="18" t="inlineStr">
        <is>
          <t>Ethanol 10% IV infusion for Methanol poisoning</t>
        </is>
      </c>
      <c r="F1374" s="18" t="inlineStr">
        <is>
          <t>Fomepizole 15 mg/kg IV loading</t>
        </is>
      </c>
      <c r="G1374" s="18" t="inlineStr">
        <is>
          <t>N-acetylcysteine (NAC) IV infusion protocol</t>
        </is>
      </c>
      <c r="H1374" s="18" t="inlineStr">
        <is>
          <t>Atropine sulfate 2 mg IV Q5-10 min</t>
        </is>
      </c>
      <c r="I1374" s="15" t="inlineStr">
        <is>
          <t>1</t>
        </is>
      </c>
      <c r="J137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4" s="18" t="inlineStr"/>
      <c r="L1374" s="18" t="inlineStr">
        <is>
          <t>General Therapeutics</t>
        </is>
      </c>
      <c r="M1374" s="18" t="inlineStr">
        <is>
          <t>Clinic</t>
        </is>
      </c>
      <c r="N1374" s="18" t="inlineStr">
        <is>
          <t>ข้อ 1 (PLE_CC1_Practice_Exam.md)</t>
        </is>
      </c>
      <c r="O1374" s="18" t="inlineStr">
        <is>
          <t>Mock</t>
        </is>
      </c>
      <c r="P1374" s="18" t="inlineStr">
        <is>
          <t>Mock สภาเภสัชฯ Practice</t>
        </is>
      </c>
    </row>
    <row r="1375">
      <c r="A1375" s="15" t="inlineStr">
        <is>
          <t>1396</t>
        </is>
      </c>
      <c r="B1375" s="18" t="inlineStr">
        <is>
          <t>อุปกรณ์ที่ใช้เตรียมต้องแห้งสนิท</t>
        </is>
      </c>
      <c r="C1375" s="18" t="inlineStr"/>
      <c r="D1375" s="18" t="inlineStr">
        <is>
          <t>N-acetylcysteine (NAC) IV infusion protocol</t>
        </is>
      </c>
      <c r="E1375" s="18" t="inlineStr">
        <is>
          <t>Atropine sulfate 2 mg IV Q5-10 min</t>
        </is>
      </c>
      <c r="F1375" s="18" t="inlineStr">
        <is>
          <t>Pralidoxime (2-PAM) 1-2 g IV over 30 min</t>
        </is>
      </c>
      <c r="G1375" s="18" t="inlineStr">
        <is>
          <t>Naloxone 0.4 mg IV stat</t>
        </is>
      </c>
      <c r="H1375" s="18" t="inlineStr">
        <is>
          <t>Flumazenil 0.2 mg IV stat</t>
        </is>
      </c>
      <c r="I1375" s="15" t="inlineStr">
        <is>
          <t>1</t>
        </is>
      </c>
      <c r="J13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75" s="18" t="inlineStr"/>
      <c r="L1375" s="18" t="inlineStr">
        <is>
          <t>General Therapeutics</t>
        </is>
      </c>
      <c r="M1375" s="18" t="inlineStr">
        <is>
          <t>Clinic</t>
        </is>
      </c>
      <c r="N1375" s="18" t="inlineStr">
        <is>
          <t>ข้อ 2 (PLE_CC1_Practice_Exam.md)</t>
        </is>
      </c>
      <c r="O1375" s="18" t="inlineStr">
        <is>
          <t>Mock</t>
        </is>
      </c>
      <c r="P1375" s="18" t="inlineStr">
        <is>
          <t>Mock สภาเภสัชฯ Practice</t>
        </is>
      </c>
    </row>
    <row r="1376">
      <c r="A1376" s="15" t="inlineStr">
        <is>
          <t>1397</t>
        </is>
      </c>
      <c r="B1376" s="18" t="inlineStr">
        <is>
          <t>กระดาษกรองต้องเปียกด้วย Purified water</t>
        </is>
      </c>
      <c r="C1376" s="18" t="inlineStr"/>
      <c r="D1376" s="18" t="inlineStr">
        <is>
          <t>Naloxone 0.4 mg IV stat</t>
        </is>
      </c>
      <c r="E1376" s="18" t="inlineStr">
        <is>
          <t>Flumazenil 0.2 mg IV stat</t>
        </is>
      </c>
      <c r="F1376" s="18" t="inlineStr">
        <is>
          <t>Vitamin K1 (Phytomenadione) 10 mg IV slow</t>
        </is>
      </c>
      <c r="G1376" s="18" t="inlineStr">
        <is>
          <t>Sodium thiosulfate 25% 50 mL IV</t>
        </is>
      </c>
      <c r="H1376" s="18" t="inlineStr">
        <is>
          <t>Calcium disodium EDTA 1 g IV</t>
        </is>
      </c>
      <c r="I1376" s="15" t="inlineStr">
        <is>
          <t>1</t>
        </is>
      </c>
      <c r="J13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76" s="18" t="inlineStr"/>
      <c r="L1376" s="18" t="inlineStr">
        <is>
          <t>General Therapeutics</t>
        </is>
      </c>
      <c r="M1376" s="18" t="inlineStr">
        <is>
          <t>Clinic</t>
        </is>
      </c>
      <c r="N1376" s="18" t="inlineStr">
        <is>
          <t>ข้อ 3 (PLE_CC1_Practice_Exam.md)</t>
        </is>
      </c>
      <c r="O1376" s="18" t="inlineStr">
        <is>
          <t>Mock</t>
        </is>
      </c>
      <c r="P1376" s="18" t="inlineStr">
        <is>
          <t>Mock สภาเภสัชฯ Practice</t>
        </is>
      </c>
    </row>
    <row r="1377">
      <c r="A1377" s="15" t="inlineStr">
        <is>
          <t>1398</t>
        </is>
      </c>
      <c r="B1377" s="18" t="inlineStr">
        <is>
          <t>ไม่ควรใช้ความร้อนในการเตรียม</t>
        </is>
      </c>
      <c r="C1377" s="18" t="inlineStr"/>
      <c r="D1377" s="18" t="inlineStr">
        <is>
          <t>1.) และ 2.)</t>
        </is>
      </c>
      <c r="E1377" s="18" t="inlineStr">
        <is>
          <t>1.) และ 3.)</t>
        </is>
      </c>
      <c r="F1377" s="18" t="inlineStr">
        <is>
          <t>2.) และ 3.)</t>
        </is>
      </c>
      <c r="G1377" s="18" t="inlineStr">
        <is>
          <t>2.) และ 4.)</t>
        </is>
      </c>
      <c r="H1377" s="18" t="inlineStr">
        <is>
          <t>ถูกทุกข้อ</t>
        </is>
      </c>
      <c r="I1377" s="15" t="inlineStr">
        <is>
          <t>1</t>
        </is>
      </c>
      <c r="J1377" s="18" t="inlineStr">
        <is>
          <t>✅ คำตอบที่ถูกต้อง: ข้อ ก. 1.) และ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และ 2.) การเลือก 1.) และ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(1.) และ 3.)): ข้อนี้ไม่ใช่คำตอบที่ถูกต้องสำหรับภาวะ General Therapeutics เนื่องจากกลไกการออกฤทธิ์, efficacy หรือข้อบ่งใช้ไม่ตรงกับโจทย์ที่กำหนด
• ข้อ ค. (2.) และ 3.)): ข้อนี้ไม่ใช่คำตอบที่ถูกต้องสำหรับภาวะ General Therapeutics เนื่องจากกลไกการออกฤทธิ์, efficacy หรือข้อบ่งใช้ไม่ตรงกับโจทย์ที่กำหนด
• ข้อ ง. (2.) และ 4.)):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7" s="18" t="inlineStr"/>
      <c r="L1377" s="18" t="inlineStr">
        <is>
          <t>General Therapeutics</t>
        </is>
      </c>
      <c r="M1377" s="18" t="inlineStr">
        <is>
          <t>Clinic</t>
        </is>
      </c>
      <c r="N1377" s="18" t="inlineStr">
        <is>
          <t>ข้อ 4 (PLE_CC1_Practice_Exam.md)</t>
        </is>
      </c>
      <c r="O1377" s="18" t="inlineStr">
        <is>
          <t>Mock</t>
        </is>
      </c>
      <c r="P1377" s="18" t="inlineStr">
        <is>
          <t>Mock สภาเภสัชฯ Practice</t>
        </is>
      </c>
    </row>
    <row r="1378">
      <c r="A1378" s="15" t="inlineStr">
        <is>
          <t>1399</t>
        </is>
      </c>
      <c r="B1378" s="18" t="inlineStr">
        <is>
          <t>ข้อใดไม่ใช่คุณสมบัติของสารช่วยแขวนตะกอนที่ดี</t>
        </is>
      </c>
      <c r="C1378" s="18" t="inlineStr"/>
      <c r="D1378" s="18" t="inlineStr">
        <is>
          <t>คงสภาวะ และมีการกระจายตัวสม่ำเสมอ โดยผงยาสามารถกระจายตัวได้ง่าย และไม่เกิดการแยกชั้น</t>
        </is>
      </c>
      <c r="E1378" s="18" t="inlineStr">
        <is>
          <t>ความหนืดไม่เปลี่ยนแปลงตามอุณหภูมิ</t>
        </is>
      </c>
      <c r="F1378" s="18" t="inlineStr">
        <is>
          <t>ทนต่อการเปลี่ยนแปลงความเป็นกรด-ด่าง</t>
        </is>
      </c>
      <c r="G1378" s="18" t="inlineStr">
        <is>
          <t>ไม่เป็นพิษ และเข้ากันกับสารอื่นๆในตำรับยาเตรียม</t>
        </is>
      </c>
      <c r="H1378" s="18" t="inlineStr">
        <is>
          <t>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78" s="15" t="inlineStr">
        <is>
          <t>1</t>
        </is>
      </c>
      <c r="J1378" s="18" t="inlineStr">
        <is>
          <t>✅ คำตอบที่ถูกต้อง: ข้อ ก. คงสภาวะ และมีการกระจายตัวสม่ำเสมอ โดยผงยาสามารถกระจายตัวได้ง่าย และไม่เกิดการแยกชั้น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คงสภาวะ และมีการกระจายตัวสม่ำเสมอ โดยผงยาสามารถกระจายตัวได้ง่าย และไม่เกิดการแยกชั้น การเลือก คงสภาวะ และมีการกระจายตัวสม่ำเสมอ โดยผงยาสามารถกระจายตัวได้ง่าย และไม่เกิดการแยกชั้น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(ความหนืดไม่เปลี่ยนแปลงตามอุณหภูมิ): ข้อนี้ไม่ใช่คำตอบที่ถูกต้องสำหรับภาวะ General Therapeutics เนื่องจากกลไกการออกฤทธิ์, efficacy หรือข้อบ่งใช้ไม่ตรงกับโจทย์ที่กำหนด
• ข้อ ค. (ทนต่อการเปลี่ยนแปลงความเป็นกรด-ด่าง): ข้อนี้ไม่ใช่คำตอบที่ถูกต้องสำหรับภาวะ General Therapeutics เนื่องจากกลไกการออกฤทธิ์, efficacy หรือข้อบ่งใช้ไม่ตรงกับโจทย์ที่กำหนด
• ข้อ ง. (ไม่เป็นพิษ และเข้ากันกับสารอื่นๆในตำรับยาเตรียม): ข้อนี้ไม่ใช่คำตอบที่ถูกต้องสำหรับภาวะ General Therapeutics เนื่องจากกลไกการออกฤทธิ์, efficacy หรือข้อบ่งใช้ไม่ตรงกับโจทย์ที่กำหนด
• ข้อ จ. (ทำให้ตัวยามีฤทธิ์ในการรักษาเพิ่มขึ้น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8" s="18" t="inlineStr"/>
      <c r="L1378" s="18" t="inlineStr">
        <is>
          <t>General Therapeutics</t>
        </is>
      </c>
      <c r="M1378" s="18" t="inlineStr">
        <is>
          <t>Clinic</t>
        </is>
      </c>
      <c r="N1378" s="18" t="inlineStr">
        <is>
          <t>ข้อ 26 (PLE_CC1_Practice_Exam.md)</t>
        </is>
      </c>
      <c r="O1378" s="18" t="inlineStr">
        <is>
          <t>Mock</t>
        </is>
      </c>
      <c r="P1378" s="18" t="inlineStr">
        <is>
          <t>Mock สภาเภสัชฯ Practice</t>
        </is>
      </c>
    </row>
    <row r="1379">
      <c r="A1379" s="15" t="inlineStr">
        <is>
          <t>1400</t>
        </is>
      </c>
      <c r="B1379" s="18" t="inlineStr">
        <is>
          <t>ข้อใดเป็นตำรับอิมัลชันชนิด W/O</t>
        </is>
      </c>
      <c r="C1379" s="18" t="inlineStr"/>
      <c r="D1379" s="18" t="inlineStr">
        <is>
          <t>ทดสอบ dilution test เข้ากันได้กับน้ำและไม่เข้ากันกับน้ำมัน</t>
        </is>
      </c>
      <c r="E1379" s="18" t="inlineStr">
        <is>
          <t>ทดสอบ miscibility test เข้ากันได้กับน้ำและไม่เข้ากันกับน้ำมัน</t>
        </is>
      </c>
      <c r="F1379" s="18" t="inlineStr">
        <is>
          <t>ดูด้วยกล้องจุลทรรศน์เห็นหยดอนุภาคที่มีสีอยู่บนอนุภาคที่ไม่มีสี</t>
        </is>
      </c>
      <c r="G1379" s="18" t="inlineStr">
        <is>
          <t>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9" s="18" t="inlineStr">
        <is>
          <t>ถ้าใส่ขั้วหลอดไฟฟ้าในการทดสอบ conductivity test หลอดไฟจะติสว่าง</t>
        </is>
      </c>
      <c r="I1379" s="15" t="inlineStr">
        <is>
          <t>1</t>
        </is>
      </c>
      <c r="J1379" s="18" t="inlineStr">
        <is>
          <t>✅ คำตอบที่ถูกต้อง: ข้อ ก. ทดสอบ dilution test เข้ากันได้กับน้ำและไม่เข้ากันกับน้ำมัน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ทดสอบ dilution test เข้ากันได้กับน้ำและไม่เข้ากันกับน้ำมัน 💡 คำอธิบายและเหตุผลทางเภสัชกรรม:
💡 คำอธิบายและเหตุผลทางเภสัชกรรม:
การเลือก ทดสอบ dilution test เข้ากันได้กับน้ำและไม่เข้ากันกับน้ำมัน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(ทดสอบ miscibility test เข้ากันได้กับน้ำและไม่เข้ากันกับน้ำมัน): ข้อนี้ไม่ใช่คำตอบที่ถูกต้องสำหรับภาวะ Liquid &amp; Semisolids เนื่องจากกลไกการออกฤทธิ์, efficacy หรือข้อบ่งใช้ไม่ตรงกับโจทย์ที่กำหนด
• ข้อ ค. (ดูด้วยกล้องจุลทรรศน์เห็นหยดอนุภาคที่มีสีอยู่บนอนุภาคที่ไม่มีสี): ข้อนี้ไม่ใช่คำตอบที่ถูกต้องสำหรับภาวะ Liquid &amp; Semisolids เนื่องจากกลไกการออกฤทธิ์, efficacy หรือข้อบ่งใช้ไม่ตรงกับโจทย์ที่กำหนด
• ข้อ ง. (ถ้าใส่ขั้วหลอดไฟฟ้าในการทดสอบ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Liquid &amp; Semisolids เนื่องจากกลไกการออกฤทธิ์, efficacy หรือข้อบ่งใช้ไม่ตรงกับโจทย์ที่กำหนด
• ข้อ จ. (ถ้าใส่ขั้วหลอดไฟฟ้าในการทดสอบ conductivity test หลอดไฟจะติสว่าง):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9" s="18" t="inlineStr"/>
      <c r="L1379" s="18" t="inlineStr">
        <is>
          <t>Liquid &amp; Semisolids</t>
        </is>
      </c>
      <c r="M1379" s="18" t="inlineStr">
        <is>
          <t>Product</t>
        </is>
      </c>
      <c r="N1379" s="18" t="inlineStr">
        <is>
          <t>ข้อ 32 (PLE_CC1_Practice_Exam.md)</t>
        </is>
      </c>
      <c r="O1379" s="18" t="inlineStr">
        <is>
          <t>Mock</t>
        </is>
      </c>
      <c r="P1379" s="18" t="inlineStr">
        <is>
          <t>Mock สภาเภสัชฯ Practice</t>
        </is>
      </c>
    </row>
    <row r="1380">
      <c r="A1380" s="15" t="inlineStr">
        <is>
          <t>1401</t>
        </is>
      </c>
      <c r="B1380" s="18" t="inlineStr">
        <is>
          <t>ข้อใดถูกต้องเกี่ยวกับตำรับ Camphor liniment</t>
        </is>
      </c>
      <c r="C1380" s="18" t="inlineStr"/>
      <c r="D1380" s="18" t="inlineStr">
        <is>
          <t>ใช้เป็นยาถูนวด</t>
        </is>
      </c>
      <c r="E1380" s="18" t="inlineStr">
        <is>
          <t>ใช้เป็นยารับประทานแก้ปวดข้อ</t>
        </is>
      </c>
      <c r="F1380" s="18" t="inlineStr">
        <is>
          <t>เป็นยาใช้ภายนอก</t>
        </is>
      </c>
      <c r="G1380" s="18" t="inlineStr">
        <is>
          <t>ข้อ ก และ ค ถูก</t>
        </is>
      </c>
      <c r="H1380" s="18" t="inlineStr">
        <is>
          <t>ข้อ ก, ข, และ ค ถูก</t>
        </is>
      </c>
      <c r="I1380" s="15" t="inlineStr">
        <is>
          <t>1</t>
        </is>
      </c>
      <c r="J1380" s="18" t="inlineStr">
        <is>
          <t>✅ คำตอบที่ถูกต้อง: ข้อ ก. ใช้เป็นยาถูนวด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ใช้เป็นยาถูนวด การเลือก ใช้เป็นยาถูนวด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(ใช้เป็นยารับประทานแก้ปวดข้อ): ข้อนี้ไม่ใช่คำตอบที่ถูกต้องสำหรับภาวะ General Therapeutics เนื่องจากกลไกการออกฤทธิ์, efficacy หรือข้อบ่งใช้ไม่ตรงกับโจทย์ที่กำหนด
• ข้อ ค. (เป็นยาใช้ภายนอก):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0" s="18" t="inlineStr"/>
      <c r="L1380" s="18" t="inlineStr">
        <is>
          <t>General Therapeutics</t>
        </is>
      </c>
      <c r="M1380" s="18" t="inlineStr">
        <is>
          <t>Clinic</t>
        </is>
      </c>
      <c r="N1380" s="18" t="inlineStr">
        <is>
          <t>ข้อ 38 (PLE_CC1_Practice_Exam.md)</t>
        </is>
      </c>
      <c r="O1380" s="18" t="inlineStr">
        <is>
          <t>Mock</t>
        </is>
      </c>
      <c r="P1380" s="18" t="inlineStr">
        <is>
          <t>Mock สภาเภสัชฯ Practice</t>
        </is>
      </c>
    </row>
    <row r="1381">
      <c r="A1381" s="15" t="inlineStr">
        <is>
          <t>1402</t>
        </is>
      </c>
      <c r="B1381" s="18" t="inlineStr">
        <is>
          <t>ขั้นตอนการเตรียม Camphor liniment ข้อใดผิด</t>
        </is>
      </c>
      <c r="C1381" s="18" t="inlineStr"/>
      <c r="D1381" s="18" t="inlineStr">
        <is>
          <t>ชั่ง Camphor และ Cottonseed Oil ให้ได้ตามที่ตำรับกำหนด</t>
        </is>
      </c>
      <c r="E1381" s="18" t="inlineStr">
        <is>
          <t>นำ Cottonseed Oil ลงในบีกเกอร์</t>
        </is>
      </c>
      <c r="F1381" s="18" t="inlineStr">
        <is>
          <t>ให้ความร้อนโดยนำวางบน steam bath</t>
        </is>
      </c>
      <c r="G1381" s="18" t="inlineStr">
        <is>
          <t>เติม Camphor ลงไปขณะที่กำลังให้ความร้อนอยู่</t>
        </is>
      </c>
      <c r="H1381" s="18" t="inlineStr">
        <is>
          <t>ใช้แท่งแก้วคนสาร คนผสมให้เป็นเนื้อเดียวกัน</t>
        </is>
      </c>
      <c r="I1381" s="15" t="inlineStr">
        <is>
          <t>1</t>
        </is>
      </c>
      <c r="J1381" s="18" t="inlineStr">
        <is>
          <t>✅ คำตอบที่ถูกต้อง: ข้อ ก. ชั่ง Camphor และ Cottonseed Oil ให้ได้ตามที่ตำรับกำหนด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ชั่ง Camphor และ Cottonseed Oil ให้ได้ตามที่ตำรับกำหนด การเลือก ชั่ง Camphor และ Cottonseed Oil ให้ได้ตามที่ตำรับกำหนด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 Cottonseed Oil ลงในบีกเกอร์): ข้อนี้ไม่ใช่คำตอบที่ถูกต้องสำหรับภาวะ General Therapeutics เนื่องจากกลไกการออกฤทธิ์, efficacy หรือข้อบ่งใช้ไม่ตรงกับโจทย์ที่กำหนด
• ข้อ ค. (ให้ความร้อนโดยนำวางบน steam bath): ข้อนี้ไม่ใช่คำตอบที่ถูกต้องสำหรับภาวะ General Therapeutics เนื่องจากกลไกการออกฤทธิ์, efficacy หรือข้อบ่งใช้ไม่ตรงกับโจทย์ที่กำหนด
• ข้อ ง. (เติม Camphor ลงไปขณะที่กำลังให้ความร้อนอยู่): ข้อนี้ไม่ใช่คำตอบที่ถูกต้องสำหรับภาวะ General Therapeutics เนื่องจากกลไกการออกฤทธิ์, efficacy หรือข้อบ่งใช้ไม่ตรงกับโจทย์ที่กำหนด
• ข้อ จ. (ใช้แท่งแก้วคนสาร คนผสมให้เป็นเนื้อเดียวกัน):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1" s="18" t="inlineStr"/>
      <c r="L1381" s="18" t="inlineStr">
        <is>
          <t>General Therapeutics</t>
        </is>
      </c>
      <c r="M1381" s="18" t="inlineStr">
        <is>
          <t>Clinic</t>
        </is>
      </c>
      <c r="N1381" s="18" t="inlineStr">
        <is>
          <t>ข้อ 39 (PLE_CC1_Practice_Exam.md)</t>
        </is>
      </c>
      <c r="O1381" s="18" t="inlineStr">
        <is>
          <t>Mock</t>
        </is>
      </c>
      <c r="P1381" s="18" t="inlineStr">
        <is>
          <t>Mock สภาเภสัชฯ Practice</t>
        </is>
      </c>
    </row>
    <row r="1382">
      <c r="A1382" s="15" t="inlineStr">
        <is>
          <t>1403</t>
        </is>
      </c>
      <c r="B1382" s="18" t="inlineStr">
        <is>
          <t>Camphor ในตำรับนี้มีหน้าที่ใด</t>
        </is>
      </c>
      <c r="C1382" s="18" t="inlineStr"/>
      <c r="D1382" s="18" t="inlineStr">
        <is>
          <t>Active ingredient</t>
        </is>
      </c>
      <c r="E1382" s="18" t="inlineStr">
        <is>
          <t>Flavoring agent</t>
        </is>
      </c>
      <c r="F1382" s="18" t="inlineStr">
        <is>
          <t>Vehicle</t>
        </is>
      </c>
      <c r="G1382" s="18" t="inlineStr">
        <is>
          <t>ก และ ข ถูก</t>
        </is>
      </c>
      <c r="H1382" s="18" t="inlineStr">
        <is>
          <t>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82" s="15" t="inlineStr">
        <is>
          <t>2</t>
        </is>
      </c>
      <c r="J1382" s="18" t="inlineStr">
        <is>
          <t>✅ คำตอบที่ถูกต้อง: ข้อ ข. Flavoring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Flavoring agent ช่วยกระจายและเร่งการละลายของ oil ให้เร็วขึ้น เนื่องจาก talcum มีพื้นที่ผิวมาก ทำให้ oil ที่ดูดซับอยู่บน ใช้ทาเฉพาะที่ตัวยาจะถูกดูดซึมได้เร็วและแผ่กระจายได้ดี,เพิ่มการดูดซึมของตัวยาบางชนิดได้, ใช้ในผู้ป่วยที่ไม่
🔍 ข้ออื่นผิดเพราะอะไร:
• ข้อ ก. (Active ingredient): ข้อนี้ไม่ใช่คำตอบที่ถูกต้องสำหรับภาวะ General Therapeutics เนื่องจากกลไกการออกฤทธิ์, efficacy หรือข้อบ่งใช้ไม่ตรงกับโจทย์ที่กำหนด
• ข้อ ค. (Vehicle):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เป็น Glidant และ Lubricant เสริม แต่มีคุณสมบัติ hydrophobic ต้องควบคุมปริมาณให้เหมาะสม (มักใช้ 1-5%)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2" s="18" t="inlineStr"/>
      <c r="L1382" s="18" t="inlineStr">
        <is>
          <t>General Therapeutics</t>
        </is>
      </c>
      <c r="M1382" s="18" t="inlineStr">
        <is>
          <t>Clinic</t>
        </is>
      </c>
      <c r="N1382" s="18" t="inlineStr">
        <is>
          <t>ข้อ 40 (PLE_CC1_Practice_Exam.md)</t>
        </is>
      </c>
      <c r="O1382" s="18" t="inlineStr">
        <is>
          <t>Mock</t>
        </is>
      </c>
      <c r="P1382" s="18" t="inlineStr">
        <is>
          <t>Mock สภาเภสัชฯ Practice</t>
        </is>
      </c>
    </row>
    <row r="1383">
      <c r="A1383" s="15" t="inlineStr">
        <is>
          <t>1404</t>
        </is>
      </c>
      <c r="B1383" s="18" t="inlineStr">
        <is>
          <t>Zinc Oxide และ Calcium Hydroxide เป็นสารสำคัญในตำรับ</t>
        </is>
      </c>
      <c r="C1383" s="18" t="inlineStr"/>
      <c r="D1383" s="18" t="inlineStr">
        <is>
          <t>Standardized Andrographolide in Andrographis paniculata</t>
        </is>
      </c>
      <c r="E1383" s="18" t="inlineStr">
        <is>
          <t>Senna glycosides (Sennosides A &amp; B) Extraction</t>
        </is>
      </c>
      <c r="F1383" s="18" t="inlineStr">
        <is>
          <t>Centella asiatica (Madecassoside &amp; Asiaticoside)</t>
        </is>
      </c>
      <c r="G1383" s="18" t="inlineStr">
        <is>
          <t>Gingerol quantification in Zingiber officinale</t>
        </is>
      </c>
      <c r="H1383" s="18" t="inlineStr">
        <is>
          <t>Maceration with Ethanol 70% solvent</t>
        </is>
      </c>
      <c r="I1383" s="15" t="inlineStr">
        <is>
          <t>1</t>
        </is>
      </c>
      <c r="J1383" s="18" t="inlineStr">
        <is>
          <t>✅ คำตอบที่ถูกต้อง: ข้อ ก. Standardized Andrographolide in Andrographis paniculata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Standardized Andrographolide in Andrographis paniculata 💡 คำอธิบายและเหตุผลทางเภสัชกรรม:
💡 คำอธิบายและเหตุผลทางเภสัชกรรม:
การเลือก Standardized Andrographolide in Andrographis paniculata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Medicine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Medicine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3" s="18" t="inlineStr"/>
      <c r="L1383" s="18" t="inlineStr">
        <is>
          <t>Herbal Medicine</t>
        </is>
      </c>
      <c r="M1383" s="18" t="inlineStr">
        <is>
          <t>Product</t>
        </is>
      </c>
      <c r="N1383" s="18" t="inlineStr">
        <is>
          <t>ข้อ 3 (PLE_CC1_Practice_Exam.md)</t>
        </is>
      </c>
      <c r="O1383" s="18" t="inlineStr">
        <is>
          <t>Mock</t>
        </is>
      </c>
      <c r="P1383" s="18" t="inlineStr">
        <is>
          <t>Mock สภาเภสัชฯ Practice</t>
        </is>
      </c>
    </row>
    <row r="1384">
      <c r="A1384" s="15" t="inlineStr">
        <is>
          <t>1405</t>
        </is>
      </c>
      <c r="B1384" s="18" t="inlineStr">
        <is>
          <t>ผลิตภัณฑ์ควรเก็บไว้ในตู้เย็น(อุณหภูมิ 2-8 องศา)</t>
        </is>
      </c>
      <c r="C1384" s="18" t="inlineStr"/>
      <c r="D1384" s="18" t="inlineStr">
        <is>
          <t>ถูก 1 ข้อ</t>
        </is>
      </c>
      <c r="E1384" s="18" t="inlineStr">
        <is>
          <t>ถูก 2 ข้อ</t>
        </is>
      </c>
      <c r="F1384" s="18" t="inlineStr">
        <is>
          <t>ถูก 3 ข้อ</t>
        </is>
      </c>
      <c r="G1384" s="18" t="inlineStr">
        <is>
          <t>ถูกทุกข้อ</t>
        </is>
      </c>
      <c r="H1384" s="18" t="inlineStr">
        <is>
          <t>ผิดทุกข้อ</t>
        </is>
      </c>
      <c r="I1384" s="15" t="inlineStr">
        <is>
          <t>1</t>
        </is>
      </c>
      <c r="J1384" s="18" t="inlineStr">
        <is>
          <t>✅ คำตอบที่ถูกต้อง: ข้อ ก. ถูก 1 ข้อ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 1 ข้อ การเลือก ถูก 1 ข้อ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(ถูก 2 ข้อ): ข้อนี้ไม่ใช่คำตอบที่ถูกต้องสำหรับภาวะ General Therapeutics เนื่องจากกลไกการออกฤทธิ์, efficacy หรือข้อบ่งใช้ไม่ตรงกับโจทย์ที่กำหนด
• ข้อ ค. (ถูก 3 ข้อ): ข้อนี้ไม่ใช่คำตอบที่ถูกต้องสำหรับภาวะ General Therapeutics เนื่องจากกลไกการออกฤทธิ์, efficacy หรือข้อบ่งใช้ไม่ตรงกับโจทย์ที่กำหนด
• ข้อ ง. (ถูกทุกข้อ): ข้อนี้ไม่ถูกต้องเนื่องจากมีตัวเลือกที่จำเพาะและตรงตามเกณฑ์มาตรฐานเวชปฏิบัติอย่างชัดเจน
• ข้อ จ. (ผิดทุกข้อ):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4" s="18" t="inlineStr"/>
      <c r="L1384" s="18" t="inlineStr">
        <is>
          <t>General Therapeutics</t>
        </is>
      </c>
      <c r="M1384" s="18" t="inlineStr">
        <is>
          <t>Clinic</t>
        </is>
      </c>
      <c r="N1384" s="18" t="inlineStr">
        <is>
          <t>ข้อ 4 (PLE_CC1_Practice_Exam.md)</t>
        </is>
      </c>
      <c r="O1384" s="18" t="inlineStr">
        <is>
          <t>Mock</t>
        </is>
      </c>
      <c r="P1384" s="18" t="inlineStr">
        <is>
          <t>Mock สภาเภสัชฯ Practice</t>
        </is>
      </c>
    </row>
    <row r="1385">
      <c r="A1385" s="15" t="inlineStr">
        <is>
          <t>1406</t>
        </is>
      </c>
      <c r="B1385" s="18" t="inlineStr">
        <is>
          <t>Wool fat (Lanolin)</t>
        </is>
      </c>
      <c r="C1385" s="18" t="inlineStr"/>
      <c r="D1385" s="18" t="inlineStr">
        <is>
          <t>Absorption Ointment base (Lanolin USP)</t>
        </is>
      </c>
      <c r="E1385" s="18" t="inlineStr">
        <is>
          <t>Fatty Suppository base (Hard Fat / Witepsol)</t>
        </is>
      </c>
      <c r="F1385" s="18" t="inlineStr">
        <is>
          <t>Simple Syrup USP (85% w/v Sucrose)</t>
        </is>
      </c>
      <c r="G1385" s="18" t="inlineStr">
        <is>
          <t>Elixir with 10-20% Alcohol cosolvent</t>
        </is>
      </c>
      <c r="H1385" s="18" t="inlineStr">
        <is>
          <t>Flocculated Oral Suspension with Xanthan Gum</t>
        </is>
      </c>
      <c r="I1385" s="15" t="inlineStr">
        <is>
          <t>1</t>
        </is>
      </c>
      <c r="J1385" s="1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(Fatty Suppository base (Hard Fat / Witepsol)): ข้อนี้ไม่ใช่คำตอบที่ถูกต้องสำหรับภาวะ Liquid &amp; Semisolids เนื่องจากกลไกการออกฤทธิ์, efficacy หรือข้อบ่งใช้ไม่ตรงกับโจทย์ที่กำหนด
• ข้อ ค. (Simple Syrup USP (85% w/v Sucrose)): ข้อนี้ไม่ใช่คำตอบที่ถูกต้องสำหรับภาวะ Liquid &amp; Semisolids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5" s="18" t="inlineStr"/>
      <c r="L1385" s="18" t="inlineStr">
        <is>
          <t>Liquid &amp; Semisolids</t>
        </is>
      </c>
      <c r="M1385" s="18" t="inlineStr">
        <is>
          <t>Product</t>
        </is>
      </c>
      <c r="N1385" s="18" t="inlineStr">
        <is>
          <t>ข้อ 1 (PLE_CC1_Practice_Exam.md)</t>
        </is>
      </c>
      <c r="O1385" s="18" t="inlineStr">
        <is>
          <t>Mock</t>
        </is>
      </c>
      <c r="P1385" s="18" t="inlineStr">
        <is>
          <t>Mock สภาเภสัชฯ Practice</t>
        </is>
      </c>
    </row>
    <row r="1386">
      <c r="A1386" s="15" t="inlineStr">
        <is>
          <t>1407</t>
        </is>
      </c>
      <c r="B1386" s="18" t="inlineStr">
        <is>
          <t>Hydrophilic Petrolatum</t>
        </is>
      </c>
      <c r="C1386" s="18" t="inlineStr"/>
      <c r="D1386" s="18" t="inlineStr">
        <is>
          <t>Elixir with 10-20% Alcohol cosolvent</t>
        </is>
      </c>
      <c r="E1386" s="18" t="inlineStr">
        <is>
          <t>Flocculated Oral Suspension with Xanthan Gum</t>
        </is>
      </c>
      <c r="F1386" s="18" t="inlineStr">
        <is>
          <t>Deflocculated Suspension formulation</t>
        </is>
      </c>
      <c r="G1386" s="18" t="inlineStr">
        <is>
          <t>O/W Emulsion stabilized by Polysorbate 80 / Span 80</t>
        </is>
      </c>
      <c r="H1386" s="18" t="inlineStr">
        <is>
          <t>W/O Emulsion with Sorbitan monooleate</t>
        </is>
      </c>
      <c r="I1386" s="15" t="inlineStr">
        <is>
          <t>1</t>
        </is>
      </c>
      <c r="J1386" s="1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6" s="18" t="inlineStr"/>
      <c r="L1386" s="18" t="inlineStr">
        <is>
          <t>Liquid &amp; Semisolids</t>
        </is>
      </c>
      <c r="M1386" s="18" t="inlineStr">
        <is>
          <t>Product</t>
        </is>
      </c>
      <c r="N1386" s="18" t="inlineStr">
        <is>
          <t>ข้อ 3 (PLE_CC1_Practice_Exam.md)</t>
        </is>
      </c>
      <c r="O1386" s="18" t="inlineStr">
        <is>
          <t>Mock</t>
        </is>
      </c>
      <c r="P1386" s="18" t="inlineStr">
        <is>
          <t>Mock สภาเภสัชฯ Practice</t>
        </is>
      </c>
    </row>
    <row r="1387">
      <c r="A1387" s="15" t="inlineStr">
        <is>
          <t>1408</t>
        </is>
      </c>
      <c r="B1387" s="18" t="inlineStr">
        <is>
          <t>ไม่สามารถดูดซับสารคัดหลั่งได้</t>
        </is>
      </c>
      <c r="C1387" s="18" t="inlineStr"/>
      <c r="D1387" s="18" t="inlineStr">
        <is>
          <t>N-acetylcysteine (NAC) IV infusion protocol</t>
        </is>
      </c>
      <c r="E1387" s="18" t="inlineStr">
        <is>
          <t>Atropine sulfate 2 mg IV Q5-10 min</t>
        </is>
      </c>
      <c r="F1387" s="18" t="inlineStr">
        <is>
          <t>Pralidoxime (2-PAM) 1-2 g IV over 30 min</t>
        </is>
      </c>
      <c r="G1387" s="18" t="inlineStr">
        <is>
          <t>Naloxone 0.4 mg IV stat</t>
        </is>
      </c>
      <c r="H1387" s="18" t="inlineStr">
        <is>
          <t>Flumazenil 0.2 mg IV stat</t>
        </is>
      </c>
      <c r="I1387" s="15" t="inlineStr">
        <is>
          <t>1</t>
        </is>
      </c>
      <c r="J13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87" s="18" t="inlineStr"/>
      <c r="L1387" s="18" t="inlineStr">
        <is>
          <t>General Therapeutics</t>
        </is>
      </c>
      <c r="M1387" s="18" t="inlineStr">
        <is>
          <t>Clinic</t>
        </is>
      </c>
      <c r="N1387" s="18" t="inlineStr">
        <is>
          <t>ข้อ 2 (PLE_CC1_Practice_Exam.md)</t>
        </is>
      </c>
      <c r="O1387" s="18" t="inlineStr">
        <is>
          <t>Mock</t>
        </is>
      </c>
      <c r="P1387" s="18" t="inlineStr">
        <is>
          <t>Mock สภาเภสัชฯ Practice</t>
        </is>
      </c>
    </row>
    <row r="1388">
      <c r="A1388" s="18" t="n">
        <v>1409</v>
      </c>
      <c r="B1388" s="18" t="inlineStr">
        <is>
          <t>จากกราฟมาตรฐานระหว่างความเข้มข้นของยาชนิดหนึ่งในช่วง 0 ถึง 5 mole/l กับค่าการดูดกลืน แสง (molar absorptivity) 0.0 ถึง 0.5 ที่ความยาวคลื่น 280 nm โดยใช้ cuvette ที่ทำจากควอร์ต ในการวัดค่าการดูดกลืนแสง ซึ่งค่าที่ได้นั้นเป็นไปตามกฏของเบียร์ มีค่าความชันของกราฟเส้นตรง เท่ากับ 0.1040, จุดตัดแกน x ที่ 0.0025, ค่า R2 0.9996 ข้อใดถูกต้อง หากตัวอย่างวัดค่าการดูดกลืน แสงได้ 0.45</t>
        </is>
      </c>
      <c r="C1388" s="18" t="n"/>
      <c r="D1388" s="18" t="inlineStr">
        <is>
          <t>ไม่สามารถหาค่าได้เนื่องจากค่า R2 ของกราฟมาตรฐานไม่เท่ากับ 1</t>
        </is>
      </c>
      <c r="E1388" s="18" t="inlineStr">
        <is>
          <t>ต้องเจือจางตัวอย่างเพื่อให้ค่าการดูดกลืนแสงอยู่กึ่งกลางระหว่างค่าการดูดกลืนแสงที่ได้จาก กราฟมาตรฐาน</t>
        </is>
      </c>
      <c r="F1388" s="18" t="inlineStr">
        <is>
          <t>ความเข้มข้นของสารละลายตัวอย่างเท่ากับ 4.03 mole/l</t>
        </is>
      </c>
      <c r="G1388" s="18" t="inlineStr">
        <is>
          <t>หากตัวอย่างเตรียมจากยา 50 เม็ดละลายน้ำ 1 ลิตร และยามีมวลโมเลกุล 150 กรัมดังนั้น ในยา 1 เม็ดมีตัวยา 12.9 กรัมหรือมากกว่า</t>
        </is>
      </c>
      <c r="H1388" s="18" t="inlineStr">
        <is>
          <t>ควรเปลี่ยนเป็น cuvette ที่ทำจากแก้วในการวัดค่าดูดกลืนแสง เพื่อให้ได้ค่าที่แม่นยำมาก ยิ่งขึ้น</t>
        </is>
      </c>
      <c r="I1388" s="18" t="n">
        <v>1</v>
      </c>
      <c r="J1388" s="18" t="inlineStr">
        <is>
          <t>✅ คำตอบที่ถูกต้อง: ข้อ ก. ไม่สามารถหาค่าได้เนื่องจากค่า R2 ของกราฟมาตรฐานไม่เท่ากับ 1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ไม่สามารถหาค่าได้เนื่องจากค่า R2 ของกราฟมาตรฐานไม่เท่ากับ 1 💡 คำอธิบายและเหตุผลทางเภสัชกรรม:
💡 คำอธิบายและเหตุผลทางเภสัชกรรม:
การเลือก ไม่สามารถหาค่าได้เนื่องจากค่า R2 ของกราฟมาตรฐานไม่เท่ากับ 1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(ต้องเจือจางตัวอย่างเพื่อให้ค่าการดูดกลืนแสงอยู่กึ่งกลางระหว่างค่าการดูดกลืนแสงที่ได้จาก กราฟมาตรฐาน): ข้อนี้ไม่ใช่คำตอบที่ถูกต้องสำหรับภาวะ Spectroscopy &amp; Optics เนื่องจากกลไกการออกฤทธิ์, efficacy หรือข้อบ่งใช้ไม่ตรงกับโจทย์ที่กำหนด
• ข้อ ค. (ความเข้มข้นของสารละลายตัวอย่างเท่ากับ 4.03 mole/l): ข้อนี้ไม่ใช่คำตอบที่ถูกต้องสำหรับภาวะ Spectroscopy &amp; Optics เนื่องจากกลไกการออกฤทธิ์, efficacy หรือข้อบ่งใช้ไม่ตรงกับโจทย์ที่กำหนด
• ข้อ ง. (หากตัวอย่างเตรียมจากยา 50 เม็ดละลายน้ำ 1 ลิตร และยามีมวลโมเลกุล 150 กรัมดังนั้น ในยา 1 เม็ดมีตัวยา 12.9 กรัมหรือมากกว่า): ข้อนี้ไม่ใช่คำตอบที่ถูกต้องสำหรับภาวะ Spectroscopy &amp; Optics เนื่องจากกลไกการออกฤทธิ์, efficacy หรือข้อบ่งใช้ไม่ตรงกับโจทย์ที่กำหนด
• ข้อ จ. (ควรเปลี่ยนเป็น cuvette ที่ทำจากแก้วในการวัดค่าดูดกลืนแสง เพื่อให้ได้ค่าที่แม่นยำมาก ยิ่งขึ้น):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8" s="18" t="n"/>
      <c r="L1388" s="18" t="inlineStr">
        <is>
          <t>Spectroscopy &amp; Optics</t>
        </is>
      </c>
      <c r="M1388" s="18" t="inlineStr">
        <is>
          <t>Product</t>
        </is>
      </c>
      <c r="N1388" s="18" t="inlineStr">
        <is>
          <t>ข้อ 1 (PLE_CC1_Practice_Exam.md)</t>
        </is>
      </c>
      <c r="O1388" s="18" t="inlineStr">
        <is>
          <t>Mock</t>
        </is>
      </c>
      <c r="P1388" s="18" t="inlineStr">
        <is>
          <t>Mock สภาเภสัชฯ Practice</t>
        </is>
      </c>
    </row>
    <row r="1389">
      <c r="A1389" s="15" t="inlineStr">
        <is>
          <t>1410</t>
        </is>
      </c>
      <c r="B1389" s="18" t="inlineStr">
        <is>
          <t>กระบวนการสร้างกลุ่มไอออนที่มาเกาะกันโดยมีรูปแบบที่แน่นอนเรียกว่ากระบวนการอะไร</t>
        </is>
      </c>
      <c r="C1389" s="18" t="inlineStr"/>
      <c r="D1389" s="18" t="inlineStr">
        <is>
          <t>Nucleation</t>
        </is>
      </c>
      <c r="E1389" s="18" t="inlineStr">
        <is>
          <t>Particle growth</t>
        </is>
      </c>
      <c r="F1389" s="18" t="inlineStr">
        <is>
          <t>Primary adsorption</t>
        </is>
      </c>
      <c r="G1389" s="18" t="inlineStr">
        <is>
          <t>Secondary adsorption</t>
        </is>
      </c>
      <c r="H1389" s="18" t="inlineStr">
        <is>
          <t>Nuclei growth</t>
        </is>
      </c>
      <c r="I1389" s="15" t="inlineStr">
        <is>
          <t>1</t>
        </is>
      </c>
      <c r="J1389" s="18" t="inlineStr">
        <is>
          <t>✅ คำตอบที่ถูกต้อง: ข้อ ก. Nucleation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Nucleation การเลือก Nucleation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(Particle growth): ข้อนี้ไม่ใช่คำตอบที่ถูกต้องสำหรับภาวะ General Therapeutics เนื่องจากกลไกการออกฤทธิ์, efficacy หรือข้อบ่งใช้ไม่ตรงกับโจทย์ที่กำหนด
• ข้อ ค. (Primary adsorption): ข้อนี้ไม่ใช่คำตอบที่ถูกต้องสำหรับภาวะ General Therapeutics เนื่องจากกลไกการออกฤทธิ์, efficacy หรือข้อบ่งใช้ไม่ตรงกับโจทย์ที่กำหนด
• ข้อ ง. (Secondary adsorption): ข้อนี้ไม่ใช่คำตอบที่ถูกต้องสำหรับภาวะ General Therapeutics เนื่องจากกลไกการออกฤทธิ์, efficacy หรือข้อบ่งใช้ไม่ตรงกับโจทย์ที่กำหนด
• ข้อ จ. (Nuclei growth):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9" s="18" t="inlineStr"/>
      <c r="L1389" s="18" t="inlineStr">
        <is>
          <t>General Therapeutics</t>
        </is>
      </c>
      <c r="M1389" s="18" t="inlineStr">
        <is>
          <t>Clinic</t>
        </is>
      </c>
      <c r="N1389" s="18" t="inlineStr">
        <is>
          <t>ข้อ 13 (PLE_CC1_Practice_Exam.md)</t>
        </is>
      </c>
      <c r="O1389" s="18" t="inlineStr">
        <is>
          <t>Mock</t>
        </is>
      </c>
      <c r="P1389" s="18" t="inlineStr">
        <is>
          <t>Mock สภาเภสัชฯ Practice</t>
        </is>
      </c>
    </row>
    <row r="1390">
      <c r="A1390" s="15" t="inlineStr">
        <is>
          <t>1411</t>
        </is>
      </c>
      <c r="B1390" s="18" t="inlineStr">
        <is>
          <t>วิเคราะห์มาตรฐานสารละลายมาตรฐาน 1 N Sodium hydroxide USPXXI โดยใช้ potassium biphthalate เป็น primary standard และใช้ phenolphthalein เป็น indicator ได้ข้อมูล ดังต่อไปนี้ Flask A ได้น้ำหนัก potassium biphthalate 4.9851 g, ปริมาตร N NaOH ที่ใช้ 24.57 ml, Eq.wt. ของ potassium biphthalate204.2 g จงคำนวณหา Normality ของ NaOH ใน Flask A (NaOH, molecular weight 40.00)</t>
        </is>
      </c>
      <c r="C1390" s="18" t="inlineStr"/>
      <c r="D1390" s="15" t="inlineStr">
        <is>
          <t>0.7936</t>
        </is>
      </c>
      <c r="E1390" s="18" t="inlineStr">
        <is>
          <t>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1390" s="15" t="inlineStr">
        <is>
          <t>0.9836</t>
        </is>
      </c>
      <c r="G1390" s="15" t="inlineStr">
        <is>
          <t>0.9736</t>
        </is>
      </c>
      <c r="H1390" s="15" t="inlineStr">
        <is>
          <t>0.9936</t>
        </is>
      </c>
      <c r="I1390" s="15" t="inlineStr">
        <is>
          <t>1</t>
        </is>
      </c>
      <c r="J1390" s="18" t="inlineStr">
        <is>
          <t>✅ คำตอบที่ถูกต้อง: ข้อ ก. 0.7936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0.7936 💡 คำอธิบายและเหตุผลทางเภสัชกรรม:
💡 คำอธิบายและเหตุผลทางเภสัชกรรม:
การเลือก 0.7936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Pharmaceutical Calculations เนื่องจากกลไกการออกฤทธิ์, efficacy หรือข้อบ่งใช้ไม่ตรงกับโจทย์ที่กำหนด
• ข้อ ค. (0.9836): ข้อนี้ไม่ใช่คำตอบที่ถูกต้องสำหรับภาวะ Pharmaceutical Calculations เนื่องจากกลไกการออกฤทธิ์, efficacy หรือข้อบ่งใช้ไม่ตรงกับโจทย์ที่กำหนด
• ข้อ ง. (0.9736): ข้อนี้ไม่ใช่คำตอบที่ถูกต้องสำหรับภาวะ Pharmaceutical Calculations เนื่องจากกลไกการออกฤทธิ์, efficacy หรือข้อบ่งใช้ไม่ตรงกับโจทย์ที่กำหนด
• ข้อ จ. (0.9936):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0" s="18" t="inlineStr"/>
      <c r="L1390" s="18" t="inlineStr">
        <is>
          <t>Pharmaceutical Calculations</t>
        </is>
      </c>
      <c r="M1390" s="18" t="inlineStr">
        <is>
          <t>Product</t>
        </is>
      </c>
      <c r="N1390" s="18" t="inlineStr">
        <is>
          <t>ข้อ 22 (PLE_CC1_Practice_Exam.md)</t>
        </is>
      </c>
      <c r="O1390" s="18" t="inlineStr">
        <is>
          <t>Mock</t>
        </is>
      </c>
      <c r="P1390" s="18" t="inlineStr">
        <is>
          <t>Mock สภาเภสัชฯ Practice</t>
        </is>
      </c>
    </row>
    <row r="1391">
      <c r="A1391" s="15" t="inlineStr">
        <is>
          <t>1412</t>
        </is>
      </c>
      <c r="B1391" s="18" t="inlineStr">
        <is>
          <t>แหล่งพลังงานที่ทำให้เกิด excited state จากสิ่งมีชีวิต เช่น ปลา หิ่งห้อย คือข้อใดต่อไปนี้</t>
        </is>
      </c>
      <c r="C1391" s="18" t="inlineStr"/>
      <c r="D1391" s="18" t="inlineStr">
        <is>
          <t>Photoluminescence</t>
        </is>
      </c>
      <c r="E1391" s="18" t="inlineStr">
        <is>
          <t>Bioluminescence</t>
        </is>
      </c>
      <c r="F1391" s="18" t="inlineStr">
        <is>
          <t>Radioluminescence</t>
        </is>
      </c>
      <c r="G1391" s="18" t="inlineStr">
        <is>
          <t>Thermoluminescence</t>
        </is>
      </c>
      <c r="H1391" s="18" t="inlineStr">
        <is>
          <t>Chemicalluminescence</t>
        </is>
      </c>
      <c r="I1391" s="15" t="inlineStr">
        <is>
          <t>1</t>
        </is>
      </c>
      <c r="J1391" s="18" t="inlineStr">
        <is>
          <t>✅ คำตอบที่ถูกต้อง: ข้อ ก. Photoluminescence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Photoluminescence การเลือก Photoluminescence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(Bioluminescence): ข้อนี้ไม่ใช่คำตอบที่ถูกต้องสำหรับภาวะ General Therapeutics เนื่องจากกลไกการออกฤทธิ์, efficacy หรือข้อบ่งใช้ไม่ตรงกับโจทย์ที่กำหนด
• ข้อ ค. (Radioluminescence): ข้อนี้ไม่ใช่คำตอบที่ถูกต้องสำหรับภาวะ General Therapeutics เนื่องจากกลไกการออกฤทธิ์, efficacy หรือข้อบ่งใช้ไม่ตรงกับโจทย์ที่กำหนด
• ข้อ ง. (Thermoluminescence): ข้อนี้ไม่ใช่คำตอบที่ถูกต้องสำหรับภาวะ General Therapeutics เนื่องจากกลไกการออกฤทธิ์, efficacy หรือข้อบ่งใช้ไม่ตรงกับโจทย์ที่กำหนด
• ข้อ จ. (Chemicalluminescence):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1" s="18" t="inlineStr"/>
      <c r="L1391" s="18" t="inlineStr">
        <is>
          <t>General Therapeutics</t>
        </is>
      </c>
      <c r="M1391" s="18" t="inlineStr">
        <is>
          <t>Clinic</t>
        </is>
      </c>
      <c r="N1391" s="18" t="inlineStr">
        <is>
          <t>ข้อ 30 (PLE_CC1_Practice_Exam.md)</t>
        </is>
      </c>
      <c r="O1391" s="18" t="inlineStr">
        <is>
          <t>Mock</t>
        </is>
      </c>
      <c r="P1391" s="18" t="inlineStr">
        <is>
          <t>Mock สภาเภสัชฯ Practice</t>
        </is>
      </c>
    </row>
    <row r="1392">
      <c r="A1392" s="15" t="inlineStr">
        <is>
          <t>1413</t>
        </is>
      </c>
      <c r="B1392" s="18" t="inlineStr">
        <is>
          <t>ค่าความแม่นยำ (Precision) สามารถแสดงผลได้จากค่าใด</t>
        </is>
      </c>
      <c r="C1392" s="18" t="inlineStr"/>
      <c r="D1392" s="18" t="inlineStr">
        <is>
          <t>%Recovery</t>
        </is>
      </c>
      <c r="E1392" s="18" t="inlineStr">
        <is>
          <t>%Bias</t>
        </is>
      </c>
      <c r="F1392" s="18" t="inlineStr">
        <is>
          <t>%RSD</t>
        </is>
      </c>
      <c r="G1392" s="18" t="inlineStr">
        <is>
          <t>%Specificity</t>
        </is>
      </c>
      <c r="H1392" s="18" t="inlineStr">
        <is>
          <t>%Accuracy</t>
        </is>
      </c>
      <c r="I1392" s="15" t="inlineStr">
        <is>
          <t>1</t>
        </is>
      </c>
      <c r="J1392" s="18" t="inlineStr">
        <is>
          <t>✅ คำตอบที่ถูกต้อง: ข้อ ก. %Recovery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%Recovery การเลือก %Recovery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(%Bias): ข้อนี้ไม่ใช่คำตอบที่ถูกต้องสำหรับภาวะ General Therapeutics เนื่องจากกลไกการออกฤทธิ์, efficacy หรือข้อบ่งใช้ไม่ตรงกับโจทย์ที่กำหนด
• ข้อ ค. (%RSD): ข้อนี้ไม่ใช่คำตอบที่ถูกต้องสำหรับภาวะ General Therapeutics เนื่องจากกลไกการออกฤทธิ์, efficacy หรือข้อบ่งใช้ไม่ตรงกับโจทย์ที่กำหนด
• ข้อ ง. (%Specificity): ข้อนี้ไม่ใช่คำตอบที่ถูกต้องสำหรับภาวะ General Therapeutics เนื่องจากกลไกการออกฤทธิ์, efficacy หรือข้อบ่งใช้ไม่ตรงกับโจทย์ที่กำหนด
• ข้อ จ. (%Accuracy):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2" s="18" t="inlineStr"/>
      <c r="L1392" s="18" t="inlineStr">
        <is>
          <t>General Therapeutics</t>
        </is>
      </c>
      <c r="M1392" s="18" t="inlineStr">
        <is>
          <t>Clinic</t>
        </is>
      </c>
      <c r="N1392" s="18" t="inlineStr">
        <is>
          <t>ข้อ 37 (PLE_CC1_Practice_Exam.md)</t>
        </is>
      </c>
      <c r="O1392" s="18" t="inlineStr">
        <is>
          <t>Mock</t>
        </is>
      </c>
      <c r="P1392" s="18" t="inlineStr">
        <is>
          <t>Mock สภาเภสัชฯ Practice</t>
        </is>
      </c>
    </row>
    <row r="1393">
      <c r="A1393" s="15" t="inlineStr">
        <is>
          <t>1414</t>
        </is>
      </c>
      <c r="B1393" s="18" t="inlineStr">
        <is>
          <t>ในการทำ Linearity สารมาตรฐานควรเตรียมอย่างน้อยกี่ความเข้มข้น</t>
        </is>
      </c>
      <c r="C1393" s="18" t="inlineStr"/>
      <c r="D1393" s="18" t="inlineStr">
        <is>
          <t>Sodium thiosulfate 25% 50 mL IV</t>
        </is>
      </c>
      <c r="E1393" s="18" t="inlineStr">
        <is>
          <t>Calcium disodium EDTA 1 g IV</t>
        </is>
      </c>
      <c r="F1393" s="18" t="inlineStr">
        <is>
          <t>Desferrioxamine 1 g IM/IV</t>
        </is>
      </c>
      <c r="G1393" s="18" t="inlineStr">
        <is>
          <t>Dimercaprol (BAL) 3 mg/kg IM</t>
        </is>
      </c>
      <c r="H1393" s="18" t="inlineStr">
        <is>
          <t>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3" s="15" t="inlineStr">
        <is>
          <t>3</t>
        </is>
      </c>
      <c r="J1393" s="18"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3" s="18" t="inlineStr"/>
      <c r="L1393" s="18" t="inlineStr">
        <is>
          <t>General Therapeutics</t>
        </is>
      </c>
      <c r="M1393" s="18" t="inlineStr">
        <is>
          <t>Clinic</t>
        </is>
      </c>
      <c r="N1393" s="18" t="inlineStr">
        <is>
          <t>ข้อ 39 (PLE_CC1_Practice_Exam.md)</t>
        </is>
      </c>
      <c r="O1393" s="18" t="inlineStr">
        <is>
          <t>Mock</t>
        </is>
      </c>
      <c r="P1393" s="18" t="inlineStr">
        <is>
          <t>Mock สภาเภสัชฯ Practice</t>
        </is>
      </c>
    </row>
    <row r="1394">
      <c r="A1394" s="15" t="inlineStr">
        <is>
          <t>1415</t>
        </is>
      </c>
      <c r="B1394" s="18" t="inlineStr">
        <is>
          <t>Pharmacognosy โดย ฝ่ายวิชาการและนักศึกษารุ่นที่ 2 คณะเภสัชศาสตร์ มหาวิทยาลัยธรรมศาสตร์</t>
        </is>
      </c>
      <c r="C1394" s="18" t="inlineStr"/>
      <c r="D1394" s="18" t="inlineStr">
        <is>
          <t>Dimercaprol (BAL) 3 mg/kg IM</t>
        </is>
      </c>
      <c r="E1394" s="18" t="inlineStr">
        <is>
          <t>Ethanol 10% IV infusion for Methanol poisoning</t>
        </is>
      </c>
      <c r="F1394" s="18" t="inlineStr">
        <is>
          <t>Fomepizole 15 mg/kg IV loading</t>
        </is>
      </c>
      <c r="G1394" s="18" t="inlineStr">
        <is>
          <t>N-acetylcysteine (NAC) IV infusion protocol</t>
        </is>
      </c>
      <c r="H1394" s="18" t="inlineStr">
        <is>
          <t>Atropine sulfate 2 mg IV Q5-10 min</t>
        </is>
      </c>
      <c r="I1394" s="15" t="inlineStr">
        <is>
          <t>1</t>
        </is>
      </c>
      <c r="J13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4" s="18" t="inlineStr"/>
      <c r="L1394" s="18" t="inlineStr">
        <is>
          <t>General Therapeutics</t>
        </is>
      </c>
      <c r="M1394" s="18" t="inlineStr">
        <is>
          <t>Clinic</t>
        </is>
      </c>
      <c r="N1394" s="18" t="inlineStr">
        <is>
          <t>ข้อ 17 (PLE_CC1_Practice_Exam.md)</t>
        </is>
      </c>
      <c r="O1394" s="18" t="inlineStr">
        <is>
          <t>Mock</t>
        </is>
      </c>
      <c r="P1394" s="18" t="inlineStr">
        <is>
          <t>Mock สภาเภสัชฯ Practice</t>
        </is>
      </c>
    </row>
    <row r="1395">
      <c r="A1395" s="15" t="inlineStr">
        <is>
          <t>1416</t>
        </is>
      </c>
      <c r="B1395" s="18" t="inlineStr">
        <is>
          <t>ข้อใดคือสาระสำคัญของพริกที่มีสรรพคุณบรรเทาอาการปวดกล้ามเนื้อ</t>
        </is>
      </c>
      <c r="C1395" s="18" t="inlineStr"/>
      <c r="D1395" s="18" t="inlineStr">
        <is>
          <t>Lawsone</t>
        </is>
      </c>
      <c r="E1395" s="18" t="inlineStr">
        <is>
          <t>Anthocyanin</t>
        </is>
      </c>
      <c r="F1395" s="18" t="inlineStr">
        <is>
          <t>Capsaicin</t>
        </is>
      </c>
      <c r="G1395" s="18" t="inlineStr">
        <is>
          <t>Curcumin</t>
        </is>
      </c>
      <c r="H1395" s="18" t="inlineStr">
        <is>
          <t>Andrographolide</t>
        </is>
      </c>
      <c r="I1395" s="15" t="inlineStr">
        <is>
          <t>1</t>
        </is>
      </c>
      <c r="J1395" s="18" t="inlineStr">
        <is>
          <t>✅ คำตอบที่ถูกต้อง: ข้อ ก. Lawsone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Lawsone การเลือก Lawsone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(Anthocyanin): ข้อนี้ไม่ใช่คำตอบที่ถูกต้องสำหรับภาวะ General Therapeutics เนื่องจากกลไกการออกฤทธิ์, efficacy หรือข้อบ่งใช้ไม่ตรงกับโจทย์ที่กำหนด
• ข้อ ค. (Capsaicin): ข้อนี้ไม่ใช่คำตอบที่ถูกต้องสำหรับภาวะ General Therapeutics เนื่องจากกลไกการออกฤทธิ์, efficacy หรือข้อบ่งใช้ไม่ตรงกับโจทย์ที่กำหนด
• ข้อ ง. (Curcumin): ข้อนี้ไม่ใช่คำตอบที่ถูกต้องสำหรับภาวะ General Therapeutics เนื่องจากกลไกการออกฤทธิ์, efficacy หรือข้อบ่งใช้ไม่ตรงกับโจทย์ที่กำหนด
• ข้อ จ. (Andrographolide):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5" s="18" t="inlineStr"/>
      <c r="L1395" s="18" t="inlineStr">
        <is>
          <t>General Therapeutics</t>
        </is>
      </c>
      <c r="M1395" s="18" t="inlineStr">
        <is>
          <t>Clinic</t>
        </is>
      </c>
      <c r="N1395" s="18" t="inlineStr">
        <is>
          <t>ข้อ 11 (PLE_CC1_Practice_Exam.md)</t>
        </is>
      </c>
      <c r="O1395" s="18" t="inlineStr">
        <is>
          <t>Mock</t>
        </is>
      </c>
      <c r="P1395" s="18" t="inlineStr">
        <is>
          <t>Mock สภาเภสัชฯ Practice</t>
        </is>
      </c>
    </row>
    <row r="1396">
      <c r="A1396" s="15" t="inlineStr">
        <is>
          <t>1417</t>
        </is>
      </c>
      <c r="B1396" s="18" t="inlineStr">
        <is>
          <t>พืชในข้อใดมีฤทธิ์ทดแทนัอร์โมนเอสโตรเจนได้</t>
        </is>
      </c>
      <c r="C1396" s="18" t="inlineStr"/>
      <c r="D1396" s="18" t="inlineStr">
        <is>
          <t>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1396" s="18" t="inlineStr">
        <is>
          <t>รำเพย</t>
        </is>
      </c>
      <c r="F1396" s="18" t="inlineStr">
        <is>
          <t>ยี่โถ</t>
        </is>
      </c>
      <c r="G1396" s="18" t="inlineStr">
        <is>
          <t>กวาวเครือขาว</t>
        </is>
      </c>
      <c r="H1396" s="18" t="inlineStr">
        <is>
          <t>เถาวัลย์เปรียง</t>
        </is>
      </c>
      <c r="I1396" s="15" t="inlineStr">
        <is>
          <t>1</t>
        </is>
      </c>
      <c r="J1396" s="18" t="inlineStr">
        <is>
          <t>✅ คำตอบที่ถูกต้อง: ข้อ 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การเลือก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(รำเพย): ข้อนี้ไม่ใช่คำตอบที่ถูกต้องสำหรับภาวะ General Therapeutics เนื่องจากกลไกการออกฤทธิ์, efficacy หรือข้อบ่งใช้ไม่ตรงกับโจทย์ที่กำหนด
• ข้อ ค. (ยี่โถ): ข้อนี้ไม่ใช่คำตอบที่ถูกต้องสำหรับภาวะ General Therapeutics เนื่องจากกลไกการออกฤทธิ์, efficacy หรือข้อบ่งใช้ไม่ตรงกับโจทย์ที่กำหนด
• ข้อ ง. (กวาวเครือขาว): ข้อนี้ไม่ใช่คำตอบที่ถูกต้องสำหรับภาวะ General Therapeutics เนื่องจากกลไกการออกฤทธิ์, efficacy หรือข้อบ่งใช้ไม่ตรงกับโจทย์ที่กำหนด
• ข้อ จ. (เถาวัลย์เปรียง):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6" s="18" t="inlineStr"/>
      <c r="L1396" s="18" t="inlineStr">
        <is>
          <t>General Therapeutics</t>
        </is>
      </c>
      <c r="M1396" s="18" t="inlineStr">
        <is>
          <t>Clinic</t>
        </is>
      </c>
      <c r="N1396" s="18" t="inlineStr">
        <is>
          <t>ข้อ 20 (PLE_CC1_Practice_Exam.md)</t>
        </is>
      </c>
      <c r="O1396" s="18" t="inlineStr">
        <is>
          <t>Mock</t>
        </is>
      </c>
      <c r="P1396" s="18" t="inlineStr">
        <is>
          <t>Mock สภาเภสัชฯ Practice</t>
        </is>
      </c>
    </row>
    <row r="1397">
      <c r="A1397" s="15" t="inlineStr">
        <is>
          <t>1418</t>
        </is>
      </c>
      <c r="B1397" s="18" t="inlineStr">
        <is>
          <t>พืชในข้อใดสามารถใช้เป็นสารตั้งต้นสเตรียรอยด์ได้</t>
        </is>
      </c>
      <c r="C1397" s="18" t="inlineStr"/>
      <c r="D1397" s="18" t="inlineStr">
        <is>
          <t>กลอย</t>
        </is>
      </c>
      <c r="E1397" s="18" t="inlineStr">
        <is>
          <t>ระย่อม</t>
        </is>
      </c>
      <c r="F1397" s="18" t="inlineStr">
        <is>
          <t>ลูกซัด</t>
        </is>
      </c>
      <c r="G1397" s="18" t="inlineStr">
        <is>
          <t>ก และ ข</t>
        </is>
      </c>
      <c r="H1397" s="18" t="inlineStr">
        <is>
          <t>ก และ ค</t>
        </is>
      </c>
      <c r="I1397" s="15" t="inlineStr">
        <is>
          <t>1</t>
        </is>
      </c>
      <c r="J1397" s="18" t="inlineStr">
        <is>
          <t>✅ คำตอบที่ถูกต้อง: ข้อ ก. กลอย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กลอย การเลือก กลอย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General Therapeutics เนื่องจากกลไกการออกฤทธิ์, efficacy หรือข้อบ่งใช้ไม่ตรงกับโจทย์ที่กำหนด
• ข้อ ค. (ลูกซัด):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ข้อนี้ไม่ใช่คำตอบที่ถูกต้องสำหรับภาวะ General Therapeutics เนื่องจากกลไกการออกฤทธิ์, efficacy หรือข้อบ่งใช้ไม่ตรงกับโจทย์ที่กำหนด
• ข้อ จ. (ก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7" s="18" t="inlineStr"/>
      <c r="L1397" s="18" t="inlineStr">
        <is>
          <t>General Therapeutics</t>
        </is>
      </c>
      <c r="M1397" s="18" t="inlineStr">
        <is>
          <t>Clinic</t>
        </is>
      </c>
      <c r="N1397" s="18" t="inlineStr">
        <is>
          <t>ข้อ 21 (PLE_CC1_Practice_Exam.md)</t>
        </is>
      </c>
      <c r="O1397" s="18" t="inlineStr">
        <is>
          <t>Mock</t>
        </is>
      </c>
      <c r="P1397" s="18" t="inlineStr">
        <is>
          <t>Mock สภาเภสัชฯ Practice</t>
        </is>
      </c>
    </row>
    <row r="1398">
      <c r="A1398" s="15" t="inlineStr">
        <is>
          <t>1419</t>
        </is>
      </c>
      <c r="B1398" s="18" t="inlineStr">
        <is>
          <t>ข้อใดถูกเกี่ยวกับการรักษาอาการไอ</t>
        </is>
      </c>
      <c r="C1398" s="18" t="inlineStr"/>
      <c r="D1398" s="18" t="inlineStr">
        <is>
          <t>ใช้ผลดิบของดีปลี ฝนกับน้ำมะนาว แทรกเกลือ กวาดคอ</t>
        </is>
      </c>
      <c r="E1398" s="18" t="inlineStr">
        <is>
          <t>นำเนื้อฝักอ่อนของมะขามต้มน้ำ เติมเกลือ รับประทาน</t>
        </is>
      </c>
      <c r="F1398" s="18" t="inlineStr">
        <is>
          <t>นำผลสดมะแว้งเครือ เคี่ยวแล้วกลืนทั้งน้ำ และเนื้อ</t>
        </is>
      </c>
      <c r="G1398" s="18" t="inlineStr">
        <is>
          <t>ก ข และ ค ถูก</t>
        </is>
      </c>
      <c r="H1398" s="18" t="inlineStr">
        <is>
          <t>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8" s="15" t="inlineStr">
        <is>
          <t>1</t>
        </is>
      </c>
      <c r="J1398" s="18" t="inlineStr">
        <is>
          <t>✅ คำตอบที่ถูกต้อง: ข้อ ก. ใช้ผลดิบของดีปลี ฝนกับน้ำมะนาว แทรกเกลือ กวาดคอ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ใช้ผลดิบของดีปลี ฝนกับน้ำมะนาว แทรกเกลือ กวาดคอ การเลือก ใช้ผลดิบของดีปลี ฝนกับน้ำมะนาว แทรกเกลือ กวาดคอ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(นำเนื้อฝักอ่อนของมะขามต้มน้ำ เติมเกลือ 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ค. (นำผลสดมะแว้งเครือ เคี่ยวแล้วกลืนทั้งน้ำ และเนื้อ): ข้อนี้ไม่ใช่คำตอบที่ถูกต้องสำหรับภาวะ General Therapeutics เนื่องจากกลไกการออกฤทธิ์, efficacy หรือข้อบ่งใช้ไม่ตรงกับโจทย์ที่กำหนด
• ข้อ ง.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8" s="18" t="inlineStr"/>
      <c r="L1398" s="18" t="inlineStr">
        <is>
          <t>General Therapeutics</t>
        </is>
      </c>
      <c r="M1398" s="18" t="inlineStr">
        <is>
          <t>Clinic</t>
        </is>
      </c>
      <c r="N1398" s="18" t="inlineStr">
        <is>
          <t>ข้อ 24 (PLE_CC1_Practice_Exam.md)</t>
        </is>
      </c>
      <c r="O1398" s="18" t="inlineStr">
        <is>
          <t>Mock</t>
        </is>
      </c>
      <c r="P1398" s="18" t="inlineStr">
        <is>
          <t>Mock สภาเภสัชฯ Practice</t>
        </is>
      </c>
    </row>
    <row r="1399">
      <c r="A1399" s="15" t="inlineStr">
        <is>
          <t>1420</t>
        </is>
      </c>
      <c r="B1399" s="18" t="inlineStr">
        <is>
          <t>ข้อใดถูก</t>
        </is>
      </c>
      <c r="C1399" s="18" t="inlineStr"/>
      <c r="D1399" s="18" t="inlineStr">
        <is>
          <t>ดองดึง มีฤทธิ์ต้านมาลาเรีย</t>
        </is>
      </c>
      <c r="E1399" s="18" t="inlineStr">
        <is>
          <t>มังคุด มีสารต้านมะเร็ง</t>
        </is>
      </c>
      <c r="F1399" s="18" t="inlineStr">
        <is>
          <t>มะหาด มีสาร Skin whitening</t>
        </is>
      </c>
      <c r="G1399" s="18" t="inlineStr">
        <is>
          <t>ั่วยัวย มีฤทธิ์เพิ่มการไหลเวียนเลือดในสมอง</t>
        </is>
      </c>
      <c r="H1399" s="18" t="inlineStr">
        <is>
          <t>ขี้เหล็ก มีฤทธิ์รักษาฝีหนอง</t>
        </is>
      </c>
      <c r="I1399" s="15" t="inlineStr">
        <is>
          <t>1</t>
        </is>
      </c>
      <c r="J1399" s="18" t="inlineStr">
        <is>
          <t>✅ คำตอบที่ถูกต้อง: ข้อ ก. ดองดึง มีฤทธิ์ต้านมาลาเรีย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ดองดึง มีฤทธิ์ต้านมาลาเรีย การเลือก ดองดึง มีฤทธิ์ต้านมาลาเรีย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(มังคุด มีสารต้านมะเร็ง): ข้อนี้ไม่ใช่คำตอบที่ถูกต้องสำหรับภาวะ General Therapeutics เนื่องจากกลไกการออกฤทธิ์, efficacy หรือข้อบ่งใช้ไม่ตรงกับโจทย์ที่กำหนด
• ข้อ ค. (มะหาด มีสาร Skin whitening): ข้อนี้ไม่ใช่คำตอบที่ถูกต้องสำหรับภาวะ General Therapeutics เนื่องจากกลไกการออกฤทธิ์, efficacy หรือข้อบ่งใช้ไม่ตรงกับโจทย์ที่กำหนด
• ข้อ ง. (ั่วยัวย มีฤทธิ์เพิ่มการไหลเวียนเลือดในสมอง): ข้อนี้ไม่ใช่คำตอบที่ถูกต้องสำหรับภาวะ General Therapeutics เนื่องจากกลไกการออกฤทธิ์, efficacy หรือข้อบ่งใช้ไม่ตรงกับโจทย์ที่กำหนด
• ข้อ จ. (ขี้เหล็ก มีฤทธิ์รักษาฝีหนอง):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9" s="18" t="inlineStr"/>
      <c r="L1399" s="18" t="inlineStr">
        <is>
          <t>General Therapeutics</t>
        </is>
      </c>
      <c r="M1399" s="18" t="inlineStr">
        <is>
          <t>Clinic</t>
        </is>
      </c>
      <c r="N1399" s="18" t="inlineStr">
        <is>
          <t>ข้อ 30 (PLE_CC1_Practice_Exam.md)</t>
        </is>
      </c>
      <c r="O1399" s="18" t="inlineStr">
        <is>
          <t>Mock</t>
        </is>
      </c>
      <c r="P1399" s="18" t="inlineStr">
        <is>
          <t>Mock สภาเภสัชฯ Practice</t>
        </is>
      </c>
    </row>
    <row r="1400">
      <c r="A1400" s="15" t="inlineStr">
        <is>
          <t>1421</t>
        </is>
      </c>
      <c r="B1400" s="18" t="inlineStr">
        <is>
          <t>นิติเภสัชกรรม โดย ฝ่ายวิชาการและนักศึกษารุ่นที่ 2 คณะเภสัชศาสตร์ มหาวิทยาลัยธรรมศาสตร์</t>
        </is>
      </c>
      <c r="C1400" s="18" t="inlineStr"/>
      <c r="D1400" s="18" t="inlineStr">
        <is>
          <t>Naloxone 0.4 mg IV stat</t>
        </is>
      </c>
      <c r="E1400" s="18" t="inlineStr">
        <is>
          <t>Flumazenil 0.2 mg IV stat</t>
        </is>
      </c>
      <c r="F1400" s="18" t="inlineStr">
        <is>
          <t>Vitamin K1 (Phytomenadione) 10 mg IV slow</t>
        </is>
      </c>
      <c r="G1400" s="18" t="inlineStr">
        <is>
          <t>Sodium thiosulfate 25% 50 mL IV</t>
        </is>
      </c>
      <c r="H1400" s="18" t="inlineStr">
        <is>
          <t>Calcium disodium EDTA 1 g IV</t>
        </is>
      </c>
      <c r="I1400" s="15" t="inlineStr">
        <is>
          <t>1</t>
        </is>
      </c>
      <c r="J14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0" s="18" t="inlineStr"/>
      <c r="L1400" s="18" t="inlineStr">
        <is>
          <t>General Therapeutics</t>
        </is>
      </c>
      <c r="M1400" s="18" t="inlineStr">
        <is>
          <t>Clinic</t>
        </is>
      </c>
      <c r="N1400" s="18" t="inlineStr">
        <is>
          <t>ข้อ 18 (PLE_CC1_Practice_Exam.md)</t>
        </is>
      </c>
      <c r="O1400" s="18" t="inlineStr">
        <is>
          <t>Mock</t>
        </is>
      </c>
      <c r="P1400" s="18" t="inlineStr">
        <is>
          <t>Mock สภาเภสัชฯ Practice</t>
        </is>
      </c>
    </row>
    <row r="1401">
      <c r="A1401" s="15" t="inlineStr">
        <is>
          <t>1422</t>
        </is>
      </c>
      <c r="B1401" s="18" t="inlineStr">
        <is>
          <t>นายทองสุข ประสงค์จะเลิกกิจการร้านขายยามาปรึกษาท่าน ท่านจะแนะนำนายทองสุขอย่างไร</t>
        </is>
      </c>
      <c r="C1401" s="18" t="inlineStr"/>
      <c r="D1401" s="18" t="inlineStr">
        <is>
          <t>ให้แจ้งการเลิกกิจการเป็นหนังสือให้ผู้อนุญาตทราบไม่เกิน 7 วัน นับแต่วันเลิกกิจการ</t>
        </is>
      </c>
      <c r="E1401" s="18" t="inlineStr">
        <is>
          <t>ให้แจ้งการเลิกกิจการเป็นหนังสือให้ผู้อนุญาตทราบไม่เกิน 14 วัน นับแต่วันเลิกกิจการ</t>
        </is>
      </c>
      <c r="F1401" s="18" t="inlineStr">
        <is>
          <t>ให้แจ้งการเลิกกิจการเป็นหนังสือให้ผู้อนุญาตทราบไม่เกิน 15 วัน นับแต่วันเลิกกิจการ</t>
        </is>
      </c>
      <c r="G1401" s="18" t="inlineStr">
        <is>
          <t>ให้แจ้งการเลิกกิจการเป็นหนังสือให้ผู้อนุญาตทราบไม่เกิน 30 วัน นับแต่วันเลิกกิจการ</t>
        </is>
      </c>
      <c r="H1401" s="18" t="inlineStr">
        <is>
          <t>ให้แจ้งการเลิกกิจการเป็นหนังสือให้ผู้อนุญาตทราบไม่เกิน 60 วัน นับแต่วันเลิกกิจการ</t>
        </is>
      </c>
      <c r="I1401" s="15" t="inlineStr">
        <is>
          <t>1</t>
        </is>
      </c>
      <c r="J1401" s="18" t="inlineStr">
        <is>
          <t>✅ คำตอบที่ถูกต้อง: ข้อ ก. ให้แจ้งการเลิกกิจการเป็นหนังสือให้ผู้อนุญาตทราบไม่เกิน 7 วัน นับแต่วันเลิกกิจการ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ให้แจ้งการเลิกกิจการเป็นหนังสือให้ผู้อนุญาตทราบไม่เกิน 7 วัน นับแต่วันเลิกกิจการ การเลือก ให้แจ้งการเลิกกิจการเป็นหนังสือให้ผู้อนุญาตทราบไม่เกิน 7 วัน นับแต่วันเลิกกิจการ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(ให้แจ้งการเลิกกิจการเป็นหนังสือให้ผู้อนุญาตทราบไม่เกิน 14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ค. (ให้แจ้งการเลิกกิจการเป็นหนังสือให้ผู้อนุญาตทราบไม่เกิน 15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ง. (ให้แจ้งการเลิกกิจการเป็นหนังสือให้ผู้อนุญาตทราบไม่เกิน 30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จ. (ให้แจ้งการเลิกกิจการเป็นหนังสือให้ผู้อนุญาตทราบไม่เกิน 60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1" s="18" t="inlineStr"/>
      <c r="L1401" s="18" t="inlineStr">
        <is>
          <t>General Therapeutics</t>
        </is>
      </c>
      <c r="M1401" s="18" t="inlineStr">
        <is>
          <t>Clinic</t>
        </is>
      </c>
      <c r="N1401" s="18" t="inlineStr">
        <is>
          <t>ข้อ 1 (PLE_CC1_Practice_Exam.md)</t>
        </is>
      </c>
      <c r="O1401" s="18" t="inlineStr">
        <is>
          <t>Mock</t>
        </is>
      </c>
      <c r="P1401" s="18" t="inlineStr">
        <is>
          <t>Mock สภาเภสัชฯ Practice</t>
        </is>
      </c>
    </row>
    <row r="1402">
      <c r="A1402" s="15" t="inlineStr">
        <is>
          <t>1423</t>
        </is>
      </c>
      <c r="B1402" s="18" t="inlineStr">
        <is>
          <t>ใครเป็นผู้มีอำนาจสั่งเป็นหนังสือให้ระงับการโฆษณาขายยาได้ตามพระราชบัญญัติยา พ.ศ. 2510</t>
        </is>
      </c>
      <c r="C1402" s="18" t="inlineStr"/>
      <c r="D1402" s="18" t="inlineStr">
        <is>
          <t>ปลัดกระทรวงสาธารณสุข ข. รัฐมนตรีว่าการกระทรวงสาธารณสุข</t>
        </is>
      </c>
      <c r="E1402" s="18" t="inlineStr">
        <is>
          <t>เลขาธิการคณะกรรมการอาหารและยา ง. ผู้ว่าราชการจังหวัด</t>
        </is>
      </c>
      <c r="F1402" s="18" t="inlineStr">
        <is>
          <t>นายกสภาเภสัชกรรม</t>
        </is>
      </c>
      <c r="G1402" s="18" t="inlineStr">
        <is>
          <t>N-acetylcysteine (NAC) IV infusion protocol</t>
        </is>
      </c>
      <c r="H1402" s="18" t="inlineStr">
        <is>
          <t>Atropine sulfate 2 mg IV Q5-10 min</t>
        </is>
      </c>
      <c r="I1402" s="15" t="inlineStr">
        <is>
          <t>1</t>
        </is>
      </c>
      <c r="J1402" s="18" t="inlineStr">
        <is>
          <t>✅ คำตอบที่ถูกต้อง: ข้อ ก. ปลัดกระทรวงสาธารณสุข ข. รัฐมนตรีว่าการกระทรวงสาธารณสุข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ปลัดกระทรวงสาธารณสุข ข. รัฐมนตรีว่าการกระทรวงสาธารณสุข การเลือก ปลัดกระทรวงสาธารณสุข ข. รัฐมนตรีว่าการกระทรวงสาธารณสุข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(เลขาธิการคณะกรรมการอาหารและยา ง. ผู้ว่าราชการจังหวัด): ข้อนี้ไม่ใช่คำตอบที่ถูกต้องสำหรับภาวะ General Therapeutics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2" s="18" t="inlineStr"/>
      <c r="L1402" s="18" t="inlineStr">
        <is>
          <t>General Therapeutics</t>
        </is>
      </c>
      <c r="M1402" s="18" t="inlineStr">
        <is>
          <t>Clinic</t>
        </is>
      </c>
      <c r="N1402" s="18" t="inlineStr">
        <is>
          <t>ข้อ 2 (PLE_CC1_Practice_Exam.md)</t>
        </is>
      </c>
      <c r="O1402" s="18" t="inlineStr">
        <is>
          <t>Mock</t>
        </is>
      </c>
      <c r="P1402" s="18" t="inlineStr">
        <is>
          <t>Mock สภาเภสัชฯ Practice</t>
        </is>
      </c>
    </row>
    <row r="1403">
      <c r="A1403" s="15" t="inlineStr">
        <is>
          <t>1424</t>
        </is>
      </c>
      <c r="B1403" s="18" t="inlineStr">
        <is>
          <t>ข้อใดไม่ใช่หน้าที่ของผู้รับอนุญาตผลิตยา</t>
        </is>
      </c>
      <c r="C1403" s="18" t="inlineStr"/>
      <c r="D1403" s="18" t="inlineStr">
        <is>
          <t>จัดให้มีป้ายแสดงว่าเป็นสถานที่ผลิตยา</t>
        </is>
      </c>
      <c r="E1403" s="18" t="inlineStr">
        <is>
          <t>จัดให้มีฉลากตามที่ขึ้นทะเบียนตำรับยาผนึกไว้ที่ภาชนะ และหีบห่อบรรจุยาที่ผลิตขึ้น</t>
        </is>
      </c>
      <c r="F1403" s="18" t="inlineStr">
        <is>
          <t>ทำบัญชียาที่ผลิตและขายตามที่กำหนดในกฎกระทรวง</t>
        </is>
      </c>
      <c r="G1403" s="18" t="inlineStr">
        <is>
          <t>ควบคุมการขายยาให้เป็นไปตามมาตรา 39</t>
        </is>
      </c>
      <c r="H1403" s="18" t="inlineStr">
        <is>
          <t>ถูกทุกข้อ</t>
        </is>
      </c>
      <c r="I1403" s="15" t="inlineStr">
        <is>
          <t>1</t>
        </is>
      </c>
      <c r="J1403" s="18" t="inlineStr">
        <is>
          <t>✅ คำตอบที่ถูกต้อง: ข้อ ก. จัดให้มีป้ายแสดงว่าเป็นสถานที่ผลิตยา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จัดให้มีป้ายแสดงว่าเป็นสถานที่ผลิตยา การเลือก จัดให้มีป้ายแสดงว่าเป็นสถานที่ผลิตยา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(จัดให้มีฉลากตามที่ขึ้นทะเบียนตำรับยาผนึกไว้ที่ภาชนะ และหีบห่อบรรจุยาที่ผลิตขึ้น): ข้อนี้ไม่ใช่คำตอบที่ถูกต้องสำหรับภาวะ General Therapeutics เนื่องจากกลไกการออกฤทธิ์, efficacy หรือข้อบ่งใช้ไม่ตรงกับโจทย์ที่กำหนด
• ข้อ ค. (ทำบัญชียาที่ผลิตและขายตามที่กำหนดในกฎกระทรวง):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(ควบคุมการขายยาให้เป็นไปตามมาตรา 39):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3" s="18" t="inlineStr"/>
      <c r="L1403" s="18" t="inlineStr">
        <is>
          <t>General Therapeutics</t>
        </is>
      </c>
      <c r="M1403" s="18" t="inlineStr">
        <is>
          <t>Clinic</t>
        </is>
      </c>
      <c r="N1403" s="18" t="inlineStr">
        <is>
          <t>ข้อ 3 (PLE_CC1_Practice_Exam.md)</t>
        </is>
      </c>
      <c r="O1403" s="18" t="inlineStr">
        <is>
          <t>Mock</t>
        </is>
      </c>
      <c r="P1403" s="18" t="inlineStr">
        <is>
          <t>Mock สภาเภสัชฯ Practice</t>
        </is>
      </c>
    </row>
    <row r="1404">
      <c r="A1404" s="15" t="inlineStr">
        <is>
          <t>1425</t>
        </is>
      </c>
      <c r="B1404" s="18" t="inlineStr">
        <is>
          <t>ข้อใด ไม่ใช่ยาปลอมตามความหมายในพระราชบัญญัติ พ.ศ. 2510</t>
        </is>
      </c>
      <c r="C1404" s="18" t="inlineStr"/>
      <c r="D1404" s="18" t="inlineStr">
        <is>
          <t>ยาหรือวัตถุที่ทำเทียมทั้งหมดหรือแต่บางส่วนว่าเป็นยาแท้</t>
        </is>
      </c>
      <c r="E1404" s="18" t="inlineStr">
        <is>
          <t>ยาที่สิ้นอายุตามที่แสดงไว้ในฉลาก</t>
        </is>
      </c>
      <c r="F1404" s="18" t="inlineStr">
        <is>
          <t>ยาที่แสดงชื่อว่าเป็นยาอื่นหรือแสดงเดือนปีที่ยาสิ้นอายุซึ่งมิใช่ความจริง</t>
        </is>
      </c>
      <c r="G1404" s="18" t="inlineStr">
        <is>
          <t>ยาที่แสดงชื่อหรือเครื่องหมายของผู้ผลิต หรือที่ตั้งสถานที่ผลิตยาซึ่งมิใช่ความจริง</t>
        </is>
      </c>
      <c r="H1404" s="18" t="inlineStr">
        <is>
          <t>ถูกทั้งข้อ ข และ ค</t>
        </is>
      </c>
      <c r="I1404" s="15" t="inlineStr">
        <is>
          <t>1</t>
        </is>
      </c>
      <c r="J1404" s="18" t="inlineStr">
        <is>
          <t>✅ คำตอบที่ถูกต้อง: ข้อ ก. ยาหรือวัตถุที่ทำเทียมทั้งหมดหรือแต่บางส่วนว่าเป็นยาแท้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ยาหรือวัตถุที่ทำเทียมทั้งหมดหรือแต่บางส่วนว่าเป็นยาแท้ การเลือก ยาหรือวัตถุที่ทำเทียมทั้งหมดหรือแต่บางส่วนว่าเป็นยาแท้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(ยาที่สิ้นอายุตามที่แสดงไว้ในฉลาก): ข้อนี้ไม่ใช่คำตอบที่ถูกต้องสำหรับภาวะ General Therapeutics เนื่องจากกลไกการออกฤทธิ์, efficacy หรือข้อบ่งใช้ไม่ตรงกับโจทย์ที่กำหนด
• ข้อ ค. (ยาที่แสดงชื่อว่าเป็นยาอื่นหรือแสดงเดือนปีที่ยาสิ้นอายุซึ่งมิใช่ความจริง):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ง. (ยาที่แสดงชื่อหรือเครื่องหมายของผู้ผลิต หรือที่ตั้งสถานที่ผลิตยาซึ่งมิใช่ความจริง):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4" s="18" t="inlineStr"/>
      <c r="L1404" s="18" t="inlineStr">
        <is>
          <t>General Therapeutics</t>
        </is>
      </c>
      <c r="M1404" s="18" t="inlineStr">
        <is>
          <t>Clinic</t>
        </is>
      </c>
      <c r="N1404" s="18" t="inlineStr">
        <is>
          <t>ข้อ 4 (PLE_CC1_Practice_Exam.md)</t>
        </is>
      </c>
      <c r="O1404" s="18" t="inlineStr">
        <is>
          <t>Mock</t>
        </is>
      </c>
      <c r="P1404" s="18" t="inlineStr">
        <is>
          <t>Mock สภาเภสัชฯ Practice</t>
        </is>
      </c>
    </row>
    <row r="1405">
      <c r="A1405" s="15" t="inlineStr">
        <is>
          <t>1426</t>
        </is>
      </c>
      <c r="B1405" s="18" t="inlineStr">
        <is>
          <t>ข้อใดกล่าวไม่ถูกต้องตามพระราชบัญญัติยา พ.ศ. 2510</t>
        </is>
      </c>
      <c r="C1405" s="18" t="inlineStr"/>
      <c r="D1405" s="18" t="inlineStr">
        <is>
          <t>คำสั่งพักใช้ใบอนุญาตมีกำหนดครั้งละไม่เกิน 180 วัน</t>
        </is>
      </c>
      <c r="E1405" s="18" t="inlineStr">
        <is>
          <t>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t>
        </is>
      </c>
      <c r="F1405" s="18" t="inlineStr">
        <is>
          <t>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t>
        </is>
      </c>
      <c r="G1405" s="18" t="inlineStr">
        <is>
          <t>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t>
        </is>
      </c>
      <c r="H1405" s="18" t="inlineStr">
        <is>
          <t>ไม่มีข้อใดผิด</t>
        </is>
      </c>
      <c r="I1405" s="15" t="inlineStr">
        <is>
          <t>1</t>
        </is>
      </c>
      <c r="J1405" s="18" t="inlineStr">
        <is>
          <t>✅ คำตอบที่ถูกต้อง: ข้อ ก. คำสั่งพักใช้ใบอนุญาตมีกำหนดครั้งละไม่เกิน 180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คำสั่งพักใช้ใบอนุญาตมีกำหนดครั้งละไม่เกิน 180 วัน การเลือก คำสั่งพักใช้ใบอนุญาตมีกำหนดครั้งละไม่เกิน 180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ค. (กรณีใบสำคัญการขึ้นทะเบียนตำรับยาสูญหาย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ง. (ผู้รับอนุญาตซึ่งถูกสั่งเพิกถอนใบอนุญาตการผลิตยา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5" s="18" t="inlineStr"/>
      <c r="L1405" s="18" t="inlineStr">
        <is>
          <t>General Therapeutics</t>
        </is>
      </c>
      <c r="M1405" s="18" t="inlineStr">
        <is>
          <t>Clinic</t>
        </is>
      </c>
      <c r="N1405" s="18" t="inlineStr">
        <is>
          <t>ข้อ 6 (PLE_CC1_Practice_Exam.md)</t>
        </is>
      </c>
      <c r="O1405" s="18" t="inlineStr">
        <is>
          <t>Mock</t>
        </is>
      </c>
      <c r="P1405" s="18" t="inlineStr">
        <is>
          <t>Mock สภาเภสัชฯ Practice</t>
        </is>
      </c>
    </row>
    <row r="1406">
      <c r="A1406" s="15" t="inlineStr">
        <is>
          <t>1427</t>
        </is>
      </c>
      <c r="B1406" s="18" t="inlineStr">
        <is>
          <t>การโฆษณาแบบใดที่ผู้อนุญาตมีอำนาจอนุมัติข้อความที่โฆษณาได้</t>
        </is>
      </c>
      <c r="C1406" s="18" t="inlineStr"/>
      <c r="D1406" s="18" t="inlineStr">
        <is>
          <t>การโฆษณายาโดยการร้องเพลง</t>
        </is>
      </c>
      <c r="E1406" s="18" t="inlineStr">
        <is>
          <t>การโฆษณาสรรพคุณยาอันตราย</t>
        </is>
      </c>
      <c r="F1406" s="18" t="inlineStr">
        <is>
          <t>การโฆษณายาแก้เบาหวานโดยตรงต่อผู้ประกอบโรคศิลปะ</t>
        </is>
      </c>
      <c r="G1406" s="18" t="inlineStr">
        <is>
          <t>การโฆษณาโดยผู้ประกอบโรคศิลปะเป็นผู้รับรองสรรพคุณ</t>
        </is>
      </c>
      <c r="H1406" s="18" t="inlineStr">
        <is>
          <t>การโฆษณาระบุว่าสามารถรักษาโรคเรื้อรังให้หายขาดได้</t>
        </is>
      </c>
      <c r="I1406" s="15" t="inlineStr">
        <is>
          <t>1</t>
        </is>
      </c>
      <c r="J1406" s="18" t="inlineStr">
        <is>
          <t>✅ คำตอบที่ถูกต้อง: ข้อ ก. การโฆษณายาโดยการร้องเพลง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การโฆษณายาโดยการร้องเพลง การเลือก การโฆษณายาโดยการร้องเพลง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(การโฆษณายาแก้เบาหวานโดยตรงต่อผู้ประกอบโรคศิลปะ): ข้อนี้ไม่ใช่คำตอบที่ถูกต้องสำหรับภาวะ General Therapeutics เนื่องจากกลไกการออกฤทธิ์, efficacy หรือข้อบ่งใช้ไม่ตรงกับโจทย์ที่กำหนด
• ข้อ ง. (การโฆษณาโดยผู้ประกอบโรคศิลปะเป็นผู้รับรองสรรพคุณ): ข้อนี้ไม่ใช่คำตอบที่ถูกต้องสำหรับภาวะ General Therapeutics เนื่องจากกลไกการออกฤทธิ์, efficacy หรือข้อบ่งใช้ไม่ตรงกับโจทย์ที่กำหนด
• ข้อ จ. (การโฆษณาระบุว่าสามารถรักษาโรคเรื้อรังให้หายขาดได้):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6" s="18" t="inlineStr"/>
      <c r="L1406" s="18" t="inlineStr">
        <is>
          <t>General Therapeutics</t>
        </is>
      </c>
      <c r="M1406" s="18" t="inlineStr">
        <is>
          <t>Clinic</t>
        </is>
      </c>
      <c r="N1406" s="18" t="inlineStr">
        <is>
          <t>ข้อ 7 (PLE_CC1_Practice_Exam.md)</t>
        </is>
      </c>
      <c r="O1406" s="18" t="inlineStr">
        <is>
          <t>Mock</t>
        </is>
      </c>
      <c r="P1406" s="18" t="inlineStr">
        <is>
          <t>Mock สภาเภสัชฯ Practice</t>
        </is>
      </c>
    </row>
    <row r="1407">
      <c r="A1407" s="15" t="inlineStr">
        <is>
          <t>1428</t>
        </is>
      </c>
      <c r="B1407" s="18" t="inlineStr">
        <is>
          <t>สถานที่ขายยาแผนปัจจุบันสามารถขายยาแผนโบราณได้โดยไม่ต้องขออนุญาตขายยาแผนโบราณ เพราะ เหตุใด</t>
        </is>
      </c>
      <c r="C1407" s="18" t="inlineStr"/>
      <c r="D1407" s="18" t="inlineStr">
        <is>
          <t>เพราะกฎหมายอนุญาตให้ผู้มีหน้าที่ปฏิบัติการในสถานที่ขายยาแผนปัจจุบันซึ่งเป็นผู้ประกอบ วิชาชีพเภสัชกรรมขายยาแผนโบราณได้</t>
        </is>
      </c>
      <c r="E1407" s="18" t="inlineStr">
        <is>
          <t>เพราะกฎหมายยกเว้นให้การขายยาแผนโบราณโดยผู้รับอนุญาตขายยาแผนปัจจุบันสามารถกระทำ ได้โดยไม่ต้องขออนุญาต</t>
        </is>
      </c>
      <c r="F1407" s="18" t="inlineStr">
        <is>
          <t>เพราะกฎหมายยกเว้นให้เพราะเป็นการขายยาสามัญประจำบ้านเท่านั้น</t>
        </is>
      </c>
      <c r="G1407" s="18" t="inlineStr">
        <is>
          <t>เพราะกฎหมายยกเว้นให้เพราะเป็นการขายยาที่ไม่มีอันตราย</t>
        </is>
      </c>
      <c r="H1407" s="18" t="inlineStr">
        <is>
          <t>ข้อ ก และ ค ถูก</t>
        </is>
      </c>
      <c r="I1407" s="15" t="inlineStr">
        <is>
          <t>1</t>
        </is>
      </c>
      <c r="J1407" s="18" t="inlineStr">
        <is>
          <t>✅ คำตอบที่ถูกต้อง: ข้อ 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คำอธิบายและเหตุผลทางเภสัชกรรม:
💡 คำอธิบายและเหตุผลทางเภสัชกรรม:
การเลือก เพราะกฎหมายอนุญาตให้ผู้มีหน้าที่ปฏิบัติการในสถานที่ขายยาแผนปัจจุบันซึ่งเป็นผู้ประกอบ วิชาชีพเภสัชกรรมขายยาแผนโบราณได้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(เพราะกฎหมายยกเว้นให้การขายยาแผนโบราณโดยผู้รับอนุญาตขายยาแผนปัจจุบันสามารถกระทำ ได้โดยไม่ต้องขออนุญาต): ข้อนี้ไม่ใช่คำตอบที่ถูกต้องสำหรับภาวะ Herbal Medicine เนื่องจากกลไกการออกฤทธิ์, efficacy หรือข้อบ่งใช้ไม่ตรงกับโจทย์ที่กำหนด
• ข้อ ค. (เพราะกฎหมายยกเว้นให้เพราะเป็นการขายยาสามัญประจำบ้านเท่านั้น): ข้อนี้ไม่ใช่คำตอบที่ถูกต้องสำหรับภาวะ Herbal Medicine เนื่องจากกลไกการออกฤทธิ์, efficacy หรือข้อบ่งใช้ไม่ตรงกับโจทย์ที่กำหนด
• ข้อ ง. (เพราะกฎหมายยกเว้นให้เพราะเป็นการขายยาที่ไม่มีอันตราย): ข้อนี้ไม่ใช่คำตอบที่ถูกต้องสำหรับภาวะ Herbal Medicine เนื่องจากกลไกการออกฤทธิ์, efficacy หรือข้อบ่งใช้ไม่ตรงกับโจทย์ที่กำหนด
• ข้อ จ. (ข้อ ก และ ค ถูก):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7" s="18" t="inlineStr"/>
      <c r="L1407" s="18" t="inlineStr">
        <is>
          <t>Herbal Medicine</t>
        </is>
      </c>
      <c r="M1407" s="18" t="inlineStr">
        <is>
          <t>Product</t>
        </is>
      </c>
      <c r="N1407" s="18" t="inlineStr">
        <is>
          <t>ข้อ 8 (PLE_CC1_Practice_Exam.md)</t>
        </is>
      </c>
      <c r="O1407" s="18" t="inlineStr">
        <is>
          <t>Mock</t>
        </is>
      </c>
      <c r="P1407" s="18" t="inlineStr">
        <is>
          <t>Mock สภาเภสัชฯ Practice</t>
        </is>
      </c>
    </row>
    <row r="1408">
      <c r="A1408" s="15" t="inlineStr">
        <is>
          <t>1429</t>
        </is>
      </c>
      <c r="B1408" s="18" t="inlineStr">
        <is>
          <t>ในกรณีเภสัชกรผู้ปฏิบัติการไม่อยู่หนึ่งวัน ณ สถานที่ขายยา ให้ท่านซึ่งเป็นเภสัชกรไปปฏิบัติการแทน จะ ทำได้หรือไม่</t>
        </is>
      </c>
      <c r="C1408" s="18" t="inlineStr"/>
      <c r="D1408" s="18" t="inlineStr">
        <is>
          <t>ได้ เพราะเป็นผู้ประกอบโรคศิลปะเหมือนกัน</t>
        </is>
      </c>
      <c r="E1408" s="18" t="inlineStr">
        <is>
          <t>ไม่ได้ เพราะผิด พ.ร.บ. ยา</t>
        </is>
      </c>
      <c r="F1408" s="18" t="inlineStr">
        <is>
          <t>ได้ เพราะเป็นการแทนชั่วคราว</t>
        </is>
      </c>
      <c r="G1408" s="18" t="inlineStr">
        <is>
          <t>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1408" s="18" t="inlineStr">
        <is>
          <t>ไม่ได้ เพราะไม่มีชื่อเป็นผู้ปฏิบัติการร้านยานี้</t>
        </is>
      </c>
      <c r="I1408" s="15" t="inlineStr">
        <is>
          <t>1</t>
        </is>
      </c>
      <c r="J1408" s="18" t="inlineStr">
        <is>
          <t>✅ คำตอบที่ถูกต้อง: ข้อ ก. ได้ เพราะเป็นผู้ประกอบโรคศิลปะเหมือนกัน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เพราะเป็นผู้ประกอบโรคศิลปะเหมือนกัน การเลือก ได้ เพราะเป็นผู้ประกอบโรคศิลปะเหมือนกัน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(ไม่ได้ เพราะผิด พ.ร.บ. ยา): ข้อนี้ไม่ใช่คำตอบที่ถูกต้องสำหรับภาวะ General Therapeutics เนื่องจากกลไกการออกฤทธิ์, efficacy หรือข้อบ่งใช้ไม่ตรงกับโจทย์ที่กำหนด
• ข้อ ค. (ได้ เพราะเป็นการแทนชั่วคราว):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(ไม่ได้ เพราะไม่มีชื่อเป็นผู้ปฏิบัติการร้านยานี้):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8" s="18" t="inlineStr"/>
      <c r="L1408" s="18" t="inlineStr">
        <is>
          <t>General Therapeutics</t>
        </is>
      </c>
      <c r="M1408" s="18" t="inlineStr">
        <is>
          <t>Clinic</t>
        </is>
      </c>
      <c r="N1408" s="18" t="inlineStr">
        <is>
          <t>ข้อ 13 (PLE_CC1_Practice_Exam.md)</t>
        </is>
      </c>
      <c r="O1408" s="18" t="inlineStr">
        <is>
          <t>Mock</t>
        </is>
      </c>
      <c r="P1408" s="18" t="inlineStr">
        <is>
          <t>Mock สภาเภสัชฯ Practice</t>
        </is>
      </c>
    </row>
    <row r="1409">
      <c r="A1409" s="15" t="inlineStr">
        <is>
          <t>1430</t>
        </is>
      </c>
      <c r="B1409" s="18" t="inlineStr">
        <is>
          <t>ยาเสื่อมคุณภาพ คือ</t>
        </is>
      </c>
      <c r="C1409" s="18" t="inlineStr"/>
      <c r="D1409" s="18" t="inlineStr">
        <is>
          <t>ยาที่สิ้นอายุตามที่แสดงไว้ในฉลาก</t>
        </is>
      </c>
      <c r="E1409" s="18" t="inlineStr">
        <is>
          <t>ยาที่แปรสภาพมีลักษณะเช่นเดียวกับยาปลอม</t>
        </is>
      </c>
      <c r="F1409" s="18" t="inlineStr">
        <is>
          <t>ยาที่แปรสภาพมีลักษณะเช่นเดียวกับยาผิดมาตรฐาน</t>
        </is>
      </c>
      <c r="G1409" s="18" t="inlineStr">
        <is>
          <t>ข้อ ข และ ค ถูก</t>
        </is>
      </c>
      <c r="H1409" s="18" t="inlineStr">
        <is>
          <t>ถูกทุกข้อ</t>
        </is>
      </c>
      <c r="I1409" s="15" t="inlineStr">
        <is>
          <t>1</t>
        </is>
      </c>
      <c r="J1409" s="18" t="inlineStr">
        <is>
          <t>✅ คำตอบที่ถูกต้อง: ข้อ ก. ยาที่สิ้นอายุตามที่แสดงไว้ในฉลาก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ยาที่สิ้นอายุตามที่แสดงไว้ในฉลาก การเลือก ยาที่สิ้นอายุตามที่แสดงไว้ในฉลาก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(ยาที่แปรสภาพมีลักษณะเช่นเดียวกับยาปลอม):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(ยาที่แปรสภาพมีลักษณะเช่นเดียวกับยาผิดมาตรฐาน):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9" s="18" t="inlineStr"/>
      <c r="L1409" s="18" t="inlineStr">
        <is>
          <t>General Therapeutics</t>
        </is>
      </c>
      <c r="M1409" s="18" t="inlineStr">
        <is>
          <t>Clinic</t>
        </is>
      </c>
      <c r="N1409" s="18" t="inlineStr">
        <is>
          <t>ข้อ 14 (PLE_CC1_Practice_Exam.md)</t>
        </is>
      </c>
      <c r="O1409" s="18" t="inlineStr">
        <is>
          <t>Mock</t>
        </is>
      </c>
      <c r="P1409" s="18" t="inlineStr">
        <is>
          <t>Mock สภาเภสัชฯ Practice</t>
        </is>
      </c>
    </row>
    <row r="1410">
      <c r="A1410" s="15" t="inlineStr">
        <is>
          <t>1431</t>
        </is>
      </c>
      <c r="B1410" s="18" t="inlineStr">
        <is>
          <t>การขอขึ้นทะเบียนตำรับยาต้องแจ้งรายละเอียดอย่างไร</t>
        </is>
      </c>
      <c r="C1410" s="18" t="inlineStr"/>
      <c r="D1410" s="18" t="inlineStr">
        <is>
          <t>ชื่อยา ชื่อและปริมาณของวัตถุอันเป็นส่วนประกอบ</t>
        </is>
      </c>
      <c r="E1410" s="18" t="inlineStr">
        <is>
          <t>ขนาดบรรจุ วิธีวิเคราะห์มาตรฐานของยา</t>
        </is>
      </c>
      <c r="F1410" s="18" t="inlineStr">
        <is>
          <t>ฉลาก เอกสารกำกับยา รายการอื่นที่กำหนดในกฎกระทรวง</t>
        </is>
      </c>
      <c r="G1410" s="18" t="inlineStr">
        <is>
          <t>ข้อ ก และ ค ถูก</t>
        </is>
      </c>
      <c r="H1410" s="18" t="inlineStr">
        <is>
          <t>ถูกทั้งข้อ ก ข และ ค</t>
        </is>
      </c>
      <c r="I1410" s="15" t="inlineStr">
        <is>
          <t>1</t>
        </is>
      </c>
      <c r="J1410" s="18" t="inlineStr">
        <is>
          <t>✅ คำตอบที่ถูกต้อง: ข้อ ก. ชื่อยา ชื่อและปริมาณของวัตถุอันเป็นส่วนประกอบ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ชื่อยา ชื่อและปริมาณของวัตถุอันเป็นส่วนประกอบ การเลือก ชื่อยา ชื่อและปริมาณของวัตถุอันเป็นส่วนประกอบ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(ขนาดบรรจุ วิธีวิเคราะห์มาตรฐานของยา): ข้อนี้ไม่ใช่คำตอบที่ถูกต้องสำหรับภาวะ General Therapeutics เนื่องจากกลไกการออกฤทธิ์, efficacy หรือข้อบ่งใช้ไม่ตรงกับโจทย์ที่กำหนด
• ข้อ ค. (ฉลาก เอกสารกำกับยา รายการอื่นที่กำหนดในกฎกระทรวง):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0" s="18" t="inlineStr"/>
      <c r="L1410" s="18" t="inlineStr">
        <is>
          <t>General Therapeutics</t>
        </is>
      </c>
      <c r="M1410" s="18" t="inlineStr">
        <is>
          <t>Clinic</t>
        </is>
      </c>
      <c r="N1410" s="18" t="inlineStr">
        <is>
          <t>ข้อ 15 (PLE_CC1_Practice_Exam.md)</t>
        </is>
      </c>
      <c r="O1410" s="18" t="inlineStr">
        <is>
          <t>Mock</t>
        </is>
      </c>
      <c r="P1410" s="18" t="inlineStr">
        <is>
          <t>Mock สภาเภสัชฯ Practice</t>
        </is>
      </c>
    </row>
    <row r="1411">
      <c r="A1411" s="15" t="inlineStr">
        <is>
          <t>1432</t>
        </is>
      </c>
      <c r="B1411" s="18" t="inlineStr">
        <is>
          <t>ในกรณียาที่ได้ขึ้นทะเบียนไว้แล้วแต่ไม่ได้ผลิต จะถูกยกเลิกในเวลาเท่าใด</t>
        </is>
      </c>
      <c r="C1411" s="18" t="inlineStr"/>
      <c r="D1411" s="18" t="inlineStr">
        <is>
          <t>1 ปี</t>
        </is>
      </c>
      <c r="E1411" s="18" t="inlineStr">
        <is>
          <t>2 ปี</t>
        </is>
      </c>
      <c r="F1411" s="18" t="inlineStr">
        <is>
          <t>3 ปี</t>
        </is>
      </c>
      <c r="G1411" s="18" t="inlineStr">
        <is>
          <t>4 ปี</t>
        </is>
      </c>
      <c r="H1411" s="18" t="inlineStr">
        <is>
          <t>Flumazenil 0.2 mg IV stat</t>
        </is>
      </c>
      <c r="I1411" s="15" t="inlineStr">
        <is>
          <t>1</t>
        </is>
      </c>
      <c r="J1411" s="18" t="inlineStr">
        <is>
          <t>✅ คำตอบที่ถูกต้อง: ข้อ ก. 1 ปี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ปี การเลือก 1 ปี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ปี): ข้อนี้ไม่ใช่คำตอบที่ถูกต้องสำหรับภาวะ General Therapeutics เนื่องจากกลไกการออกฤทธิ์, efficacy หรือข้อบ่งใช้ไม่ตรงกับโจทย์ที่กำหนด
• ข้อ ค. (3 ปี): ข้อนี้ไม่ใช่คำตอบที่ถูกต้องสำหรับภาวะ General Therapeutics เนื่องจากกลไกการออกฤทธิ์, efficacy หรือข้อบ่งใช้ไม่ตรงกับโจทย์ที่กำหนด
• ข้อ ง. (4 ปี):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1" s="18" t="inlineStr"/>
      <c r="L1411" s="18" t="inlineStr">
        <is>
          <t>General Therapeutics</t>
        </is>
      </c>
      <c r="M1411" s="18" t="inlineStr">
        <is>
          <t>Clinic</t>
        </is>
      </c>
      <c r="N1411" s="18" t="inlineStr">
        <is>
          <t>ข้อ 16 (PLE_CC1_Practice_Exam.md)</t>
        </is>
      </c>
      <c r="O1411" s="18" t="inlineStr">
        <is>
          <t>Mock</t>
        </is>
      </c>
      <c r="P1411" s="18" t="inlineStr">
        <is>
          <t>Mock สภาเภสัชฯ Practice</t>
        </is>
      </c>
    </row>
    <row r="1412">
      <c r="A1412" s="15" t="inlineStr">
        <is>
          <t>1433</t>
        </is>
      </c>
      <c r="B1412" s="18" t="inlineStr">
        <is>
          <t>ข้อใดกล่าวผิด เกี่ยวกับการจัดประเภทสารเสพติด ตามพระราชบัญญัติยาเสพติดให้โทษ พ.ศ.2522 และ วัตถุออกฤทธิ์ต่อจิตและประสาท ตามพระราชบัญญัติวัตถุออกฤทธิ์ต่อจิตและประสาท พ.ศ.2559</t>
        </is>
      </c>
      <c r="C1412" s="18" t="inlineStr"/>
      <c r="D1412" s="18" t="inlineStr">
        <is>
          <t>LSD และ Amphetamine จัดเป็นสารเสพติดประเภทที่ 1</t>
        </is>
      </c>
      <c r="E1412" s="18" t="inlineStr">
        <is>
          <t>เห็ดขี้ควาย และ Psilocine จัดเป็นยาเสพติดประเภทที่ 5</t>
        </is>
      </c>
      <c r="F1412" s="18" t="inlineStr">
        <is>
          <t>Codeine และ Cocaine จัดเป็นยาเสพติดประเภทที่ 2</t>
        </is>
      </c>
      <c r="G1412" s="18" t="inlineStr">
        <is>
          <t>Pseudoephedrine และ Phentermine จัดเป็นวัตถุออกฤทธิ์ต่อจิตและประสาทประเภทที่ 2</t>
        </is>
      </c>
      <c r="H1412" s="18" t="inlineStr">
        <is>
          <t>พ.ร.บ. วิชาชีพเภสัชกรรม พ.ศ. 2537 และข้อบังคับจรรยาบรรณวิชาชีพ</t>
        </is>
      </c>
      <c r="I1412" s="15" t="inlineStr">
        <is>
          <t>1</t>
        </is>
      </c>
      <c r="J1412" s="18" t="inlineStr">
        <is>
          <t>✅ คำตอบที่ถูกต้อง: ข้อ ก. LSD และ Amphetamine จัดเป็นสารเสพติดประเภทที่ 1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LSD และ Amphetamine จัดเป็นสารเสพติดประเภทที่ 1 💡 คำอธิบายและข้อกำหนดทางกฎหมาย:
💡 คำอธิบายและข้อกำหนดทางกฎหมาย:
การเลือก LSD และ Amphetamine จัดเป็นสารเสพติดประเภทที่ 1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(เห็ดขี้ควาย และ Psilocine จัดเป็นยาเสพติดประเภทที่ 5): ข้อนี้ไม่ใช่คำตอบที่ถูกต้องสำหรับภาวะ Pharmacy Laws &amp; Ethics เนื่องจากกลไกการออกฤทธิ์, efficacy หรือข้อบ่งใช้ไม่ตรงกับโจทย์ที่กำหนด
• ข้อ ค. (Codeine และ Cocaine จัดเป็นยาเสพติดประเภทที่ 2): ข้อนี้ไม่ใช่คำตอบที่ถูกต้องสำหรับภาวะ Pharmacy Laws &amp; Ethics เนื่องจากกลไกการออกฤทธิ์, efficacy หรือข้อบ่งใช้ไม่ตรงกับโจทย์ที่กำหนด
• ข้อ ง. (Pseudoephedrine และ Phentermine จัดเป็นวัตถุออกฤทธิ์ต่อจิตและประสาทประเภทที่ 2): เป็น oral decongestant กระตุ้น alpha และ beta receptors ระวังในผู้ป่วย hypertension, ischemic heart disease, glaucoma, BPH และเป็นวัตถุออกฤทธิ์ประเภท 2 (ห้ามขายในร้านยา)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2" s="18" t="inlineStr"/>
      <c r="L1412" s="18" t="inlineStr">
        <is>
          <t>Pharmacy Laws &amp; Ethics</t>
        </is>
      </c>
      <c r="M1412" s="18" t="inlineStr">
        <is>
          <t>SAP</t>
        </is>
      </c>
      <c r="N1412" s="18" t="inlineStr">
        <is>
          <t>ข้อ 19 (PLE_CC1_Practice_Exam.md)</t>
        </is>
      </c>
      <c r="O1412" s="18" t="inlineStr">
        <is>
          <t>Mock</t>
        </is>
      </c>
      <c r="P1412" s="18" t="inlineStr">
        <is>
          <t>Mock สภาเภสัชฯ Practice</t>
        </is>
      </c>
    </row>
    <row r="1413">
      <c r="A1413" s="15" t="inlineStr">
        <is>
          <t>1434</t>
        </is>
      </c>
      <c r="B1413" s="18" t="inlineStr">
        <is>
          <t>ยาทรามาดอล ในข่าวจัดเป็นยาประเภทอะไร</t>
        </is>
      </c>
      <c r="C1413" s="18" t="inlineStr"/>
      <c r="D1413" s="18" t="inlineStr">
        <is>
          <t>ยาสามัญประจำบ้าน</t>
        </is>
      </c>
      <c r="E1413" s="18" t="inlineStr">
        <is>
          <t>ยาแผนปัจจุบันบรรจุเสร็จที่ไม่ใช่ยาอันตรายหรือยาควบคุมพิเศษทั้งคู่</t>
        </is>
      </c>
      <c r="F1413" s="18" t="inlineStr">
        <is>
          <t>ยาอันตราย</t>
        </is>
      </c>
      <c r="G1413" s="18" t="inlineStr">
        <is>
          <t>ยาควบคุมพิเศษ</t>
        </is>
      </c>
      <c r="H1413" s="18" t="inlineStr">
        <is>
          <t>ยาแผนโบราณ</t>
        </is>
      </c>
      <c r="I1413" s="15" t="inlineStr">
        <is>
          <t>1</t>
        </is>
      </c>
      <c r="J1413" s="18"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3" s="18" t="inlineStr"/>
      <c r="L1413" s="18" t="inlineStr">
        <is>
          <t>General Therapeutics</t>
        </is>
      </c>
      <c r="M1413" s="18" t="inlineStr">
        <is>
          <t>Clinic</t>
        </is>
      </c>
      <c r="N1413" s="18" t="inlineStr">
        <is>
          <t>ข้อ 21 (PLE_CC1_Practice_Exam.md)</t>
        </is>
      </c>
      <c r="O1413" s="18" t="inlineStr">
        <is>
          <t>Mock</t>
        </is>
      </c>
      <c r="P1413" s="18" t="inlineStr">
        <is>
          <t>Mock สภาเภสัชฯ Practice</t>
        </is>
      </c>
    </row>
    <row r="1414">
      <c r="A1414" s="15" t="inlineStr">
        <is>
          <t>1435</t>
        </is>
      </c>
      <c r="B1414" s="18" t="inlineStr">
        <is>
          <t>ยาแก้ไอใดจัดเป็นยาอันตราย</t>
        </is>
      </c>
      <c r="C1414" s="18" t="inlineStr"/>
      <c r="D1414" s="18" t="inlineStr">
        <is>
          <t>acetylcysteine</t>
        </is>
      </c>
      <c r="E1414" s="18" t="inlineStr">
        <is>
          <t>ambroxol</t>
        </is>
      </c>
      <c r="F1414" s="18" t="inlineStr">
        <is>
          <t>dextromethorphan</t>
        </is>
      </c>
      <c r="G1414" s="18" t="inlineStr">
        <is>
          <t>carbocysteine</t>
        </is>
      </c>
      <c r="H1414" s="18" t="inlineStr">
        <is>
          <t>Bromhexine</t>
        </is>
      </c>
      <c r="I1414" s="15" t="inlineStr">
        <is>
          <t>1</t>
        </is>
      </c>
      <c r="J1414" s="18" t="inlineStr">
        <is>
          <t>✅ คำตอบที่ถูกต้อง: ข้อ ก. acetylcysteine
💡 Background:
กฎหมายยาและจรรยาบรรณวิชาชีพมีขึ้นเพื่อคุ้มครองความปลอดภัยของผู้บริโภคตามมาตรฐาน Good Pharmacy Practice (GPP)
🎯 ทำไมข้อนี้ถึงถูก:
acetylcysteine 💡 คำอธิบายและข้อกำหนดทางกฎหมาย:
💡 คำอธิบายและข้อกำหนดทางกฎหมาย:
การเลือก acetylcysteine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(ambroxol): ข้อนี้ไม่ใช่คำตอบที่ถูกต้องสำหรับภาวะ Pharmacy Laws &amp; Ethics เนื่องจากกลไกการออกฤทธิ์, efficacy หรือข้อบ่งใช้ไม่ตรงกับโจทย์ที่กำหนด
• ข้อ ค. (dextromethorphan): ข้อนี้ไม่ใช่คำตอบที่ถูกต้องสำหรับภาวะ Pharmacy Laws &amp; Ethics เนื่องจากกลไกการออกฤทธิ์, efficacy หรือข้อบ่งใช้ไม่ตรงกับโจทย์ที่กำหนด
• ข้อ ง. (carbocysteine): ข้อนี้ไม่ใช่คำตอบที่ถูกต้องสำหรับภาวะ Pharmacy Laws &amp; Ethics เนื่องจากกลไกการออกฤทธิ์, efficacy หรือข้อบ่งใช้ไม่ตรงกับโจทย์ที่กำหนด
• ข้อ จ. (Bromhexine):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4" s="18" t="inlineStr"/>
      <c r="L1414" s="18" t="inlineStr">
        <is>
          <t>Pharmacy Laws &amp; Ethics</t>
        </is>
      </c>
      <c r="M1414" s="18" t="inlineStr">
        <is>
          <t>SAP</t>
        </is>
      </c>
      <c r="N1414" s="18" t="inlineStr">
        <is>
          <t>ข้อ 22 (PLE_CC1_Practice_Exam.md)</t>
        </is>
      </c>
      <c r="O1414" s="18" t="inlineStr">
        <is>
          <t>Mock</t>
        </is>
      </c>
      <c r="P1414" s="18" t="inlineStr">
        <is>
          <t>Mock สภาเภสัชฯ Practice</t>
        </is>
      </c>
    </row>
    <row r="1415">
      <c r="A1415" s="15" t="inlineStr">
        <is>
          <t>1436</t>
        </is>
      </c>
      <c r="B1415" s="18" t="inlineStr">
        <is>
          <t>กิจกรรมการโฆษณาและการส่งเสริมการขายผลิตภัณฑ์สุขภาพในข้อใดสามารถทำได้</t>
        </is>
      </c>
      <c r="C1415" s="18" t="inlineStr"/>
      <c r="D1415" s="18" t="inlineStr">
        <is>
          <t>บริษัทยาโฆษณาขายยาต่อร้านขายยาว่า ซื้อยาครบตามยอดซื้อที่กำหนดไว้ จะได้ไปศึกษาดูงาน</t>
        </is>
      </c>
      <c r="E1415" s="18" t="inlineStr">
        <is>
          <t>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t>
        </is>
      </c>
      <c r="F1415" s="18" t="inlineStr">
        <is>
          <t>บริษัทยาใหม่แจกตัวอย่างยาแผนปัจจุบันบรรจุเสร็จแก่ประชาชนที่ห้างสรรพสินค้าเพื่อส่งเสริมการ ขาย</t>
        </is>
      </c>
      <c r="G1415" s="18" t="inlineStr">
        <is>
          <t>บริษัทยาเขียนบทความทาง internet เรื่องอันตรายของโรคเบาหวาน โดยไม่มีการสื่อถึงชื่อการค้า ของยาตน</t>
        </is>
      </c>
      <c r="H1415" s="18" t="inlineStr">
        <is>
          <t>ร้านยาแถมวิตามินซีซึ่งขึ้นทะเบียนเป็นผลิตภัณฑ์ยา เมื่อซื้อ Ferrous Sulfate</t>
        </is>
      </c>
      <c r="I1415" s="15" t="inlineStr">
        <is>
          <t>1</t>
        </is>
      </c>
      <c r="J1415" s="18" t="inlineStr">
        <is>
          <t>✅ คำตอบที่ถูกต้อง: ข้อ ก. บริษัทยาโฆษณาขายยาต่อร้านขายยาว่า ซื้อยาครบตามยอดซื้อที่กำหนดไว้ จะได้ไปศึกษาดูงาน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บริษัทยาโฆษณาขายยาต่อร้านขายยาว่า ซื้อยาครบตามยอดซื้อที่กำหนดไว้ จะได้ไปศึกษาดูงาน การเลือก บริษัทยาโฆษณาขายยาต่อร้านขายยาว่า ซื้อยาครบตามยอดซื้อที่กำหนดไว้ จะได้ไปศึกษาดูงาน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 ข้อนี้ไม่ใช่คำตอบที่ถูกต้องสำหรับภาวะ General Therapeutics เนื่องจากกลไกการออกฤทธิ์, efficacy หรือข้อบ่งใช้ไม่ตรงกับโจทย์ที่กำหนด
• ข้อ ค. (บริษัทยาใหม่แจกตัวอย่างยาแผนปัจจุบันบรรจุเสร็จแก่ประชาชนที่ห้างสรรพสินค้าเพื่อส่งเสริมการ ขาย): ข้อนี้ไม่ใช่คำตอบที่ถูกต้องสำหรับภาวะ General Therapeutics เนื่องจากกลไกการออกฤทธิ์, efficacy หรือข้อบ่งใช้ไม่ตรงกับโจทย์ที่กำหนด
• ข้อ ง. (บริษัทยาเขียนบทความทาง internet เรื่องอันตรายของโรคเบาหวาน โดยไม่มีการสื่อถึงชื่อการค้า ของยาตน): ข้อนี้ไม่ใช่คำตอบที่ถูกต้องสำหรับภาวะ General Therapeutics เนื่องจากกลไกการออกฤทธิ์, efficacy หรือข้อบ่งใช้ไม่ตรงกับโจทย์ที่กำหนด
• ข้อ จ. (ร้านยาแถมวิตามินซีซึ่งขึ้นทะเบียนเป็นผลิตภัณฑ์ยา เมื่อซื้อ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5" s="18" t="inlineStr"/>
      <c r="L1415" s="18" t="inlineStr">
        <is>
          <t>General Therapeutics</t>
        </is>
      </c>
      <c r="M1415" s="18" t="inlineStr">
        <is>
          <t>Clinic</t>
        </is>
      </c>
      <c r="N1415" s="18" t="inlineStr">
        <is>
          <t>ข้อ 23 (PLE_CC1_Practice_Exam.md)</t>
        </is>
      </c>
      <c r="O1415" s="18" t="inlineStr">
        <is>
          <t>Mock</t>
        </is>
      </c>
      <c r="P1415" s="18" t="inlineStr">
        <is>
          <t>Mock สภาเภสัชฯ Practice</t>
        </is>
      </c>
    </row>
    <row r="1416">
      <c r="A1416" s="15" t="inlineStr">
        <is>
          <t>1437</t>
        </is>
      </c>
      <c r="B1416" s="18" t="inlineStr">
        <is>
          <t>เลขทะเบียนยา G 357/42 ตัว G แสดงให้เห็นว่าอะไร</t>
        </is>
      </c>
      <c r="C1416" s="18" t="inlineStr"/>
      <c r="D1416" s="18" t="inlineStr">
        <is>
          <t>ยาแผนโบราณผลิตภายในประเทศ</t>
        </is>
      </c>
      <c r="E1416" s="18" t="inlineStr">
        <is>
          <t>ยาเดี่ยวแผนปัจจุบันผลิตภายในประเทศ</t>
        </is>
      </c>
      <c r="F1416" s="18" t="inlineStr">
        <is>
          <t>ยาผสมแผนปัจจุบันผลิตภายในประเทศ</t>
        </is>
      </c>
      <c r="G1416" s="18" t="inlineStr">
        <is>
          <t>ยาเดี่ยว แบ่งบรรจุ</t>
        </is>
      </c>
      <c r="H1416" s="18" t="inlineStr">
        <is>
          <t>ยาเดี่ยว นำเข้า</t>
        </is>
      </c>
      <c r="I1416" s="15" t="inlineStr">
        <is>
          <t>1</t>
        </is>
      </c>
      <c r="J1416" s="18" t="inlineStr">
        <is>
          <t>✅ คำตอบที่ถูกต้อง: ข้อ ก. ยาแผนโบราณผลิตภายในประเทศ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ยาแผนโบราณผลิตภายในประเทศ การเลือก ยาแผนโบราณผลิตภายในประเทศ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(ยาเดี่ยวแผนปัจจุบันผลิตภายในประเทศ):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(ยาผสมแผนปัจจุบันผลิตภายในประเทศ):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(ยาเดี่ยว แบ่งบรรจุ): ข้อนี้ไม่ใช่คำตอบที่ถูกต้องสำหรับภาวะ General Therapeutics เนื่องจากกลไกการออกฤทธิ์, efficacy หรือข้อบ่งใช้ไม่ตรงกับโจทย์ที่กำหนด
• ข้อ จ. (ยาเดี่ยว นำเข้า):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6" s="18" t="inlineStr"/>
      <c r="L1416" s="18" t="inlineStr">
        <is>
          <t>General Therapeutics</t>
        </is>
      </c>
      <c r="M1416" s="18" t="inlineStr">
        <is>
          <t>Clinic</t>
        </is>
      </c>
      <c r="N1416" s="18" t="inlineStr">
        <is>
          <t>ข้อ 26 (PLE_CC1_Practice_Exam.md)</t>
        </is>
      </c>
      <c r="O1416" s="18" t="inlineStr">
        <is>
          <t>Mock</t>
        </is>
      </c>
      <c r="P1416" s="18" t="inlineStr">
        <is>
          <t>Mock สภาเภสัชฯ Practice</t>
        </is>
      </c>
    </row>
    <row r="1417">
      <c r="A1417" s="15" t="inlineStr">
        <is>
          <t>1438</t>
        </is>
      </c>
      <c r="B1417" s="18" t="inlineStr">
        <is>
          <t>Clindamycin จัดเป็นยาประเภทใด</t>
        </is>
      </c>
      <c r="C1417" s="18" t="inlineStr"/>
      <c r="D1417" s="18" t="inlineStr">
        <is>
          <t>ยาสามัญประจำบ้าน</t>
        </is>
      </c>
      <c r="E1417" s="18" t="inlineStr">
        <is>
          <t>ยาแผนปัจจุบันบรรจุเสร็จที่ไม่ใช่ยาอันตรายหรือยาควบคุมพิเศษทั้งคู่</t>
        </is>
      </c>
      <c r="F1417" s="18" t="inlineStr">
        <is>
          <t>ยาอันตราย</t>
        </is>
      </c>
      <c r="G1417" s="18" t="inlineStr">
        <is>
          <t>ยาควบคุมพิเศษ</t>
        </is>
      </c>
      <c r="H1417" s="18" t="inlineStr">
        <is>
          <t>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417" s="15" t="inlineStr">
        <is>
          <t>1</t>
        </is>
      </c>
      <c r="J1417" s="18"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7" s="18" t="inlineStr"/>
      <c r="L1417" s="18" t="inlineStr">
        <is>
          <t>General Therapeutics</t>
        </is>
      </c>
      <c r="M1417" s="18" t="inlineStr">
        <is>
          <t>Clinic</t>
        </is>
      </c>
      <c r="N1417" s="18" t="inlineStr">
        <is>
          <t>ข้อ 28 (PLE_CC1_Practice_Exam.md)</t>
        </is>
      </c>
      <c r="O1417" s="18" t="inlineStr">
        <is>
          <t>Mock</t>
        </is>
      </c>
      <c r="P1417" s="18" t="inlineStr">
        <is>
          <t>Mock สภาเภสัชฯ Practice</t>
        </is>
      </c>
    </row>
    <row r="1418">
      <c r="A1418" s="15" t="inlineStr">
        <is>
          <t>1439</t>
        </is>
      </c>
      <c r="B1418" s="18" t="inlineStr">
        <is>
          <t>ยาสเตอรอยด์ในข้อใดที่จำเป็นต้องมีใบสั่งแพทย์ในการขาย</t>
        </is>
      </c>
      <c r="C1418" s="18" t="inlineStr"/>
      <c r="D1418" s="18" t="inlineStr">
        <is>
          <t>ยารักษาหอบหืดชนิดพ่นที่มีสเตอรอยด์เดี่ยว</t>
        </is>
      </c>
      <c r="E1418" s="18" t="inlineStr">
        <is>
          <t>ยารักษาหอบหืดชนิดพ่นที่มีสเตอรอยด์ผสม</t>
        </is>
      </c>
      <c r="F1418" s="18" t="inlineStr">
        <is>
          <t>Corticosteroid จากธรรมชาติที่ใช้เฉพาะที่</t>
        </is>
      </c>
      <c r="G1418" s="18" t="inlineStr">
        <is>
          <t>Corticosteroid จากการสังเคราะห์ที่ใช้เฉพาะที่</t>
        </is>
      </c>
      <c r="H1418" s="18" t="inlineStr">
        <is>
          <t>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t>
        </is>
      </c>
      <c r="I1418" s="15" t="inlineStr">
        <is>
          <t>1</t>
        </is>
      </c>
      <c r="J1418" s="18" t="inlineStr">
        <is>
          <t>✅ คำตอบที่ถูกต้อง: ข้อ ก. ยารักษาหอบหืดชนิดพ่นที่มีสเตอรอยด์เดี่ยว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ยารักษาหอบหืดชนิดพ่นที่มีสเตอรอยด์เดี่ยว เป็นผู้ดูแลร้าน ส่วนบุตรสาวที่เป็นเภสัชกรนาน ๆ มาดูชักครั้งหนึ่ง โดยการตรวจสอบของเจ้าหน้าที่พบว่าร้าน และมีการจำหน่ายยาที่สั่งเลิกใช้ไปนานแล้วแต่ทางร้านยังได้สั่งชื้อมาขายให้ลูกค้าอย่างต่อเนื่อง นอกจากนั้น
🔍 ข้ออื่นผิดเพราะอะไร:
• ข้อ ข. (ยารักษาหอบหืดชนิดพ่นที่มีสเตอรอยด์ผสม): ข้อนี้ไม่ใช่คำตอบที่ถูกต้องสำหรับภาวะ General Therapeutics เนื่องจากกลไกการออกฤทธิ์, efficacy หรือข้อบ่งใช้ไม่ตรงกับโจทย์ที่กำหนด
• ข้อ ค. (Corticosteroid จากธรรมชาติที่ใช้เฉพาะที่):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ง. (Corticosteroid จากการสังเคราะห์ที่ใช้เฉพาะที่):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8" s="18" t="inlineStr"/>
      <c r="L1418" s="18" t="inlineStr">
        <is>
          <t>General Therapeutics</t>
        </is>
      </c>
      <c r="M1418" s="18" t="inlineStr">
        <is>
          <t>Clinic</t>
        </is>
      </c>
      <c r="N1418" s="18" t="inlineStr">
        <is>
          <t>ข้อ 29 (PLE_CC1_Practice_Exam.md)</t>
        </is>
      </c>
      <c r="O1418" s="18" t="inlineStr">
        <is>
          <t>Mock</t>
        </is>
      </c>
      <c r="P1418" s="18" t="inlineStr">
        <is>
          <t>Mock สภาเภสัชฯ Practice</t>
        </is>
      </c>
    </row>
    <row r="1419">
      <c r="A1419" s="15" t="inlineStr">
        <is>
          <t>1440</t>
        </is>
      </c>
      <c r="B1419" s="18" t="inlineStr">
        <is>
          <t>จากข้อความ พบยาที่สาธารณสุขไม่รับรองและเป็นยาอันตราย มีการจำหน่ายยาชุด และมีการจำหน่าย ยาที่สั่งเลิกใช้แล้ว เภสัชกรผู้มีหน้าที่ปฏิบัติการมีความผิดหรือไม่ อย่างไร</t>
        </is>
      </c>
      <c r="C1419" s="18" t="inlineStr"/>
      <c r="D1419" s="18" t="inlineStr">
        <is>
          <t>ไม่มีความผิด เพราะเภสัชกรไม่ได้เป็นผู้ที่ขายยา</t>
        </is>
      </c>
      <c r="E1419" s="18" t="inlineStr">
        <is>
          <t>มีความผิดฐานขายยาผิดกฎหมาย</t>
        </is>
      </c>
      <c r="F1419" s="18" t="inlineStr">
        <is>
          <t>มีความผิดฐานมีการจำหน่ายยาโดยไม่มีใบสั่งแพทย์</t>
        </is>
      </c>
      <c r="G1419" s="18" t="inlineStr">
        <is>
          <t>มีความผิดฐานไม่ควบคุมการขายยาให้เป็นไปตาม พ.ร.บ.</t>
        </is>
      </c>
      <c r="H1419" s="18" t="inlineStr">
        <is>
          <t>มีความผิดฐานไม่ควบคุมการส่งมอบยาอันตรายและยาชุด</t>
        </is>
      </c>
      <c r="I1419" s="15" t="inlineStr">
        <is>
          <t>1</t>
        </is>
      </c>
      <c r="J1419" s="18" t="inlineStr">
        <is>
          <t>✅ คำตอบที่ถูกต้อง: ข้อ ก. ไม่มีความผิด เพราะเภสัชกรไม่ได้เป็นผู้ที่ขายยา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ไม่มีความผิด เพราะเภสัชกรไม่ได้เป็นผู้ที่ขายยา 💡 คำอธิบายและข้อกำหนดทางกฎหมาย:
💡 คำอธิบายและข้อกำหนดทางกฎหมาย:
การเลือก ไม่มีความผิด เพราะเภสัชกรไม่ได้เป็นผู้ที่ขายยา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ค. (มีความผิดฐานมีการจำหน่ายยาโดยไม่มีใบสั่งแพทย์):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 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(มีความผิดฐานไม่ควบคุมการส่งมอบยาอันตรายและยาชุด):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9" s="18" t="inlineStr"/>
      <c r="L1419" s="18" t="inlineStr">
        <is>
          <t>Pharmacy Laws &amp; Ethics</t>
        </is>
      </c>
      <c r="M1419" s="18" t="inlineStr">
        <is>
          <t>SAP</t>
        </is>
      </c>
      <c r="N1419" s="18" t="inlineStr">
        <is>
          <t>ข้อ 30 (PLE_CC1_Practice_Exam.md)</t>
        </is>
      </c>
      <c r="O1419" s="18" t="inlineStr">
        <is>
          <t>Mock</t>
        </is>
      </c>
      <c r="P1419" s="18" t="inlineStr">
        <is>
          <t>Mock สภาเภสัชฯ Practice</t>
        </is>
      </c>
    </row>
    <row r="1420">
      <c r="A1420" s="15" t="inlineStr">
        <is>
          <t>1441</t>
        </is>
      </c>
      <c r="B1420" s="18" t="inlineStr">
        <is>
          <t>ไวอากร้า ถือเป็นยาประเภทใด</t>
        </is>
      </c>
      <c r="C1420" s="18" t="inlineStr"/>
      <c r="D1420" s="18" t="inlineStr">
        <is>
          <t>จัดอยู่ในประเภทยาอันตราย เภสัชกรสามารถจ่ายได้ในร้านยา</t>
        </is>
      </c>
      <c r="E1420" s="18" t="inlineStr">
        <is>
          <t>จัดอยู่ในประเภทยาอันตราย แต่จ่ายได้เฉพาะในโรงพยาบาล</t>
        </is>
      </c>
      <c r="F1420" s="18" t="inlineStr">
        <is>
          <t>จัดอยู่ในประเภทยาควบคุมพิเศษ</t>
        </is>
      </c>
      <c r="G1420" s="18" t="inlineStr">
        <is>
          <t>จัดอยู่ในประเภทวัตถุออกฤทธิ์ต่อจิตและประสาท</t>
        </is>
      </c>
      <c r="H1420" s="18" t="inlineStr">
        <is>
          <t>จัดเป็นยาที่ถูกยกเลิกทะเบียนแล้ว</t>
        </is>
      </c>
      <c r="I1420" s="15" t="inlineStr">
        <is>
          <t>1</t>
        </is>
      </c>
      <c r="J1420" s="18" t="inlineStr">
        <is>
          <t>✅ คำตอบที่ถูกต้อง: ข้อ ก. จัดอยู่ในประเภทยาอันตราย เภสัชกรสามารถจ่ายได้ในร้านยา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จัดอยู่ในประเภทยาอันตราย เภสัชกรสามารถจ่ายได้ในร้านยา การเลือก จัดอยู่ในประเภทยาอันตราย เภสัชกรสามารถจ่ายได้ในร้านยา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(จัดอยู่ในประเภทยาอันตราย แต่จ่ายได้เฉพาะในโรงพยาบาล):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(จัดอยู่ในประเภทยาควบคุมพิเศษ):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(จัดอยู่ในประเภทวัตถุออกฤทธิ์ต่อจิตและประสาท): ข้อนี้ไม่ใช่คำตอบที่ถูกต้องสำหรับภาวะ General Therapeutics เนื่องจากกลไกการออกฤทธิ์, efficacy หรือข้อบ่งใช้ไม่ตรงกับโจทย์ที่กำหนด
• ข้อ จ. (จัดเป็นยาที่ถูกยกเลิกทะเบียนแล้ว):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0" s="18" t="inlineStr"/>
      <c r="L1420" s="18" t="inlineStr">
        <is>
          <t>General Therapeutics</t>
        </is>
      </c>
      <c r="M1420" s="18" t="inlineStr">
        <is>
          <t>Clinic</t>
        </is>
      </c>
      <c r="N1420" s="18" t="inlineStr">
        <is>
          <t>ข้อ 31 (PLE_CC1_Practice_Exam.md)</t>
        </is>
      </c>
      <c r="O1420" s="18" t="inlineStr">
        <is>
          <t>Mock</t>
        </is>
      </c>
      <c r="P1420" s="18" t="inlineStr">
        <is>
          <t>Mock สภาเภสัชฯ Practice</t>
        </is>
      </c>
    </row>
    <row r="1421">
      <c r="A1421" s="15" t="inlineStr">
        <is>
          <t>1442</t>
        </is>
      </c>
      <c r="B1421" s="18" t="inlineStr">
        <is>
          <t>ยาแผนโบราณที่เป็นยาเดี่ยว ผลิตภายในประเทศใช้สำหรับมนุษย์ และผ่านการรับรองควรมีเลขทะเบียน อย่างไร</t>
        </is>
      </c>
      <c r="C1421" s="18" t="inlineStr"/>
      <c r="D1421" s="18" t="inlineStr">
        <is>
          <t>1A 123/45</t>
        </is>
      </c>
      <c r="E1421" s="18" t="inlineStr">
        <is>
          <t>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1421" s="18" t="inlineStr">
        <is>
          <t>1D 123/45</t>
        </is>
      </c>
      <c r="G1421" s="18" t="inlineStr">
        <is>
          <t>G 123/45</t>
        </is>
      </c>
      <c r="H1421" s="18" t="inlineStr">
        <is>
          <t>K 123/45</t>
        </is>
      </c>
      <c r="I1421" s="15" t="inlineStr">
        <is>
          <t>1</t>
        </is>
      </c>
      <c r="J1421" s="18" t="inlineStr">
        <is>
          <t>✅ คำตอบที่ถูกต้อง: ข้อ ก. 1A 123/45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1A 123/45 💡 คำอธิบายและเหตุผลทางเภสัชกรรม:
💡 คำอธิบายและเหตุผลทางเภสัชกรรม:
การเลือก 1A 123/45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Medicine เนื่องจากกลไกการออกฤทธิ์, efficacy หรือข้อบ่งใช้ไม่ตรงกับโจทย์ที่กำหนด
• ข้อ ค. (1D 123/45): ข้อนี้ไม่ใช่คำตอบที่ถูกต้องสำหรับภาวะ Herbal Medicine เนื่องจากกลไกการออกฤทธิ์, efficacy หรือข้อบ่งใช้ไม่ตรงกับโจทย์ที่กำหนด
• ข้อ ง. (G 123/45): ข้อนี้ไม่ใช่คำตอบที่ถูกต้องสำหรับภาวะ Herbal Medicine เนื่องจากกลไกการออกฤทธิ์, efficacy หรือข้อบ่งใช้ไม่ตรงกับโจทย์ที่กำหนด
• ข้อ จ. (K 123/45):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1" s="18" t="inlineStr"/>
      <c r="L1421" s="18" t="inlineStr">
        <is>
          <t>Herbal Medicine</t>
        </is>
      </c>
      <c r="M1421" s="18" t="inlineStr">
        <is>
          <t>Product</t>
        </is>
      </c>
      <c r="N1421" s="18" t="inlineStr">
        <is>
          <t>ข้อ 32 (PLE_CC1_Practice_Exam.md)</t>
        </is>
      </c>
      <c r="O1421" s="18" t="inlineStr">
        <is>
          <t>Mock</t>
        </is>
      </c>
      <c r="P1421" s="18" t="inlineStr">
        <is>
          <t>Mock สภาเภสัชฯ Practice</t>
        </is>
      </c>
    </row>
    <row r="1422">
      <c r="A1422" s="15" t="inlineStr">
        <is>
          <t>1443</t>
        </is>
      </c>
      <c r="B1422" s="18" t="inlineStr">
        <is>
          <t>ยา Codepectห (Codeine Phosphate + Guaifenesin) จัดเป็นยาประเภทใด</t>
        </is>
      </c>
      <c r="C1422" s="18" t="inlineStr"/>
      <c r="D1422" s="18" t="inlineStr">
        <is>
          <t>วัตถุออกฤทธิ์ต่อจิตและประสาทประเภท 2</t>
        </is>
      </c>
      <c r="E1422" s="18" t="inlineStr">
        <is>
          <t>วัตถุออกฤทธิ์ต่อจิตและประสาทประเภท 4</t>
        </is>
      </c>
      <c r="F1422" s="18" t="inlineStr">
        <is>
          <t>ยาเสพติดให้โทษประเภท 2</t>
        </is>
      </c>
      <c r="G1422" s="18" t="inlineStr">
        <is>
          <t>ยาเสพติดให้โทษประเภท 3</t>
        </is>
      </c>
      <c r="H1422" s="18" t="inlineStr">
        <is>
          <t>ยาควบคุมพิเศษ</t>
        </is>
      </c>
      <c r="I1422" s="15" t="inlineStr">
        <is>
          <t>1</t>
        </is>
      </c>
      <c r="J1422" s="18" t="inlineStr">
        <is>
          <t>✅ คำตอบที่ถูกต้อง: ข้อ ก. วัตถุออกฤทธิ์ต่อจิตและประสาทประเภท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วัตถุออกฤทธิ์ต่อจิตและประสาทประเภท 2 การเลือก วัตถุออกฤทธิ์ต่อจิตและประสาทประเภท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(วัตถุออกฤทธิ์ต่อจิตและประสาทประเภท 4): ข้อนี้ไม่ใช่คำตอบที่ถูกต้องสำหรับภาวะ General Therapeutics เนื่องจากกลไกการออกฤทธิ์, efficacy หรือข้อบ่งใช้ไม่ตรงกับโจทย์ที่กำหนด
• ข้อ ค. (ยาเสพติดให้โทษประเภท 2): ข้อนี้ไม่ใช่คำตอบที่ถูกต้องสำหรับภาวะ General Therapeutics เนื่องจากกลไกการออกฤทธิ์, efficacy หรือข้อบ่งใช้ไม่ตรงกับโจทย์ที่กำหนด
• ข้อ ง. (ยาเสพติดให้โทษประเภท 3): ข้อนี้ไม่ใช่คำตอบที่ถูกต้องสำหรับภาวะ General Therapeutics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2" s="18" t="inlineStr"/>
      <c r="L1422" s="18" t="inlineStr">
        <is>
          <t>General Therapeutics</t>
        </is>
      </c>
      <c r="M1422" s="18" t="inlineStr">
        <is>
          <t>Clinic</t>
        </is>
      </c>
      <c r="N1422" s="18" t="inlineStr">
        <is>
          <t>ข้อ 39 (PLE_CC1_Practice_Exam.md)</t>
        </is>
      </c>
      <c r="O1422" s="18" t="inlineStr">
        <is>
          <t>Mock</t>
        </is>
      </c>
      <c r="P1422" s="18" t="inlineStr">
        <is>
          <t>Mock สภาเภสัชฯ Practice</t>
        </is>
      </c>
    </row>
    <row r="1423">
      <c r="A1423" s="15" t="inlineStr">
        <is>
          <t>1444</t>
        </is>
      </c>
      <c r="B1423" s="18" t="inlineStr">
        <is>
          <t>รายการยาในข้อใดเป็นจัดยาอันตรายทั้งหมด</t>
        </is>
      </c>
      <c r="C1423" s="18" t="inlineStr"/>
      <c r="D1423" s="18" t="inlineStr">
        <is>
          <t>Prednisolone cream, Clindamycin gel</t>
        </is>
      </c>
      <c r="E1423" s="18" t="inlineStr">
        <is>
          <t>Tramadol, Seretide accuhalerห</t>
        </is>
      </c>
      <c r="F1423" s="18" t="inlineStr">
        <is>
          <t>Norfloxacin, Alprazolam</t>
        </is>
      </c>
      <c r="G1423" s="18" t="inlineStr">
        <is>
          <t>Insulin, Phenobarbital</t>
        </is>
      </c>
      <c r="H1423" s="18" t="inlineStr">
        <is>
          <t>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t>
        </is>
      </c>
      <c r="I1423" s="15" t="inlineStr">
        <is>
          <t>1</t>
        </is>
      </c>
      <c r="J1423" s="18" t="inlineStr">
        <is>
          <t>✅ คำตอบที่ถูกต้อง: ข้อ ก. Prednisolone cream, Clindamycin gel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cream, Clindamycin gel 💡 คำอธิบายและข้อกำหนดทางกฎหมาย:
💡 คำอธิบายและข้อกำหนดทางกฎหมาย:
และให้ถือว่าใบอนุญาตหมดอายุตั้งแต่วันเลิกกิจการตามที่แจ้งไว้ (มาตรา 35) ถ้าอยู่ต่างจังหวัดแจ้งที่ สสจ. ข้อ 16 เฉลย ข ยาที่ขึ้นทะเบียนแล้วไม่มีการผลิตหรือนำเข้าสองปีติดต่อกัน ให้ทะเบียนถูกยกเลิก (มาตรา85) เนื่องจากยังไม่ใช่ผู้ประกอบวิชาชีพเภสัชกรรม จึงไม่เข้าข่ายผู้ประกอบวิชาชีพเภสัชกรรม ตามพระราชบัญญัติ (Metformin จัดอยู่กลุ่มนี้) จัดเป็นยาอันตรายลำดับที่ 18 แต่ยกเว้นยา Pioglitazone ที่เป็นยาควบคุมพิเศษ
 เป็น intermediate-acting systemic corticosteroid ขนาดยอดนิยมสำหรับ immunosuppressive &amp; anti-inflammatory therapy ต้องระวัง Cushingoid, infection, osteoporosis, peptic ulcer
🔍 ข้ออื่นผิดเพราะอะไร:
• ข้อ ข. (Tramadol, Seretide accuhalerห): เป็น weak mu-opioid agonist และ SNRI เป็นเพียง second-line / add-on สำหรับ pain relief ไม่มีฤทธิ์ลดการอักเสบ (no anti-inflammatory efficacy) และเสี่ยงต่อ serotonin syndrome และชัก
• ข้อ ค. (Norfloxacin, Alprazolam): เป็น intermediate-acting Benzodiazepine ออกฤทธิ์เร็ว เหมาะสำหรับ panic attack แต่มีโอกาสเกิด dependence และ rebound anxiety สูงเมื่อหยุดยา
• ข้อ ง. (Insulin, Phenobarbital): ข้อนี้ไม่ใช่คำตอบที่ถูกต้องสำหรับภาวะ Pharmacy Laws &amp; Ethics เนื่องจากกลไกการออกฤทธิ์, efficacy หรือข้อบ่งใช้ไม่ตรงกับโจทย์ที่กำหนด
• ข้อ จ. (Oseltamivir,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3" s="18" t="inlineStr"/>
      <c r="L1423" s="18" t="inlineStr">
        <is>
          <t>Pharmacy Laws &amp; Ethics</t>
        </is>
      </c>
      <c r="M1423" s="18" t="inlineStr">
        <is>
          <t>SAP</t>
        </is>
      </c>
      <c r="N1423" s="18" t="inlineStr">
        <is>
          <t>ข้อ 40 (PLE_CC1_Practice_Exam.md)</t>
        </is>
      </c>
      <c r="O1423" s="18" t="inlineStr">
        <is>
          <t>Mock</t>
        </is>
      </c>
      <c r="P1423" s="18" t="inlineStr">
        <is>
          <t>Mock สภาเภสัชฯ Practice</t>
        </is>
      </c>
    </row>
    <row r="1424">
      <c r="A1424" s="15" t="inlineStr">
        <is>
          <t>1445</t>
        </is>
      </c>
      <c r="B1424" s="18" t="inlineStr">
        <is>
          <t>การศึกษาความสัมพันธ์ระหว่างการใช้ NSAIDs และ ความเสี่ยงต่อการเกิด acute coronary syndrome (ACS) ผู้วิจัยเก็บข้อมูลจากโรงพยาบาล โดยเลือกผู้ป่วยที่เป็น ACS จำนวน 500 ราย และจับคู่ผู้ป่วยที่ไม่ได้เป็น ACS ที่มารับบริการในโรงพยาบาลในเวลาเดียวกัน และอายุเท่ากัน จำนวน 500 รายจากนั้นเก็บข้อมูลการใช้ NSAIDs ก่อนหน้าด้วยการดึงจากเวชระเบียนและสัมภาษณ์ผู้ป่วย</t>
        </is>
      </c>
      <c r="C1424" s="18" t="inlineStr"/>
      <c r="D1424" s="18" t="inlineStr">
        <is>
          <t>Cross-sectional descriptive study</t>
        </is>
      </c>
      <c r="E1424" s="18" t="inlineStr">
        <is>
          <t>Cross-sectional analytical study</t>
        </is>
      </c>
      <c r="F1424" s="18" t="inlineStr">
        <is>
          <t>cohort study</t>
        </is>
      </c>
      <c r="G1424" s="18" t="inlineStr">
        <is>
          <t>case control</t>
        </is>
      </c>
      <c r="H1424" s="18" t="inlineStr">
        <is>
          <t>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1424" s="15" t="inlineStr">
        <is>
          <t>1</t>
        </is>
      </c>
      <c r="J1424" s="18" t="inlineStr">
        <is>
          <t>✅ คำตอบที่ถูกต้อง: ข้อ ก. Cross-sectional descriptive study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Cross-sectional descriptive study การเลือก Cross-sectional descriptive study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Cardiovascular Diseases เนื่องจากกลไกการออกฤทธิ์, efficacy หรือข้อบ่งใช้ไม่ตรงกับโจทย์ที่กำหนด
• ข้อ ค. (cohort study): ข้อนี้ไม่ใช่คำตอบที่ถูกต้องสำหรับภาวะ Cardiovascular Diseases เนื่องจากกลไกการออกฤทธิ์, efficacy หรือข้อบ่งใช้ไม่ตรงกับโจทย์ที่กำหนด
• ข้อ ง. (case control): ข้อนี้ไม่ใช่คำตอบที่ถูกต้องสำหรับภาวะ Cardiovascular Diseases เนื่องจากกลไกการออกฤทธิ์, efficacy หรือข้อบ่งใช้ไม่ตรงกับโจทย์ที่กำหนด
• ข้อ จ. (Randomized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4" s="18" t="inlineStr"/>
      <c r="L1424" s="18" t="inlineStr">
        <is>
          <t>Cardiovascular Diseases</t>
        </is>
      </c>
      <c r="M1424" s="18" t="inlineStr">
        <is>
          <t>Clinic</t>
        </is>
      </c>
      <c r="N1424" s="18" t="inlineStr">
        <is>
          <t>ข้อ 3 (PLE_CC1_Practice_Exam.md)</t>
        </is>
      </c>
      <c r="O1424" s="18" t="inlineStr">
        <is>
          <t>Mock</t>
        </is>
      </c>
      <c r="P1424" s="18" t="inlineStr">
        <is>
          <t>Mock สภาเภสัชฯ Practice</t>
        </is>
      </c>
    </row>
    <row r="1425">
      <c r="A1425" s="15" t="inlineStr">
        <is>
          <t>1446</t>
        </is>
      </c>
      <c r="B1425" s="18" t="inlineStr">
        <is>
          <t>มีรายงานการเกิดอาการ Steven-Johnson syndromeในผู้ป่วย 10 ราย จากยาตัวหนึ่งที่มีรายงาน การใช้น้อยมาก ซึ่งเป็นอาการที่ไม่เคยมีรายงานมาก่อน ผู้วิจัยต้องการทดสอบสมมติฐานต่อ ควรทำ การวิจัยแบบใด</t>
        </is>
      </c>
      <c r="C1425" s="18" t="inlineStr"/>
      <c r="D1425" s="18" t="inlineStr">
        <is>
          <t>Cohort study</t>
        </is>
      </c>
      <c r="E1425" s="18" t="inlineStr">
        <is>
          <t>Case control</t>
        </is>
      </c>
      <c r="F1425" s="18" t="inlineStr">
        <is>
          <t>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1425" s="18" t="inlineStr">
        <is>
          <t>RCT (Parallel trial)</t>
        </is>
      </c>
      <c r="H1425" s="18" t="inlineStr">
        <is>
          <t>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t>
        </is>
      </c>
      <c r="I1425" s="15" t="inlineStr">
        <is>
          <t>1</t>
        </is>
      </c>
      <c r="J1425" s="18" t="inlineStr">
        <is>
          <t>✅ คำตอบที่ถูกต้อง: ข้อ ก. Cohort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Cohort study การเลือก Cohort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 control): ข้อนี้ไม่ใช่คำตอบที่ถูกต้องสำหรับภาวะ General Therapeutics เนื่องจากกลไกการออกฤทธิ์, efficacy หรือข้อบ่งใช้ไม่ตรงกับโจทย์ที่กำหนด
• ข้อ ค. (RCT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(RCT (Parallel trial)):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425" s="18" t="inlineStr"/>
      <c r="L1425" s="18" t="inlineStr">
        <is>
          <t>General Therapeutics</t>
        </is>
      </c>
      <c r="M1425" s="18" t="inlineStr">
        <is>
          <t>Clinic</t>
        </is>
      </c>
      <c r="N1425" s="18" t="inlineStr">
        <is>
          <t>ข้อ 7 (PLE_CC1_Practice_Exam.md)</t>
        </is>
      </c>
      <c r="O1425" s="18" t="inlineStr">
        <is>
          <t>Mock</t>
        </is>
      </c>
      <c r="P1425" s="18" t="inlineStr">
        <is>
          <t>Mock สภาเภสัชฯ Practice</t>
        </is>
      </c>
    </row>
    <row r="1426">
      <c r="A1426" s="15" t="inlineStr">
        <is>
          <t>1447</t>
        </is>
      </c>
      <c r="B1426" s="18" t="inlineStr">
        <is>
          <t>การศึกษาดังกล่าวมีรูปแบบการศึกษาแบบใด</t>
        </is>
      </c>
      <c r="C1426" s="18" t="inlineStr"/>
      <c r="D1426" s="18" t="inlineStr">
        <is>
          <t>Cross-sectional descriptive study</t>
        </is>
      </c>
      <c r="E1426" s="18" t="inlineStr">
        <is>
          <t>Cross-sectional analytical study</t>
        </is>
      </c>
      <c r="F1426" s="18" t="inlineStr">
        <is>
          <t>cohort study</t>
        </is>
      </c>
      <c r="G1426" s="18" t="inlineStr">
        <is>
          <t>Case control</t>
        </is>
      </c>
      <c r="H1426" s="18" t="inlineStr">
        <is>
          <t>Randomized controlled trial</t>
        </is>
      </c>
      <c r="I1426" s="15" t="inlineStr">
        <is>
          <t>1</t>
        </is>
      </c>
      <c r="J1426" s="18" t="inlineStr">
        <is>
          <t>✅ คำตอบที่ถูกต้อง: ข้อ ก. Cross-sectional descriptive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Cross-sectional descriptive study การเลือก Cross-sectional descriptive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General Therapeutics เนื่องจากกลไกการออกฤทธิ์, efficacy หรือข้อบ่งใช้ไม่ตรงกับโจทย์ที่กำหนด
• ข้อ ค. (cohort study): ข้อนี้ไม่ใช่คำตอบที่ถูกต้องสำหรับภาวะ General Therapeutics เนื่องจากกลไกการออกฤทธิ์, efficacy หรือข้อบ่งใช้ไม่ตรงกับโจทย์ที่กำหนด
• ข้อ ง. (Case control): ข้อนี้ไม่ใช่คำตอบที่ถูกต้องสำหรับภาวะ General Therapeutics เนื่องจากกลไกการออกฤทธิ์, efficacy หรือข้อบ่งใช้ไม่ตรงกับโจทย์ที่กำหนด
• ข้อ จ.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6" s="18" t="inlineStr"/>
      <c r="L1426" s="18" t="inlineStr">
        <is>
          <t>General Therapeutics</t>
        </is>
      </c>
      <c r="M1426" s="18" t="inlineStr">
        <is>
          <t>Clinic</t>
        </is>
      </c>
      <c r="N1426" s="18" t="inlineStr">
        <is>
          <t>ข้อ 8 (PLE_CC1_Practice_Exam.md)</t>
        </is>
      </c>
      <c r="O1426" s="18" t="inlineStr">
        <is>
          <t>Mock</t>
        </is>
      </c>
      <c r="P1426" s="18" t="inlineStr">
        <is>
          <t>Mock สภาเภสัชฯ Practice</t>
        </is>
      </c>
    </row>
    <row r="1427">
      <c r="A1427" s="15" t="inlineStr">
        <is>
          <t>1448</t>
        </is>
      </c>
      <c r="B1427" s="18" t="inlineStr">
        <is>
          <t>ความสัมพันธ์ที่ได้เป็นแบบใด</t>
        </is>
      </c>
      <c r="C1427" s="18" t="inlineStr"/>
      <c r="D1427" s="18" t="inlineStr">
        <is>
          <t>Attributable risk</t>
        </is>
      </c>
      <c r="E1427" s="18" t="inlineStr">
        <is>
          <t>Prevalence ratio</t>
        </is>
      </c>
      <c r="F1427" s="18" t="inlineStr">
        <is>
          <t>Risk ratio</t>
        </is>
      </c>
      <c r="G1427" s="18" t="inlineStr">
        <is>
          <t>Rate ratio</t>
        </is>
      </c>
      <c r="H1427" s="18" t="inlineStr">
        <is>
          <t>Odd ratio</t>
        </is>
      </c>
      <c r="I1427" s="15" t="inlineStr">
        <is>
          <t>1</t>
        </is>
      </c>
      <c r="J1427" s="18" t="inlineStr">
        <is>
          <t>✅ คำตอบที่ถูกต้อง: ข้อ ก. Attributable risk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Attributable risk การเลือก Attributable risk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(Prevalence ratio): ข้อนี้ไม่ใช่คำตอบที่ถูกต้องสำหรับภาวะ General Therapeutics เนื่องจากกลไกการออกฤทธิ์, efficacy หรือข้อบ่งใช้ไม่ตรงกับโจทย์ที่กำหนด
• ข้อ ค. (Risk ratio): ข้อนี้ไม่ใช่คำตอบที่ถูกต้องสำหรับภาวะ General Therapeutics เนื่องจากกลไกการออกฤทธิ์, efficacy หรือข้อบ่งใช้ไม่ตรงกับโจทย์ที่กำหนด
• ข้อ ง. (Rate ratio): ข้อนี้ไม่ใช่คำตอบที่ถูกต้องสำหรับภาวะ General Therapeutics เนื่องจากกลไกการออกฤทธิ์, efficacy หรือข้อบ่งใช้ไม่ตรงกับโจทย์ที่กำหนด
• ข้อ จ. (Odd ratio):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7" s="18" t="inlineStr"/>
      <c r="L1427" s="18" t="inlineStr">
        <is>
          <t>General Therapeutics</t>
        </is>
      </c>
      <c r="M1427" s="18" t="inlineStr">
        <is>
          <t>Clinic</t>
        </is>
      </c>
      <c r="N1427" s="18" t="inlineStr">
        <is>
          <t>ข้อ 9 (PLE_CC1_Practice_Exam.md)</t>
        </is>
      </c>
      <c r="O1427" s="18" t="inlineStr">
        <is>
          <t>Mock</t>
        </is>
      </c>
      <c r="P1427" s="18" t="inlineStr">
        <is>
          <t>Mock สภาเภสัชฯ Practice</t>
        </is>
      </c>
    </row>
    <row r="1428">
      <c r="A1428" s="15" t="inlineStr">
        <is>
          <t>1449</t>
        </is>
      </c>
      <c r="B1428" s="18" t="inlineStr">
        <is>
          <t>Pharmacokinetics โดย ฝ่ายวิชาการและนักศึกษาชั้นป๊ที่ 4 คณะเภสัชศาสตร์ มหาวิทยาลัยเชียงใหม่ ป๊การศึกษา 2560</t>
        </is>
      </c>
      <c r="C1428" s="18" t="inlineStr"/>
      <c r="D1428" s="18" t="inlineStr">
        <is>
          <t>Naloxone 0.4 mg IV stat</t>
        </is>
      </c>
      <c r="E1428" s="18" t="inlineStr">
        <is>
          <t>Flumazenil 0.2 mg IV stat</t>
        </is>
      </c>
      <c r="F1428" s="18" t="inlineStr">
        <is>
          <t>Vitamin K1 (Phytomenadione) 10 mg IV slow</t>
        </is>
      </c>
      <c r="G1428" s="18" t="inlineStr">
        <is>
          <t>Sodium thiosulfate 25% 50 mL IV</t>
        </is>
      </c>
      <c r="H1428" s="18" t="inlineStr">
        <is>
          <t>Calcium disodium EDTA 1 g IV</t>
        </is>
      </c>
      <c r="I1428" s="15" t="inlineStr">
        <is>
          <t>1</t>
        </is>
      </c>
      <c r="J14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28" s="18" t="inlineStr"/>
      <c r="L1428" s="18" t="inlineStr">
        <is>
          <t>General Therapeutics</t>
        </is>
      </c>
      <c r="M1428" s="18" t="inlineStr">
        <is>
          <t>Clinic</t>
        </is>
      </c>
      <c r="N1428" s="18" t="inlineStr">
        <is>
          <t>ข้อ 20 (PLE_CC1_Practice_Exam.md)</t>
        </is>
      </c>
      <c r="O1428" s="18" t="inlineStr">
        <is>
          <t>Mock</t>
        </is>
      </c>
      <c r="P1428" s="18" t="inlineStr">
        <is>
          <t>Mock สภาเภสัชฯ Practice</t>
        </is>
      </c>
    </row>
    <row r="1429">
      <c r="A1429" s="15" t="inlineStr">
        <is>
          <t>1450</t>
        </is>
      </c>
      <c r="B1429" s="18" t="inlineStr">
        <is>
          <t>ยาในข้อใดต่อไปนี้ไม่นิยมใช้การตรวจติดตามระดับความเข้มข้นของยาในเลือด ในการติดตามการใช้ยาใน ผู้ป่วย</t>
        </is>
      </c>
      <c r="C1429" s="18" t="inlineStr"/>
      <c r="D1429" s="18" t="inlineStr">
        <is>
          <t>Phenytoin</t>
        </is>
      </c>
      <c r="E1429" s="18" t="inlineStr">
        <is>
          <t>Valproic acid</t>
        </is>
      </c>
      <c r="F1429" s="18" t="inlineStr">
        <is>
          <t>Warfarin</t>
        </is>
      </c>
      <c r="G1429" s="18" t="inlineStr">
        <is>
          <t>Digoxin</t>
        </is>
      </c>
      <c r="H1429" s="18" t="inlineStr">
        <is>
          <t>Gentamycin 6.การบริหารยาวิธีใดสามารถหลีกเลี่ยง First pass metabolism ที่ตับได้</t>
        </is>
      </c>
      <c r="I1429" s="15" t="inlineStr">
        <is>
          <t>1</t>
        </is>
      </c>
      <c r="J1429" s="18"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(Valproic acid): ข้อนี้ไม่ใช่คำตอบที่ถูกต้องสำหรับภาวะ General Therapeutics เนื่องจากกลไกการออกฤทธิ์, efficacy หรือข้อบ่งใช้ไม่ตรงกับโจทย์ที่กำหนด
• ข้อ ค. (Warfarin): เป็น Vitamin K antagonist ต้องติดตาม monitoring ค่า INR (target 2.0-3.0 ใน DVT/PE/AF, 2.5-3.5 ใน mechanical mitral valve) มี drug-food interactions มากมาย และ reversal agent คือ Vitamin K1
• ข้อ ง. (Digoxin): เป็น cardiac glycoside ยับยั้ง Na+/K+ ATPase เพิ่ม inotrope แต่มี narrow therapeutic index (target 0.5-0.9 ng/mL ใน HF) และเสี่ยงต่อ fatal arrhythmia เมื่อมี hypokalemia
• ข้อ จ. (Gentamycin 6.การบริหารยาวิธีใดสามารถหลีกเลี่ยง First pass metabolism ที่ตับได้):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29" s="18" t="inlineStr"/>
      <c r="L1429" s="18" t="inlineStr">
        <is>
          <t>General Therapeutics</t>
        </is>
      </c>
      <c r="M1429" s="18" t="inlineStr">
        <is>
          <t>Clinic</t>
        </is>
      </c>
      <c r="N1429" s="18" t="inlineStr">
        <is>
          <t>ข้อ 5 (PLE_CC1_Practice_Exam.md)</t>
        </is>
      </c>
      <c r="O1429" s="18" t="inlineStr">
        <is>
          <t>Mock</t>
        </is>
      </c>
      <c r="P1429" s="18" t="inlineStr">
        <is>
          <t>Mock สภาเภสัชฯ Practice</t>
        </is>
      </c>
    </row>
    <row r="1430">
      <c r="A1430" s="15" t="inlineStr">
        <is>
          <t>1451</t>
        </is>
      </c>
      <c r="B1430" s="18" t="inlineStr">
        <is>
          <t>ยาในข้อใดมีลักษณะทางเภสัชจลนศาสตร์เป็นแบบ non-linear pharmacokinetic ที่มีความสำคัญ ในทางคลินิก</t>
        </is>
      </c>
      <c r="C1430" s="18" t="inlineStr"/>
      <c r="D1430" s="18" t="inlineStr">
        <is>
          <t>Phenytoin</t>
        </is>
      </c>
      <c r="E1430" s="18" t="inlineStr">
        <is>
          <t>Paracetamol</t>
        </is>
      </c>
      <c r="F1430" s="18" t="inlineStr">
        <is>
          <t>Penicillin</t>
        </is>
      </c>
      <c r="G1430" s="18" t="inlineStr">
        <is>
          <t>Gentamicin</t>
        </is>
      </c>
      <c r="H1430" s="18" t="inlineStr">
        <is>
          <t>Vancomycin</t>
        </is>
      </c>
      <c r="I1430" s="15" t="inlineStr">
        <is>
          <t>1</t>
        </is>
      </c>
      <c r="J1430" s="18"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(Penicillin): ข้อนี้ไม่ใช่คำตอบที่ถูกต้องสำหรับภาวะ General Therapeutics เนื่องจากกลไกการออกฤทธิ์, efficacy หรือข้อบ่งใช้ไม่ตรงกับโจทย์ที่กำหนด
• ข้อ ง. (Gentamicin): เป็น Aminoglycoside มี concentration-dependent bactericidal effect ต่อ gram-negative มี nephrotoxicity และ ototoxicity ต้อง monitoring renal function และ serum level
• ข้อ จ.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30" s="18" t="inlineStr"/>
      <c r="L1430" s="18" t="inlineStr">
        <is>
          <t>General Therapeutics</t>
        </is>
      </c>
      <c r="M1430" s="18" t="inlineStr">
        <is>
          <t>Clinic</t>
        </is>
      </c>
      <c r="N1430" s="18" t="inlineStr">
        <is>
          <t>ข้อ 12 (PLE_CC1_Practice_Exam.md)</t>
        </is>
      </c>
      <c r="O1430" s="18" t="inlineStr">
        <is>
          <t>Mock</t>
        </is>
      </c>
      <c r="P1430" s="18" t="inlineStr">
        <is>
          <t>Mock สภาเภสัชฯ Practice</t>
        </is>
      </c>
    </row>
    <row r="1431">
      <c r="A1431" s="15" t="inlineStr">
        <is>
          <t>1452</t>
        </is>
      </c>
      <c r="B1431" s="18" t="inlineStr">
        <is>
          <t>จากกราฟ ข้อใดผิด</t>
        </is>
      </c>
      <c r="C1431" s="18" t="inlineStr"/>
      <c r="D1431" s="18" t="inlineStr">
        <is>
          <t>สามารถคำนวณ half-life ได้จาก</t>
        </is>
      </c>
      <c r="E1431" s="18" t="inlineStr">
        <is>
          <t>ความเข้มของยาไม่มีผลต่อ rate of elimination</t>
        </is>
      </c>
      <c r="F1431" s="18" t="inlineStr">
        <is>
          <t>ยานี้เป็นการสลายตัวแบบจลนศาสตร์อันดับศูนย์</t>
        </is>
      </c>
      <c r="G1431" s="18" t="inlineStr">
        <is>
          <t>ตัวอย่างของยานี้คือ carbamazepine</t>
        </is>
      </c>
      <c r="H1431" s="18" t="inlineStr">
        <is>
          <t>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t>
        </is>
      </c>
      <c r="I1431" s="15" t="inlineStr">
        <is>
          <t>1</t>
        </is>
      </c>
      <c r="J1431" s="18" t="inlineStr">
        <is>
          <t>✅ คำตอบที่ถูกต้อง: ข้อ ก. สามารถคำนวณ half-life ได้จาก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สามารถคำนวณ half-life ได้จาก เพิ่มขึ้น ทำให้เกิด rhabdomyolysis ได้ และมีอุบัติการณ์ของการเกิดอาการข้างเคียงดังกล่าวมากที่สุดเมื่อ ฝอย (endothelial cell) ที่เยื่อหุ้มเซลล์เชื่อมต่อกันด้วย tight junction แตกต่างจากเซลล์ในหลอดเลือดฝอย เกิดพิษแก่ผู้ป่วยได้ หากได้รับเครื่องดื่มที่มีส่วนผสมของแอลกอฮอล์ในปริมาณมากอย่างรวดเร็ว โดยมักเรียก ข้อ 10 เฉลย  ง.เมื่อให้ยา A แบบ intravenous (IV) infusion ด้วยอัตราที่คงที่ เป็นเวลา 20 ชั่วโมง ยา A จะ
🔍 ข้ออื่นผิดเพราะอะไร:
• ข้อ ข. (ความเข้มของยาไม่มีผลต่อ rate of elimination): ข้อนี้ไม่ใช่คำตอบที่ถูกต้องสำหรับภาวะ General Therapeutics เนื่องจากกลไกการออกฤทธิ์, efficacy หรือข้อบ่งใช้ไม่ตรงกับโจทย์ที่กำหนด
• ข้อ ค. (ยานี้เป็นการสลายตัวแบบจลนศาสตร์อันดับศูนย์): ข้อนี้ไม่ใช่คำตอบที่ถูกต้องสำหรับภาวะ General Therapeutics เนื่องจากกลไกการออกฤทธิ์, efficacy หรือข้อบ่งใช้ไม่ตรงกับโจทย์ที่กำหนด
• ข้อ ง. (ตัวอย่างของยานี้คือ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1" s="18" t="inlineStr"/>
      <c r="L1431" s="18" t="inlineStr">
        <is>
          <t>General Therapeutics</t>
        </is>
      </c>
      <c r="M1431" s="18" t="inlineStr">
        <is>
          <t>Clinic</t>
        </is>
      </c>
      <c r="N1431" s="18" t="inlineStr">
        <is>
          <t>ข้อ 20 (PLE_CC1_Practice_Exam.md)</t>
        </is>
      </c>
      <c r="O1431" s="18" t="inlineStr">
        <is>
          <t>Mock</t>
        </is>
      </c>
      <c r="P1431" s="18" t="inlineStr">
        <is>
          <t>Mock สภาเภสัชฯ Practice</t>
        </is>
      </c>
    </row>
    <row r="1432">
      <c r="A1432" s="15" t="inlineStr">
        <is>
          <t>1453</t>
        </is>
      </c>
      <c r="B1432" s="18" t="inlineStr">
        <is>
          <t>Metabolism เอนไซม์ที่ใช้ในการกำจัดยาเกิดการอิ่มตัว 402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C1432" s="18" t="inlineStr"/>
      <c r="D1432" s="18" t="inlineStr">
        <is>
          <t>Naloxone 0.4 mg IV stat</t>
        </is>
      </c>
      <c r="E1432" s="18" t="inlineStr">
        <is>
          <t>Flumazenil 0.2 mg IV stat</t>
        </is>
      </c>
      <c r="F1432" s="18" t="inlineStr">
        <is>
          <t>Vitamin K1 (Phytomenadione) 10 mg IV slow</t>
        </is>
      </c>
      <c r="G1432" s="18" t="inlineStr">
        <is>
          <t>Sodium thiosulfate 25% 50 mL IV</t>
        </is>
      </c>
      <c r="H1432" s="18" t="inlineStr">
        <is>
          <t>Calcium disodium EDTA 1 g IV</t>
        </is>
      </c>
      <c r="I1432" s="15" t="inlineStr">
        <is>
          <t>1</t>
        </is>
      </c>
      <c r="J14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2" s="18" t="inlineStr"/>
      <c r="L1432" s="18" t="inlineStr">
        <is>
          <t>General Therapeutics</t>
        </is>
      </c>
      <c r="M1432" s="18" t="inlineStr">
        <is>
          <t>Clinic</t>
        </is>
      </c>
      <c r="N1432" s="18" t="inlineStr">
        <is>
          <t>ข้อ 3 (PLE_CC1_Practice_Exam.md)</t>
        </is>
      </c>
      <c r="O1432" s="18" t="inlineStr">
        <is>
          <t>Mock</t>
        </is>
      </c>
      <c r="P1432" s="18" t="inlineStr">
        <is>
          <t>Mock สภาเภสัชฯ Practice</t>
        </is>
      </c>
    </row>
    <row r="1433">
      <c r="A1433" s="15" t="inlineStr">
        <is>
          <t>1454</t>
        </is>
      </c>
      <c r="B1433" s="18" t="inlineStr">
        <is>
          <t>กินก่อนนอนเท่านั้น</t>
        </is>
      </c>
      <c r="C1433" s="18" t="inlineStr"/>
      <c r="D1433" s="18" t="inlineStr">
        <is>
          <t>Sodium thiosulfate 25% 50 mL IV</t>
        </is>
      </c>
      <c r="E1433" s="18" t="inlineStr">
        <is>
          <t>Calcium disodium EDTA 1 g IV</t>
        </is>
      </c>
      <c r="F1433" s="18" t="inlineStr">
        <is>
          <t>Desferrioxamine 1 g IM/IV</t>
        </is>
      </c>
      <c r="G1433" s="18" t="inlineStr">
        <is>
          <t>Dimercaprol (BAL) 3 mg/kg IM</t>
        </is>
      </c>
      <c r="H1433" s="18" t="inlineStr">
        <is>
          <t>Ethanol 10% IV infusion for Methanol poisoning</t>
        </is>
      </c>
      <c r="I1433" s="15" t="inlineStr">
        <is>
          <t>1</t>
        </is>
      </c>
      <c r="J14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3" s="18" t="inlineStr"/>
      <c r="L1433" s="18" t="inlineStr">
        <is>
          <t>General Therapeutics</t>
        </is>
      </c>
      <c r="M1433" s="18" t="inlineStr">
        <is>
          <t>Clinic</t>
        </is>
      </c>
      <c r="N1433" s="18" t="inlineStr">
        <is>
          <t>ข้อ 1 (PLE_CC1_Key_Rx20_UBU.md)</t>
        </is>
      </c>
      <c r="O1433" s="18" t="inlineStr">
        <is>
          <t>Mock</t>
        </is>
      </c>
      <c r="P1433" s="18" t="inlineStr">
        <is>
          <t>Mock Rx20 UBU</t>
        </is>
      </c>
    </row>
    <row r="1434">
      <c r="A1434" s="15" t="inlineStr">
        <is>
          <t>1455</t>
        </is>
      </c>
      <c r="B1434" s="18" t="inlineStr">
        <is>
          <t>ให้ยาทั้งสองเพียงวันละครั้ง</t>
        </is>
      </c>
      <c r="C1434" s="18" t="inlineStr"/>
      <c r="D1434" s="18" t="inlineStr">
        <is>
          <t>Dimercaprol (BAL) 3 mg/kg IM</t>
        </is>
      </c>
      <c r="E1434" s="18" t="inlineStr">
        <is>
          <t>Ethanol 10% IV infusion for Methanol poisoning</t>
        </is>
      </c>
      <c r="F1434" s="18" t="inlineStr">
        <is>
          <t>Fomepizole 15 mg/kg IV loading</t>
        </is>
      </c>
      <c r="G1434" s="18" t="inlineStr">
        <is>
          <t>N-acetylcysteine (NAC) IV infusion protocol</t>
        </is>
      </c>
      <c r="H1434" s="18" t="inlineStr">
        <is>
          <t>Atropine sulfate 2 mg IV Q5-10 min</t>
        </is>
      </c>
      <c r="I1434" s="15" t="inlineStr">
        <is>
          <t>1</t>
        </is>
      </c>
      <c r="J14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4" s="18" t="inlineStr"/>
      <c r="L1434" s="18" t="inlineStr">
        <is>
          <t>General Therapeutics</t>
        </is>
      </c>
      <c r="M1434" s="18" t="inlineStr">
        <is>
          <t>Clinic</t>
        </is>
      </c>
      <c r="N1434" s="18" t="inlineStr">
        <is>
          <t>ข้อ 1 (PLE_CC1_Key_Rx20_UBU.md)</t>
        </is>
      </c>
      <c r="O1434" s="18" t="inlineStr">
        <is>
          <t>Mock</t>
        </is>
      </c>
      <c r="P1434" s="18" t="inlineStr">
        <is>
          <t>Mock Rx20 UBU</t>
        </is>
      </c>
    </row>
    <row r="1435">
      <c r="A1435" s="15" t="inlineStr">
        <is>
          <t>1456</t>
        </is>
      </c>
      <c r="B1435" s="18" t="inlineStr">
        <is>
          <t>หากพิจารณาจากยาที่ผู้ป่วยได้รับ คาดว่ามีผู้ป่วยน่าจะมีค่าไขมันชนิดใดผิดปกติมากที่สุด -</t>
        </is>
      </c>
      <c r="C1435" s="18" t="inlineStr"/>
      <c r="D1435" s="18" t="inlineStr">
        <is>
          <t>N-acetylcysteine (NAC) IV infusion protocol</t>
        </is>
      </c>
      <c r="E1435" s="18" t="inlineStr">
        <is>
          <t>Atropine sulfate 2 mg IV Q5-10 min</t>
        </is>
      </c>
      <c r="F1435" s="18" t="inlineStr">
        <is>
          <t>Pralidoxime (2-PAM) 1-2 g IV over 30 min</t>
        </is>
      </c>
      <c r="G1435" s="18" t="inlineStr">
        <is>
          <t>Naloxone 0.4 mg IV stat</t>
        </is>
      </c>
      <c r="H1435" s="18" t="inlineStr">
        <is>
          <t>Flumazenil 0.2 mg IV stat</t>
        </is>
      </c>
      <c r="I1435" s="15" t="inlineStr">
        <is>
          <t>1</t>
        </is>
      </c>
      <c r="J14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5" s="18" t="inlineStr"/>
      <c r="L1435" s="18" t="inlineStr">
        <is>
          <t>General Therapeutics</t>
        </is>
      </c>
      <c r="M1435" s="18" t="inlineStr">
        <is>
          <t>Clinic</t>
        </is>
      </c>
      <c r="N1435" s="18" t="inlineStr">
        <is>
          <t>ข้อ 5 (PLE_CC1_Key_Rx20_UBU.md)</t>
        </is>
      </c>
      <c r="O1435" s="18" t="inlineStr">
        <is>
          <t>Mock</t>
        </is>
      </c>
      <c r="P1435" s="18" t="inlineStr">
        <is>
          <t>Mock Rx20 UBU</t>
        </is>
      </c>
    </row>
    <row r="1436">
      <c r="A1436" s="15" t="inlineStr">
        <is>
          <t>1457</t>
        </is>
      </c>
      <c r="B1436" s="18" t="inlineStr">
        <is>
          <t>มี Conjugated double bonds</t>
        </is>
      </c>
      <c r="C1436" s="18" t="inlineStr"/>
      <c r="D1436" s="18" t="inlineStr">
        <is>
          <t>Naloxone 0.4 mg IV stat</t>
        </is>
      </c>
      <c r="E1436" s="18" t="inlineStr">
        <is>
          <t>Flumazenil 0.2 mg IV stat</t>
        </is>
      </c>
      <c r="F1436" s="18" t="inlineStr">
        <is>
          <t>Vitamin K1 (Phytomenadione) 10 mg IV slow</t>
        </is>
      </c>
      <c r="G1436" s="18" t="inlineStr">
        <is>
          <t>Sodium thiosulfate 25% 50 mL IV</t>
        </is>
      </c>
      <c r="H1436" s="18" t="inlineStr">
        <is>
          <t>Calcium disodium EDTA 1 g IV</t>
        </is>
      </c>
      <c r="I1436" s="15" t="inlineStr">
        <is>
          <t>1</t>
        </is>
      </c>
      <c r="J14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6" s="18" t="inlineStr"/>
      <c r="L1436" s="18" t="inlineStr">
        <is>
          <t>General Therapeutics</t>
        </is>
      </c>
      <c r="M1436" s="18" t="inlineStr">
        <is>
          <t>Clinic</t>
        </is>
      </c>
      <c r="N1436" s="18" t="inlineStr">
        <is>
          <t>ข้อ 2 (PLE_CC1_Key_Rx20_UBU.md)</t>
        </is>
      </c>
      <c r="O1436" s="18" t="inlineStr">
        <is>
          <t>Mock</t>
        </is>
      </c>
      <c r="P1436" s="18" t="inlineStr">
        <is>
          <t>Mock Rx20 UBU</t>
        </is>
      </c>
    </row>
    <row r="1437">
      <c r="A1437" s="15" t="inlineStr">
        <is>
          <t>1458</t>
        </is>
      </c>
      <c r="B1437" s="18" t="inlineStr">
        <is>
          <t>ใช้ UV วิเคราะห์จำนวน Carbon atom ได้</t>
        </is>
      </c>
      <c r="C1437" s="18" t="inlineStr"/>
      <c r="D1437" s="18" t="inlineStr">
        <is>
          <t>Sodium thiosulfate 25% 50 mL IV</t>
        </is>
      </c>
      <c r="E1437" s="18" t="inlineStr">
        <is>
          <t>Calcium disodium EDTA 1 g IV</t>
        </is>
      </c>
      <c r="F1437" s="18" t="inlineStr">
        <is>
          <t>Desferrioxamine 1 g IM/IV</t>
        </is>
      </c>
      <c r="G1437" s="18" t="inlineStr">
        <is>
          <t>Dimercaprol (BAL) 3 mg/kg IM</t>
        </is>
      </c>
      <c r="H1437" s="18" t="inlineStr">
        <is>
          <t>Ethanol 10% IV infusion for Methanol poisoning</t>
        </is>
      </c>
      <c r="I1437" s="15" t="inlineStr">
        <is>
          <t>1</t>
        </is>
      </c>
      <c r="J14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7" s="18" t="inlineStr"/>
      <c r="L1437" s="18" t="inlineStr">
        <is>
          <t>General Therapeutics</t>
        </is>
      </c>
      <c r="M1437" s="18" t="inlineStr">
        <is>
          <t>Clinic</t>
        </is>
      </c>
      <c r="N1437" s="18" t="inlineStr">
        <is>
          <t>ข้อ 4 (PLE_CC1_Key_Rx20_UBU.md)</t>
        </is>
      </c>
      <c r="O1437" s="18" t="inlineStr">
        <is>
          <t>Mock</t>
        </is>
      </c>
      <c r="P1437" s="18" t="inlineStr">
        <is>
          <t>Mock Rx20 UBU</t>
        </is>
      </c>
    </row>
    <row r="1438">
      <c r="A1438" s="15" t="inlineStr">
        <is>
          <t>1459</t>
        </is>
      </c>
      <c r="B1438" s="18" t="inlineStr">
        <is>
          <t>ใช้ ลดระดับกรดยูริก</t>
        </is>
      </c>
      <c r="C1438" s="18" t="inlineStr"/>
      <c r="D1438" s="18" t="inlineStr">
        <is>
          <t>Dimercaprol (BAL) 3 mg/kg IM</t>
        </is>
      </c>
      <c r="E1438" s="18" t="inlineStr">
        <is>
          <t>Ethanol 10% IV infusion for Methanol poisoning</t>
        </is>
      </c>
      <c r="F1438" s="18" t="inlineStr">
        <is>
          <t>Fomepizole 15 mg/kg IV loading</t>
        </is>
      </c>
      <c r="G1438" s="18" t="inlineStr">
        <is>
          <t>N-acetylcysteine (NAC) IV infusion protocol</t>
        </is>
      </c>
      <c r="H1438" s="18" t="inlineStr">
        <is>
          <t>Atropine sulfate 2 mg IV Q5-10 min</t>
        </is>
      </c>
      <c r="I1438" s="15" t="inlineStr">
        <is>
          <t>1</t>
        </is>
      </c>
      <c r="J14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8" s="18" t="inlineStr"/>
      <c r="L1438" s="18" t="inlineStr">
        <is>
          <t>General Therapeutics</t>
        </is>
      </c>
      <c r="M1438" s="18" t="inlineStr">
        <is>
          <t>Clinic</t>
        </is>
      </c>
      <c r="N1438" s="18" t="inlineStr">
        <is>
          <t>ข้อ 2 (PLE_CC1_Key_Rx20_UBU.md)</t>
        </is>
      </c>
      <c r="O1438" s="18" t="inlineStr">
        <is>
          <t>Mock</t>
        </is>
      </c>
      <c r="P1438" s="18" t="inlineStr">
        <is>
          <t>Mock Rx20 UBU</t>
        </is>
      </c>
    </row>
    <row r="1439">
      <c r="A1439" s="15" t="inlineStr">
        <is>
          <t>1460</t>
        </is>
      </c>
      <c r="B1439" s="18" t="inlineStr">
        <is>
          <t>อาการข้างเคียงที่สำคัญทำให้เกิด AHS</t>
        </is>
      </c>
      <c r="C1439" s="18" t="inlineStr"/>
      <c r="D1439" s="18" t="inlineStr">
        <is>
          <t>N-acetylcysteine (NAC) IV infusion protocol</t>
        </is>
      </c>
      <c r="E1439" s="18" t="inlineStr">
        <is>
          <t>Atropine sulfate 2 mg IV Q5-10 min</t>
        </is>
      </c>
      <c r="F1439" s="18" t="inlineStr">
        <is>
          <t>Pralidoxime (2-PAM) 1-2 g IV over 30 min</t>
        </is>
      </c>
      <c r="G1439" s="18" t="inlineStr">
        <is>
          <t>Naloxone 0.4 mg IV stat</t>
        </is>
      </c>
      <c r="H1439" s="18" t="inlineStr">
        <is>
          <t>Flumazenil 0.2 mg IV stat</t>
        </is>
      </c>
      <c r="I1439" s="15" t="inlineStr">
        <is>
          <t>1</t>
        </is>
      </c>
      <c r="J14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9" s="18" t="inlineStr"/>
      <c r="L1439" s="18" t="inlineStr">
        <is>
          <t>General Therapeutics</t>
        </is>
      </c>
      <c r="M1439" s="18" t="inlineStr">
        <is>
          <t>Clinic</t>
        </is>
      </c>
      <c r="N1439" s="18" t="inlineStr">
        <is>
          <t>ข้อ 4 (PLE_CC1_Key_Rx20_UBU.md)</t>
        </is>
      </c>
      <c r="O1439" s="18" t="inlineStr">
        <is>
          <t>Mock</t>
        </is>
      </c>
      <c r="P1439" s="18" t="inlineStr">
        <is>
          <t>Mock Rx20 UBU</t>
        </is>
      </c>
    </row>
    <row r="1440">
      <c r="A1440" s="15" t="inlineStr">
        <is>
          <t>1461</t>
        </is>
      </c>
      <c r="B1440" s="18" t="inlineStr">
        <is>
          <t>ขายได้ในร้านยาบรรจุเสร็จที่ไม่ใช่ยาอันตรายและควบคุมพิเศษ</t>
        </is>
      </c>
      <c r="C1440" s="18" t="inlineStr"/>
      <c r="D1440" s="18" t="inlineStr">
        <is>
          <t>พ.ร.บ. วิชาชีพเภสัชกรรม พ.ศ. 2537 และข้อบังคับจรรยาบรรณวิชาชีพ</t>
        </is>
      </c>
      <c r="E1440" s="18" t="inlineStr">
        <is>
          <t>พ.ร.บ. ผลิตภัณฑ์สมุนไพร พ.ศ. 2562</t>
        </is>
      </c>
      <c r="F1440" s="18" t="inlineStr">
        <is>
          <t>พ.ร.บ. เครื่องสำอาง พ.ศ. 2558</t>
        </is>
      </c>
      <c r="G1440" s="18" t="inlineStr">
        <is>
          <t>พ.ร.บ. หลักประกันสุขภาพแห่งชาติ พ.ศ. 2545</t>
        </is>
      </c>
      <c r="H1440" s="18" t="inlineStr">
        <is>
          <t>การปฏิบัติทางเภสัชกรรมชุมชน (Good Pharmacy Practice: GPP)</t>
        </is>
      </c>
      <c r="I1440" s="15" t="inlineStr">
        <is>
          <t>1</t>
        </is>
      </c>
      <c r="J1440"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0" s="18" t="inlineStr"/>
      <c r="L1440" s="18" t="inlineStr">
        <is>
          <t>Pharmacy Laws &amp; Ethics</t>
        </is>
      </c>
      <c r="M1440" s="18" t="inlineStr">
        <is>
          <t>SAP</t>
        </is>
      </c>
      <c r="N1440" s="18" t="inlineStr">
        <is>
          <t>ข้อ 1 (PLE_CC1_Key_Rx20_UBU.md)</t>
        </is>
      </c>
      <c r="O1440" s="18" t="inlineStr">
        <is>
          <t>Mock</t>
        </is>
      </c>
      <c r="P1440" s="18" t="inlineStr">
        <is>
          <t>Mock Rx20 UBU</t>
        </is>
      </c>
    </row>
    <row r="1441">
      <c r="A1441" s="15" t="inlineStr">
        <is>
          <t>1462</t>
        </is>
      </c>
      <c r="B1441" s="18" t="inlineStr">
        <is>
          <t>จัดเป็นยาควบคุมพิเศษ</t>
        </is>
      </c>
      <c r="C1441" s="18" t="inlineStr"/>
      <c r="D1441" s="18" t="inlineStr">
        <is>
          <t>พ.ร.บ. หลักประกันสุขภาพแห่งชาติ พ.ศ. 2545</t>
        </is>
      </c>
      <c r="E1441" s="18" t="inlineStr">
        <is>
          <t>การปฏิบัติทางเภสัชกรรมชุมชน (Good Pharmacy Practice: GPP)</t>
        </is>
      </c>
      <c r="F1441" s="18" t="inlineStr">
        <is>
          <t>บัญชียาหลักแห่งชาติ (National List of Essential Medicines: NLEM)</t>
        </is>
      </c>
      <c r="G1441" s="18" t="inlineStr">
        <is>
          <t>เกณฑ์จริยธรรมว่าด้วยการส่งเสริมการขายยาของกระทรวงสาธารณสุข</t>
        </is>
      </c>
      <c r="H1441" s="18" t="inlineStr">
        <is>
          <t>พ.ร.บ. ยา พ.ศ. 2510 (การจำหน่ายยาอันตรายและยาควบคุมพิเศษ)</t>
        </is>
      </c>
      <c r="I1441" s="15" t="inlineStr">
        <is>
          <t>1</t>
        </is>
      </c>
      <c r="J144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1" s="18" t="inlineStr"/>
      <c r="L1441" s="18" t="inlineStr">
        <is>
          <t>Pharmacy Laws &amp; Ethics</t>
        </is>
      </c>
      <c r="M1441" s="18" t="inlineStr">
        <is>
          <t>SAP</t>
        </is>
      </c>
      <c r="N1441" s="18" t="inlineStr">
        <is>
          <t>ข้อ 2 (PLE_CC1_Key_Rx20_UBU.md)</t>
        </is>
      </c>
      <c r="O1441" s="18" t="inlineStr">
        <is>
          <t>Mock</t>
        </is>
      </c>
      <c r="P1441" s="18" t="inlineStr">
        <is>
          <t>Mock Rx20 UBU</t>
        </is>
      </c>
    </row>
    <row r="1442">
      <c r="A1442" s="15" t="inlineStr">
        <is>
          <t>1463</t>
        </is>
      </c>
      <c r="B1442" s="18" t="inlineStr">
        <is>
          <t>เภสัชกรต้องทำบัญชีควบคุมการจ่ายยา</t>
        </is>
      </c>
      <c r="C1442" s="18" t="inlineStr"/>
      <c r="D1442" s="18" t="inlineStr">
        <is>
          <t>Dimercaprol (BAL) 3 mg/kg IM</t>
        </is>
      </c>
      <c r="E1442" s="18" t="inlineStr">
        <is>
          <t>Ethanol 10% IV infusion for Methanol poisoning</t>
        </is>
      </c>
      <c r="F1442" s="18" t="inlineStr">
        <is>
          <t>Fomepizole 15 mg/kg IV loading</t>
        </is>
      </c>
      <c r="G1442" s="18" t="inlineStr">
        <is>
          <t>N-acetylcysteine (NAC) IV infusion protocol</t>
        </is>
      </c>
      <c r="H1442" s="18" t="inlineStr">
        <is>
          <t>Atropine sulfate 2 mg IV Q5-10 min</t>
        </is>
      </c>
      <c r="I1442" s="15" t="inlineStr">
        <is>
          <t>1</t>
        </is>
      </c>
      <c r="J14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2" s="18" t="inlineStr"/>
      <c r="L1442" s="18" t="inlineStr">
        <is>
          <t>General Therapeutics</t>
        </is>
      </c>
      <c r="M1442" s="18" t="inlineStr">
        <is>
          <t>Clinic</t>
        </is>
      </c>
      <c r="N1442" s="18" t="inlineStr">
        <is>
          <t>ข้อ 3 (PLE_CC1_Key_Rx20_UBU.md)</t>
        </is>
      </c>
      <c r="O1442" s="18" t="inlineStr">
        <is>
          <t>Mock</t>
        </is>
      </c>
      <c r="P1442" s="18" t="inlineStr">
        <is>
          <t>Mock Rx20 UBU</t>
        </is>
      </c>
    </row>
    <row r="1443">
      <c r="A1443" s="15" t="inlineStr">
        <is>
          <t>1464</t>
        </is>
      </c>
      <c r="B1443" s="18" t="inlineStr">
        <is>
          <t>ต้องมีใบสั่งแพทย์</t>
        </is>
      </c>
      <c r="C1443" s="18" t="inlineStr"/>
      <c r="D1443" s="18" t="inlineStr">
        <is>
          <t>N-acetylcysteine (NAC) IV infusion protocol</t>
        </is>
      </c>
      <c r="E1443" s="18" t="inlineStr">
        <is>
          <t>Atropine sulfate 2 mg IV Q5-10 min</t>
        </is>
      </c>
      <c r="F1443" s="18" t="inlineStr">
        <is>
          <t>Pralidoxime (2-PAM) 1-2 g IV over 30 min</t>
        </is>
      </c>
      <c r="G1443" s="18" t="inlineStr">
        <is>
          <t>Naloxone 0.4 mg IV stat</t>
        </is>
      </c>
      <c r="H1443" s="18" t="inlineStr">
        <is>
          <t>Flumazenil 0.2 mg IV stat</t>
        </is>
      </c>
      <c r="I1443" s="15" t="inlineStr">
        <is>
          <t>1</t>
        </is>
      </c>
      <c r="J14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43" s="18" t="inlineStr"/>
      <c r="L1443" s="18" t="inlineStr">
        <is>
          <t>General Therapeutics</t>
        </is>
      </c>
      <c r="M1443" s="18" t="inlineStr">
        <is>
          <t>Clinic</t>
        </is>
      </c>
      <c r="N1443" s="18" t="inlineStr">
        <is>
          <t>ข้อ 4 (PLE_CC1_Key_Rx20_UBU.md)</t>
        </is>
      </c>
      <c r="O1443" s="18" t="inlineStr">
        <is>
          <t>Mock</t>
        </is>
      </c>
      <c r="P1443" s="18" t="inlineStr">
        <is>
          <t>Mock Rx20 UBU</t>
        </is>
      </c>
    </row>
    <row r="1444">
      <c r="A1444" s="15" t="inlineStr">
        <is>
          <t>1465</t>
        </is>
      </c>
      <c r="B1444" s="18" t="inlineStr">
        <is>
          <t>จ่ายได้โดยไม่ต้องมีเภสัชกรควบคุม จัดเป็นยาอันตราย</t>
        </is>
      </c>
      <c r="C1444" s="18" t="inlineStr"/>
      <c r="D1444" s="18" t="inlineStr">
        <is>
          <t>พ.ร.บ. เครื่องสำอาง พ.ศ. 2558</t>
        </is>
      </c>
      <c r="E1444" s="18" t="inlineStr">
        <is>
          <t>พ.ร.บ. หลักประกันสุขภาพแห่งชาติ พ.ศ. 2545</t>
        </is>
      </c>
      <c r="F1444" s="18" t="inlineStr">
        <is>
          <t>การปฏิบัติทางเภสัชกรรมชุมชน (Good Pharmacy Practice: GPP)</t>
        </is>
      </c>
      <c r="G1444" s="18" t="inlineStr">
        <is>
          <t>บัญชียาหลักแห่งชาติ (National List of Essential Medicines: NLEM)</t>
        </is>
      </c>
      <c r="H1444" s="18" t="inlineStr">
        <is>
          <t>เกณฑ์จริยธรรมว่าด้วยการส่งเสริมการขายยาของกระทรวงสาธารณสุข</t>
        </is>
      </c>
      <c r="I1444" s="15" t="inlineStr">
        <is>
          <t>1</t>
        </is>
      </c>
      <c r="J1444"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4" s="18" t="inlineStr"/>
      <c r="L1444" s="18" t="inlineStr">
        <is>
          <t>Pharmacy Laws &amp; Ethics</t>
        </is>
      </c>
      <c r="M1444" s="18" t="inlineStr">
        <is>
          <t>SAP</t>
        </is>
      </c>
      <c r="N1444" s="18" t="inlineStr">
        <is>
          <t>ข้อ 5 (PLE_CC1_Key_Rx20_UBU.md)</t>
        </is>
      </c>
      <c r="O1444" s="18" t="inlineStr">
        <is>
          <t>Mock</t>
        </is>
      </c>
      <c r="P1444" s="18" t="inlineStr">
        <is>
          <t>Mock Rx20 UBU</t>
        </is>
      </c>
    </row>
    <row r="1445">
      <c r="A1445" s="15" t="inlineStr">
        <is>
          <t>1466</t>
        </is>
      </c>
      <c r="B1445" s="18" t="inlineStr">
        <is>
          <t>เกสรดอกไม้ อากาศเปลี่ยนแปลง</t>
        </is>
      </c>
      <c r="C1445" s="18" t="inlineStr"/>
      <c r="D1445" s="18" t="inlineStr">
        <is>
          <t>Sodium thiosulfate 25% 50 mL IV</t>
        </is>
      </c>
      <c r="E1445" s="18" t="inlineStr">
        <is>
          <t>Calcium disodium EDTA 1 g IV</t>
        </is>
      </c>
      <c r="F1445" s="18" t="inlineStr">
        <is>
          <t>Desferrioxamine 1 g IM/IV</t>
        </is>
      </c>
      <c r="G1445" s="18" t="inlineStr">
        <is>
          <t>Dimercaprol (BAL) 3 mg/kg IM</t>
        </is>
      </c>
      <c r="H1445" s="18" t="inlineStr">
        <is>
          <t>Ethanol 10% IV infusion for Methanol poisoning</t>
        </is>
      </c>
      <c r="I1445" s="15" t="inlineStr">
        <is>
          <t>1</t>
        </is>
      </c>
      <c r="J144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5" s="18" t="inlineStr"/>
      <c r="L1445" s="18" t="inlineStr">
        <is>
          <t>General Therapeutics</t>
        </is>
      </c>
      <c r="M1445" s="18" t="inlineStr">
        <is>
          <t>Clinic</t>
        </is>
      </c>
      <c r="N1445" s="18" t="inlineStr">
        <is>
          <t>ข้อ 5 (PLE_CC1_Key_Rx20_UBU.md)</t>
        </is>
      </c>
      <c r="O1445" s="18" t="inlineStr">
        <is>
          <t>Mock</t>
        </is>
      </c>
      <c r="P1445" s="18" t="inlineStr">
        <is>
          <t>Mock Rx20 UBU</t>
        </is>
      </c>
    </row>
    <row r="1446">
      <c r="A1446" s="15" t="inlineStr">
        <is>
          <t>1467</t>
        </is>
      </c>
      <c r="B1446" s="18" t="inlineStr">
        <is>
          <t>ยาอันตราย ขายได้ในร้านยา</t>
        </is>
      </c>
      <c r="C1446" s="18" t="inlineStr"/>
      <c r="D1446" s="18" t="inlineStr">
        <is>
          <t>พ.ร.บ. ยาเสพติดให้โทษ พ.ศ. 2522 (ยาเสพติดให้โทษประเภท 2 และ 3)</t>
        </is>
      </c>
      <c r="E1446" s="18" t="inlineStr">
        <is>
          <t>พ.ร.บ. วัตถุที่ออกฤทธิ์ต่อจิตและประสาท พ.ศ. 2559 (ประเภท 2 และ 4)</t>
        </is>
      </c>
      <c r="F1446" s="18" t="inlineStr">
        <is>
          <t>พ.ร.บ. วิชาชีพเภสัชกรรม พ.ศ. 2537 และข้อบังคับจรรยาบรรณวิชาชีพ</t>
        </is>
      </c>
      <c r="G1446" s="18" t="inlineStr">
        <is>
          <t>พ.ร.บ. ผลิตภัณฑ์สมุนไพร พ.ศ. 2562</t>
        </is>
      </c>
      <c r="H1446" s="18" t="inlineStr">
        <is>
          <t>พ.ร.บ. เครื่องสำอาง พ.ศ. 2558</t>
        </is>
      </c>
      <c r="I1446" s="15" t="inlineStr">
        <is>
          <t>1</t>
        </is>
      </c>
      <c r="J1446"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6" s="18" t="inlineStr"/>
      <c r="L1446" s="18" t="inlineStr">
        <is>
          <t>Pharmacy Laws &amp; Ethics</t>
        </is>
      </c>
      <c r="M1446" s="18" t="inlineStr">
        <is>
          <t>SAP</t>
        </is>
      </c>
      <c r="N1446" s="18" t="inlineStr">
        <is>
          <t>ข้อ 1 (PLE_CC1_Key_Rx20_UBU.md)</t>
        </is>
      </c>
      <c r="O1446" s="18" t="inlineStr">
        <is>
          <t>Mock</t>
        </is>
      </c>
      <c r="P1446" s="18" t="inlineStr">
        <is>
          <t>Mock Rx20 UBU</t>
        </is>
      </c>
    </row>
    <row r="1447">
      <c r="A1447" s="15" t="inlineStr">
        <is>
          <t>1468</t>
        </is>
      </c>
      <c r="B1447" s="18" t="inlineStr">
        <is>
          <t>ยาควบคุมพิเศษ ใช้เฉพาะใน รพ</t>
        </is>
      </c>
      <c r="C1447" s="18" t="inlineStr"/>
      <c r="D1447" s="18" t="inlineStr">
        <is>
          <t>พ.ร.บ. ผลิตภัณฑ์สมุนไพร พ.ศ. 2562</t>
        </is>
      </c>
      <c r="E1447" s="18" t="inlineStr">
        <is>
          <t>พ.ร.บ. เครื่องสำอาง พ.ศ. 2558</t>
        </is>
      </c>
      <c r="F1447" s="18" t="inlineStr">
        <is>
          <t>พ.ร.บ. หลักประกันสุขภาพแห่งชาติ พ.ศ. 2545</t>
        </is>
      </c>
      <c r="G1447" s="18" t="inlineStr">
        <is>
          <t>การปฏิบัติทางเภสัชกรรมชุมชน (Good Pharmacy Practice: GPP)</t>
        </is>
      </c>
      <c r="H1447" s="18" t="inlineStr">
        <is>
          <t>บัญชียาหลักแห่งชาติ (National List of Essential Medicines: NLEM)</t>
        </is>
      </c>
      <c r="I1447" s="15" t="inlineStr">
        <is>
          <t>1</t>
        </is>
      </c>
      <c r="J1447"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7" s="18" t="inlineStr"/>
      <c r="L1447" s="18" t="inlineStr">
        <is>
          <t>Pharmacy Laws &amp; Ethics</t>
        </is>
      </c>
      <c r="M1447" s="18" t="inlineStr">
        <is>
          <t>SAP</t>
        </is>
      </c>
      <c r="N1447" s="18" t="inlineStr">
        <is>
          <t>ข้อ 2 (PLE_CC1_Key_Rx20_UBU.md)</t>
        </is>
      </c>
      <c r="O1447" s="18" t="inlineStr">
        <is>
          <t>Mock</t>
        </is>
      </c>
      <c r="P1447" s="18" t="inlineStr">
        <is>
          <t>Mock Rx20 UBU</t>
        </is>
      </c>
    </row>
    <row r="1448">
      <c r="A1448" s="15" t="inlineStr">
        <is>
          <t>1469</t>
        </is>
      </c>
      <c r="B1448" s="18" t="inlineStr">
        <is>
          <t>ยาควบคุมพิเศษ จ่ายได้ในร้านยาเมื่อมีใบสั่งแพทย์</t>
        </is>
      </c>
      <c r="C1448" s="18" t="inlineStr"/>
      <c r="D1448" s="18" t="inlineStr">
        <is>
          <t>การปฏิบัติทางเภสัชกรรมชุมชน (Good Pharmacy Practice: GPP)</t>
        </is>
      </c>
      <c r="E1448" s="18" t="inlineStr">
        <is>
          <t>บัญชียาหลักแห่งชาติ (National List of Essential Medicines: NLEM)</t>
        </is>
      </c>
      <c r="F1448" s="18" t="inlineStr">
        <is>
          <t>เกณฑ์จริยธรรมว่าด้วยการส่งเสริมการขายยาของกระทรวงสาธารณสุข</t>
        </is>
      </c>
      <c r="G1448" s="18" t="inlineStr">
        <is>
          <t>พ.ร.บ. ยา พ.ศ. 2510 (การจำหน่ายยาอันตรายและยาควบคุมพิเศษ)</t>
        </is>
      </c>
      <c r="H1448" s="18" t="inlineStr">
        <is>
          <t>พ.ร.บ. ยาเสพติดให้โทษ พ.ศ. 2522 (ยาเสพติดให้โทษประเภท 2 และ 3)</t>
        </is>
      </c>
      <c r="I1448" s="15" t="inlineStr">
        <is>
          <t>1</t>
        </is>
      </c>
      <c r="J1448"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8" s="18" t="inlineStr"/>
      <c r="L1448" s="18" t="inlineStr">
        <is>
          <t>Pharmacy Laws &amp; Ethics</t>
        </is>
      </c>
      <c r="M1448" s="18" t="inlineStr">
        <is>
          <t>SAP</t>
        </is>
      </c>
      <c r="N1448" s="18" t="inlineStr">
        <is>
          <t>ข้อ 3 (PLE_CC1_Key_Rx20_UBU.md)</t>
        </is>
      </c>
      <c r="O1448" s="18" t="inlineStr">
        <is>
          <t>Mock</t>
        </is>
      </c>
      <c r="P1448" s="18" t="inlineStr">
        <is>
          <t>Mock Rx20 UBU</t>
        </is>
      </c>
    </row>
    <row r="1449">
      <c r="A1449" s="15" t="inlineStr">
        <is>
          <t>1470</t>
        </is>
      </c>
      <c r="B1449" s="18" t="inlineStr">
        <is>
          <t>ยาบรรจุเสร็จที่ไม่ใช่ยาอันตรายและควบคุมพิเศษ</t>
        </is>
      </c>
      <c r="C1449" s="18" t="inlineStr"/>
      <c r="D1449" s="18" t="inlineStr">
        <is>
          <t>พ.ร.บ. ยา พ.ศ. 2510 (การจำหน่ายยาอันตรายและยาควบคุมพิเศษ)</t>
        </is>
      </c>
      <c r="E1449" s="18" t="inlineStr">
        <is>
          <t>พ.ร.บ. ยาเสพติดให้โทษ พ.ศ. 2522 (ยาเสพติดให้โทษประเภท 2 และ 3)</t>
        </is>
      </c>
      <c r="F1449" s="18" t="inlineStr">
        <is>
          <t>พ.ร.บ. วัตถุที่ออกฤทธิ์ต่อจิตและประสาท พ.ศ. 2559 (ประเภท 2 และ 4)</t>
        </is>
      </c>
      <c r="G1449" s="18" t="inlineStr">
        <is>
          <t>พ.ร.บ. วิชาชีพเภสัชกรรม พ.ศ. 2537 และข้อบังคับจรรยาบรรณวิชาชีพ</t>
        </is>
      </c>
      <c r="H1449" s="18" t="inlineStr">
        <is>
          <t>พ.ร.บ. ผลิตภัณฑ์สมุนไพร พ.ศ. 2562</t>
        </is>
      </c>
      <c r="I1449" s="15" t="inlineStr">
        <is>
          <t>1</t>
        </is>
      </c>
      <c r="J1449"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9" s="18" t="inlineStr"/>
      <c r="L1449" s="18" t="inlineStr">
        <is>
          <t>Pharmacy Laws &amp; Ethics</t>
        </is>
      </c>
      <c r="M1449" s="18" t="inlineStr">
        <is>
          <t>SAP</t>
        </is>
      </c>
      <c r="N1449" s="18" t="inlineStr">
        <is>
          <t>ข้อ 4 (PLE_CC1_Key_Rx20_UBU.md)</t>
        </is>
      </c>
      <c r="O1449" s="18" t="inlineStr">
        <is>
          <t>Mock</t>
        </is>
      </c>
      <c r="P1449" s="18" t="inlineStr">
        <is>
          <t>Mock Rx20 UBU</t>
        </is>
      </c>
    </row>
    <row r="1450">
      <c r="A1450" s="15" t="inlineStr">
        <is>
          <t>1471</t>
        </is>
      </c>
      <c r="B1450" s="18" t="inlineStr">
        <is>
          <t>ประโยชน์ของ Spacer คือ</t>
        </is>
      </c>
      <c r="C1450" s="18" t="inlineStr"/>
      <c r="D1450" s="18" t="inlineStr">
        <is>
          <t>Dimercaprol (BAL) 3 mg/kg IM</t>
        </is>
      </c>
      <c r="E1450" s="18" t="inlineStr">
        <is>
          <t>Ethanol 10% IV infusion for Methanol poisoning</t>
        </is>
      </c>
      <c r="F1450" s="18" t="inlineStr">
        <is>
          <t>Fomepizole 15 mg/kg IV loading</t>
        </is>
      </c>
      <c r="G1450" s="18" t="inlineStr">
        <is>
          <t>N-acetylcysteine (NAC) IV infusion protocol</t>
        </is>
      </c>
      <c r="H1450" s="18" t="inlineStr">
        <is>
          <t>Atropine sulfate 2 mg IV Q5-10 min</t>
        </is>
      </c>
      <c r="I1450" s="15" t="inlineStr">
        <is>
          <t>1</t>
        </is>
      </c>
      <c r="J145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0" s="18" t="inlineStr"/>
      <c r="L1450" s="18" t="inlineStr">
        <is>
          <t>General Therapeutics</t>
        </is>
      </c>
      <c r="M1450" s="18" t="inlineStr">
        <is>
          <t>Clinic</t>
        </is>
      </c>
      <c r="N1450" s="18" t="inlineStr">
        <is>
          <t>ข้อ 14 (PLE_CC1_Key_Rx20_UBU.md)</t>
        </is>
      </c>
      <c r="O1450" s="18" t="inlineStr">
        <is>
          <t>Mock</t>
        </is>
      </c>
      <c r="P1450" s="18" t="inlineStr">
        <is>
          <t>Mock Rx20 UBU</t>
        </is>
      </c>
    </row>
    <row r="1451">
      <c r="A1451" s="15" t="inlineStr">
        <is>
          <t>1472</t>
        </is>
      </c>
      <c r="B1451" s="18" t="inlineStr">
        <is>
          <t>ยาแตกตัวมากขึ้น</t>
        </is>
      </c>
      <c r="C1451" s="18" t="inlineStr"/>
      <c r="D1451" s="18" t="inlineStr">
        <is>
          <t>N-acetylcysteine (NAC) IV infusion protocol</t>
        </is>
      </c>
      <c r="E1451" s="18" t="inlineStr">
        <is>
          <t>Atropine sulfate 2 mg IV Q5-10 min</t>
        </is>
      </c>
      <c r="F1451" s="18" t="inlineStr">
        <is>
          <t>Pralidoxime (2-PAM) 1-2 g IV over 30 min</t>
        </is>
      </c>
      <c r="G1451" s="18" t="inlineStr">
        <is>
          <t>Naloxone 0.4 mg IV stat</t>
        </is>
      </c>
      <c r="H1451" s="18" t="inlineStr">
        <is>
          <t>Flumazenil 0.2 mg IV stat</t>
        </is>
      </c>
      <c r="I1451" s="15" t="inlineStr">
        <is>
          <t>1</t>
        </is>
      </c>
      <c r="J145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1" s="18" t="inlineStr"/>
      <c r="L1451" s="18" t="inlineStr">
        <is>
          <t>General Therapeutics</t>
        </is>
      </c>
      <c r="M1451" s="18" t="inlineStr">
        <is>
          <t>Clinic</t>
        </is>
      </c>
      <c r="N1451" s="18" t="inlineStr">
        <is>
          <t>ข้อ 3 (PLE_CC1_Key_Rx20_UBU.md)</t>
        </is>
      </c>
      <c r="O1451" s="18" t="inlineStr">
        <is>
          <t>Mock</t>
        </is>
      </c>
      <c r="P1451" s="18" t="inlineStr">
        <is>
          <t>Mock Rx20 UBU</t>
        </is>
      </c>
    </row>
    <row r="1452">
      <c r="A1452" s="15" t="inlineStr">
        <is>
          <t>1473</t>
        </is>
      </c>
      <c r="B1452" s="18" t="inlineStr">
        <is>
          <t>ยาออกฤทธิ์เร็วขึ้น</t>
        </is>
      </c>
      <c r="C1452" s="18" t="inlineStr"/>
      <c r="D1452" s="18" t="inlineStr">
        <is>
          <t>Naloxone 0.4 mg IV stat</t>
        </is>
      </c>
      <c r="E1452" s="18" t="inlineStr">
        <is>
          <t>Flumazenil 0.2 mg IV stat</t>
        </is>
      </c>
      <c r="F1452" s="18" t="inlineStr">
        <is>
          <t>Vitamin K1 (Phytomenadione) 10 mg IV slow</t>
        </is>
      </c>
      <c r="G1452" s="18" t="inlineStr">
        <is>
          <t>Sodium thiosulfate 25% 50 mL IV</t>
        </is>
      </c>
      <c r="H1452" s="18" t="inlineStr">
        <is>
          <t>Calcium disodium EDTA 1 g IV</t>
        </is>
      </c>
      <c r="I1452" s="15" t="inlineStr">
        <is>
          <t>1</t>
        </is>
      </c>
      <c r="J145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2" s="18" t="inlineStr"/>
      <c r="L1452" s="18" t="inlineStr">
        <is>
          <t>General Therapeutics</t>
        </is>
      </c>
      <c r="M1452" s="18" t="inlineStr">
        <is>
          <t>Clinic</t>
        </is>
      </c>
      <c r="N1452" s="18" t="inlineStr">
        <is>
          <t>ข้อ 4 (PLE_CC1_Key_Rx20_UBU.md)</t>
        </is>
      </c>
      <c r="O1452" s="18" t="inlineStr">
        <is>
          <t>Mock</t>
        </is>
      </c>
      <c r="P1452" s="18" t="inlineStr">
        <is>
          <t>Mock Rx20 UBU</t>
        </is>
      </c>
    </row>
    <row r="1453">
      <c r="A1453" s="15" t="inlineStr">
        <is>
          <t>1474</t>
        </is>
      </c>
      <c r="B1453" s="18" t="inlineStr">
        <is>
          <t>DPI ต่างกับ MDI อย่างไร mw เ%นสารAวยกรายละอองฝอยของยา</t>
        </is>
      </c>
      <c r="C1453" s="18" t="inlineStr"/>
      <c r="D1453" s="18" t="inlineStr">
        <is>
          <t>Sodium thiosulfate 25% 50 mL IV</t>
        </is>
      </c>
      <c r="E1453" s="18" t="inlineStr">
        <is>
          <t>Calcium disodium EDTA 1 g IV</t>
        </is>
      </c>
      <c r="F1453" s="18" t="inlineStr">
        <is>
          <t>Desferrioxamine 1 g IM/IV</t>
        </is>
      </c>
      <c r="G1453" s="18" t="inlineStr">
        <is>
          <t>Dimercaprol (BAL) 3 mg/kg IM</t>
        </is>
      </c>
      <c r="H1453" s="18" t="inlineStr">
        <is>
          <t>Ethanol 10% IV infusion for Methanol poisoning</t>
        </is>
      </c>
      <c r="I1453" s="15" t="inlineStr">
        <is>
          <t>1</t>
        </is>
      </c>
      <c r="J14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3" s="18" t="inlineStr"/>
      <c r="L1453" s="18" t="inlineStr">
        <is>
          <t>General Therapeutics</t>
        </is>
      </c>
      <c r="M1453" s="18" t="inlineStr">
        <is>
          <t>Clinic</t>
        </is>
      </c>
      <c r="N1453" s="18" t="inlineStr">
        <is>
          <t>ข้อ 15 (PLE_CC1_Key_Rx20_UBU.md)</t>
        </is>
      </c>
      <c r="O1453" s="18" t="inlineStr">
        <is>
          <t>Mock</t>
        </is>
      </c>
      <c r="P1453" s="18" t="inlineStr">
        <is>
          <t>Mock Rx20 UBU</t>
        </is>
      </c>
    </row>
    <row r="1454">
      <c r="A1454" s="15" t="inlineStr">
        <is>
          <t>1475</t>
        </is>
      </c>
      <c r="B1454" s="18" t="inlineStr">
        <is>
          <t>DPI ไม่มี propellant</t>
        </is>
      </c>
      <c r="C1454" s="18" t="inlineStr"/>
      <c r="D1454" s="18" t="inlineStr">
        <is>
          <t>Dimercaprol (BAL) 3 mg/kg IM</t>
        </is>
      </c>
      <c r="E1454" s="18" t="inlineStr">
        <is>
          <t>Ethanol 10% IV infusion for Methanol poisoning</t>
        </is>
      </c>
      <c r="F1454" s="18" t="inlineStr">
        <is>
          <t>Fomepizole 15 mg/kg IV loading</t>
        </is>
      </c>
      <c r="G1454" s="18" t="inlineStr">
        <is>
          <t>N-acetylcysteine (NAC) IV infusion protocol</t>
        </is>
      </c>
      <c r="H1454" s="18" t="inlineStr">
        <is>
          <t>Atropine sulfate 2 mg IV Q5-10 min</t>
        </is>
      </c>
      <c r="I1454" s="15" t="inlineStr">
        <is>
          <t>1</t>
        </is>
      </c>
      <c r="J14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4" s="18" t="inlineStr"/>
      <c r="L1454" s="18" t="inlineStr">
        <is>
          <t>General Therapeutics</t>
        </is>
      </c>
      <c r="M1454" s="18" t="inlineStr">
        <is>
          <t>Clinic</t>
        </is>
      </c>
      <c r="N1454" s="18" t="inlineStr">
        <is>
          <t>ข้อ 1 (PLE_CC1_Key_Rx20_UBU.md)</t>
        </is>
      </c>
      <c r="O1454" s="18" t="inlineStr">
        <is>
          <t>Mock</t>
        </is>
      </c>
      <c r="P1454" s="18" t="inlineStr">
        <is>
          <t>Mock Rx20 UBU</t>
        </is>
      </c>
    </row>
    <row r="1455">
      <c r="A1455" s="15" t="inlineStr">
        <is>
          <t>1476</t>
        </is>
      </c>
      <c r="B1455" s="18" t="inlineStr">
        <is>
          <t>ยาเก็บได้นานขึ้น</t>
        </is>
      </c>
      <c r="C1455" s="18" t="inlineStr"/>
      <c r="D1455" s="18" t="inlineStr">
        <is>
          <t>N-acetylcysteine (NAC) IV infusion protocol</t>
        </is>
      </c>
      <c r="E1455" s="18" t="inlineStr">
        <is>
          <t>Atropine sulfate 2 mg IV Q5-10 min</t>
        </is>
      </c>
      <c r="F1455" s="18" t="inlineStr">
        <is>
          <t>Pralidoxime (2-PAM) 1-2 g IV over 30 min</t>
        </is>
      </c>
      <c r="G1455" s="18" t="inlineStr">
        <is>
          <t>Naloxone 0.4 mg IV stat</t>
        </is>
      </c>
      <c r="H1455" s="18" t="inlineStr">
        <is>
          <t>Flumazenil 0.2 mg IV stat</t>
        </is>
      </c>
      <c r="I1455" s="15" t="inlineStr">
        <is>
          <t>1</t>
        </is>
      </c>
      <c r="J145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5" s="18" t="inlineStr"/>
      <c r="L1455" s="18" t="inlineStr">
        <is>
          <t>General Therapeutics</t>
        </is>
      </c>
      <c r="M1455" s="18" t="inlineStr">
        <is>
          <t>Clinic</t>
        </is>
      </c>
      <c r="N1455" s="18" t="inlineStr">
        <is>
          <t>ข้อ 4 (PLE_CC1_Key_Rx20_UBU.md)</t>
        </is>
      </c>
      <c r="O1455" s="18" t="inlineStr">
        <is>
          <t>Mock</t>
        </is>
      </c>
      <c r="P1455" s="18" t="inlineStr">
        <is>
          <t>Mock Rx20 UBU</t>
        </is>
      </c>
    </row>
    <row r="1456">
      <c r="A1456" s="15" t="inlineStr">
        <is>
          <t>1477</t>
        </is>
      </c>
      <c r="B1456" s="18" t="inlineStr">
        <is>
          <t>ไม่มีข้อถูก Accuhaler , Tebuhaler , handihaler ไม่มี</t>
        </is>
      </c>
      <c r="C1456" s="18" t="inlineStr"/>
      <c r="D1456" s="18" t="inlineStr">
        <is>
          <t>Naloxone 0.4 mg IV stat</t>
        </is>
      </c>
      <c r="E1456" s="18" t="inlineStr">
        <is>
          <t>Flumazenil 0.2 mg IV stat</t>
        </is>
      </c>
      <c r="F1456" s="18" t="inlineStr">
        <is>
          <t>Vitamin K1 (Phytomenadione) 10 mg IV slow</t>
        </is>
      </c>
      <c r="G1456" s="18" t="inlineStr">
        <is>
          <t>Sodium thiosulfate 25% 50 mL IV</t>
        </is>
      </c>
      <c r="H1456" s="18" t="inlineStr">
        <is>
          <t>Calcium disodium EDTA 1 g IV</t>
        </is>
      </c>
      <c r="I1456" s="15" t="inlineStr">
        <is>
          <t>1</t>
        </is>
      </c>
      <c r="J14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6" s="18" t="inlineStr"/>
      <c r="L1456" s="18" t="inlineStr">
        <is>
          <t>General Therapeutics</t>
        </is>
      </c>
      <c r="M1456" s="18" t="inlineStr">
        <is>
          <t>Clinic</t>
        </is>
      </c>
      <c r="N1456" s="18" t="inlineStr">
        <is>
          <t>ข้อ 5 (PLE_CC1_Key_Rx20_UBU.md)</t>
        </is>
      </c>
      <c r="O1456" s="18" t="inlineStr">
        <is>
          <t>Mock</t>
        </is>
      </c>
      <c r="P1456" s="18" t="inlineStr">
        <is>
          <t>Mock Rx20 UBU</t>
        </is>
      </c>
    </row>
    <row r="1457">
      <c r="A1457" s="15" t="inlineStr">
        <is>
          <t>1478</t>
        </is>
      </c>
      <c r="B1457" s="18" t="inlineStr">
        <is>
          <t>ยาที่ใช้ในการรักอาการเบื้องต้น</t>
        </is>
      </c>
      <c r="C1457" s="18" t="inlineStr"/>
      <c r="D1457" s="18" t="inlineStr">
        <is>
          <t>Sodium thiosulfate 25% 50 mL IV</t>
        </is>
      </c>
      <c r="E1457" s="18" t="inlineStr">
        <is>
          <t>Calcium disodium EDTA 1 g IV</t>
        </is>
      </c>
      <c r="F1457" s="18" t="inlineStr">
        <is>
          <t>Desferrioxamine 1 g IM/IV</t>
        </is>
      </c>
      <c r="G1457" s="18" t="inlineStr">
        <is>
          <t>Dimercaprol (BAL) 3 mg/kg IM</t>
        </is>
      </c>
      <c r="H1457" s="18" t="inlineStr">
        <is>
          <t>Ethanol 10% IV infusion for Methanol poisoning</t>
        </is>
      </c>
      <c r="I1457" s="15" t="inlineStr">
        <is>
          <t>1</t>
        </is>
      </c>
      <c r="J14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7" s="18" t="inlineStr"/>
      <c r="L1457" s="18" t="inlineStr">
        <is>
          <t>General Therapeutics</t>
        </is>
      </c>
      <c r="M1457" s="18" t="inlineStr">
        <is>
          <t>Clinic</t>
        </is>
      </c>
      <c r="N1457" s="18" t="inlineStr">
        <is>
          <t>ข้อ 17 (PLE_CC1_Key_Rx20_UBU.md)</t>
        </is>
      </c>
      <c r="O1457" s="18" t="inlineStr">
        <is>
          <t>Mock</t>
        </is>
      </c>
      <c r="P1457" s="18" t="inlineStr">
        <is>
          <t>Mock Rx20 UBU</t>
        </is>
      </c>
    </row>
    <row r="1458">
      <c r="A1458" s="15" t="inlineStr">
        <is>
          <t>1479</t>
        </is>
      </c>
      <c r="B1458" s="18" t="inlineStr">
        <is>
          <t>Topical decongestant ทุกวัน</t>
        </is>
      </c>
      <c r="C1458" s="18" t="inlineStr"/>
      <c r="D1458" s="18" t="inlineStr">
        <is>
          <t>Dimercaprol (BAL) 3 mg/kg IM</t>
        </is>
      </c>
      <c r="E1458" s="18" t="inlineStr">
        <is>
          <t>Ethanol 10% IV infusion for Methanol poisoning</t>
        </is>
      </c>
      <c r="F1458" s="18" t="inlineStr">
        <is>
          <t>Fomepizole 15 mg/kg IV loading</t>
        </is>
      </c>
      <c r="G1458" s="18" t="inlineStr">
        <is>
          <t>N-acetylcysteine (NAC) IV infusion protocol</t>
        </is>
      </c>
      <c r="H1458" s="18" t="inlineStr">
        <is>
          <t>Atropine sulfate 2 mg IV Q5-10 min</t>
        </is>
      </c>
      <c r="I1458" s="15" t="inlineStr">
        <is>
          <t>1</t>
        </is>
      </c>
      <c r="J14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8" s="18" t="inlineStr"/>
      <c r="L1458" s="18" t="inlineStr">
        <is>
          <t>General Therapeutics</t>
        </is>
      </c>
      <c r="M1458" s="18" t="inlineStr">
        <is>
          <t>Clinic</t>
        </is>
      </c>
      <c r="N1458" s="18" t="inlineStr">
        <is>
          <t>ข้อ 1 (PLE_CC1_Key_Rx20_UBU.md)</t>
        </is>
      </c>
      <c r="O1458" s="18" t="inlineStr">
        <is>
          <t>Mock</t>
        </is>
      </c>
      <c r="P1458" s="18" t="inlineStr">
        <is>
          <t>Mock Rx20 UBU</t>
        </is>
      </c>
    </row>
    <row r="1459">
      <c r="A1459" s="15" t="inlineStr">
        <is>
          <t>1480</t>
        </is>
      </c>
      <c r="B1459" s="18" t="inlineStr">
        <is>
          <t>Nasal steroid ได้ผลสูงสุด 1-3 วัน</t>
        </is>
      </c>
      <c r="C1459" s="18" t="inlineStr"/>
      <c r="D1459" s="18" t="inlineStr">
        <is>
          <t>N-acetylcysteine (NAC) IV infusion protocol</t>
        </is>
      </c>
      <c r="E1459" s="18" t="inlineStr">
        <is>
          <t>Atropine sulfate 2 mg IV Q5-10 min</t>
        </is>
      </c>
      <c r="F1459" s="18" t="inlineStr">
        <is>
          <t>Pralidoxime (2-PAM) 1-2 g IV over 30 min</t>
        </is>
      </c>
      <c r="G1459" s="18" t="inlineStr">
        <is>
          <t>Naloxone 0.4 mg IV stat</t>
        </is>
      </c>
      <c r="H1459" s="18" t="inlineStr">
        <is>
          <t>Flumazenil 0.2 mg IV stat</t>
        </is>
      </c>
      <c r="I1459" s="15" t="inlineStr">
        <is>
          <t>1</t>
        </is>
      </c>
      <c r="J14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9" s="18" t="inlineStr"/>
      <c r="L1459" s="18" t="inlineStr">
        <is>
          <t>General Therapeutics</t>
        </is>
      </c>
      <c r="M1459" s="18" t="inlineStr">
        <is>
          <t>Clinic</t>
        </is>
      </c>
      <c r="N1459" s="18" t="inlineStr">
        <is>
          <t>ข้อ 3 (PLE_CC1_Key_Rx20_UBU.md)</t>
        </is>
      </c>
      <c r="O1459" s="18" t="inlineStr">
        <is>
          <t>Mock</t>
        </is>
      </c>
      <c r="P1459" s="18" t="inlineStr">
        <is>
          <t>Mock Rx20 UBU</t>
        </is>
      </c>
    </row>
    <row r="1460">
      <c r="A1460" s="15" t="inlineStr">
        <is>
          <t>1481</t>
        </is>
      </c>
      <c r="B1460" s="18" t="inlineStr">
        <is>
          <t>Nasal steroid ใช้ระยะสั้นเพียง 3-5 วัน เพื่อป้องกัน rebound congestion</t>
        </is>
      </c>
      <c r="C1460" s="18" t="inlineStr"/>
      <c r="D1460" s="18" t="inlineStr">
        <is>
          <t>Naloxone 0.4 mg IV stat</t>
        </is>
      </c>
      <c r="E1460" s="18" t="inlineStr">
        <is>
          <t>Flumazenil 0.2 mg IV stat</t>
        </is>
      </c>
      <c r="F1460" s="18" t="inlineStr">
        <is>
          <t>Vitamin K1 (Phytomenadione) 10 mg IV slow</t>
        </is>
      </c>
      <c r="G1460" s="18" t="inlineStr">
        <is>
          <t>Sodium thiosulfate 25% 50 mL IV</t>
        </is>
      </c>
      <c r="H1460" s="18" t="inlineStr">
        <is>
          <t>Calcium disodium EDTA 1 g IV</t>
        </is>
      </c>
      <c r="I1460" s="15" t="inlineStr">
        <is>
          <t>1</t>
        </is>
      </c>
      <c r="J14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60" s="18" t="inlineStr"/>
      <c r="L1460" s="18" t="inlineStr">
        <is>
          <t>General Therapeutics</t>
        </is>
      </c>
      <c r="M1460" s="18" t="inlineStr">
        <is>
          <t>Clinic</t>
        </is>
      </c>
      <c r="N1460" s="18" t="inlineStr">
        <is>
          <t>ข้อ 4 (PLE_CC1_Key_Rx20_UBU.md)</t>
        </is>
      </c>
      <c r="O1460" s="18" t="inlineStr">
        <is>
          <t>Mock</t>
        </is>
      </c>
      <c r="P1460" s="18" t="inlineStr">
        <is>
          <t>Mock Rx20 UBU</t>
        </is>
      </c>
    </row>
    <row r="1461">
      <c r="A1461" s="15" t="inlineStr">
        <is>
          <t>1482</t>
        </is>
      </c>
      <c r="B1461" s="18" t="inlineStr">
        <is>
          <t>ได้เพราะอยู่ในบัญชียาหลัก เป็นไปตามเงื่อนไขของ UC</t>
        </is>
      </c>
      <c r="C1461" s="18" t="inlineStr"/>
      <c r="D1461" s="18" t="inlineStr">
        <is>
          <t>ระบบหลักประกันสุขภาพถ้วนหน้า (Universal Health Coverage: UC)</t>
        </is>
      </c>
      <c r="E1461" s="18" t="inlineStr">
        <is>
          <t>ระบบประกันสังคม (Social Security Scheme: SSS)</t>
        </is>
      </c>
      <c r="F1461" s="18" t="inlineStr">
        <is>
          <t>ระบบสวัสดิการรักษาพยาบาลข้าราชการ (Civil Servant Medical Benefit Scheme: CSMBS)</t>
        </is>
      </c>
      <c r="G1461" s="18" t="inlineStr">
        <is>
          <t>นโยบายการใช้ยาอย่างสมเหตุผล (Rational Drug Use: RDU Literacy)</t>
        </is>
      </c>
      <c r="H1461" s="18" t="inlineStr">
        <is>
          <t>การเฝ้าระวังการดื้อยาต้านจุลชีพ (Antimicrobial Stewardship: AMS Program)</t>
        </is>
      </c>
      <c r="I1461" s="15" t="inlineStr">
        <is>
          <t>1</t>
        </is>
      </c>
      <c r="J1461" s="18" t="inlineStr">
        <is>
          <t>✅ คำตอบที่ถูกต้อง: ข้อ ก. ระบบหลักประกันสุขภาพถ้วนหน้า (Universal Health Coverage: UC)
💡 Background:
กฎหมายยาและจรรยาบรรณวิชาชีพมีขึ้นเพื่อคุ้มครองความปลอดภัยของผู้บริโภคตามมาตรฐาน Good Pharmacy Practice (GPP)
🎯 ทำไมข้อนี้ถึงถูก:
ระบบหลักประกันสุขภาพถ้วนหน้า (Universal Health Coverage: UC) 💡 คำอธิบายและข้อกำหนดทางกฎหมาย:
💡 คำอธิบายและข้อกำหนดทางกฎหมาย:
🔍 ข้ออื่นผิดเพราะอะไร:
• ข้อ ข.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(ระบบสวัสดิการรักษาพยาบาลข้าราชการ (Civil Servant Medical Benefit Scheme: CSMBS)): ข้อนี้ไม่ใช่คำตอบที่ถูกต้องสำหรับภาวะ Administration &amp; System เนื่องจากกลไกการออกฤทธิ์, efficacy หรือข้อบ่งใช้ไม่ตรงกับโจทย์ที่กำหนด
• ข้อ ง. (นโยบายการใช้ยาอย่างสมเหตุผล (Rational Drug Use: RDU Literacy)): ข้อนี้ไม่ใช่คำตอบที่ถูกต้องสำหรับภาวะ Administration &amp; System เนื่องจากกลไกการออกฤทธิ์, efficacy หรือข้อบ่งใช้ไม่ตรงกับโจทย์ที่กำหนด
• ข้อ จ.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1" s="18" t="inlineStr"/>
      <c r="L1461" s="18" t="inlineStr">
        <is>
          <t>Administration &amp; System</t>
        </is>
      </c>
      <c r="M1461" s="18" t="inlineStr">
        <is>
          <t>SAP</t>
        </is>
      </c>
      <c r="N1461" s="18" t="inlineStr">
        <is>
          <t>ข้อ 1 (PLE_CC1_Key_Rx20_UBU.md)</t>
        </is>
      </c>
      <c r="O1461" s="18" t="inlineStr">
        <is>
          <t>Mock</t>
        </is>
      </c>
      <c r="P1461" s="18" t="inlineStr">
        <is>
          <t>Mock Rx20 UBU</t>
        </is>
      </c>
    </row>
    <row r="1462">
      <c r="A1462" s="15" t="inlineStr">
        <is>
          <t>1483</t>
        </is>
      </c>
      <c r="B1462" s="18" t="inlineStr">
        <is>
          <t>ได้เพราะอยู่ในกรมบัญชีกลางกระทรวงการคลัง ซึ่งได้รับการอนุญาต</t>
        </is>
      </c>
      <c r="C1462" s="18" t="inlineStr"/>
      <c r="D1462" s="18" t="inlineStr">
        <is>
          <t>Dimercaprol (BAL) 3 mg/kg IM</t>
        </is>
      </c>
      <c r="E1462" s="18" t="inlineStr">
        <is>
          <t>Ethanol 10% IV infusion for Methanol poisoning</t>
        </is>
      </c>
      <c r="F1462" s="18" t="inlineStr">
        <is>
          <t>Fomepizole 15 mg/kg IV loading</t>
        </is>
      </c>
      <c r="G1462" s="18" t="inlineStr">
        <is>
          <t>N-acetylcysteine (NAC) IV infusion protocol</t>
        </is>
      </c>
      <c r="H1462" s="18" t="inlineStr">
        <is>
          <t>Atropine sulfate 2 mg IV Q5-10 min</t>
        </is>
      </c>
      <c r="I1462" s="15" t="inlineStr">
        <is>
          <t>1</t>
        </is>
      </c>
      <c r="J14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2" s="18" t="inlineStr"/>
      <c r="L1462" s="18" t="inlineStr">
        <is>
          <t>General Therapeutics</t>
        </is>
      </c>
      <c r="M1462" s="18" t="inlineStr">
        <is>
          <t>Clinic</t>
        </is>
      </c>
      <c r="N1462" s="18" t="inlineStr">
        <is>
          <t>ข้อ 2 (PLE_CC1_Key_Rx20_UBU.md)</t>
        </is>
      </c>
      <c r="O1462" s="18" t="inlineStr">
        <is>
          <t>Mock</t>
        </is>
      </c>
      <c r="P1462" s="18" t="inlineStr">
        <is>
          <t>Mock Rx20 UBU</t>
        </is>
      </c>
    </row>
    <row r="1463">
      <c r="A1463" s="15" t="inlineStr">
        <is>
          <t>1484</t>
        </is>
      </c>
      <c r="B1463" s="18" t="inlineStr">
        <is>
          <t>ได้แต่ต้องจ่ายโดยแพทย์เฉพาะทาง</t>
        </is>
      </c>
      <c r="C1463" s="18" t="inlineStr"/>
      <c r="D1463" s="18" t="inlineStr">
        <is>
          <t>N-acetylcysteine (NAC) IV infusion protocol</t>
        </is>
      </c>
      <c r="E1463" s="18" t="inlineStr">
        <is>
          <t>Atropine sulfate 2 mg IV Q5-10 min</t>
        </is>
      </c>
      <c r="F1463" s="18" t="inlineStr">
        <is>
          <t>Pralidoxime (2-PAM) 1-2 g IV over 30 min</t>
        </is>
      </c>
      <c r="G1463" s="18" t="inlineStr">
        <is>
          <t>Naloxone 0.4 mg IV stat</t>
        </is>
      </c>
      <c r="H1463" s="18" t="inlineStr">
        <is>
          <t>Flumazenil 0.2 mg IV stat</t>
        </is>
      </c>
      <c r="I1463" s="15" t="inlineStr">
        <is>
          <t>1</t>
        </is>
      </c>
      <c r="J14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3" s="18" t="inlineStr"/>
      <c r="L1463" s="18" t="inlineStr">
        <is>
          <t>General Therapeutics</t>
        </is>
      </c>
      <c r="M1463" s="18" t="inlineStr">
        <is>
          <t>Clinic</t>
        </is>
      </c>
      <c r="N1463" s="18" t="inlineStr">
        <is>
          <t>ข้อ 3 (PLE_CC1_Key_Rx20_UBU.md)</t>
        </is>
      </c>
      <c r="O1463" s="18" t="inlineStr">
        <is>
          <t>Mock</t>
        </is>
      </c>
      <c r="P1463" s="18" t="inlineStr">
        <is>
          <t>Mock Rx20 UBU</t>
        </is>
      </c>
    </row>
    <row r="1464">
      <c r="A1464" s="15" t="inlineStr">
        <is>
          <t>1485</t>
        </is>
      </c>
      <c r="B1464" s="18" t="inlineStr">
        <is>
          <t>ไม่ได้เพราะเป็นยาควบคุมพิเศษ</t>
        </is>
      </c>
      <c r="C1464" s="18" t="inlineStr"/>
      <c r="D1464" s="18" t="inlineStr">
        <is>
          <t>พ.ร.บ. เครื่องสำอาง พ.ศ. 2558</t>
        </is>
      </c>
      <c r="E1464" s="18" t="inlineStr">
        <is>
          <t>พ.ร.บ. หลักประกันสุขภาพแห่งชาติ พ.ศ. 2545</t>
        </is>
      </c>
      <c r="F1464" s="18" t="inlineStr">
        <is>
          <t>การปฏิบัติทางเภสัชกรรมชุมชน (Good Pharmacy Practice: GPP)</t>
        </is>
      </c>
      <c r="G1464" s="18" t="inlineStr">
        <is>
          <t>บัญชียาหลักแห่งชาติ (National List of Essential Medicines: NLEM)</t>
        </is>
      </c>
      <c r="H1464" s="18" t="inlineStr">
        <is>
          <t>เกณฑ์จริยธรรมว่าด้วยการส่งเสริมการขายยาของกระทรวงสาธารณสุข</t>
        </is>
      </c>
      <c r="I1464" s="15" t="inlineStr">
        <is>
          <t>1</t>
        </is>
      </c>
      <c r="J1464"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4" s="18" t="inlineStr"/>
      <c r="L1464" s="18" t="inlineStr">
        <is>
          <t>Pharmacy Laws &amp; Ethics</t>
        </is>
      </c>
      <c r="M1464" s="18" t="inlineStr">
        <is>
          <t>SAP</t>
        </is>
      </c>
      <c r="N1464" s="18" t="inlineStr">
        <is>
          <t>ข้อ 4 (PLE_CC1_Key_Rx20_UBU.md)</t>
        </is>
      </c>
      <c r="O1464" s="18" t="inlineStr">
        <is>
          <t>Mock</t>
        </is>
      </c>
      <c r="P1464" s="18" t="inlineStr">
        <is>
          <t>Mock Rx20 UBU</t>
        </is>
      </c>
    </row>
    <row r="1465">
      <c r="A1465" s="15" t="inlineStr">
        <is>
          <t>1486</t>
        </is>
      </c>
      <c r="B1465" s="18" t="inlineStr">
        <is>
          <t>สาเหตุที่ทำให้ผู้ป่วยเกิดอาการดังกล่าวได้มากที่สุด</t>
        </is>
      </c>
      <c r="C1465" s="18" t="inlineStr"/>
      <c r="D1465" s="18" t="inlineStr">
        <is>
          <t>Sodium thiosulfate 25% 50 mL IV</t>
        </is>
      </c>
      <c r="E1465" s="18" t="inlineStr">
        <is>
          <t>Calcium disodium EDTA 1 g IV</t>
        </is>
      </c>
      <c r="F1465" s="18" t="inlineStr">
        <is>
          <t>Desferrioxamine 1 g IM/IV</t>
        </is>
      </c>
      <c r="G1465" s="18" t="inlineStr">
        <is>
          <t>Dimercaprol (BAL) 3 mg/kg IM</t>
        </is>
      </c>
      <c r="H1465" s="18" t="inlineStr">
        <is>
          <t>Ethanol 10% IV infusion for Methanol poisoning</t>
        </is>
      </c>
      <c r="I1465" s="15" t="inlineStr">
        <is>
          <t>1</t>
        </is>
      </c>
      <c r="J14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5" s="18" t="inlineStr"/>
      <c r="L1465" s="18" t="inlineStr">
        <is>
          <t>General Therapeutics</t>
        </is>
      </c>
      <c r="M1465" s="18" t="inlineStr">
        <is>
          <t>Clinic</t>
        </is>
      </c>
      <c r="N1465" s="18" t="inlineStr">
        <is>
          <t>ข้อ 20 (PLE_CC1_Key_Rx20_UBU.md)</t>
        </is>
      </c>
      <c r="O1465" s="18" t="inlineStr">
        <is>
          <t>Mock</t>
        </is>
      </c>
      <c r="P1465" s="18" t="inlineStr">
        <is>
          <t>Mock Rx20 UBU</t>
        </is>
      </c>
    </row>
    <row r="1466">
      <c r="A1466" s="15" t="inlineStr">
        <is>
          <t>1487</t>
        </is>
      </c>
      <c r="B1466" s="18" t="inlineStr">
        <is>
          <t>กลไกของยาในข้อใดไม่ถูกต้อง</t>
        </is>
      </c>
      <c r="C1466" s="18" t="inlineStr"/>
      <c r="D1466" s="18" t="inlineStr">
        <is>
          <t>Dimercaprol (BAL) 3 mg/kg IM</t>
        </is>
      </c>
      <c r="E1466" s="18" t="inlineStr">
        <is>
          <t>Ethanol 10% IV infusion for Methanol poisoning</t>
        </is>
      </c>
      <c r="F1466" s="18" t="inlineStr">
        <is>
          <t>Fomepizole 15 mg/kg IV loading</t>
        </is>
      </c>
      <c r="G1466" s="18" t="inlineStr">
        <is>
          <t>N-acetylcysteine (NAC) IV infusion protocol</t>
        </is>
      </c>
      <c r="H1466" s="18" t="inlineStr">
        <is>
          <t>Atropine sulfate 2 mg IV Q5-10 min</t>
        </is>
      </c>
      <c r="I1466" s="15" t="inlineStr">
        <is>
          <t>1</t>
        </is>
      </c>
      <c r="J14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6" s="18" t="inlineStr"/>
      <c r="L1466" s="18" t="inlineStr">
        <is>
          <t>General Therapeutics</t>
        </is>
      </c>
      <c r="M1466" s="18" t="inlineStr">
        <is>
          <t>Clinic</t>
        </is>
      </c>
      <c r="N1466" s="18" t="inlineStr">
        <is>
          <t>ข้อ 22 (PLE_CC1_Key_Rx20_UBU.md)</t>
        </is>
      </c>
      <c r="O1466" s="18" t="inlineStr">
        <is>
          <t>Mock</t>
        </is>
      </c>
      <c r="P1466" s="18" t="inlineStr">
        <is>
          <t>Mock Rx20 UBU</t>
        </is>
      </c>
    </row>
    <row r="1467">
      <c r="A1467" s="15" t="inlineStr">
        <is>
          <t>1488</t>
        </is>
      </c>
      <c r="B1467" s="18" t="inlineStr">
        <is>
          <t>Lanthanum carbonate</t>
        </is>
      </c>
      <c r="C1467" s="18" t="inlineStr"/>
      <c r="D1467" s="18" t="inlineStr">
        <is>
          <t>N-acetylcysteine (NAC) IV infusion protocol</t>
        </is>
      </c>
      <c r="E1467" s="18" t="inlineStr">
        <is>
          <t>Atropine sulfate 2 mg IV Q5-10 min</t>
        </is>
      </c>
      <c r="F1467" s="18" t="inlineStr">
        <is>
          <t>Pralidoxime (2-PAM) 1-2 g IV over 30 min</t>
        </is>
      </c>
      <c r="G1467" s="18" t="inlineStr">
        <is>
          <t>Naloxone 0.4 mg IV stat</t>
        </is>
      </c>
      <c r="H1467" s="18" t="inlineStr">
        <is>
          <t>Flumazenil 0.2 mg IV stat</t>
        </is>
      </c>
      <c r="I1467" s="15" t="inlineStr">
        <is>
          <t>1</t>
        </is>
      </c>
      <c r="J14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7" s="18" t="inlineStr"/>
      <c r="L1467" s="18" t="inlineStr">
        <is>
          <t>General Therapeutics</t>
        </is>
      </c>
      <c r="M1467" s="18" t="inlineStr">
        <is>
          <t>Clinic</t>
        </is>
      </c>
      <c r="N1467" s="18" t="inlineStr">
        <is>
          <t>ข้อ 1 (PLE_CC1_Key_Rx20_UBU.md)</t>
        </is>
      </c>
      <c r="O1467" s="18" t="inlineStr">
        <is>
          <t>Mock</t>
        </is>
      </c>
      <c r="P1467" s="18" t="inlineStr">
        <is>
          <t>Mock Rx20 UBU</t>
        </is>
      </c>
    </row>
    <row r="1468">
      <c r="A1468" s="15" t="inlineStr">
        <is>
          <t>1489</t>
        </is>
      </c>
      <c r="B1468" s="18" t="inlineStr">
        <is>
          <t>Calcium carbonate</t>
        </is>
      </c>
      <c r="C1468" s="18" t="inlineStr"/>
      <c r="D1468" s="18" t="inlineStr">
        <is>
          <t>Erythropoietin (EPO) 4000 units SC weekly</t>
        </is>
      </c>
      <c r="E1468" s="18" t="inlineStr">
        <is>
          <t>Calcitriol 0.25 mcg OD</t>
        </is>
      </c>
      <c r="F1468" s="18" t="inlineStr">
        <is>
          <t>Potassium chloride 500 mg BID</t>
        </is>
      </c>
      <c r="G1468" s="18" t="inlineStr">
        <is>
          <t>Calcium carbonate 1000 mg TID with meals</t>
        </is>
      </c>
      <c r="H1468" s="18" t="inlineStr">
        <is>
          <t>Calcium acetate 667 mg TID with meals</t>
        </is>
      </c>
      <c r="I1468" s="15" t="inlineStr">
        <is>
          <t>1</t>
        </is>
      </c>
      <c r="J1468" s="18" t="inlineStr">
        <is>
          <t>✅ คำตอบที่ถูกต้อง: ข้อ ก. Erythropoietin (EPO) 4000 units SC weekly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Renal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Renal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468" s="18" t="inlineStr"/>
      <c r="L1468" s="18" t="inlineStr">
        <is>
          <t>Renal Diseases</t>
        </is>
      </c>
      <c r="M1468" s="18" t="inlineStr">
        <is>
          <t>Clinic</t>
        </is>
      </c>
      <c r="N1468" s="18" t="inlineStr">
        <is>
          <t>ข้อ 3 (PLE_CC1_Key_Rx20_UBU.md)</t>
        </is>
      </c>
      <c r="O1468" s="18" t="inlineStr">
        <is>
          <t>Mock</t>
        </is>
      </c>
      <c r="P1468" s="18" t="inlineStr">
        <is>
          <t>Mock Rx20 UBU</t>
        </is>
      </c>
    </row>
    <row r="1469">
      <c r="A1469" s="15" t="inlineStr">
        <is>
          <t>1490</t>
        </is>
      </c>
      <c r="B1469" s="18" t="inlineStr">
        <is>
          <t>Fresh Frozen Plasma</t>
        </is>
      </c>
      <c r="C1469" s="18" t="inlineStr"/>
      <c r="D1469" s="18" t="inlineStr">
        <is>
          <t>Sodium thiosulfate 25% 50 mL IV</t>
        </is>
      </c>
      <c r="E1469" s="18" t="inlineStr">
        <is>
          <t>Calcium disodium EDTA 1 g IV</t>
        </is>
      </c>
      <c r="F1469" s="18" t="inlineStr">
        <is>
          <t>Desferrioxamine 1 g IM/IV</t>
        </is>
      </c>
      <c r="G1469" s="18" t="inlineStr">
        <is>
          <t>Dimercaprol (BAL) 3 mg/kg IM</t>
        </is>
      </c>
      <c r="H1469" s="18" t="inlineStr">
        <is>
          <t>Ethanol 10% IV infusion for Methanol poisoning</t>
        </is>
      </c>
      <c r="I1469" s="15" t="inlineStr">
        <is>
          <t>1</t>
        </is>
      </c>
      <c r="J14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9" s="18" t="inlineStr"/>
      <c r="L1469" s="18" t="inlineStr">
        <is>
          <t>General Therapeutics</t>
        </is>
      </c>
      <c r="M1469" s="18" t="inlineStr">
        <is>
          <t>Clinic</t>
        </is>
      </c>
      <c r="N1469" s="18" t="inlineStr">
        <is>
          <t>ข้อ 2 (PLE_CC1_Key_Rx20_UBU.md)</t>
        </is>
      </c>
      <c r="O1469" s="18" t="inlineStr">
        <is>
          <t>Mock</t>
        </is>
      </c>
      <c r="P1469" s="18" t="inlineStr">
        <is>
          <t>Mock Rx20 UBU</t>
        </is>
      </c>
    </row>
    <row r="1470">
      <c r="A1470" s="15" t="inlineStr">
        <is>
          <t>1491</t>
        </is>
      </c>
      <c r="B1470" s="18" t="inlineStr">
        <is>
          <t>ควรจ่ายยาใดให้แก่ผู้ป่วยมากที่สุด</t>
        </is>
      </c>
      <c r="C1470" s="18" t="inlineStr"/>
      <c r="D1470" s="18" t="inlineStr">
        <is>
          <t>Dimercaprol (BAL) 3 mg/kg IM</t>
        </is>
      </c>
      <c r="E1470" s="18" t="inlineStr">
        <is>
          <t>Ethanol 10% IV infusion for Methanol poisoning</t>
        </is>
      </c>
      <c r="F1470" s="18" t="inlineStr">
        <is>
          <t>Fomepizole 15 mg/kg IV loading</t>
        </is>
      </c>
      <c r="G1470" s="18" t="inlineStr">
        <is>
          <t>N-acetylcysteine (NAC) IV infusion protocol</t>
        </is>
      </c>
      <c r="H1470" s="18" t="inlineStr">
        <is>
          <t>Atropine sulfate 2 mg IV Q5-10 min</t>
        </is>
      </c>
      <c r="I1470" s="15" t="inlineStr">
        <is>
          <t>1</t>
        </is>
      </c>
      <c r="J14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0" s="18" t="inlineStr"/>
      <c r="L1470" s="18" t="inlineStr">
        <is>
          <t>General Therapeutics</t>
        </is>
      </c>
      <c r="M1470" s="18" t="inlineStr">
        <is>
          <t>Clinic</t>
        </is>
      </c>
      <c r="N1470" s="18" t="inlineStr">
        <is>
          <t>ข้อ 27 (PLE_CC1_Key_Rx20_UBU.md)</t>
        </is>
      </c>
      <c r="O1470" s="18" t="inlineStr">
        <is>
          <t>Mock</t>
        </is>
      </c>
      <c r="P1470" s="18" t="inlineStr">
        <is>
          <t>Mock Rx20 UBU</t>
        </is>
      </c>
    </row>
    <row r="1471">
      <c r="A1471" s="15" t="inlineStr">
        <is>
          <t>1492</t>
        </is>
      </c>
      <c r="B1471" s="18" t="inlineStr">
        <is>
          <t>ต่อมาพบว่าผู้ป่วยมีไข้ ยาใดที่ไม่ควรจ่ายให้ผู้ป่วย</t>
        </is>
      </c>
      <c r="C1471" s="18" t="inlineStr"/>
      <c r="D1471" s="18" t="inlineStr">
        <is>
          <t>N-acetylcysteine (NAC) IV infusion protocol</t>
        </is>
      </c>
      <c r="E1471" s="18" t="inlineStr">
        <is>
          <t>Atropine sulfate 2 mg IV Q5-10 min</t>
        </is>
      </c>
      <c r="F1471" s="18" t="inlineStr">
        <is>
          <t>Pralidoxime (2-PAM) 1-2 g IV over 30 min</t>
        </is>
      </c>
      <c r="G1471" s="18" t="inlineStr">
        <is>
          <t>Naloxone 0.4 mg IV stat</t>
        </is>
      </c>
      <c r="H1471" s="18" t="inlineStr">
        <is>
          <t>Flumazenil 0.2 mg IV stat</t>
        </is>
      </c>
      <c r="I1471" s="15" t="inlineStr">
        <is>
          <t>1</t>
        </is>
      </c>
      <c r="J14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1" s="18" t="inlineStr"/>
      <c r="L1471" s="18" t="inlineStr">
        <is>
          <t>General Therapeutics</t>
        </is>
      </c>
      <c r="M1471" s="18" t="inlineStr">
        <is>
          <t>Clinic</t>
        </is>
      </c>
      <c r="N1471" s="18" t="inlineStr">
        <is>
          <t>ข้อ 28 (PLE_CC1_Key_Rx20_UBU.md)</t>
        </is>
      </c>
      <c r="O1471" s="18" t="inlineStr">
        <is>
          <t>Mock</t>
        </is>
      </c>
      <c r="P1471" s="18" t="inlineStr">
        <is>
          <t>Mock Rx20 UBU</t>
        </is>
      </c>
    </row>
    <row r="1472">
      <c r="A1472" s="15" t="inlineStr">
        <is>
          <t>1493</t>
        </is>
      </c>
      <c r="B1472" s="18" t="inlineStr">
        <is>
          <t>คำแนะนำที่ให้แก่ผู้ป่วย ข้อใดถูกต้อง</t>
        </is>
      </c>
      <c r="C1472" s="18" t="inlineStr"/>
      <c r="D1472" s="18" t="inlineStr">
        <is>
          <t>Naloxone 0.4 mg IV stat</t>
        </is>
      </c>
      <c r="E1472" s="18" t="inlineStr">
        <is>
          <t>Flumazenil 0.2 mg IV stat</t>
        </is>
      </c>
      <c r="F1472" s="18" t="inlineStr">
        <is>
          <t>Vitamin K1 (Phytomenadione) 10 mg IV slow</t>
        </is>
      </c>
      <c r="G1472" s="18" t="inlineStr">
        <is>
          <t>Sodium thiosulfate 25% 50 mL IV</t>
        </is>
      </c>
      <c r="H1472" s="18" t="inlineStr">
        <is>
          <t>Calcium disodium EDTA 1 g IV</t>
        </is>
      </c>
      <c r="I1472" s="15" t="inlineStr">
        <is>
          <t>1</t>
        </is>
      </c>
      <c r="J14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2" s="18" t="inlineStr"/>
      <c r="L1472" s="18" t="inlineStr">
        <is>
          <t>General Therapeutics</t>
        </is>
      </c>
      <c r="M1472" s="18" t="inlineStr">
        <is>
          <t>Clinic</t>
        </is>
      </c>
      <c r="N1472" s="18" t="inlineStr">
        <is>
          <t>ข้อ 29 (PLE_CC1_Key_Rx20_UBU.md)</t>
        </is>
      </c>
      <c r="O1472" s="18" t="inlineStr">
        <is>
          <t>Mock</t>
        </is>
      </c>
      <c r="P1472" s="18" t="inlineStr">
        <is>
          <t>Mock Rx20 UBU</t>
        </is>
      </c>
    </row>
    <row r="1473">
      <c r="A1473" s="15" t="inlineStr">
        <is>
          <t>1494</t>
        </is>
      </c>
      <c r="B1473" s="18" t="inlineStr">
        <is>
          <t>ยาใดต้องจ่ายในร้านยาที่มีใบอนุญาตจ่ายยาเสพติด</t>
        </is>
      </c>
      <c r="C1473" s="18" t="inlineStr"/>
      <c r="D1473" s="18" t="inlineStr">
        <is>
          <t>พ.ร.บ. วัตถุที่ออกฤทธิ์ต่อจิตและประสาท พ.ศ. 2559 (ประเภท 2 และ 4)</t>
        </is>
      </c>
      <c r="E1473" s="18" t="inlineStr">
        <is>
          <t>พ.ร.บ. วิชาชีพเภสัชกรรม พ.ศ. 2537 และข้อบังคับจรรยาบรรณวิชาชีพ</t>
        </is>
      </c>
      <c r="F1473" s="18" t="inlineStr">
        <is>
          <t>พ.ร.บ. ผลิตภัณฑ์สมุนไพร พ.ศ. 2562</t>
        </is>
      </c>
      <c r="G1473" s="18" t="inlineStr">
        <is>
          <t>พ.ร.บ. เครื่องสำอาง พ.ศ. 2558</t>
        </is>
      </c>
      <c r="H1473" s="18" t="inlineStr">
        <is>
          <t>พ.ร.บ. หลักประกันสุขภาพแห่งชาติ พ.ศ. 2545</t>
        </is>
      </c>
      <c r="I1473" s="15" t="inlineStr">
        <is>
          <t>1</t>
        </is>
      </c>
      <c r="J1473" s="18"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3" s="18" t="inlineStr"/>
      <c r="L1473" s="18" t="inlineStr">
        <is>
          <t>Pharmacy Laws &amp; Ethics</t>
        </is>
      </c>
      <c r="M1473" s="18" t="inlineStr">
        <is>
          <t>SAP</t>
        </is>
      </c>
      <c r="N1473" s="18" t="inlineStr">
        <is>
          <t>ข้อ 30 (PLE_CC1_Key_Rx20_UBU.md)</t>
        </is>
      </c>
      <c r="O1473" s="18" t="inlineStr">
        <is>
          <t>Mock</t>
        </is>
      </c>
      <c r="P1473" s="18" t="inlineStr">
        <is>
          <t>Mock Rx20 UBU</t>
        </is>
      </c>
    </row>
    <row r="1474">
      <c r="A1474" s="15" t="inlineStr">
        <is>
          <t>1495</t>
        </is>
      </c>
      <c r="B1474" s="18" t="inlineStr">
        <is>
          <t>Diphenoxylate + Atropine</t>
        </is>
      </c>
      <c r="C1474" s="18" t="inlineStr"/>
      <c r="D1474" s="18" t="inlineStr">
        <is>
          <t>Dimercaprol (BAL) 3 mg/kg IM</t>
        </is>
      </c>
      <c r="E1474" s="18" t="inlineStr">
        <is>
          <t>Ethanol 10% IV infusion for Methanol poisoning</t>
        </is>
      </c>
      <c r="F1474" s="18" t="inlineStr">
        <is>
          <t>Fomepizole 15 mg/kg IV loading</t>
        </is>
      </c>
      <c r="G1474" s="18" t="inlineStr">
        <is>
          <t>N-acetylcysteine (NAC) IV infusion protocol</t>
        </is>
      </c>
      <c r="H1474" s="18" t="inlineStr">
        <is>
          <t>Atropine sulfate 2 mg IV Q5-10 min</t>
        </is>
      </c>
      <c r="I1474" s="15" t="inlineStr">
        <is>
          <t>1</t>
        </is>
      </c>
      <c r="J1474" s="18"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474" s="18" t="inlineStr"/>
      <c r="L1474" s="18" t="inlineStr">
        <is>
          <t>Toxicology &amp; Antidote</t>
        </is>
      </c>
      <c r="M1474" s="18" t="inlineStr">
        <is>
          <t>Clinic</t>
        </is>
      </c>
      <c r="N1474" s="18" t="inlineStr">
        <is>
          <t>ข้อ 1 (PLE_CC1_Key_Rx20_UBU.md)</t>
        </is>
      </c>
      <c r="O1474" s="18" t="inlineStr">
        <is>
          <t>Mock</t>
        </is>
      </c>
      <c r="P1474" s="18" t="inlineStr">
        <is>
          <t>Mock Rx20 UBU</t>
        </is>
      </c>
    </row>
    <row r="1475">
      <c r="A1475" s="15" t="inlineStr">
        <is>
          <t>1496</t>
        </is>
      </c>
      <c r="B1475" s="18" t="inlineStr">
        <is>
          <t>Glucose ใน ORS มีหน้ำที่อะไร</t>
        </is>
      </c>
      <c r="C1475" s="18" t="inlineStr"/>
      <c r="D1475" s="18" t="inlineStr">
        <is>
          <t>Sitagliptin 100 mg OD</t>
        </is>
      </c>
      <c r="E1475" s="18" t="inlineStr">
        <is>
          <t>Liraglutide 1.2 mg SC OD</t>
        </is>
      </c>
      <c r="F1475" s="18" t="inlineStr">
        <is>
          <t>Levothyroxine 50 mcg OD</t>
        </is>
      </c>
      <c r="G1475" s="18" t="inlineStr">
        <is>
          <t>Propylthiouracil 50 mg TID</t>
        </is>
      </c>
      <c r="H1475" s="18" t="inlineStr">
        <is>
          <t>Methimazole 10 mg OD</t>
        </is>
      </c>
      <c r="I1475" s="15" t="inlineStr">
        <is>
          <t>1</t>
        </is>
      </c>
      <c r="J1475" s="18"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75" s="18" t="inlineStr"/>
      <c r="L1475" s="18" t="inlineStr">
        <is>
          <t>Diabetes &amp; Endocrine</t>
        </is>
      </c>
      <c r="M1475" s="18" t="inlineStr">
        <is>
          <t>Clinic</t>
        </is>
      </c>
      <c r="N1475" s="18" t="inlineStr">
        <is>
          <t>ข้อ 33 (PLE_CC1_Key_Rx20_UBU.md)</t>
        </is>
      </c>
      <c r="O1475" s="18" t="inlineStr">
        <is>
          <t>Mock</t>
        </is>
      </c>
      <c r="P1475" s="18" t="inlineStr">
        <is>
          <t>Mock Rx20 UBU</t>
        </is>
      </c>
    </row>
    <row r="1476">
      <c r="A1476" s="15" t="inlineStr">
        <is>
          <t>1497</t>
        </is>
      </c>
      <c r="B1476" s="18" t="inlineStr">
        <is>
          <t>เพิ่มการดูดซึม Sodium</t>
        </is>
      </c>
      <c r="C1476" s="18" t="inlineStr"/>
      <c r="D1476" s="18" t="inlineStr">
        <is>
          <t>Naloxone 0.4 mg IV stat</t>
        </is>
      </c>
      <c r="E1476" s="18" t="inlineStr">
        <is>
          <t>Flumazenil 0.2 mg IV stat</t>
        </is>
      </c>
      <c r="F1476" s="18" t="inlineStr">
        <is>
          <t>Vitamin K1 (Phytomenadione) 10 mg IV slow</t>
        </is>
      </c>
      <c r="G1476" s="18" t="inlineStr">
        <is>
          <t>Sodium thiosulfate 25% 50 mL IV</t>
        </is>
      </c>
      <c r="H1476" s="18" t="inlineStr">
        <is>
          <t>Calcium disodium EDTA 1 g IV</t>
        </is>
      </c>
      <c r="I1476" s="15" t="inlineStr">
        <is>
          <t>1</t>
        </is>
      </c>
      <c r="J14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6" s="18" t="inlineStr"/>
      <c r="L1476" s="18" t="inlineStr">
        <is>
          <t>General Therapeutics</t>
        </is>
      </c>
      <c r="M1476" s="18" t="inlineStr">
        <is>
          <t>Clinic</t>
        </is>
      </c>
      <c r="N1476" s="18" t="inlineStr">
        <is>
          <t>ข้อ 1 (PLE_CC1_Key_Rx20_UBU.md)</t>
        </is>
      </c>
      <c r="O1476" s="18" t="inlineStr">
        <is>
          <t>Mock</t>
        </is>
      </c>
      <c r="P1476" s="18" t="inlineStr">
        <is>
          <t>Mock Rx20 UBU</t>
        </is>
      </c>
    </row>
    <row r="1477">
      <c r="A1477" s="15" t="inlineStr">
        <is>
          <t>1498</t>
        </is>
      </c>
      <c r="B1477" s="18" t="inlineStr">
        <is>
          <t>Saccharin sodium</t>
        </is>
      </c>
      <c r="C1477" s="18" t="inlineStr"/>
      <c r="D1477" s="18" t="inlineStr">
        <is>
          <t>Sodium thiosulfate 25% 50 mL IV</t>
        </is>
      </c>
      <c r="E1477" s="18" t="inlineStr">
        <is>
          <t>Calcium disodium EDTA 1 g IV</t>
        </is>
      </c>
      <c r="F1477" s="18" t="inlineStr">
        <is>
          <t>Desferrioxamine 1 g IM/IV</t>
        </is>
      </c>
      <c r="G1477" s="18" t="inlineStr">
        <is>
          <t>Dimercaprol (BAL) 3 mg/kg IM</t>
        </is>
      </c>
      <c r="H1477" s="18" t="inlineStr">
        <is>
          <t>Ethanol 10% IV infusion for Methanol poisoning</t>
        </is>
      </c>
      <c r="I1477" s="15" t="inlineStr">
        <is>
          <t>1</t>
        </is>
      </c>
      <c r="J14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7" s="18" t="inlineStr"/>
      <c r="L1477" s="18" t="inlineStr">
        <is>
          <t>General Therapeutics</t>
        </is>
      </c>
      <c r="M1477" s="18" t="inlineStr">
        <is>
          <t>Clinic</t>
        </is>
      </c>
      <c r="N1477" s="18" t="inlineStr">
        <is>
          <t>ข้อ 1 (PLE_CC1_Key_Rx20_UBU.md)</t>
        </is>
      </c>
      <c r="O1477" s="18" t="inlineStr">
        <is>
          <t>Mock</t>
        </is>
      </c>
      <c r="P1477" s="18" t="inlineStr">
        <is>
          <t>Mock Rx20 UBU</t>
        </is>
      </c>
    </row>
    <row r="1478">
      <c r="A1478" s="15" t="inlineStr">
        <is>
          <t>1499</t>
        </is>
      </c>
      <c r="B1478" s="18" t="inlineStr">
        <is>
          <t>ต้องใช้ยารักษาต่อเนื่องเป็นเวลาอย่างน้อย 6-8 สัปดาห์</t>
        </is>
      </c>
      <c r="C1478" s="18" t="inlineStr"/>
      <c r="D1478" s="18" t="inlineStr">
        <is>
          <t>Dimercaprol (BAL) 3 mg/kg IM</t>
        </is>
      </c>
      <c r="E1478" s="18" t="inlineStr">
        <is>
          <t>Ethanol 10% IV infusion for Methanol poisoning</t>
        </is>
      </c>
      <c r="F1478" s="18" t="inlineStr">
        <is>
          <t>Fomepizole 15 mg/kg IV loading</t>
        </is>
      </c>
      <c r="G1478" s="18" t="inlineStr">
        <is>
          <t>N-acetylcysteine (NAC) IV infusion protocol</t>
        </is>
      </c>
      <c r="H1478" s="18" t="inlineStr">
        <is>
          <t>Atropine sulfate 2 mg IV Q5-10 min</t>
        </is>
      </c>
      <c r="I1478" s="15" t="inlineStr">
        <is>
          <t>1</t>
        </is>
      </c>
      <c r="J14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8" s="18" t="inlineStr"/>
      <c r="L1478" s="18" t="inlineStr">
        <is>
          <t>General Therapeutics</t>
        </is>
      </c>
      <c r="M1478" s="18" t="inlineStr">
        <is>
          <t>Clinic</t>
        </is>
      </c>
      <c r="N1478" s="18" t="inlineStr">
        <is>
          <t>ข้อ 2 (PLE_CC1_Key_Rx20_UBU.md)</t>
        </is>
      </c>
      <c r="O1478" s="18" t="inlineStr">
        <is>
          <t>Mock</t>
        </is>
      </c>
      <c r="P1478" s="18" t="inlineStr">
        <is>
          <t>Mock Rx20 UBU</t>
        </is>
      </c>
    </row>
    <row r="1479">
      <c r="A1479" s="15" t="inlineStr">
        <is>
          <t>1500</t>
        </is>
      </c>
      <c r="B1479" s="18" t="inlineStr">
        <is>
          <t>ถ้าอาการยังไม่หายไป ให้เปลี่ยนไปใช้ยาตัวอื่นกลุ่มเดียวกันได้</t>
        </is>
      </c>
      <c r="C1479" s="18" t="inlineStr"/>
      <c r="D1479" s="18" t="inlineStr">
        <is>
          <t>N-acetylcysteine (NAC) IV infusion protocol</t>
        </is>
      </c>
      <c r="E1479" s="18" t="inlineStr">
        <is>
          <t>Atropine sulfate 2 mg IV Q5-10 min</t>
        </is>
      </c>
      <c r="F1479" s="18" t="inlineStr">
        <is>
          <t>Pralidoxime (2-PAM) 1-2 g IV over 30 min</t>
        </is>
      </c>
      <c r="G1479" s="18" t="inlineStr">
        <is>
          <t>Naloxone 0.4 mg IV stat</t>
        </is>
      </c>
      <c r="H1479" s="18" t="inlineStr">
        <is>
          <t>Flumazenil 0.2 mg IV stat</t>
        </is>
      </c>
      <c r="I1479" s="15" t="inlineStr">
        <is>
          <t>1</t>
        </is>
      </c>
      <c r="J14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9" s="18" t="inlineStr"/>
      <c r="L1479" s="18" t="inlineStr">
        <is>
          <t>General Therapeutics</t>
        </is>
      </c>
      <c r="M1479" s="18" t="inlineStr">
        <is>
          <t>Clinic</t>
        </is>
      </c>
      <c r="N1479" s="18" t="inlineStr">
        <is>
          <t>ข้อ 3 (PLE_CC1_Key_Rx20_UBU.md)</t>
        </is>
      </c>
      <c r="O1479" s="18" t="inlineStr">
        <is>
          <t>Mock</t>
        </is>
      </c>
      <c r="P1479" s="18" t="inlineStr">
        <is>
          <t>Mock Rx20 UBU</t>
        </is>
      </c>
    </row>
    <row r="1480">
      <c r="A1480" s="15" t="inlineStr">
        <is>
          <t>1501</t>
        </is>
      </c>
      <c r="B1480" s="18" t="inlineStr">
        <is>
          <t>ถ้าอาการหายดีแล้ว สามารถหยุดยาได้ทันที</t>
        </is>
      </c>
      <c r="C1480" s="18" t="inlineStr"/>
      <c r="D1480" s="18" t="inlineStr">
        <is>
          <t>Naloxone 0.4 mg IV stat</t>
        </is>
      </c>
      <c r="E1480" s="18" t="inlineStr">
        <is>
          <t>Flumazenil 0.2 mg IV stat</t>
        </is>
      </c>
      <c r="F1480" s="18" t="inlineStr">
        <is>
          <t>Vitamin K1 (Phytomenadione) 10 mg IV slow</t>
        </is>
      </c>
      <c r="G1480" s="18" t="inlineStr">
        <is>
          <t>Sodium thiosulfate 25% 50 mL IV</t>
        </is>
      </c>
      <c r="H1480" s="18" t="inlineStr">
        <is>
          <t>Calcium disodium EDTA 1 g IV</t>
        </is>
      </c>
      <c r="I1480" s="15" t="inlineStr">
        <is>
          <t>1</t>
        </is>
      </c>
      <c r="J14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0" s="18" t="inlineStr"/>
      <c r="L1480" s="18" t="inlineStr">
        <is>
          <t>General Therapeutics</t>
        </is>
      </c>
      <c r="M1480" s="18" t="inlineStr">
        <is>
          <t>Clinic</t>
        </is>
      </c>
      <c r="N1480" s="18" t="inlineStr">
        <is>
          <t>ข้อ 4 (PLE_CC1_Key_Rx20_UBU.md)</t>
        </is>
      </c>
      <c r="O1480" s="18" t="inlineStr">
        <is>
          <t>Mock</t>
        </is>
      </c>
      <c r="P1480" s="18" t="inlineStr">
        <is>
          <t>Mock Rx20 UBU</t>
        </is>
      </c>
    </row>
    <row r="1481">
      <c r="A1481" s="15" t="inlineStr">
        <is>
          <t>1502</t>
        </is>
      </c>
      <c r="B1481" s="18" t="inlineStr">
        <is>
          <t>ควรเริ่มใช้ยากลุ่ม Antidepressant ในขนาดสูงๆก่อน</t>
        </is>
      </c>
      <c r="C1481" s="18" t="inlineStr"/>
      <c r="D1481" s="18" t="inlineStr">
        <is>
          <t>Sodium thiosulfate 25% 50 mL IV</t>
        </is>
      </c>
      <c r="E1481" s="18" t="inlineStr">
        <is>
          <t>Calcium disodium EDTA 1 g IV</t>
        </is>
      </c>
      <c r="F1481" s="18" t="inlineStr">
        <is>
          <t>Desferrioxamine 1 g IM/IV</t>
        </is>
      </c>
      <c r="G1481" s="18" t="inlineStr">
        <is>
          <t>Dimercaprol (BAL) 3 mg/kg IM</t>
        </is>
      </c>
      <c r="H1481" s="18" t="inlineStr">
        <is>
          <t>Ethanol 10% IV infusion for Methanol poisoning</t>
        </is>
      </c>
      <c r="I1481" s="15" t="inlineStr">
        <is>
          <t>1</t>
        </is>
      </c>
      <c r="J14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481" s="18" t="inlineStr"/>
      <c r="L1481" s="18" t="inlineStr">
        <is>
          <t>General Therapeutics</t>
        </is>
      </c>
      <c r="M1481" s="18" t="inlineStr">
        <is>
          <t>Clinic</t>
        </is>
      </c>
      <c r="N1481" s="18" t="inlineStr">
        <is>
          <t>ข้อ 5 (PLE_CC1_Key_Rx20_UBU.md)</t>
        </is>
      </c>
      <c r="O1481" s="18" t="inlineStr">
        <is>
          <t>Mock</t>
        </is>
      </c>
      <c r="P1481" s="18" t="inlineStr">
        <is>
          <t>Mock Rx20 UBU</t>
        </is>
      </c>
    </row>
    <row r="1482">
      <c r="A1482" s="15" t="inlineStr">
        <is>
          <t>1503</t>
        </is>
      </c>
      <c r="B1482" s="18" t="inlineStr">
        <is>
          <t>5-HT2 receptor antagonist</t>
        </is>
      </c>
      <c r="C1482" s="18" t="inlineStr"/>
      <c r="D1482" s="18" t="inlineStr">
        <is>
          <t>Dimercaprol (BAL) 3 mg/kg IM</t>
        </is>
      </c>
      <c r="E1482" s="18" t="inlineStr">
        <is>
          <t>Ethanol 10% IV infusion for Methanol poisoning</t>
        </is>
      </c>
      <c r="F1482" s="18" t="inlineStr">
        <is>
          <t>Fomepizole 15 mg/kg IV loading</t>
        </is>
      </c>
      <c r="G1482" s="18" t="inlineStr">
        <is>
          <t>N-acetylcysteine (NAC) IV infusion protocol</t>
        </is>
      </c>
      <c r="H1482" s="18" t="inlineStr">
        <is>
          <t>Atropine sulfate 2 mg IV Q5-10 min</t>
        </is>
      </c>
      <c r="I1482" s="15" t="inlineStr">
        <is>
          <t>1</t>
        </is>
      </c>
      <c r="J14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2" s="18" t="inlineStr"/>
      <c r="L1482" s="18" t="inlineStr">
        <is>
          <t>General Therapeutics</t>
        </is>
      </c>
      <c r="M1482" s="18" t="inlineStr">
        <is>
          <t>Clinic</t>
        </is>
      </c>
      <c r="N1482" s="18" t="inlineStr">
        <is>
          <t>ข้อ 1 (PLE_CC1_Key_Rx20_UBU.md)</t>
        </is>
      </c>
      <c r="O1482" s="18" t="inlineStr">
        <is>
          <t>Mock</t>
        </is>
      </c>
      <c r="P1482" s="18" t="inlineStr">
        <is>
          <t>Mock Rx20 UBU</t>
        </is>
      </c>
    </row>
    <row r="1483">
      <c r="A1483" s="15" t="inlineStr">
        <is>
          <t>1504</t>
        </is>
      </c>
      <c r="B1483" s="18" t="inlineStr">
        <is>
          <t>Alpha-2 receptor antagonist</t>
        </is>
      </c>
      <c r="C1483" s="18" t="inlineStr"/>
      <c r="D1483" s="18" t="inlineStr">
        <is>
          <t>N-acetylcysteine (NAC) IV infusion protocol</t>
        </is>
      </c>
      <c r="E1483" s="18" t="inlineStr">
        <is>
          <t>Atropine sulfate 2 mg IV Q5-10 min</t>
        </is>
      </c>
      <c r="F1483" s="18" t="inlineStr">
        <is>
          <t>Pralidoxime (2-PAM) 1-2 g IV over 30 min</t>
        </is>
      </c>
      <c r="G1483" s="18" t="inlineStr">
        <is>
          <t>Naloxone 0.4 mg IV stat</t>
        </is>
      </c>
      <c r="H1483" s="18" t="inlineStr">
        <is>
          <t>Flumazenil 0.2 mg IV stat</t>
        </is>
      </c>
      <c r="I1483" s="15" t="inlineStr">
        <is>
          <t>1</t>
        </is>
      </c>
      <c r="J14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3" s="18" t="inlineStr"/>
      <c r="L1483" s="18" t="inlineStr">
        <is>
          <t>General Therapeutics</t>
        </is>
      </c>
      <c r="M1483" s="18" t="inlineStr">
        <is>
          <t>Clinic</t>
        </is>
      </c>
      <c r="N1483" s="18" t="inlineStr">
        <is>
          <t>ข้อ 2 (PLE_CC1_Key_Rx20_UBU.md)</t>
        </is>
      </c>
      <c r="O1483" s="18" t="inlineStr">
        <is>
          <t>Mock</t>
        </is>
      </c>
      <c r="P1483" s="18" t="inlineStr">
        <is>
          <t>Mock Rx20 UBU</t>
        </is>
      </c>
    </row>
    <row r="1484">
      <c r="A1484" s="15" t="inlineStr">
        <is>
          <t>1505</t>
        </is>
      </c>
      <c r="B1484" s="18" t="inlineStr">
        <is>
          <t>ยับยั้งการ reuptake ของ 5-HT</t>
        </is>
      </c>
      <c r="C1484" s="18" t="inlineStr"/>
      <c r="D1484" s="18" t="inlineStr">
        <is>
          <t>Naloxone 0.4 mg IV stat</t>
        </is>
      </c>
      <c r="E1484" s="18" t="inlineStr">
        <is>
          <t>Flumazenil 0.2 mg IV stat</t>
        </is>
      </c>
      <c r="F1484" s="18" t="inlineStr">
        <is>
          <t>Vitamin K1 (Phytomenadione) 10 mg IV slow</t>
        </is>
      </c>
      <c r="G1484" s="18" t="inlineStr">
        <is>
          <t>Sodium thiosulfate 25% 50 mL IV</t>
        </is>
      </c>
      <c r="H1484" s="18" t="inlineStr">
        <is>
          <t>Calcium disodium EDTA 1 g IV</t>
        </is>
      </c>
      <c r="I1484" s="15" t="inlineStr">
        <is>
          <t>1</t>
        </is>
      </c>
      <c r="J14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4" s="18" t="inlineStr"/>
      <c r="L1484" s="18" t="inlineStr">
        <is>
          <t>General Therapeutics</t>
        </is>
      </c>
      <c r="M1484" s="18" t="inlineStr">
        <is>
          <t>Clinic</t>
        </is>
      </c>
      <c r="N1484" s="18" t="inlineStr">
        <is>
          <t>ข้อ 3 (PLE_CC1_Key_Rx20_UBU.md)</t>
        </is>
      </c>
      <c r="O1484" s="18" t="inlineStr">
        <is>
          <t>Mock</t>
        </is>
      </c>
      <c r="P1484" s="18" t="inlineStr">
        <is>
          <t>Mock Rx20 UBU</t>
        </is>
      </c>
    </row>
    <row r="1485">
      <c r="A1485" s="15" t="inlineStr">
        <is>
          <t>1506</t>
        </is>
      </c>
      <c r="B1485" s="18" t="inlineStr">
        <is>
          <t>ยับยั้งการ reuptake ของ Norepinephrine</t>
        </is>
      </c>
      <c r="C1485" s="18" t="inlineStr"/>
      <c r="D1485" s="18" t="inlineStr">
        <is>
          <t>Epinephrine 0.3 mg IM stat</t>
        </is>
      </c>
      <c r="E1485" s="18" t="inlineStr">
        <is>
          <t>Dexamethasone 4 mg IV</t>
        </is>
      </c>
      <c r="F1485" s="18" t="inlineStr">
        <is>
          <t>Prednisolone 20 mg OD</t>
        </is>
      </c>
      <c r="G1485" s="18" t="inlineStr">
        <is>
          <t>Montelukast 10 mg HS</t>
        </is>
      </c>
      <c r="H1485" s="18" t="inlineStr">
        <is>
          <t>Hydroxyzine 25 mg HS</t>
        </is>
      </c>
      <c r="I1485" s="15" t="inlineStr">
        <is>
          <t>1</t>
        </is>
      </c>
      <c r="J1485" s="18"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5" s="18" t="inlineStr"/>
      <c r="L1485" s="18" t="inlineStr">
        <is>
          <t>Allergy &amp; Immunology</t>
        </is>
      </c>
      <c r="M1485" s="18" t="inlineStr">
        <is>
          <t>Clinic</t>
        </is>
      </c>
      <c r="N1485" s="18" t="inlineStr">
        <is>
          <t>ข้อ 5 (PLE_CC1_Key_Rx20_UBU.md)</t>
        </is>
      </c>
      <c r="O1485" s="18" t="inlineStr">
        <is>
          <t>Mock</t>
        </is>
      </c>
      <c r="P1485" s="18" t="inlineStr">
        <is>
          <t>Mock Rx20 UBU</t>
        </is>
      </c>
    </row>
    <row r="1486">
      <c r="A1486" s="15" t="inlineStr">
        <is>
          <t>1507</t>
        </is>
      </c>
      <c r="B1486" s="18" t="inlineStr">
        <is>
          <t>ไม่มี Anticholinergic</t>
        </is>
      </c>
      <c r="C1486" s="18" t="inlineStr"/>
      <c r="D1486" s="18" t="inlineStr">
        <is>
          <t>Dimercaprol (BAL) 3 mg/kg IM</t>
        </is>
      </c>
      <c r="E1486" s="18" t="inlineStr">
        <is>
          <t>Ethanol 10% IV infusion for Methanol poisoning</t>
        </is>
      </c>
      <c r="F1486" s="18" t="inlineStr">
        <is>
          <t>Fomepizole 15 mg/kg IV loading</t>
        </is>
      </c>
      <c r="G1486" s="18" t="inlineStr">
        <is>
          <t>N-acetylcysteine (NAC) IV infusion protocol</t>
        </is>
      </c>
      <c r="H1486" s="18" t="inlineStr">
        <is>
          <t>Atropine sulfate 2 mg IV Q5-10 min</t>
        </is>
      </c>
      <c r="I1486" s="15" t="inlineStr">
        <is>
          <t>1</t>
        </is>
      </c>
      <c r="J14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6" s="18" t="inlineStr"/>
      <c r="L1486" s="18" t="inlineStr">
        <is>
          <t>General Therapeutics</t>
        </is>
      </c>
      <c r="M1486" s="18" t="inlineStr">
        <is>
          <t>Clinic</t>
        </is>
      </c>
      <c r="N1486" s="18" t="inlineStr">
        <is>
          <t>ข้อ 1 (PLE_CC1_Key_Rx20_UBU.md)</t>
        </is>
      </c>
      <c r="O1486" s="18" t="inlineStr">
        <is>
          <t>Mock</t>
        </is>
      </c>
      <c r="P1486" s="18" t="inlineStr">
        <is>
          <t>Mock Rx20 UBU</t>
        </is>
      </c>
    </row>
    <row r="1487">
      <c r="A1487" s="15" t="inlineStr">
        <is>
          <t>1508</t>
        </is>
      </c>
      <c r="B1487" s="18" t="inlineStr">
        <is>
          <t>เกิดการฆ่าตัวตายน้อย</t>
        </is>
      </c>
      <c r="C1487" s="18" t="inlineStr"/>
      <c r="D1487" s="18" t="inlineStr">
        <is>
          <t>N-acetylcysteine (NAC) IV infusion protocol</t>
        </is>
      </c>
      <c r="E1487" s="18" t="inlineStr">
        <is>
          <t>Atropine sulfate 2 mg IV Q5-10 min</t>
        </is>
      </c>
      <c r="F1487" s="18" t="inlineStr">
        <is>
          <t>Pralidoxime (2-PAM) 1-2 g IV over 30 min</t>
        </is>
      </c>
      <c r="G1487" s="18" t="inlineStr">
        <is>
          <t>Naloxone 0.4 mg IV stat</t>
        </is>
      </c>
      <c r="H1487" s="18" t="inlineStr">
        <is>
          <t>Flumazenil 0.2 mg IV stat</t>
        </is>
      </c>
      <c r="I1487" s="15" t="inlineStr">
        <is>
          <t>1</t>
        </is>
      </c>
      <c r="J14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7" s="18" t="inlineStr"/>
      <c r="L1487" s="18" t="inlineStr">
        <is>
          <t>General Therapeutics</t>
        </is>
      </c>
      <c r="M1487" s="18" t="inlineStr">
        <is>
          <t>Clinic</t>
        </is>
      </c>
      <c r="N1487" s="18" t="inlineStr">
        <is>
          <t>ข้อ 3 (PLE_CC1_Key_Rx20_UBU.md)</t>
        </is>
      </c>
      <c r="O1487" s="18" t="inlineStr">
        <is>
          <t>Mock</t>
        </is>
      </c>
      <c r="P1487" s="18" t="inlineStr">
        <is>
          <t>Mock Rx20 UBU</t>
        </is>
      </c>
    </row>
    <row r="1488">
      <c r="A1488" s="15" t="inlineStr">
        <is>
          <t>1509</t>
        </is>
      </c>
      <c r="B1488" s="18" t="inlineStr">
        <is>
          <t>ยาออกฤทธิ์ได้เร็ว</t>
        </is>
      </c>
      <c r="C1488" s="18" t="inlineStr"/>
      <c r="D1488" s="18" t="inlineStr">
        <is>
          <t>Naloxone 0.4 mg IV stat</t>
        </is>
      </c>
      <c r="E1488" s="18" t="inlineStr">
        <is>
          <t>Flumazenil 0.2 mg IV stat</t>
        </is>
      </c>
      <c r="F1488" s="18" t="inlineStr">
        <is>
          <t>Vitamin K1 (Phytomenadione) 10 mg IV slow</t>
        </is>
      </c>
      <c r="G1488" s="18" t="inlineStr">
        <is>
          <t>Sodium thiosulfate 25% 50 mL IV</t>
        </is>
      </c>
      <c r="H1488" s="18" t="inlineStr">
        <is>
          <t>Calcium disodium EDTA 1 g IV</t>
        </is>
      </c>
      <c r="I1488" s="15" t="inlineStr">
        <is>
          <t>1</t>
        </is>
      </c>
      <c r="J14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8" s="18" t="inlineStr"/>
      <c r="L1488" s="18" t="inlineStr">
        <is>
          <t>General Therapeutics</t>
        </is>
      </c>
      <c r="M1488" s="18" t="inlineStr">
        <is>
          <t>Clinic</t>
        </is>
      </c>
      <c r="N1488" s="18" t="inlineStr">
        <is>
          <t>ข้อ 4 (PLE_CC1_Key_Rx20_UBU.md)</t>
        </is>
      </c>
      <c r="O1488" s="18" t="inlineStr">
        <is>
          <t>Mock</t>
        </is>
      </c>
      <c r="P1488" s="18" t="inlineStr">
        <is>
          <t>Mock Rx20 UBU</t>
        </is>
      </c>
    </row>
    <row r="1489">
      <c r="A1489" s="15" t="inlineStr">
        <is>
          <t>1510</t>
        </is>
      </c>
      <c r="B1489" s="18" t="inlineStr">
        <is>
          <t>เกิดอันตรกิริยากับยาอื่นน้อย</t>
        </is>
      </c>
      <c r="C1489" s="18" t="inlineStr"/>
      <c r="D1489" s="18" t="inlineStr">
        <is>
          <t>Sodium thiosulfate 25% 50 mL IV</t>
        </is>
      </c>
      <c r="E1489" s="18" t="inlineStr">
        <is>
          <t>Calcium disodium EDTA 1 g IV</t>
        </is>
      </c>
      <c r="F1489" s="18" t="inlineStr">
        <is>
          <t>Desferrioxamine 1 g IM/IV</t>
        </is>
      </c>
      <c r="G1489" s="18" t="inlineStr">
        <is>
          <t>Dimercaprol (BAL) 3 mg/kg IM</t>
        </is>
      </c>
      <c r="H1489" s="18" t="inlineStr">
        <is>
          <t>Ethanol 10% IV infusion for Methanol poisoning</t>
        </is>
      </c>
      <c r="I1489" s="15" t="inlineStr">
        <is>
          <t>1</t>
        </is>
      </c>
      <c r="J14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9" s="18" t="inlineStr"/>
      <c r="L1489" s="18" t="inlineStr">
        <is>
          <t>General Therapeutics</t>
        </is>
      </c>
      <c r="M1489" s="18" t="inlineStr">
        <is>
          <t>Clinic</t>
        </is>
      </c>
      <c r="N1489" s="18" t="inlineStr">
        <is>
          <t>ข้อ 5 (PLE_CC1_Key_Rx20_UBU.md)</t>
        </is>
      </c>
      <c r="O1489" s="18" t="inlineStr">
        <is>
          <t>Mock</t>
        </is>
      </c>
      <c r="P1489" s="18" t="inlineStr">
        <is>
          <t>Mock Rx20 UBU</t>
        </is>
      </c>
    </row>
    <row r="1490">
      <c r="A1490" s="15" t="inlineStr">
        <is>
          <t>1511</t>
        </is>
      </c>
      <c r="B1490" s="18" t="inlineStr">
        <is>
          <t>ควรรับประทานยาในเวลาเดียวกันทุกวัน</t>
        </is>
      </c>
      <c r="C1490" s="18" t="inlineStr"/>
      <c r="D1490" s="18" t="inlineStr">
        <is>
          <t>Dimercaprol (BAL) 3 mg/kg IM</t>
        </is>
      </c>
      <c r="E1490" s="18" t="inlineStr">
        <is>
          <t>Ethanol 10% IV infusion for Methanol poisoning</t>
        </is>
      </c>
      <c r="F1490" s="18" t="inlineStr">
        <is>
          <t>Fomepizole 15 mg/kg IV loading</t>
        </is>
      </c>
      <c r="G1490" s="18" t="inlineStr">
        <is>
          <t>N-acetylcysteine (NAC) IV infusion protocol</t>
        </is>
      </c>
      <c r="H1490" s="18" t="inlineStr">
        <is>
          <t>Atropine sulfate 2 mg IV Q5-10 min</t>
        </is>
      </c>
      <c r="I1490" s="15" t="inlineStr">
        <is>
          <t>1</t>
        </is>
      </c>
      <c r="J14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0" s="18" t="inlineStr"/>
      <c r="L1490" s="18" t="inlineStr">
        <is>
          <t>General Therapeutics</t>
        </is>
      </c>
      <c r="M1490" s="18" t="inlineStr">
        <is>
          <t>Clinic</t>
        </is>
      </c>
      <c r="N1490" s="18" t="inlineStr">
        <is>
          <t>ข้อ 1 (PLE_CC1_Key_Rx20_UBU.md)</t>
        </is>
      </c>
      <c r="O1490" s="18" t="inlineStr">
        <is>
          <t>Mock</t>
        </is>
      </c>
      <c r="P1490" s="18" t="inlineStr">
        <is>
          <t>Mock Rx20 UBU</t>
        </is>
      </c>
    </row>
    <row r="1491">
      <c r="A1491" s="15" t="inlineStr">
        <is>
          <t>1512</t>
        </is>
      </c>
      <c r="B1491" s="18" t="inlineStr">
        <is>
          <t>ห้ามกินกับนมหรือยาลดกรด</t>
        </is>
      </c>
      <c r="C1491" s="18" t="inlineStr"/>
      <c r="D1491" s="18" t="inlineStr">
        <is>
          <t>Metoclopramide 10 mg TID before meals</t>
        </is>
      </c>
      <c r="E1491" s="18" t="inlineStr">
        <is>
          <t>Omeprazole 20 mg OD</t>
        </is>
      </c>
      <c r="F1491" s="18" t="inlineStr">
        <is>
          <t>Esomeprazole 20 mg OD</t>
        </is>
      </c>
      <c r="G1491" s="18" t="inlineStr">
        <is>
          <t>Domperidone 10 mg TID</t>
        </is>
      </c>
      <c r="H1491" s="18" t="inlineStr">
        <is>
          <t>Dimenhydrinate 50 mg TID</t>
        </is>
      </c>
      <c r="I1491" s="15" t="inlineStr">
        <is>
          <t>1</t>
        </is>
      </c>
      <c r="J1491" s="18"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1" s="18" t="inlineStr"/>
      <c r="L1491" s="18" t="inlineStr">
        <is>
          <t>GI Disorders</t>
        </is>
      </c>
      <c r="M1491" s="18" t="inlineStr">
        <is>
          <t>Clinic</t>
        </is>
      </c>
      <c r="N1491" s="18" t="inlineStr">
        <is>
          <t>ข้อ 2 (PLE_CC1_Key_Rx20_UBU.md)</t>
        </is>
      </c>
      <c r="O1491" s="18" t="inlineStr">
        <is>
          <t>Mock</t>
        </is>
      </c>
      <c r="P1491" s="18" t="inlineStr">
        <is>
          <t>Mock Rx20 UBU</t>
        </is>
      </c>
    </row>
    <row r="1492">
      <c r="A1492" s="15" t="inlineStr">
        <is>
          <t>1513</t>
        </is>
      </c>
      <c r="B1492" s="18" t="inlineStr">
        <is>
          <t>ควรรับประทานยานี้ก่อนนอน</t>
        </is>
      </c>
      <c r="C1492" s="18" t="inlineStr"/>
      <c r="D1492" s="18" t="inlineStr">
        <is>
          <t>Naloxone 0.4 mg IV stat</t>
        </is>
      </c>
      <c r="E1492" s="18" t="inlineStr">
        <is>
          <t>Flumazenil 0.2 mg IV stat</t>
        </is>
      </c>
      <c r="F1492" s="18" t="inlineStr">
        <is>
          <t>Vitamin K1 (Phytomenadione) 10 mg IV slow</t>
        </is>
      </c>
      <c r="G1492" s="18" t="inlineStr">
        <is>
          <t>Sodium thiosulfate 25% 50 mL IV</t>
        </is>
      </c>
      <c r="H1492" s="18" t="inlineStr">
        <is>
          <t>Calcium disodium EDTA 1 g IV</t>
        </is>
      </c>
      <c r="I1492" s="15" t="inlineStr">
        <is>
          <t>1</t>
        </is>
      </c>
      <c r="J14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92" s="18" t="inlineStr"/>
      <c r="L1492" s="18" t="inlineStr">
        <is>
          <t>General Therapeutics</t>
        </is>
      </c>
      <c r="M1492" s="18" t="inlineStr">
        <is>
          <t>Clinic</t>
        </is>
      </c>
      <c r="N1492" s="18" t="inlineStr">
        <is>
          <t>ข้อ 3 (PLE_CC1_Key_Rx20_UBU.md)</t>
        </is>
      </c>
      <c r="O1492" s="18" t="inlineStr">
        <is>
          <t>Mock</t>
        </is>
      </c>
      <c r="P1492" s="18" t="inlineStr">
        <is>
          <t>Mock Rx20 UBU</t>
        </is>
      </c>
    </row>
    <row r="1493">
      <c r="A1493" s="15" t="inlineStr">
        <is>
          <t>1514</t>
        </is>
      </c>
      <c r="B1493" s="18" t="inlineStr">
        <is>
          <t>ควรรับประทานยานี้หลังอาหารทันที</t>
        </is>
      </c>
      <c r="C1493" s="18" t="inlineStr"/>
      <c r="D1493" s="18" t="inlineStr">
        <is>
          <t>Sodium thiosulfate 25% 50 mL IV</t>
        </is>
      </c>
      <c r="E1493" s="18" t="inlineStr">
        <is>
          <t>Calcium disodium EDTA 1 g IV</t>
        </is>
      </c>
      <c r="F1493" s="18" t="inlineStr">
        <is>
          <t>Desferrioxamine 1 g IM/IV</t>
        </is>
      </c>
      <c r="G1493" s="18" t="inlineStr">
        <is>
          <t>Dimercaprol (BAL) 3 mg/kg IM</t>
        </is>
      </c>
      <c r="H1493" s="18" t="inlineStr">
        <is>
          <t>Ethanol 10% IV infusion for Methanol poisoning</t>
        </is>
      </c>
      <c r="I1493" s="15" t="inlineStr">
        <is>
          <t>1</t>
        </is>
      </c>
      <c r="J14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3" s="18" t="inlineStr"/>
      <c r="L1493" s="18" t="inlineStr">
        <is>
          <t>General Therapeutics</t>
        </is>
      </c>
      <c r="M1493" s="18" t="inlineStr">
        <is>
          <t>Clinic</t>
        </is>
      </c>
      <c r="N1493" s="18" t="inlineStr">
        <is>
          <t>ข้อ 4 (PLE_CC1_Key_Rx20_UBU.md)</t>
        </is>
      </c>
      <c r="O1493" s="18" t="inlineStr">
        <is>
          <t>Mock</t>
        </is>
      </c>
      <c r="P1493" s="18" t="inlineStr">
        <is>
          <t>Mock Rx20 UBU</t>
        </is>
      </c>
    </row>
    <row r="1494">
      <c r="A1494" s="15" t="inlineStr">
        <is>
          <t>1515</t>
        </is>
      </c>
      <c r="B1494" s="18" t="inlineStr">
        <is>
          <t>ค่อยๆลุกขึ้นนั่งขณะเปลี่ยนอิริยาบถ</t>
        </is>
      </c>
      <c r="C1494" s="18" t="inlineStr"/>
      <c r="D1494" s="18" t="inlineStr">
        <is>
          <t>Dimercaprol (BAL) 3 mg/kg IM</t>
        </is>
      </c>
      <c r="E1494" s="18" t="inlineStr">
        <is>
          <t>Ethanol 10% IV infusion for Methanol poisoning</t>
        </is>
      </c>
      <c r="F1494" s="18" t="inlineStr">
        <is>
          <t>Fomepizole 15 mg/kg IV loading</t>
        </is>
      </c>
      <c r="G1494" s="18" t="inlineStr">
        <is>
          <t>N-acetylcysteine (NAC) IV infusion protocol</t>
        </is>
      </c>
      <c r="H1494" s="18" t="inlineStr">
        <is>
          <t>Atropine sulfate 2 mg IV Q5-10 min</t>
        </is>
      </c>
      <c r="I1494" s="15" t="inlineStr">
        <is>
          <t>1</t>
        </is>
      </c>
      <c r="J14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4" s="18" t="inlineStr"/>
      <c r="L1494" s="18" t="inlineStr">
        <is>
          <t>General Therapeutics</t>
        </is>
      </c>
      <c r="M1494" s="18" t="inlineStr">
        <is>
          <t>Clinic</t>
        </is>
      </c>
      <c r="N1494" s="18" t="inlineStr">
        <is>
          <t>ข้อ 5 (PLE_CC1_Key_Rx20_UBU.md)</t>
        </is>
      </c>
      <c r="O1494" s="18" t="inlineStr">
        <is>
          <t>Mock</t>
        </is>
      </c>
      <c r="P1494" s="18" t="inlineStr">
        <is>
          <t>Mock Rx20 UBU</t>
        </is>
      </c>
    </row>
    <row r="1495">
      <c r="A1495" s="15" t="inlineStr">
        <is>
          <t>1516</t>
        </is>
      </c>
      <c r="B1495" s="18" t="inlineStr">
        <is>
          <t>Continuous Scale</t>
        </is>
      </c>
      <c r="C1495" s="18" t="inlineStr"/>
      <c r="D1495" s="18" t="inlineStr">
        <is>
          <t>N-acetylcysteine (NAC) IV infusion protocol</t>
        </is>
      </c>
      <c r="E1495" s="18" t="inlineStr">
        <is>
          <t>Atropine sulfate 2 mg IV Q5-10 min</t>
        </is>
      </c>
      <c r="F1495" s="18" t="inlineStr">
        <is>
          <t>Pralidoxime (2-PAM) 1-2 g IV over 30 min</t>
        </is>
      </c>
      <c r="G1495" s="18" t="inlineStr">
        <is>
          <t>Naloxone 0.4 mg IV stat</t>
        </is>
      </c>
      <c r="H1495" s="18" t="inlineStr">
        <is>
          <t>Flumazenil 0.2 mg IV stat</t>
        </is>
      </c>
      <c r="I1495" s="15" t="inlineStr">
        <is>
          <t>1</t>
        </is>
      </c>
      <c r="J14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95" s="18" t="inlineStr"/>
      <c r="L1495" s="18" t="inlineStr">
        <is>
          <t>General Therapeutics</t>
        </is>
      </c>
      <c r="M1495" s="18" t="inlineStr">
        <is>
          <t>Clinic</t>
        </is>
      </c>
      <c r="N1495" s="18" t="inlineStr">
        <is>
          <t>ข้อ 5 (PLE_CC1_Key_Rx20_UBU.md)</t>
        </is>
      </c>
      <c r="O1495" s="18" t="inlineStr">
        <is>
          <t>Mock</t>
        </is>
      </c>
      <c r="P1495" s="18" t="inlineStr">
        <is>
          <t>Mock Rx20 UBU</t>
        </is>
      </c>
    </row>
    <row r="1496">
      <c r="A1496" s="15" t="inlineStr">
        <is>
          <t>1517</t>
        </is>
      </c>
      <c r="B1496" s="18" t="inlineStr">
        <is>
          <t>เป็นยาควบคุมพิเศษ สงวนไว้ใช้เฉพาะภายในโรงพยาบาลเท่านั้น</t>
        </is>
      </c>
      <c r="C1496" s="18" t="inlineStr"/>
      <c r="D1496" s="18" t="inlineStr">
        <is>
          <t>พ.ร.บ. ยาเสพติดให้โทษ พ.ศ. 2522 (ยาเสพติดให้โทษประเภท 2 และ 3)</t>
        </is>
      </c>
      <c r="E1496" s="18" t="inlineStr">
        <is>
          <t>พ.ร.บ. วัตถุที่ออกฤทธิ์ต่อจิตและประสาท พ.ศ. 2559 (ประเภท 2 และ 4)</t>
        </is>
      </c>
      <c r="F1496" s="18" t="inlineStr">
        <is>
          <t>พ.ร.บ. วิชาชีพเภสัชกรรม พ.ศ. 2537 และข้อบังคับจรรยาบรรณวิชาชีพ</t>
        </is>
      </c>
      <c r="G1496" s="18" t="inlineStr">
        <is>
          <t>พ.ร.บ. ผลิตภัณฑ์สมุนไพร พ.ศ. 2562</t>
        </is>
      </c>
      <c r="H1496" s="18" t="inlineStr">
        <is>
          <t>พ.ร.บ. เครื่องสำอาง พ.ศ. 2558</t>
        </is>
      </c>
      <c r="I1496" s="15" t="inlineStr">
        <is>
          <t>1</t>
        </is>
      </c>
      <c r="J1496"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6" s="18" t="inlineStr"/>
      <c r="L1496" s="18" t="inlineStr">
        <is>
          <t>Pharmacy Laws &amp; Ethics</t>
        </is>
      </c>
      <c r="M1496" s="18" t="inlineStr">
        <is>
          <t>SAP</t>
        </is>
      </c>
      <c r="N1496" s="18" t="inlineStr">
        <is>
          <t>ข้อ 1 (PLE_CC1_Key_Rx20_UBU.md)</t>
        </is>
      </c>
      <c r="O1496" s="18" t="inlineStr">
        <is>
          <t>Mock</t>
        </is>
      </c>
      <c r="P1496" s="18" t="inlineStr">
        <is>
          <t>Mock Rx20 UBU</t>
        </is>
      </c>
    </row>
    <row r="1497">
      <c r="A1497" s="15" t="inlineStr">
        <is>
          <t>1518</t>
        </is>
      </c>
      <c r="B1497" s="18" t="inlineStr">
        <is>
          <t>เป็นยาควบคุมพิเศษ ห้ามจำหน่ายในร้านยาโดยไม่มีใบสั่งแพทย์</t>
        </is>
      </c>
      <c r="C1497" s="18" t="inlineStr"/>
      <c r="D1497" s="18" t="inlineStr">
        <is>
          <t>พ.ร.บ. ผลิตภัณฑ์สมุนไพร พ.ศ. 2562</t>
        </is>
      </c>
      <c r="E1497" s="18" t="inlineStr">
        <is>
          <t>พ.ร.บ. เครื่องสำอาง พ.ศ. 2558</t>
        </is>
      </c>
      <c r="F1497" s="18" t="inlineStr">
        <is>
          <t>พ.ร.บ. หลักประกันสุขภาพแห่งชาติ พ.ศ. 2545</t>
        </is>
      </c>
      <c r="G1497" s="18" t="inlineStr">
        <is>
          <t>การปฏิบัติทางเภสัชกรรมชุมชน (Good Pharmacy Practice: GPP)</t>
        </is>
      </c>
      <c r="H1497" s="18" t="inlineStr">
        <is>
          <t>บัญชียาหลักแห่งชาติ (National List of Essential Medicines: NLEM)</t>
        </is>
      </c>
      <c r="I1497" s="15" t="inlineStr">
        <is>
          <t>1</t>
        </is>
      </c>
      <c r="J1497"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7" s="18" t="inlineStr"/>
      <c r="L1497" s="18" t="inlineStr">
        <is>
          <t>Pharmacy Laws &amp; Ethics</t>
        </is>
      </c>
      <c r="M1497" s="18" t="inlineStr">
        <is>
          <t>SAP</t>
        </is>
      </c>
      <c r="N1497" s="18" t="inlineStr">
        <is>
          <t>ข้อ 2 (PLE_CC1_Key_Rx20_UBU.md)</t>
        </is>
      </c>
      <c r="O1497" s="18" t="inlineStr">
        <is>
          <t>Mock</t>
        </is>
      </c>
      <c r="P1497" s="18" t="inlineStr">
        <is>
          <t>Mock Rx20 UBU</t>
        </is>
      </c>
    </row>
    <row r="1498">
      <c r="A1498" s="15" t="inlineStr">
        <is>
          <t>1519</t>
        </is>
      </c>
      <c r="B1498" s="18" t="inlineStr">
        <is>
          <t>เป็นยาอันตราย ที่สามารถจำหน่ายในร้านยาได้ แต่ต้องมีใบสั่งแพทย์</t>
        </is>
      </c>
      <c r="C1498" s="18" t="inlineStr"/>
      <c r="D1498" s="18" t="inlineStr">
        <is>
          <t>การปฏิบัติทางเภสัชกรรมชุมชน (Good Pharmacy Practice: GPP)</t>
        </is>
      </c>
      <c r="E1498" s="18" t="inlineStr">
        <is>
          <t>บัญชียาหลักแห่งชาติ (National List of Essential Medicines: NLEM)</t>
        </is>
      </c>
      <c r="F1498" s="18" t="inlineStr">
        <is>
          <t>เกณฑ์จริยธรรมว่าด้วยการส่งเสริมการขายยาของกระทรวงสาธารณสุข</t>
        </is>
      </c>
      <c r="G1498" s="18" t="inlineStr">
        <is>
          <t>พ.ร.บ. ยา พ.ศ. 2510 (การจำหน่ายยาอันตรายและยาควบคุมพิเศษ)</t>
        </is>
      </c>
      <c r="H1498" s="18" t="inlineStr">
        <is>
          <t>พ.ร.บ. ยาเสพติดให้โทษ พ.ศ. 2522 (ยาเสพติดให้โทษประเภท 2 และ 3)</t>
        </is>
      </c>
      <c r="I1498" s="15" t="inlineStr">
        <is>
          <t>1</t>
        </is>
      </c>
      <c r="J1498"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8" s="18" t="inlineStr"/>
      <c r="L1498" s="18" t="inlineStr">
        <is>
          <t>Pharmacy Laws &amp; Ethics</t>
        </is>
      </c>
      <c r="M1498" s="18" t="inlineStr">
        <is>
          <t>SAP</t>
        </is>
      </c>
      <c r="N1498" s="18" t="inlineStr">
        <is>
          <t>ข้อ 3 (PLE_CC1_Key_Rx20_UBU.md)</t>
        </is>
      </c>
      <c r="O1498" s="18" t="inlineStr">
        <is>
          <t>Mock</t>
        </is>
      </c>
      <c r="P1498" s="18" t="inlineStr">
        <is>
          <t>Mock Rx20 UBU</t>
        </is>
      </c>
    </row>
    <row r="1499">
      <c r="A1499" s="15" t="inlineStr">
        <is>
          <t>1520</t>
        </is>
      </c>
      <c r="B1499" s="18" t="inlineStr">
        <is>
          <t>เป็นยาแผนปัจจุบันบรรจุเสร็จที่ไม่ใช่ยาอันตรายหรือยาควบคุมพิเศษ จำหน่ายได้ใน ขย.2 เพราะเป็นยาอันตราย</t>
        </is>
      </c>
      <c r="C1499" s="18" t="inlineStr"/>
      <c r="D1499" s="18" t="inlineStr">
        <is>
          <t>พ.ร.บ. ยา พ.ศ. 2510 (การจำหน่ายยาอันตรายและยาควบคุมพิเศษ)</t>
        </is>
      </c>
      <c r="E1499" s="18" t="inlineStr">
        <is>
          <t>พ.ร.บ. ยาเสพติดให้โทษ พ.ศ. 2522 (ยาเสพติดให้โทษประเภท 2 และ 3)</t>
        </is>
      </c>
      <c r="F1499" s="18" t="inlineStr">
        <is>
          <t>พ.ร.บ. วัตถุที่ออกฤทธิ์ต่อจิตและประสาท พ.ศ. 2559 (ประเภท 2 และ 4)</t>
        </is>
      </c>
      <c r="G1499" s="18" t="inlineStr">
        <is>
          <t>พ.ร.บ. วิชาชีพเภสัชกรรม พ.ศ. 2537 และข้อบังคับจรรยาบรรณวิชาชีพ</t>
        </is>
      </c>
      <c r="H1499" s="18" t="inlineStr">
        <is>
          <t>พ.ร.บ. ผลิตภัณฑ์สมุนไพร พ.ศ. 2562</t>
        </is>
      </c>
      <c r="I1499" s="15" t="inlineStr">
        <is>
          <t>1</t>
        </is>
      </c>
      <c r="J1499"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9" s="18" t="inlineStr"/>
      <c r="L1499" s="18" t="inlineStr">
        <is>
          <t>Pharmacy Laws &amp; Ethics</t>
        </is>
      </c>
      <c r="M1499" s="18" t="inlineStr">
        <is>
          <t>SAP</t>
        </is>
      </c>
      <c r="N1499" s="18" t="inlineStr">
        <is>
          <t>ข้อ 5 (PLE_CC1_Key_Rx20_UBU.md)</t>
        </is>
      </c>
      <c r="O1499" s="18" t="inlineStr">
        <is>
          <t>Mock</t>
        </is>
      </c>
      <c r="P1499" s="18" t="inlineStr">
        <is>
          <t>Mock Rx20 UBU</t>
        </is>
      </c>
    </row>
    <row r="1500">
      <c r="A1500" s="15" t="inlineStr">
        <is>
          <t>1521</t>
        </is>
      </c>
      <c r="B1500" s="18" t="inlineStr">
        <is>
          <t>ยาใดที่ควรเลือกใช้เป็นตัวแรกในผู้ป่วยรายนี้</t>
        </is>
      </c>
      <c r="C1500" s="18" t="inlineStr"/>
      <c r="D1500" s="18" t="inlineStr">
        <is>
          <t>Naloxone 0.4 mg IV stat</t>
        </is>
      </c>
      <c r="E1500" s="18" t="inlineStr">
        <is>
          <t>Flumazenil 0.2 mg IV stat</t>
        </is>
      </c>
      <c r="F1500" s="18" t="inlineStr">
        <is>
          <t>Vitamin K1 (Phytomenadione) 10 mg IV slow</t>
        </is>
      </c>
      <c r="G1500" s="18" t="inlineStr">
        <is>
          <t>Sodium thiosulfate 25% 50 mL IV</t>
        </is>
      </c>
      <c r="H1500" s="18" t="inlineStr">
        <is>
          <t>Calcium disodium EDTA 1 g IV</t>
        </is>
      </c>
      <c r="I1500" s="15" t="inlineStr">
        <is>
          <t>1</t>
        </is>
      </c>
      <c r="J15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0" s="18" t="inlineStr"/>
      <c r="L1500" s="18" t="inlineStr">
        <is>
          <t>General Therapeutics</t>
        </is>
      </c>
      <c r="M1500" s="18" t="inlineStr">
        <is>
          <t>Clinic</t>
        </is>
      </c>
      <c r="N1500" s="18" t="inlineStr">
        <is>
          <t>ข้อ 45 (PLE_CC1_Key_Rx20_UBU.md)</t>
        </is>
      </c>
      <c r="O1500" s="18" t="inlineStr">
        <is>
          <t>Mock</t>
        </is>
      </c>
      <c r="P1500" s="18" t="inlineStr">
        <is>
          <t>Mock Rx20 UBU</t>
        </is>
      </c>
    </row>
    <row r="1501">
      <c r="A1501" s="15" t="inlineStr">
        <is>
          <t>1522</t>
        </is>
      </c>
      <c r="B1501" s="18" t="inlineStr">
        <is>
          <t>จากข้อ 2 เหตุใดจึงเลือกยาดังกล่าวเป็นลำดับแรก</t>
        </is>
      </c>
      <c r="C1501" s="18" t="inlineStr"/>
      <c r="D1501" s="18" t="inlineStr">
        <is>
          <t>Sodium thiosulfate 25% 50 mL IV</t>
        </is>
      </c>
      <c r="E1501" s="18" t="inlineStr">
        <is>
          <t>Calcium disodium EDTA 1 g IV</t>
        </is>
      </c>
      <c r="F1501" s="18" t="inlineStr">
        <is>
          <t>Desferrioxamine 1 g IM/IV</t>
        </is>
      </c>
      <c r="G1501" s="18" t="inlineStr">
        <is>
          <t>Dimercaprol (BAL) 3 mg/kg IM</t>
        </is>
      </c>
      <c r="H1501" s="18" t="inlineStr">
        <is>
          <t>Ethanol 10% IV infusion for Methanol poisoning</t>
        </is>
      </c>
      <c r="I1501" s="15" t="inlineStr">
        <is>
          <t>1</t>
        </is>
      </c>
      <c r="J150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1" s="18" t="inlineStr"/>
      <c r="L1501" s="18" t="inlineStr">
        <is>
          <t>General Therapeutics</t>
        </is>
      </c>
      <c r="M1501" s="18" t="inlineStr">
        <is>
          <t>Clinic</t>
        </is>
      </c>
      <c r="N1501" s="18" t="inlineStr">
        <is>
          <t>ข้อ 46 (PLE_CC1_Key_Rx20_UBU.md)</t>
        </is>
      </c>
      <c r="O1501" s="18" t="inlineStr">
        <is>
          <t>Mock</t>
        </is>
      </c>
      <c r="P1501" s="18" t="inlineStr">
        <is>
          <t>Mock Rx20 UBU</t>
        </is>
      </c>
    </row>
    <row r="1502">
      <c r="A1502" s="15" t="inlineStr">
        <is>
          <t>1523</t>
        </is>
      </c>
      <c r="B1502" s="18" t="inlineStr">
        <is>
          <t>ผู้ป่วยมีน้ำหนักเกิน</t>
        </is>
      </c>
      <c r="C1502" s="18" t="inlineStr"/>
      <c r="D1502" s="18" t="inlineStr">
        <is>
          <t>Dimercaprol (BAL) 3 mg/kg IM</t>
        </is>
      </c>
      <c r="E1502" s="18" t="inlineStr">
        <is>
          <t>Ethanol 10% IV infusion for Methanol poisoning</t>
        </is>
      </c>
      <c r="F1502" s="18" t="inlineStr">
        <is>
          <t>Fomepizole 15 mg/kg IV loading</t>
        </is>
      </c>
      <c r="G1502" s="18" t="inlineStr">
        <is>
          <t>N-acetylcysteine (NAC) IV infusion protocol</t>
        </is>
      </c>
      <c r="H1502" s="18" t="inlineStr">
        <is>
          <t>Atropine sulfate 2 mg IV Q5-10 min</t>
        </is>
      </c>
      <c r="I1502" s="15" t="inlineStr">
        <is>
          <t>1</t>
        </is>
      </c>
      <c r="J15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2" s="18" t="inlineStr"/>
      <c r="L1502" s="18" t="inlineStr">
        <is>
          <t>General Therapeutics</t>
        </is>
      </c>
      <c r="M1502" s="18" t="inlineStr">
        <is>
          <t>Clinic</t>
        </is>
      </c>
      <c r="N1502" s="18" t="inlineStr">
        <is>
          <t>ข้อ 1 (PLE_CC1_Key_Rx20_UBU.md)</t>
        </is>
      </c>
      <c r="O1502" s="18" t="inlineStr">
        <is>
          <t>Mock</t>
        </is>
      </c>
      <c r="P1502" s="18" t="inlineStr">
        <is>
          <t>Mock Rx20 UBU</t>
        </is>
      </c>
    </row>
    <row r="1503">
      <c r="A1503" s="15" t="inlineStr">
        <is>
          <t>1524</t>
        </is>
      </c>
      <c r="B1503" s="18" t="inlineStr">
        <is>
          <t>ยับยั้ง กระบวนการ gluconeogenesis</t>
        </is>
      </c>
      <c r="C1503" s="18" t="inlineStr"/>
      <c r="D1503" s="18" t="inlineStr">
        <is>
          <t>N-acetylcysteine (NAC) IV infusion protocol</t>
        </is>
      </c>
      <c r="E1503" s="18" t="inlineStr">
        <is>
          <t>Atropine sulfate 2 mg IV Q5-10 min</t>
        </is>
      </c>
      <c r="F1503" s="18" t="inlineStr">
        <is>
          <t>Pralidoxime (2-PAM) 1-2 g IV over 30 min</t>
        </is>
      </c>
      <c r="G1503" s="18" t="inlineStr">
        <is>
          <t>Naloxone 0.4 mg IV stat</t>
        </is>
      </c>
      <c r="H1503" s="18" t="inlineStr">
        <is>
          <t>Flumazenil 0.2 mg IV stat</t>
        </is>
      </c>
      <c r="I1503" s="15" t="inlineStr">
        <is>
          <t>1</t>
        </is>
      </c>
      <c r="J150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3" s="18" t="inlineStr"/>
      <c r="L1503" s="18" t="inlineStr">
        <is>
          <t>General Therapeutics</t>
        </is>
      </c>
      <c r="M1503" s="18" t="inlineStr">
        <is>
          <t>Clinic</t>
        </is>
      </c>
      <c r="N1503" s="18" t="inlineStr">
        <is>
          <t>ข้อ 1 (PLE_CC1_Key_Rx20_UBU.md)</t>
        </is>
      </c>
      <c r="O1503" s="18" t="inlineStr">
        <is>
          <t>Mock</t>
        </is>
      </c>
      <c r="P1503" s="18" t="inlineStr">
        <is>
          <t>Mock Rx20 UBU</t>
        </is>
      </c>
    </row>
    <row r="1504">
      <c r="A1504" s="15" t="inlineStr">
        <is>
          <t>1525</t>
        </is>
      </c>
      <c r="B1504" s="18" t="inlineStr">
        <is>
          <t>กระตุ้นการหลั่ง glucagon จากตับอ่อน</t>
        </is>
      </c>
      <c r="C1504" s="18" t="inlineStr"/>
      <c r="D1504" s="18" t="inlineStr">
        <is>
          <t>Naloxone 0.4 mg IV stat</t>
        </is>
      </c>
      <c r="E1504" s="18" t="inlineStr">
        <is>
          <t>Flumazenil 0.2 mg IV stat</t>
        </is>
      </c>
      <c r="F1504" s="18" t="inlineStr">
        <is>
          <t>Vitamin K1 (Phytomenadione) 10 mg IV slow</t>
        </is>
      </c>
      <c r="G1504" s="18" t="inlineStr">
        <is>
          <t>Sodium thiosulfate 25% 50 mL IV</t>
        </is>
      </c>
      <c r="H1504" s="18" t="inlineStr">
        <is>
          <t>Calcium disodium EDTA 1 g IV</t>
        </is>
      </c>
      <c r="I1504" s="15" t="inlineStr">
        <is>
          <t>1</t>
        </is>
      </c>
      <c r="J15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4" s="18" t="inlineStr"/>
      <c r="L1504" s="18" t="inlineStr">
        <is>
          <t>General Therapeutics</t>
        </is>
      </c>
      <c r="M1504" s="18" t="inlineStr">
        <is>
          <t>Clinic</t>
        </is>
      </c>
      <c r="N1504" s="18" t="inlineStr">
        <is>
          <t>ข้อ 2 (PLE_CC1_Key_Rx20_UBU.md)</t>
        </is>
      </c>
      <c r="O1504" s="18" t="inlineStr">
        <is>
          <t>Mock</t>
        </is>
      </c>
      <c r="P1504" s="18" t="inlineStr">
        <is>
          <t>Mock Rx20 UBU</t>
        </is>
      </c>
    </row>
    <row r="1505">
      <c r="A1505" s="15" t="inlineStr">
        <is>
          <t>1526</t>
        </is>
      </c>
      <c r="B1505" s="18" t="inlineStr">
        <is>
          <t>ยับยั้ง การดูดซึมน้ำตาลที่ลำไส้เล็ก</t>
        </is>
      </c>
      <c r="C1505" s="18" t="inlineStr"/>
      <c r="D1505" s="18" t="inlineStr">
        <is>
          <t>Sodium thiosulfate 25% 50 mL IV</t>
        </is>
      </c>
      <c r="E1505" s="18" t="inlineStr">
        <is>
          <t>Calcium disodium EDTA 1 g IV</t>
        </is>
      </c>
      <c r="F1505" s="18" t="inlineStr">
        <is>
          <t>Desferrioxamine 1 g IM/IV</t>
        </is>
      </c>
      <c r="G1505" s="18" t="inlineStr">
        <is>
          <t>Dimercaprol (BAL) 3 mg/kg IM</t>
        </is>
      </c>
      <c r="H1505" s="18" t="inlineStr">
        <is>
          <t>Ethanol 10% IV infusion for Methanol poisoning</t>
        </is>
      </c>
      <c r="I1505" s="15" t="inlineStr">
        <is>
          <t>1</t>
        </is>
      </c>
      <c r="J15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05" s="18" t="inlineStr"/>
      <c r="L1505" s="18" t="inlineStr">
        <is>
          <t>General Therapeutics</t>
        </is>
      </c>
      <c r="M1505" s="18" t="inlineStr">
        <is>
          <t>Clinic</t>
        </is>
      </c>
      <c r="N1505" s="18" t="inlineStr">
        <is>
          <t>ข้อ 4 (PLE_CC1_Key_Rx20_UBU.md)</t>
        </is>
      </c>
      <c r="O1505" s="18" t="inlineStr">
        <is>
          <t>Mock</t>
        </is>
      </c>
      <c r="P1505" s="18" t="inlineStr">
        <is>
          <t>Mock Rx20 UBU</t>
        </is>
      </c>
    </row>
    <row r="1506">
      <c r="A1506" s="15" t="inlineStr">
        <is>
          <t>1527</t>
        </is>
      </c>
      <c r="B1506" s="18" t="inlineStr">
        <is>
          <t>กระตุ้น PPAR-Gamma (NR1C3)</t>
        </is>
      </c>
      <c r="C1506" s="18" t="inlineStr"/>
      <c r="D1506" s="18" t="inlineStr">
        <is>
          <t>Dimercaprol (BAL) 3 mg/kg IM</t>
        </is>
      </c>
      <c r="E1506" s="18" t="inlineStr">
        <is>
          <t>Ethanol 10% IV infusion for Methanol poisoning</t>
        </is>
      </c>
      <c r="F1506" s="18" t="inlineStr">
        <is>
          <t>Fomepizole 15 mg/kg IV loading</t>
        </is>
      </c>
      <c r="G1506" s="18" t="inlineStr">
        <is>
          <t>N-acetylcysteine (NAC) IV infusion protocol</t>
        </is>
      </c>
      <c r="H1506" s="18" t="inlineStr">
        <is>
          <t>Atropine sulfate 2 mg IV Q5-10 min</t>
        </is>
      </c>
      <c r="I1506" s="15" t="inlineStr">
        <is>
          <t>1</t>
        </is>
      </c>
      <c r="J15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6" s="18" t="inlineStr"/>
      <c r="L1506" s="18" t="inlineStr">
        <is>
          <t>General Therapeutics</t>
        </is>
      </c>
      <c r="M1506" s="18" t="inlineStr">
        <is>
          <t>Clinic</t>
        </is>
      </c>
      <c r="N1506" s="18" t="inlineStr">
        <is>
          <t>ข้อ 5 (PLE_CC1_Key_Rx20_UBU.md)</t>
        </is>
      </c>
      <c r="O1506" s="18" t="inlineStr">
        <is>
          <t>Mock</t>
        </is>
      </c>
      <c r="P1506" s="18" t="inlineStr">
        <is>
          <t>Mock Rx20 UBU</t>
        </is>
      </c>
    </row>
    <row r="1507">
      <c r="A1507" s="15" t="inlineStr">
        <is>
          <t>1528</t>
        </is>
      </c>
      <c r="B1507" s="18" t="inlineStr">
        <is>
          <t>Coronary artery disease เสาS่เตาลJ ในหUด V ใW blood Flow สดน</t>
        </is>
      </c>
      <c r="C1507" s="18" t="inlineStr"/>
      <c r="D1507" s="18" t="inlineStr">
        <is>
          <t>N-acetylcysteine (NAC) IV infusion protocol</t>
        </is>
      </c>
      <c r="E1507" s="18" t="inlineStr">
        <is>
          <t>Atropine sulfate 2 mg IV Q5-10 min</t>
        </is>
      </c>
      <c r="F1507" s="18" t="inlineStr">
        <is>
          <t>Pralidoxime (2-PAM) 1-2 g IV over 30 min</t>
        </is>
      </c>
      <c r="G1507" s="18" t="inlineStr">
        <is>
          <t>Naloxone 0.4 mg IV stat</t>
        </is>
      </c>
      <c r="H1507" s="18" t="inlineStr">
        <is>
          <t>Flumazenil 0.2 mg IV stat</t>
        </is>
      </c>
      <c r="I1507" s="15" t="inlineStr">
        <is>
          <t>1</t>
        </is>
      </c>
      <c r="J15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7" s="18" t="inlineStr"/>
      <c r="L1507" s="18" t="inlineStr">
        <is>
          <t>General Therapeutics</t>
        </is>
      </c>
      <c r="M1507" s="18" t="inlineStr">
        <is>
          <t>Clinic</t>
        </is>
      </c>
      <c r="N1507" s="18" t="inlineStr">
        <is>
          <t>ข้อ 5 (PLE_CC1_Key_Rx20_UBU.md)</t>
        </is>
      </c>
      <c r="O1507" s="18" t="inlineStr">
        <is>
          <t>Mock</t>
        </is>
      </c>
      <c r="P1507" s="18" t="inlineStr">
        <is>
          <t>Mock Rx20 UBU</t>
        </is>
      </c>
    </row>
    <row r="1508">
      <c r="A1508" s="15" t="inlineStr">
        <is>
          <t>1529</t>
        </is>
      </c>
      <c r="B1508" s="18" t="inlineStr">
        <is>
          <t>สูตรโครงสร้างของ Gliclazide เป็นแบบใด ตอบ 1 sulfonylurea</t>
        </is>
      </c>
      <c r="C1508" s="18" t="inlineStr"/>
      <c r="D1508" s="18" t="inlineStr">
        <is>
          <t>Dapagliflozin 10 mg OD</t>
        </is>
      </c>
      <c r="E1508" s="18" t="inlineStr">
        <is>
          <t>Semaglutide 0.5 mg SC weekly</t>
        </is>
      </c>
      <c r="F1508" s="18" t="inlineStr">
        <is>
          <t>Metformin 500 mg BID</t>
        </is>
      </c>
      <c r="G1508" s="18" t="inlineStr">
        <is>
          <t>Glipizide 5 mg OD</t>
        </is>
      </c>
      <c r="H1508" s="18" t="inlineStr">
        <is>
          <t>Empagliflozin 10 mg OD</t>
        </is>
      </c>
      <c r="I1508" s="15" t="inlineStr">
        <is>
          <t>1</t>
        </is>
      </c>
      <c r="J1508" s="1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8" s="18" t="inlineStr"/>
      <c r="L1508" s="18" t="inlineStr">
        <is>
          <t>Diabetes &amp; Endocrine</t>
        </is>
      </c>
      <c r="M1508" s="18" t="inlineStr">
        <is>
          <t>Clinic</t>
        </is>
      </c>
      <c r="N1508" s="18" t="inlineStr">
        <is>
          <t>ข้อ 48 (PLE_CC1_Key_Rx20_UBU.md)</t>
        </is>
      </c>
      <c r="O1508" s="18" t="inlineStr">
        <is>
          <t>Mock</t>
        </is>
      </c>
      <c r="P1508" s="18" t="inlineStr">
        <is>
          <t>Mock Rx20 UBU</t>
        </is>
      </c>
    </row>
    <row r="1509">
      <c r="A1509" s="15" t="inlineStr">
        <is>
          <t>1530</t>
        </is>
      </c>
      <c r="B1509" s="18" t="inlineStr">
        <is>
          <t>ต่ำกว่า 140/90 mmHg</t>
        </is>
      </c>
      <c r="C1509" s="18" t="inlineStr"/>
      <c r="D1509" s="18" t="inlineStr">
        <is>
          <t>Sodium thiosulfate 25% 50 mL IV</t>
        </is>
      </c>
      <c r="E1509" s="18" t="inlineStr">
        <is>
          <t>Calcium disodium EDTA 1 g IV</t>
        </is>
      </c>
      <c r="F1509" s="18" t="inlineStr">
        <is>
          <t>Desferrioxamine 1 g IM/IV</t>
        </is>
      </c>
      <c r="G1509" s="18" t="inlineStr">
        <is>
          <t>Dimercaprol (BAL) 3 mg/kg IM</t>
        </is>
      </c>
      <c r="H1509" s="18" t="inlineStr">
        <is>
          <t>Ethanol 10% IV infusion for Methanol poisoning</t>
        </is>
      </c>
      <c r="I1509" s="15" t="inlineStr">
        <is>
          <t>1</t>
        </is>
      </c>
      <c r="J15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9" s="18" t="inlineStr"/>
      <c r="L1509" s="18" t="inlineStr">
        <is>
          <t>General Therapeutics</t>
        </is>
      </c>
      <c r="M1509" s="18" t="inlineStr">
        <is>
          <t>Clinic</t>
        </is>
      </c>
      <c r="N1509" s="18" t="inlineStr">
        <is>
          <t>ข้อ 1 (PLE_CC1_Key_Rx20_UBU.md)</t>
        </is>
      </c>
      <c r="O1509" s="18" t="inlineStr">
        <is>
          <t>Mock</t>
        </is>
      </c>
      <c r="P1509" s="18" t="inlineStr">
        <is>
          <t>Mock Rx20 UBU</t>
        </is>
      </c>
    </row>
    <row r="1510">
      <c r="A1510" s="15" t="inlineStr">
        <is>
          <t>1531</t>
        </is>
      </c>
      <c r="B1510" s="18" t="inlineStr">
        <is>
          <t>ต่ำกว่า 130/80 mmHg</t>
        </is>
      </c>
      <c r="C1510" s="18" t="inlineStr"/>
      <c r="D1510" s="18" t="inlineStr">
        <is>
          <t>Dimercaprol (BAL) 3 mg/kg IM</t>
        </is>
      </c>
      <c r="E1510" s="18" t="inlineStr">
        <is>
          <t>Ethanol 10% IV infusion for Methanol poisoning</t>
        </is>
      </c>
      <c r="F1510" s="18" t="inlineStr">
        <is>
          <t>Fomepizole 15 mg/kg IV loading</t>
        </is>
      </c>
      <c r="G1510" s="18" t="inlineStr">
        <is>
          <t>N-acetylcysteine (NAC) IV infusion protocol</t>
        </is>
      </c>
      <c r="H1510" s="18" t="inlineStr">
        <is>
          <t>Atropine sulfate 2 mg IV Q5-10 min</t>
        </is>
      </c>
      <c r="I1510" s="15" t="inlineStr">
        <is>
          <t>1</t>
        </is>
      </c>
      <c r="J15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0" s="18" t="inlineStr"/>
      <c r="L1510" s="18" t="inlineStr">
        <is>
          <t>General Therapeutics</t>
        </is>
      </c>
      <c r="M1510" s="18" t="inlineStr">
        <is>
          <t>Clinic</t>
        </is>
      </c>
      <c r="N1510" s="18" t="inlineStr">
        <is>
          <t>ข้อ 2 (PLE_CC1_Key_Rx20_UBU.md)</t>
        </is>
      </c>
      <c r="O1510" s="18" t="inlineStr">
        <is>
          <t>Mock</t>
        </is>
      </c>
      <c r="P1510" s="18" t="inlineStr">
        <is>
          <t>Mock Rx20 UBU</t>
        </is>
      </c>
    </row>
    <row r="1511">
      <c r="A1511" s="15" t="inlineStr">
        <is>
          <t>1532</t>
        </is>
      </c>
      <c r="B1511" s="18" t="inlineStr">
        <is>
          <t>ต่ำกว่า 130/85 mmHg</t>
        </is>
      </c>
      <c r="C1511" s="18" t="inlineStr"/>
      <c r="D1511" s="18" t="inlineStr">
        <is>
          <t>N-acetylcysteine (NAC) IV infusion protocol</t>
        </is>
      </c>
      <c r="E1511" s="18" t="inlineStr">
        <is>
          <t>Atropine sulfate 2 mg IV Q5-10 min</t>
        </is>
      </c>
      <c r="F1511" s="18" t="inlineStr">
        <is>
          <t>Pralidoxime (2-PAM) 1-2 g IV over 30 min</t>
        </is>
      </c>
      <c r="G1511" s="18" t="inlineStr">
        <is>
          <t>Naloxone 0.4 mg IV stat</t>
        </is>
      </c>
      <c r="H1511" s="18" t="inlineStr">
        <is>
          <t>Flumazenil 0.2 mg IV stat</t>
        </is>
      </c>
      <c r="I1511" s="15" t="inlineStr">
        <is>
          <t>1</t>
        </is>
      </c>
      <c r="J15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1" s="18" t="inlineStr"/>
      <c r="L1511" s="18" t="inlineStr">
        <is>
          <t>General Therapeutics</t>
        </is>
      </c>
      <c r="M1511" s="18" t="inlineStr">
        <is>
          <t>Clinic</t>
        </is>
      </c>
      <c r="N1511" s="18" t="inlineStr">
        <is>
          <t>ข้อ 3 (PLE_CC1_Key_Rx20_UBU.md)</t>
        </is>
      </c>
      <c r="O1511" s="18" t="inlineStr">
        <is>
          <t>Mock</t>
        </is>
      </c>
      <c r="P1511" s="18" t="inlineStr">
        <is>
          <t>Mock Rx20 UBU</t>
        </is>
      </c>
    </row>
    <row r="1512">
      <c r="A1512" s="15" t="inlineStr">
        <is>
          <t>1533</t>
        </is>
      </c>
      <c r="B1512" s="18" t="inlineStr">
        <is>
          <t>ต่ำกว่า 130/90 mmHg</t>
        </is>
      </c>
      <c r="C1512" s="18" t="inlineStr"/>
      <c r="D1512" s="18" t="inlineStr">
        <is>
          <t>Naloxone 0.4 mg IV stat</t>
        </is>
      </c>
      <c r="E1512" s="18" t="inlineStr">
        <is>
          <t>Flumazenil 0.2 mg IV stat</t>
        </is>
      </c>
      <c r="F1512" s="18" t="inlineStr">
        <is>
          <t>Vitamin K1 (Phytomenadione) 10 mg IV slow</t>
        </is>
      </c>
      <c r="G1512" s="18" t="inlineStr">
        <is>
          <t>Sodium thiosulfate 25% 50 mL IV</t>
        </is>
      </c>
      <c r="H1512" s="18" t="inlineStr">
        <is>
          <t>Calcium disodium EDTA 1 g IV</t>
        </is>
      </c>
      <c r="I1512" s="15" t="inlineStr">
        <is>
          <t>1</t>
        </is>
      </c>
      <c r="J15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12" s="18" t="inlineStr"/>
      <c r="L1512" s="18" t="inlineStr">
        <is>
          <t>General Therapeutics</t>
        </is>
      </c>
      <c r="M1512" s="18" t="inlineStr">
        <is>
          <t>Clinic</t>
        </is>
      </c>
      <c r="N1512" s="18" t="inlineStr">
        <is>
          <t>ข้อ 4 (PLE_CC1_Key_Rx20_UBU.md)</t>
        </is>
      </c>
      <c r="O1512" s="18" t="inlineStr">
        <is>
          <t>Mock</t>
        </is>
      </c>
      <c r="P1512" s="18" t="inlineStr">
        <is>
          <t>Mock Rx20 UBU</t>
        </is>
      </c>
    </row>
    <row r="1513">
      <c r="A1513" s="15" t="inlineStr">
        <is>
          <t>1534</t>
        </is>
      </c>
      <c r="B1513" s="18" t="inlineStr">
        <is>
          <t>ต่ำกว่า 125/75 mmHg</t>
        </is>
      </c>
      <c r="C1513" s="18" t="inlineStr"/>
      <c r="D1513" s="18" t="inlineStr">
        <is>
          <t>Sodium thiosulfate 25% 50 mL IV</t>
        </is>
      </c>
      <c r="E1513" s="18" t="inlineStr">
        <is>
          <t>Calcium disodium EDTA 1 g IV</t>
        </is>
      </c>
      <c r="F1513" s="18" t="inlineStr">
        <is>
          <t>Desferrioxamine 1 g IM/IV</t>
        </is>
      </c>
      <c r="G1513" s="18" t="inlineStr">
        <is>
          <t>Dimercaprol (BAL) 3 mg/kg IM</t>
        </is>
      </c>
      <c r="H1513" s="18" t="inlineStr">
        <is>
          <t>Ethanol 10% IV infusion for Methanol poisoning</t>
        </is>
      </c>
      <c r="I1513" s="15" t="inlineStr">
        <is>
          <t>1</t>
        </is>
      </c>
      <c r="J15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3" s="18" t="inlineStr"/>
      <c r="L1513" s="18" t="inlineStr">
        <is>
          <t>General Therapeutics</t>
        </is>
      </c>
      <c r="M1513" s="18" t="inlineStr">
        <is>
          <t>Clinic</t>
        </is>
      </c>
      <c r="N1513" s="18" t="inlineStr">
        <is>
          <t>ข้อ 5 (PLE_CC1_Key_Rx20_UBU.md)</t>
        </is>
      </c>
      <c r="O1513" s="18" t="inlineStr">
        <is>
          <t>Mock</t>
        </is>
      </c>
      <c r="P1513" s="18" t="inlineStr">
        <is>
          <t>Mock Rx20 UBU</t>
        </is>
      </c>
    </row>
    <row r="1514">
      <c r="A1514" s="15" t="inlineStr">
        <is>
          <t>1535</t>
        </is>
      </c>
      <c r="B1514" s="18" t="inlineStr">
        <is>
          <t>Glipizide เป็นยาที่ละลายน้ำได้น้อย</t>
        </is>
      </c>
      <c r="C1514" s="18" t="inlineStr"/>
      <c r="D1514" s="18" t="inlineStr">
        <is>
          <t>Sitagliptin 100 mg OD</t>
        </is>
      </c>
      <c r="E1514" s="18" t="inlineStr">
        <is>
          <t>Liraglutide 1.2 mg SC OD</t>
        </is>
      </c>
      <c r="F1514" s="18" t="inlineStr">
        <is>
          <t>Levothyroxine 50 mcg OD</t>
        </is>
      </c>
      <c r="G1514" s="18" t="inlineStr">
        <is>
          <t>Propylthiouracil 50 mg TID</t>
        </is>
      </c>
      <c r="H1514" s="18" t="inlineStr">
        <is>
          <t>Methimazole 10 mg OD</t>
        </is>
      </c>
      <c r="I1514" s="15" t="inlineStr">
        <is>
          <t>1</t>
        </is>
      </c>
      <c r="J1514" s="18"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4" s="18" t="inlineStr"/>
      <c r="L1514" s="18" t="inlineStr">
        <is>
          <t>Diabetes &amp; Endocrine</t>
        </is>
      </c>
      <c r="M1514" s="18" t="inlineStr">
        <is>
          <t>Clinic</t>
        </is>
      </c>
      <c r="N1514" s="18" t="inlineStr">
        <is>
          <t>ข้อ 51 (PLE_CC1_Key_Rx20_UBU.md)</t>
        </is>
      </c>
      <c r="O1514" s="18" t="inlineStr">
        <is>
          <t>Mock</t>
        </is>
      </c>
      <c r="P1514" s="18" t="inlineStr">
        <is>
          <t>Mock Rx20 UBU</t>
        </is>
      </c>
    </row>
    <row r="1515">
      <c r="A1515" s="15" t="inlineStr">
        <is>
          <t>1536</t>
        </is>
      </c>
      <c r="B1515" s="18" t="inlineStr">
        <is>
          <t>เมื่อนำยา Glipizide ไปทำ Solid dispersion จะเกิด Crystallization</t>
        </is>
      </c>
      <c r="C1515" s="18" t="inlineStr"/>
      <c r="D1515" s="18" t="inlineStr">
        <is>
          <t>Propylthiouracil 50 mg TID</t>
        </is>
      </c>
      <c r="E1515" s="18" t="inlineStr">
        <is>
          <t>Methimazole 10 mg OD</t>
        </is>
      </c>
      <c r="F1515" s="18" t="inlineStr">
        <is>
          <t>Pioglitazone 15 mg OD</t>
        </is>
      </c>
      <c r="G1515" s="18" t="inlineStr">
        <is>
          <t>Insulin glargine 10 units SC HS</t>
        </is>
      </c>
      <c r="H1515" s="18" t="inlineStr">
        <is>
          <t>Insulin lispro 4 units SC before meals</t>
        </is>
      </c>
      <c r="I1515" s="15" t="inlineStr">
        <is>
          <t>1</t>
        </is>
      </c>
      <c r="J1515" s="1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5" s="18" t="inlineStr"/>
      <c r="L1515" s="18" t="inlineStr">
        <is>
          <t>Diabetes &amp; Endocrine</t>
        </is>
      </c>
      <c r="M1515" s="18" t="inlineStr">
        <is>
          <t>Clinic</t>
        </is>
      </c>
      <c r="N1515" s="18" t="inlineStr">
        <is>
          <t>ข้อ 1 (PLE_CC1_Key_Rx20_UBU.md)</t>
        </is>
      </c>
      <c r="O1515" s="18" t="inlineStr">
        <is>
          <t>Mock</t>
        </is>
      </c>
      <c r="P1515" s="18" t="inlineStr">
        <is>
          <t>Mock Rx20 UBU</t>
        </is>
      </c>
    </row>
    <row r="1516">
      <c r="A1516" s="15" t="inlineStr">
        <is>
          <t>1537</t>
        </is>
      </c>
      <c r="B1516" s="18" t="inlineStr">
        <is>
          <t>สัดส่วนระหว่ำง Glipizide กับ Poloxamer ใดๆ ก็สำมำรถเพิ่มกำรละลำยได้</t>
        </is>
      </c>
      <c r="C1516" s="18" t="inlineStr"/>
      <c r="D1516" s="18" t="inlineStr">
        <is>
          <t>Insulin glargine 10 units SC HS</t>
        </is>
      </c>
      <c r="E1516" s="18" t="inlineStr">
        <is>
          <t>Insulin lispro 4 units SC before meals</t>
        </is>
      </c>
      <c r="F1516" s="18" t="inlineStr">
        <is>
          <t>Dapagliflozin 10 mg OD</t>
        </is>
      </c>
      <c r="G1516" s="18" t="inlineStr">
        <is>
          <t>Semaglutide 0.5 mg SC weekly</t>
        </is>
      </c>
      <c r="H1516" s="18" t="inlineStr">
        <is>
          <t>Metformin 500 mg BID</t>
        </is>
      </c>
      <c r="I1516" s="15" t="inlineStr">
        <is>
          <t>1</t>
        </is>
      </c>
      <c r="J1516" s="1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6" s="18" t="inlineStr"/>
      <c r="L1516" s="18" t="inlineStr">
        <is>
          <t>Diabetes &amp; Endocrine</t>
        </is>
      </c>
      <c r="M1516" s="18" t="inlineStr">
        <is>
          <t>Clinic</t>
        </is>
      </c>
      <c r="N1516" s="18" t="inlineStr">
        <is>
          <t>ข้อ 2 (PLE_CC1_Key_Rx20_UBU.md)</t>
        </is>
      </c>
      <c r="O1516" s="18" t="inlineStr">
        <is>
          <t>Mock</t>
        </is>
      </c>
      <c r="P1516" s="18" t="inlineStr">
        <is>
          <t>Mock Rx20 UBU</t>
        </is>
      </c>
    </row>
    <row r="1517">
      <c r="A1517" s="15" t="inlineStr">
        <is>
          <t>1538</t>
        </is>
      </c>
      <c r="B1517" s="18" t="inlineStr">
        <is>
          <t>Solubility ของยา</t>
        </is>
      </c>
      <c r="C1517" s="18" t="inlineStr"/>
      <c r="D1517" s="18" t="inlineStr">
        <is>
          <t>Sodium thiosulfate 25% 50 mL IV</t>
        </is>
      </c>
      <c r="E1517" s="18" t="inlineStr">
        <is>
          <t>Calcium disodium EDTA 1 g IV</t>
        </is>
      </c>
      <c r="F1517" s="18" t="inlineStr">
        <is>
          <t>Desferrioxamine 1 g IM/IV</t>
        </is>
      </c>
      <c r="G1517" s="18" t="inlineStr">
        <is>
          <t>Dimercaprol (BAL) 3 mg/kg IM</t>
        </is>
      </c>
      <c r="H1517" s="18" t="inlineStr">
        <is>
          <t>Ethanol 10% IV infusion for Methanol poisoning</t>
        </is>
      </c>
      <c r="I1517" s="15" t="inlineStr">
        <is>
          <t>1</t>
        </is>
      </c>
      <c r="J15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7" s="18" t="inlineStr"/>
      <c r="L1517" s="18" t="inlineStr">
        <is>
          <t>General Therapeutics</t>
        </is>
      </c>
      <c r="M1517" s="18" t="inlineStr">
        <is>
          <t>Clinic</t>
        </is>
      </c>
      <c r="N1517" s="18" t="inlineStr">
        <is>
          <t>ข้อ 2 (PLE_CC1_Key_Rx20_UBU.md)</t>
        </is>
      </c>
      <c r="O1517" s="18" t="inlineStr">
        <is>
          <t>Mock</t>
        </is>
      </c>
      <c r="P1517" s="18" t="inlineStr">
        <is>
          <t>Mock Rx20 UBU</t>
        </is>
      </c>
    </row>
    <row r="1518">
      <c r="A1518" s="15" t="inlineStr">
        <is>
          <t>1539</t>
        </is>
      </c>
      <c r="B1518" s="18" t="inlineStr">
        <is>
          <t>Crystallization ของยา</t>
        </is>
      </c>
      <c r="C1518" s="18" t="inlineStr"/>
      <c r="D1518" s="18" t="inlineStr">
        <is>
          <t>Dimercaprol (BAL) 3 mg/kg IM</t>
        </is>
      </c>
      <c r="E1518" s="18" t="inlineStr">
        <is>
          <t>Ethanol 10% IV infusion for Methanol poisoning</t>
        </is>
      </c>
      <c r="F1518" s="18" t="inlineStr">
        <is>
          <t>Fomepizole 15 mg/kg IV loading</t>
        </is>
      </c>
      <c r="G1518" s="18" t="inlineStr">
        <is>
          <t>N-acetylcysteine (NAC) IV infusion protocol</t>
        </is>
      </c>
      <c r="H1518" s="18" t="inlineStr">
        <is>
          <t>Atropine sulfate 2 mg IV Q5-10 min</t>
        </is>
      </c>
      <c r="I1518" s="15" t="inlineStr">
        <is>
          <t>1</t>
        </is>
      </c>
      <c r="J15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8" s="18" t="inlineStr"/>
      <c r="L1518" s="18" t="inlineStr">
        <is>
          <t>General Therapeutics</t>
        </is>
      </c>
      <c r="M1518" s="18" t="inlineStr">
        <is>
          <t>Clinic</t>
        </is>
      </c>
      <c r="N1518" s="18" t="inlineStr">
        <is>
          <t>ข้อ 3 (PLE_CC1_Key_Rx20_UBU.md)</t>
        </is>
      </c>
      <c r="O1518" s="18" t="inlineStr">
        <is>
          <t>Mock</t>
        </is>
      </c>
      <c r="P1518" s="18" t="inlineStr">
        <is>
          <t>Mock Rx20 UBU</t>
        </is>
      </c>
    </row>
    <row r="1519">
      <c r="A1519" s="15" t="inlineStr">
        <is>
          <t>1540</t>
        </is>
      </c>
      <c r="B1519" s="18" t="inlineStr">
        <is>
          <t>ยาใดไม่เหมาะสมที่จะใช้บรรเทาอาการเบื้องต้นในผู้ป่วยรายนี้</t>
        </is>
      </c>
      <c r="C1519" s="18" t="inlineStr"/>
      <c r="D1519" s="18" t="inlineStr">
        <is>
          <t>N-acetylcysteine (NAC) IV infusion protocol</t>
        </is>
      </c>
      <c r="E1519" s="18" t="inlineStr">
        <is>
          <t>Atropine sulfate 2 mg IV Q5-10 min</t>
        </is>
      </c>
      <c r="F1519" s="18" t="inlineStr">
        <is>
          <t>Pralidoxime (2-PAM) 1-2 g IV over 30 min</t>
        </is>
      </c>
      <c r="G1519" s="18" t="inlineStr">
        <is>
          <t>Naloxone 0.4 mg IV stat</t>
        </is>
      </c>
      <c r="H1519" s="18" t="inlineStr">
        <is>
          <t>Flumazenil 0.2 mg IV stat</t>
        </is>
      </c>
      <c r="I1519" s="15" t="inlineStr">
        <is>
          <t>1</t>
        </is>
      </c>
      <c r="J151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9" s="18" t="inlineStr"/>
      <c r="L1519" s="18" t="inlineStr">
        <is>
          <t>General Therapeutics</t>
        </is>
      </c>
      <c r="M1519" s="18" t="inlineStr">
        <is>
          <t>Clinic</t>
        </is>
      </c>
      <c r="N1519" s="18" t="inlineStr">
        <is>
          <t>ข้อ 53 (PLE_CC1_Key_Rx20_UBU.md)</t>
        </is>
      </c>
      <c r="O1519" s="18" t="inlineStr">
        <is>
          <t>Mock</t>
        </is>
      </c>
      <c r="P1519" s="18" t="inlineStr">
        <is>
          <t>Mock Rx20 UBU</t>
        </is>
      </c>
    </row>
    <row r="1520">
      <c r="A1520" s="15" t="inlineStr">
        <is>
          <t>1541</t>
        </is>
      </c>
      <c r="B1520" s="18" t="inlineStr">
        <is>
          <t>Celecoxib Nimesulide (ซ้าย) Celecoxib (ขวา)</t>
        </is>
      </c>
      <c r="C1520" s="18" t="inlineStr"/>
      <c r="D1520" s="18" t="inlineStr">
        <is>
          <t>Febuxostat 40 mg OD</t>
        </is>
      </c>
      <c r="E1520" s="18" t="inlineStr">
        <is>
          <t>Celecoxib 200 mg OD</t>
        </is>
      </c>
      <c r="F1520" s="18" t="inlineStr">
        <is>
          <t>Methotrexate 10 mg weekly</t>
        </is>
      </c>
      <c r="G1520" s="18" t="inlineStr">
        <is>
          <t>Alendronate 70 mg weekly</t>
        </is>
      </c>
      <c r="H1520" s="18" t="inlineStr">
        <is>
          <t>Glucosamine sulfate 1500 mg OD</t>
        </is>
      </c>
      <c r="I1520" s="15" t="inlineStr">
        <is>
          <t>5</t>
        </is>
      </c>
      <c r="J1520" s="18" t="inlineStr">
        <is>
          <t>✅ คำตอบที่ถูกต้อง: ข้อ จ. Glucosamine sulfate 1500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Glucosamine sulfate 1500 mg OD การเลือก Glucosamine sulfate 1500 mg OD เป็นคำตอบที่ถูกต้องตามแนวทางการรักษามาตรฐาน เนื่องจาก เป็นเพียง dietary supplement / symptom-modifying therapy สำหรับ OA ไม่ได้จัดเป็น disease-modifying agent และ CPG สากล (ACR) ไม่แนะนำให้ใช้เป็น first-line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Guideline อ้างอิง:
[NEED_REVIEW]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1520" s="18" t="inlineStr"/>
      <c r="L1520" s="18" t="inlineStr">
        <is>
          <t>Musculoskeletal &amp; Joint</t>
        </is>
      </c>
      <c r="M1520" s="18" t="inlineStr">
        <is>
          <t>Clinic</t>
        </is>
      </c>
      <c r="N1520" s="18" t="inlineStr">
        <is>
          <t>ข้อ 5 (PLE_CC1_Key_Rx20_UBU.md)</t>
        </is>
      </c>
      <c r="O1520" s="18" t="inlineStr">
        <is>
          <t>Mock</t>
        </is>
      </c>
      <c r="P1520" s="18" t="inlineStr">
        <is>
          <t>Mock Rx20 UBU</t>
        </is>
      </c>
    </row>
    <row r="1521">
      <c r="A1521" s="15" t="inlineStr">
        <is>
          <t>1542</t>
        </is>
      </c>
      <c r="B1521" s="18" t="inlineStr">
        <is>
          <t>ข้อใดจับคู่ยากับอาการไม่พึงประสงค์ได้ถูกต้อง</t>
        </is>
      </c>
      <c r="C1521" s="18" t="inlineStr"/>
      <c r="D1521" s="18" t="inlineStr">
        <is>
          <t>Sodium thiosulfate 25% 50 mL IV</t>
        </is>
      </c>
      <c r="E1521" s="18" t="inlineStr">
        <is>
          <t>Calcium disodium EDTA 1 g IV</t>
        </is>
      </c>
      <c r="F1521" s="18" t="inlineStr">
        <is>
          <t>Desferrioxamine 1 g IM/IV</t>
        </is>
      </c>
      <c r="G1521" s="18" t="inlineStr">
        <is>
          <t>Dimercaprol (BAL) 3 mg/kg IM</t>
        </is>
      </c>
      <c r="H1521" s="18" t="inlineStr">
        <is>
          <t>Ethanol 10% IV infusion for Methanol poisoning</t>
        </is>
      </c>
      <c r="I1521" s="15" t="inlineStr">
        <is>
          <t>1</t>
        </is>
      </c>
      <c r="J15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1" s="18" t="inlineStr"/>
      <c r="L1521" s="18" t="inlineStr">
        <is>
          <t>General Therapeutics</t>
        </is>
      </c>
      <c r="M1521" s="18" t="inlineStr">
        <is>
          <t>Clinic</t>
        </is>
      </c>
      <c r="N1521" s="18" t="inlineStr">
        <is>
          <t>ข้อ 54 (PLE_CC1_Key_Rx20_UBU.md)</t>
        </is>
      </c>
      <c r="O1521" s="18" t="inlineStr">
        <is>
          <t>Mock</t>
        </is>
      </c>
      <c r="P1521" s="18" t="inlineStr">
        <is>
          <t>Mock Rx20 UBU</t>
        </is>
      </c>
    </row>
    <row r="1522">
      <c r="A1522" s="15" t="inlineStr">
        <is>
          <t>1543</t>
        </is>
      </c>
      <c r="B1522" s="18" t="inlineStr">
        <is>
          <t>Diclofenac - fluid retention</t>
        </is>
      </c>
      <c r="C1522" s="18" t="inlineStr"/>
      <c r="D1522" s="18" t="inlineStr">
        <is>
          <t>Dimercaprol (BAL) 3 mg/kg IM</t>
        </is>
      </c>
      <c r="E1522" s="18" t="inlineStr">
        <is>
          <t>Ethanol 10% IV infusion for Methanol poisoning</t>
        </is>
      </c>
      <c r="F1522" s="18" t="inlineStr">
        <is>
          <t>Fomepizole 15 mg/kg IV loading</t>
        </is>
      </c>
      <c r="G1522" s="18" t="inlineStr">
        <is>
          <t>N-acetylcysteine (NAC) IV infusion protocol</t>
        </is>
      </c>
      <c r="H1522" s="18" t="inlineStr">
        <is>
          <t>Atropine sulfate 2 mg IV Q5-10 min</t>
        </is>
      </c>
      <c r="I1522" s="15" t="inlineStr">
        <is>
          <t>1</t>
        </is>
      </c>
      <c r="J15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522" s="18" t="inlineStr"/>
      <c r="L1522" s="18" t="inlineStr">
        <is>
          <t>General Therapeutics</t>
        </is>
      </c>
      <c r="M1522" s="18" t="inlineStr">
        <is>
          <t>Clinic</t>
        </is>
      </c>
      <c r="N1522" s="18" t="inlineStr">
        <is>
          <t>ข้อ 2 (PLE_CC1_Key_Rx20_UBU.md)</t>
        </is>
      </c>
      <c r="O1522" s="18" t="inlineStr">
        <is>
          <t>Mock</t>
        </is>
      </c>
      <c r="P1522" s="18" t="inlineStr">
        <is>
          <t>Mock Rx20 UBU</t>
        </is>
      </c>
    </row>
    <row r="1523">
      <c r="A1523" s="15" t="inlineStr">
        <is>
          <t>1544</t>
        </is>
      </c>
      <c r="B1523" s="18" t="inlineStr">
        <is>
          <t>Indometacin - vasculitis</t>
        </is>
      </c>
      <c r="C1523" s="18" t="inlineStr"/>
      <c r="D1523" s="18" t="inlineStr">
        <is>
          <t>N-acetylcysteine (NAC) IV infusion protocol</t>
        </is>
      </c>
      <c r="E1523" s="18" t="inlineStr">
        <is>
          <t>Atropine sulfate 2 mg IV Q5-10 min</t>
        </is>
      </c>
      <c r="F1523" s="18" t="inlineStr">
        <is>
          <t>Pralidoxime (2-PAM) 1-2 g IV over 30 min</t>
        </is>
      </c>
      <c r="G1523" s="18" t="inlineStr">
        <is>
          <t>Naloxone 0.4 mg IV stat</t>
        </is>
      </c>
      <c r="H1523" s="18" t="inlineStr">
        <is>
          <t>Flumazenil 0.2 mg IV stat</t>
        </is>
      </c>
      <c r="I1523" s="15" t="inlineStr">
        <is>
          <t>1</t>
        </is>
      </c>
      <c r="J15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23" s="18" t="inlineStr"/>
      <c r="L1523" s="18" t="inlineStr">
        <is>
          <t>General Therapeutics</t>
        </is>
      </c>
      <c r="M1523" s="18" t="inlineStr">
        <is>
          <t>Clinic</t>
        </is>
      </c>
      <c r="N1523" s="18" t="inlineStr">
        <is>
          <t>ข้อ 3 (PLE_CC1_Key_Rx20_UBU.md)</t>
        </is>
      </c>
      <c r="O1523" s="18" t="inlineStr">
        <is>
          <t>Mock</t>
        </is>
      </c>
      <c r="P1523" s="18" t="inlineStr">
        <is>
          <t>Mock Rx20 UBU</t>
        </is>
      </c>
    </row>
    <row r="1524">
      <c r="A1524" s="15" t="inlineStr">
        <is>
          <t>1545</t>
        </is>
      </c>
      <c r="B1524" s="18" t="inlineStr">
        <is>
          <t>Ibuprofen - myolysis</t>
        </is>
      </c>
      <c r="C1524" s="18" t="inlineStr"/>
      <c r="D1524" s="18" t="inlineStr">
        <is>
          <t>Colchicine 0.6 mg OD</t>
        </is>
      </c>
      <c r="E1524" s="18" t="inlineStr">
        <is>
          <t>Naproxen 250 mg BID</t>
        </is>
      </c>
      <c r="F1524" s="18" t="inlineStr">
        <is>
          <t>Allopurinol 100 mg OD</t>
        </is>
      </c>
      <c r="G1524" s="18" t="inlineStr">
        <is>
          <t>Febuxostat 40 mg OD</t>
        </is>
      </c>
      <c r="H1524" s="18" t="inlineStr">
        <is>
          <t>Celecoxib 200 mg OD</t>
        </is>
      </c>
      <c r="I1524" s="15" t="inlineStr">
        <is>
          <t>1</t>
        </is>
      </c>
      <c r="J1524" s="18"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524" s="18" t="inlineStr"/>
      <c r="L1524" s="18" t="inlineStr">
        <is>
          <t>Musculoskeletal &amp; Joint</t>
        </is>
      </c>
      <c r="M1524" s="18" t="inlineStr">
        <is>
          <t>Clinic</t>
        </is>
      </c>
      <c r="N1524" s="18" t="inlineStr">
        <is>
          <t>ข้อ 4 (PLE_CC1_Key_Rx20_UBU.md)</t>
        </is>
      </c>
      <c r="O1524" s="18" t="inlineStr">
        <is>
          <t>Mock</t>
        </is>
      </c>
      <c r="P1524" s="18" t="inlineStr">
        <is>
          <t>Mock Rx20 UBU</t>
        </is>
      </c>
    </row>
    <row r="1525">
      <c r="A1525" s="15" t="inlineStr">
        <is>
          <t>1546</t>
        </is>
      </c>
      <c r="B1525" s="18" t="inlineStr">
        <is>
          <t>ถ้าอาการปวดยังไม่ดีขึ้น ยาใดที่เหมาะสมในการบรรเทาปวดในผู้ป่วยรายนี้</t>
        </is>
      </c>
      <c r="C1525" s="18" t="inlineStr"/>
      <c r="D1525" s="18" t="inlineStr">
        <is>
          <t>Sodium thiosulfate 25% 50 mL IV</t>
        </is>
      </c>
      <c r="E1525" s="18" t="inlineStr">
        <is>
          <t>Calcium disodium EDTA 1 g IV</t>
        </is>
      </c>
      <c r="F1525" s="18" t="inlineStr">
        <is>
          <t>Desferrioxamine 1 g IM/IV</t>
        </is>
      </c>
      <c r="G1525" s="18" t="inlineStr">
        <is>
          <t>Dimercaprol (BAL) 3 mg/kg IM</t>
        </is>
      </c>
      <c r="H1525" s="18" t="inlineStr">
        <is>
          <t>Ethanol 10% IV infusion for Methanol poisoning</t>
        </is>
      </c>
      <c r="I1525" s="15" t="inlineStr">
        <is>
          <t>1</t>
        </is>
      </c>
      <c r="J152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5" s="18" t="inlineStr"/>
      <c r="L1525" s="18" t="inlineStr">
        <is>
          <t>General Therapeutics</t>
        </is>
      </c>
      <c r="M1525" s="18" t="inlineStr">
        <is>
          <t>Clinic</t>
        </is>
      </c>
      <c r="N1525" s="18" t="inlineStr">
        <is>
          <t>ข้อ 55 (PLE_CC1_Key_Rx20_UBU.md)</t>
        </is>
      </c>
      <c r="O1525" s="18" t="inlineStr">
        <is>
          <t>Mock</t>
        </is>
      </c>
      <c r="P1525" s="18" t="inlineStr">
        <is>
          <t>Mock Rx20 UBU</t>
        </is>
      </c>
    </row>
    <row r="1526">
      <c r="A1526" s="15" t="inlineStr">
        <is>
          <t>1547</t>
        </is>
      </c>
      <c r="B1526" s="18" t="inlineStr">
        <is>
          <t>คำแนะนำในการใช้ยาข้อใดถูกต้อง</t>
        </is>
      </c>
      <c r="C1526" s="18" t="inlineStr"/>
      <c r="D1526" s="18" t="inlineStr">
        <is>
          <t>Dimercaprol (BAL) 3 mg/kg IM</t>
        </is>
      </c>
      <c r="E1526" s="18" t="inlineStr">
        <is>
          <t>Ethanol 10% IV infusion for Methanol poisoning</t>
        </is>
      </c>
      <c r="F1526" s="18" t="inlineStr">
        <is>
          <t>Fomepizole 15 mg/kg IV loading</t>
        </is>
      </c>
      <c r="G1526" s="18" t="inlineStr">
        <is>
          <t>N-acetylcysteine (NAC) IV infusion protocol</t>
        </is>
      </c>
      <c r="H1526" s="18" t="inlineStr">
        <is>
          <t>Atropine sulfate 2 mg IV Q5-10 min</t>
        </is>
      </c>
      <c r="I1526" s="15" t="inlineStr">
        <is>
          <t>1</t>
        </is>
      </c>
      <c r="J15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6" s="18" t="inlineStr"/>
      <c r="L1526" s="18" t="inlineStr">
        <is>
          <t>General Therapeutics</t>
        </is>
      </c>
      <c r="M1526" s="18" t="inlineStr">
        <is>
          <t>Clinic</t>
        </is>
      </c>
      <c r="N1526" s="18" t="inlineStr">
        <is>
          <t>ข้อ 56 (PLE_CC1_Key_Rx20_UBU.md)</t>
        </is>
      </c>
      <c r="O1526" s="18" t="inlineStr">
        <is>
          <t>Mock</t>
        </is>
      </c>
      <c r="P1526" s="18" t="inlineStr">
        <is>
          <t>Mock Rx20 UBU</t>
        </is>
      </c>
    </row>
    <row r="1527">
      <c r="A1527" s="15" t="inlineStr">
        <is>
          <t>1548</t>
        </is>
      </c>
      <c r="B1527" s="18" t="inlineStr">
        <is>
          <t>รับประทาน calcium carbonate ก่อนอาหาร</t>
        </is>
      </c>
      <c r="C1527" s="18" t="inlineStr"/>
      <c r="D1527" s="18" t="inlineStr">
        <is>
          <t>Kayexalate (Sodium polystyrene sulfonate) 15 g TID</t>
        </is>
      </c>
      <c r="E1527" s="18" t="inlineStr">
        <is>
          <t>Calcium gluconate 10% 10 mL IV over 5 min</t>
        </is>
      </c>
      <c r="F1527" s="18" t="inlineStr">
        <is>
          <t>Furosemide 40 mg IV/PO OD</t>
        </is>
      </c>
      <c r="G1527" s="18" t="inlineStr">
        <is>
          <t>Erythropoietin (EPO) 4000 units SC weekly</t>
        </is>
      </c>
      <c r="H1527" s="18" t="inlineStr">
        <is>
          <t>Calcitriol 0.25 mcg OD</t>
        </is>
      </c>
      <c r="I1527" s="15" t="inlineStr">
        <is>
          <t>1</t>
        </is>
      </c>
      <c r="J1527" s="18" t="inlineStr">
        <is>
          <t>✅ คำตอบที่ถูกต้อง: ข้อ ก. Kayexalate (Sodium polystyrene sulfonate) 15 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ข้อ จ. (Calcitriol 0.25 mcg OD):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527" s="18" t="inlineStr"/>
      <c r="L1527" s="18" t="inlineStr">
        <is>
          <t>Renal Diseases</t>
        </is>
      </c>
      <c r="M1527" s="18" t="inlineStr">
        <is>
          <t>Clinic</t>
        </is>
      </c>
      <c r="N1527" s="18" t="inlineStr">
        <is>
          <t>ข้อ 3 (PLE_CC1_Key_Rx20_UBU.md)</t>
        </is>
      </c>
      <c r="O1527" s="18" t="inlineStr">
        <is>
          <t>Mock</t>
        </is>
      </c>
      <c r="P1527" s="18" t="inlineStr">
        <is>
          <t>Mock Rx20 UBU</t>
        </is>
      </c>
    </row>
    <row r="1528">
      <c r="A1528" s="15" t="inlineStr">
        <is>
          <t>1549</t>
        </is>
      </c>
      <c r="B1528" s="18" t="inlineStr">
        <is>
          <t>ผู้ป่วยรายนี้ควรได้รับยาคลายกล้ามเนื้อเพิ่มเติม ขนาดที่เเนะนำ คือ 1,500 mg/day</t>
        </is>
      </c>
      <c r="C1528" s="18" t="inlineStr"/>
      <c r="D1528" s="18" t="inlineStr">
        <is>
          <t>Naloxone 0.4 mg IV stat</t>
        </is>
      </c>
      <c r="E1528" s="18" t="inlineStr">
        <is>
          <t>Flumazenil 0.2 mg IV stat</t>
        </is>
      </c>
      <c r="F1528" s="18" t="inlineStr">
        <is>
          <t>Vitamin K1 (Phytomenadione) 10 mg IV slow</t>
        </is>
      </c>
      <c r="G1528" s="18" t="inlineStr">
        <is>
          <t>Sodium thiosulfate 25% 50 mL IV</t>
        </is>
      </c>
      <c r="H1528" s="18" t="inlineStr">
        <is>
          <t>Calcium disodium EDTA 1 g IV</t>
        </is>
      </c>
      <c r="I1528" s="15" t="inlineStr">
        <is>
          <t>3</t>
        </is>
      </c>
      <c r="J1528" s="18"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8" s="18" t="inlineStr"/>
      <c r="L1528" s="18" t="inlineStr">
        <is>
          <t>General Therapeutics</t>
        </is>
      </c>
      <c r="M1528" s="18" t="inlineStr">
        <is>
          <t>Clinic</t>
        </is>
      </c>
      <c r="N1528" s="18" t="inlineStr">
        <is>
          <t>ข้อ 5 (PLE_CC1_Key_Rx20_UBU.md)</t>
        </is>
      </c>
      <c r="O1528" s="18" t="inlineStr">
        <is>
          <t>Mock</t>
        </is>
      </c>
      <c r="P1528" s="18" t="inlineStr">
        <is>
          <t>Mock Rx20 UBU</t>
        </is>
      </c>
    </row>
    <row r="1529">
      <c r="A1529" s="15" t="inlineStr">
        <is>
          <t>1550</t>
        </is>
      </c>
      <c r="B1529" s="18" t="inlineStr">
        <is>
          <t>ผู้ป่วยรับประทาน CaCO3 ขนาด 1,000 mg 1 เม็ดวันละ 2 ครั้งจะได้ปริมาณ Ca ต่อวันเท่าใด (คำนวณ Calcium element)</t>
        </is>
      </c>
      <c r="C1529" s="18" t="inlineStr"/>
      <c r="D1529" s="18" t="inlineStr">
        <is>
          <t>Osmolarity (mOsmol/L) calculation</t>
        </is>
      </c>
      <c r="E1529" s="18" t="inlineStr">
        <is>
          <t>Sodium Chloride Equivalent (E-value) Isotonic adjustment</t>
        </is>
      </c>
      <c r="F1529" s="18" t="inlineStr">
        <is>
          <t>Creatinine Clearance via Cockcroft-Gault Equation</t>
        </is>
      </c>
      <c r="G1529" s="18" t="inlineStr">
        <is>
          <t>Body Surface Area (BSA) via Mosteller formula</t>
        </is>
      </c>
      <c r="H1529" s="18" t="inlineStr">
        <is>
          <t>Pediatric dose calculation via Clark / Young rule</t>
        </is>
      </c>
      <c r="I1529" s="15" t="inlineStr">
        <is>
          <t>1</t>
        </is>
      </c>
      <c r="J1529" s="18"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9" s="18" t="inlineStr"/>
      <c r="L1529" s="18" t="inlineStr">
        <is>
          <t>Pharmaceutical Calculations</t>
        </is>
      </c>
      <c r="M1529" s="18" t="inlineStr">
        <is>
          <t>Product</t>
        </is>
      </c>
      <c r="N1529" s="18" t="inlineStr">
        <is>
          <t>ข้อ 57 (PLE_CC1_Key_Rx20_UBU.md)</t>
        </is>
      </c>
      <c r="O1529" s="18" t="inlineStr">
        <is>
          <t>Mock</t>
        </is>
      </c>
      <c r="P1529" s="18" t="inlineStr">
        <is>
          <t>Mock Rx20 UBU</t>
        </is>
      </c>
    </row>
    <row r="1530">
      <c r="A1530" s="15" t="inlineStr">
        <is>
          <t>1551</t>
        </is>
      </c>
      <c r="B1530" s="18" t="inlineStr">
        <is>
          <t>800 mg CaCO3 40% elemental calcium = 40% 2000 mg =800 mg</t>
        </is>
      </c>
      <c r="C1530" s="18" t="inlineStr"/>
      <c r="D1530" s="18" t="inlineStr">
        <is>
          <t>Dimercaprol (BAL) 3 mg/kg IM</t>
        </is>
      </c>
      <c r="E1530" s="18" t="inlineStr">
        <is>
          <t>Ethanol 10% IV infusion for Methanol poisoning</t>
        </is>
      </c>
      <c r="F1530" s="18" t="inlineStr">
        <is>
          <t>Fomepizole 15 mg/kg IV loading</t>
        </is>
      </c>
      <c r="G1530" s="18" t="inlineStr">
        <is>
          <t>N-acetylcysteine (NAC) IV infusion protocol</t>
        </is>
      </c>
      <c r="H1530" s="18" t="inlineStr">
        <is>
          <t>Atropine sulfate 2 mg IV Q5-10 min</t>
        </is>
      </c>
      <c r="I1530" s="15" t="inlineStr">
        <is>
          <t>1</t>
        </is>
      </c>
      <c r="J15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0" s="18" t="inlineStr"/>
      <c r="L1530" s="18" t="inlineStr">
        <is>
          <t>General Therapeutics</t>
        </is>
      </c>
      <c r="M1530" s="18" t="inlineStr">
        <is>
          <t>Clinic</t>
        </is>
      </c>
      <c r="N1530" s="18" t="inlineStr">
        <is>
          <t>ข้อ 5 (PLE_CC1_Key_Rx20_UBU.md)</t>
        </is>
      </c>
      <c r="O1530" s="18" t="inlineStr">
        <is>
          <t>Mock</t>
        </is>
      </c>
      <c r="P1530" s="18" t="inlineStr">
        <is>
          <t>Mock Rx20 UBU</t>
        </is>
      </c>
    </row>
    <row r="1531">
      <c r="A1531" s="15" t="inlineStr">
        <is>
          <t>1552</t>
        </is>
      </c>
      <c r="B1531" s="18" t="inlineStr">
        <is>
          <t>ยาควบคุมพิเศษใช้เฉพะในโรงพยาบาล</t>
        </is>
      </c>
      <c r="C1531" s="18" t="inlineStr"/>
      <c r="D1531" s="18" t="inlineStr">
        <is>
          <t>พ.ร.บ. หลักประกันสุขภาพแห่งชาติ พ.ศ. 2545</t>
        </is>
      </c>
      <c r="E1531" s="18" t="inlineStr">
        <is>
          <t>การปฏิบัติทางเภสัชกรรมชุมชน (Good Pharmacy Practice: GPP)</t>
        </is>
      </c>
      <c r="F1531" s="18" t="inlineStr">
        <is>
          <t>บัญชียาหลักแห่งชาติ (National List of Essential Medicines: NLEM)</t>
        </is>
      </c>
      <c r="G1531" s="18" t="inlineStr">
        <is>
          <t>เกณฑ์จริยธรรมว่าด้วยการส่งเสริมการขายยาของกระทรวงสาธารณสุข</t>
        </is>
      </c>
      <c r="H1531" s="18" t="inlineStr">
        <is>
          <t>พ.ร.บ. ยา พ.ศ. 2510 (การจำหน่ายยาอันตรายและยาควบคุมพิเศษ)</t>
        </is>
      </c>
      <c r="I1531" s="15" t="inlineStr">
        <is>
          <t>1</t>
        </is>
      </c>
      <c r="J153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1" s="18" t="inlineStr"/>
      <c r="L1531" s="18" t="inlineStr">
        <is>
          <t>Pharmacy Laws &amp; Ethics</t>
        </is>
      </c>
      <c r="M1531" s="18" t="inlineStr">
        <is>
          <t>SAP</t>
        </is>
      </c>
      <c r="N1531" s="18" t="inlineStr">
        <is>
          <t>ข้อ 3 (PLE_CC1_Key_Rx20_UBU.md)</t>
        </is>
      </c>
      <c r="O1531" s="18" t="inlineStr">
        <is>
          <t>Mock</t>
        </is>
      </c>
      <c r="P1531" s="18" t="inlineStr">
        <is>
          <t>Mock Rx20 UBU</t>
        </is>
      </c>
    </row>
    <row r="1532">
      <c r="A1532" s="15" t="inlineStr">
        <is>
          <t>1553</t>
        </is>
      </c>
      <c r="B1532" s="18" t="inlineStr">
        <is>
          <t>อาหารควบคุมเฉพาะ 59.คำแนะนำข้อใดไม่ถูกต้องสำหรับผู้ป่วยรายนี้</t>
        </is>
      </c>
      <c r="C1532" s="18" t="inlineStr"/>
      <c r="D1532" s="18" t="inlineStr">
        <is>
          <t>Naloxone 0.4 mg IV stat</t>
        </is>
      </c>
      <c r="E1532" s="18" t="inlineStr">
        <is>
          <t>Flumazenil 0.2 mg IV stat</t>
        </is>
      </c>
      <c r="F1532" s="18" t="inlineStr">
        <is>
          <t>Vitamin K1 (Phytomenadione) 10 mg IV slow</t>
        </is>
      </c>
      <c r="G1532" s="18" t="inlineStr">
        <is>
          <t>Sodium thiosulfate 25% 50 mL IV</t>
        </is>
      </c>
      <c r="H1532" s="18" t="inlineStr">
        <is>
          <t>Calcium disodium EDTA 1 g IV</t>
        </is>
      </c>
      <c r="I1532" s="15" t="inlineStr">
        <is>
          <t>1</t>
        </is>
      </c>
      <c r="J15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2" s="18" t="inlineStr"/>
      <c r="L1532" s="18" t="inlineStr">
        <is>
          <t>General Therapeutics</t>
        </is>
      </c>
      <c r="M1532" s="18" t="inlineStr">
        <is>
          <t>Clinic</t>
        </is>
      </c>
      <c r="N1532" s="18" t="inlineStr">
        <is>
          <t>ข้อ 5 (PLE_CC1_Key_Rx20_UBU.md)</t>
        </is>
      </c>
      <c r="O1532" s="18" t="inlineStr">
        <is>
          <t>Mock</t>
        </is>
      </c>
      <c r="P1532" s="18" t="inlineStr">
        <is>
          <t>Mock Rx20 UBU</t>
        </is>
      </c>
    </row>
    <row r="1533">
      <c r="A1533" s="15" t="inlineStr">
        <is>
          <t>1554</t>
        </is>
      </c>
      <c r="B1533" s="18" t="inlineStr">
        <is>
          <t>หลีกเลี่ยงอาหารที่มี purine สูง เช่น หน่อไม้ดอง ยอดผัก</t>
        </is>
      </c>
      <c r="C1533" s="18" t="inlineStr"/>
      <c r="D1533" s="18" t="inlineStr">
        <is>
          <t>Sodium thiosulfate 25% 50 mL IV</t>
        </is>
      </c>
      <c r="E1533" s="18" t="inlineStr">
        <is>
          <t>Calcium disodium EDTA 1 g IV</t>
        </is>
      </c>
      <c r="F1533" s="18" t="inlineStr">
        <is>
          <t>Desferrioxamine 1 g IM/IV</t>
        </is>
      </c>
      <c r="G1533" s="18" t="inlineStr">
        <is>
          <t>Dimercaprol (BAL) 3 mg/kg IM</t>
        </is>
      </c>
      <c r="H1533" s="18" t="inlineStr">
        <is>
          <t>Ethanol 10% IV infusion for Methanol poisoning</t>
        </is>
      </c>
      <c r="I1533" s="15" t="inlineStr">
        <is>
          <t>1</t>
        </is>
      </c>
      <c r="J15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3" s="18" t="inlineStr"/>
      <c r="L1533" s="18" t="inlineStr">
        <is>
          <t>General Therapeutics</t>
        </is>
      </c>
      <c r="M1533" s="18" t="inlineStr">
        <is>
          <t>Clinic</t>
        </is>
      </c>
      <c r="N1533" s="18" t="inlineStr">
        <is>
          <t>ข้อ 3 (PLE_CC1_Key_Rx20_UBU.md)</t>
        </is>
      </c>
      <c r="O1533" s="18" t="inlineStr">
        <is>
          <t>Mock</t>
        </is>
      </c>
      <c r="P1533" s="18" t="inlineStr">
        <is>
          <t>Mock Rx20 UBU</t>
        </is>
      </c>
    </row>
    <row r="1534">
      <c r="A1534" s="15" t="inlineStr">
        <is>
          <t>1555</t>
        </is>
      </c>
      <c r="B1534" s="18" t="inlineStr">
        <is>
          <t>ควรหลีกเลี่ยงการยกของหนัก</t>
        </is>
      </c>
      <c r="C1534" s="18" t="inlineStr"/>
      <c r="D1534" s="18" t="inlineStr">
        <is>
          <t>Dimercaprol (BAL) 3 mg/kg IM</t>
        </is>
      </c>
      <c r="E1534" s="18" t="inlineStr">
        <is>
          <t>Ethanol 10% IV infusion for Methanol poisoning</t>
        </is>
      </c>
      <c r="F1534" s="18" t="inlineStr">
        <is>
          <t>Fomepizole 15 mg/kg IV loading</t>
        </is>
      </c>
      <c r="G1534" s="18" t="inlineStr">
        <is>
          <t>N-acetylcysteine (NAC) IV infusion protocol</t>
        </is>
      </c>
      <c r="H1534" s="18" t="inlineStr">
        <is>
          <t>Atropine sulfate 2 mg IV Q5-10 min</t>
        </is>
      </c>
      <c r="I1534" s="15" t="inlineStr">
        <is>
          <t>1</t>
        </is>
      </c>
      <c r="J15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4" s="18" t="inlineStr"/>
      <c r="L1534" s="18" t="inlineStr">
        <is>
          <t>General Therapeutics</t>
        </is>
      </c>
      <c r="M1534" s="18" t="inlineStr">
        <is>
          <t>Clinic</t>
        </is>
      </c>
      <c r="N1534" s="18" t="inlineStr">
        <is>
          <t>ข้อ 4 (PLE_CC1_Key_Rx20_UBU.md)</t>
        </is>
      </c>
      <c r="O1534" s="18" t="inlineStr">
        <is>
          <t>Mock</t>
        </is>
      </c>
      <c r="P1534" s="18" t="inlineStr">
        <is>
          <t>Mock Rx20 UBU</t>
        </is>
      </c>
    </row>
    <row r="1535">
      <c r="A1535" s="15" t="inlineStr">
        <is>
          <t>1556</t>
        </is>
      </c>
      <c r="B1535" s="18" t="inlineStr">
        <is>
          <t>ควรออกกำลังกายด้วยการว่ายน้ำ</t>
        </is>
      </c>
      <c r="C1535" s="18" t="inlineStr"/>
      <c r="D1535" s="18" t="inlineStr">
        <is>
          <t>N-acetylcysteine (NAC) IV infusion protocol</t>
        </is>
      </c>
      <c r="E1535" s="18" t="inlineStr">
        <is>
          <t>Atropine sulfate 2 mg IV Q5-10 min</t>
        </is>
      </c>
      <c r="F1535" s="18" t="inlineStr">
        <is>
          <t>Pralidoxime (2-PAM) 1-2 g IV over 30 min</t>
        </is>
      </c>
      <c r="G1535" s="18" t="inlineStr">
        <is>
          <t>Naloxone 0.4 mg IV stat</t>
        </is>
      </c>
      <c r="H1535" s="18" t="inlineStr">
        <is>
          <t>Flumazenil 0.2 mg IV stat</t>
        </is>
      </c>
      <c r="I1535" s="15" t="inlineStr">
        <is>
          <t>1</t>
        </is>
      </c>
      <c r="J15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5" s="18" t="inlineStr"/>
      <c r="L1535" s="18" t="inlineStr">
        <is>
          <t>General Therapeutics</t>
        </is>
      </c>
      <c r="M1535" s="18" t="inlineStr">
        <is>
          <t>Clinic</t>
        </is>
      </c>
      <c r="N1535" s="18" t="inlineStr">
        <is>
          <t>ข้อ 5 (PLE_CC1_Key_Rx20_UBU.md)</t>
        </is>
      </c>
      <c r="O1535" s="18" t="inlineStr">
        <is>
          <t>Mock</t>
        </is>
      </c>
      <c r="P1535" s="18" t="inlineStr">
        <is>
          <t>Mock Rx20 UBU</t>
        </is>
      </c>
    </row>
    <row r="1536">
      <c r="A1536" s="15" t="inlineStr">
        <is>
          <t>1557</t>
        </is>
      </c>
      <c r="B1536" s="18" t="inlineStr">
        <is>
          <t>ความหนืดของวัฏภาคน้ำมันมากเกินไป</t>
        </is>
      </c>
      <c r="C1536" s="18" t="inlineStr"/>
      <c r="D1536" s="18" t="inlineStr">
        <is>
          <t>Naloxone 0.4 mg IV stat</t>
        </is>
      </c>
      <c r="E1536" s="18" t="inlineStr">
        <is>
          <t>Flumazenil 0.2 mg IV stat</t>
        </is>
      </c>
      <c r="F1536" s="18" t="inlineStr">
        <is>
          <t>Vitamin K1 (Phytomenadione) 10 mg IV slow</t>
        </is>
      </c>
      <c r="G1536" s="18" t="inlineStr">
        <is>
          <t>Sodium thiosulfate 25% 50 mL IV</t>
        </is>
      </c>
      <c r="H1536" s="18" t="inlineStr">
        <is>
          <t>Calcium disodium EDTA 1 g IV</t>
        </is>
      </c>
      <c r="I1536" s="15" t="inlineStr">
        <is>
          <t>1</t>
        </is>
      </c>
      <c r="J15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6" s="18" t="inlineStr"/>
      <c r="L1536" s="18" t="inlineStr">
        <is>
          <t>General Therapeutics</t>
        </is>
      </c>
      <c r="M1536" s="18" t="inlineStr">
        <is>
          <t>Clinic</t>
        </is>
      </c>
      <c r="N1536" s="18" t="inlineStr">
        <is>
          <t>ข้อ 1 (PLE_CC1_Key_Rx20_UBU.md)</t>
        </is>
      </c>
      <c r="O1536" s="18" t="inlineStr">
        <is>
          <t>Mock</t>
        </is>
      </c>
      <c r="P1536" s="18" t="inlineStr">
        <is>
          <t>Mock Rx20 UBU</t>
        </is>
      </c>
    </row>
    <row r="1537">
      <c r="A1537" s="15" t="inlineStr">
        <is>
          <t>1558</t>
        </is>
      </c>
      <c r="B1537" s="18" t="inlineStr">
        <is>
          <t>ความหนาแน่นของวัฏภาคน้ำและน้ำมันต่างกันมากเกินไป</t>
        </is>
      </c>
      <c r="C1537" s="18" t="inlineStr"/>
      <c r="D1537" s="18" t="inlineStr">
        <is>
          <t>Sodium thiosulfate 25% 50 mL IV</t>
        </is>
      </c>
      <c r="E1537" s="18" t="inlineStr">
        <is>
          <t>Calcium disodium EDTA 1 g IV</t>
        </is>
      </c>
      <c r="F1537" s="18" t="inlineStr">
        <is>
          <t>Desferrioxamine 1 g IM/IV</t>
        </is>
      </c>
      <c r="G1537" s="18" t="inlineStr">
        <is>
          <t>Dimercaprol (BAL) 3 mg/kg IM</t>
        </is>
      </c>
      <c r="H1537" s="18" t="inlineStr">
        <is>
          <t>Ethanol 10% IV infusion for Methanol poisoning</t>
        </is>
      </c>
      <c r="I1537" s="15" t="inlineStr">
        <is>
          <t>1</t>
        </is>
      </c>
      <c r="J15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7" s="18" t="inlineStr"/>
      <c r="L1537" s="18" t="inlineStr">
        <is>
          <t>General Therapeutics</t>
        </is>
      </c>
      <c r="M1537" s="18" t="inlineStr">
        <is>
          <t>Clinic</t>
        </is>
      </c>
      <c r="N1537" s="18" t="inlineStr">
        <is>
          <t>ข้อ 2 (PLE_CC1_Key_Rx20_UBU.md)</t>
        </is>
      </c>
      <c r="O1537" s="18" t="inlineStr">
        <is>
          <t>Mock</t>
        </is>
      </c>
      <c r="P1537" s="18" t="inlineStr">
        <is>
          <t>Mock Rx20 UBU</t>
        </is>
      </c>
    </row>
    <row r="1538">
      <c r="A1538" s="15" t="inlineStr">
        <is>
          <t>1559</t>
        </is>
      </c>
      <c r="B1538" s="18" t="inlineStr">
        <is>
          <t>Emulsifier ในตำรับน้อยเกินไป</t>
        </is>
      </c>
      <c r="C1538" s="18" t="inlineStr"/>
      <c r="D1538" s="18" t="inlineStr">
        <is>
          <t>Dimercaprol (BAL) 3 mg/kg IM</t>
        </is>
      </c>
      <c r="E1538" s="18" t="inlineStr">
        <is>
          <t>Ethanol 10% IV infusion for Methanol poisoning</t>
        </is>
      </c>
      <c r="F1538" s="18" t="inlineStr">
        <is>
          <t>Fomepizole 15 mg/kg IV loading</t>
        </is>
      </c>
      <c r="G1538" s="18" t="inlineStr">
        <is>
          <t>N-acetylcysteine (NAC) IV infusion protocol</t>
        </is>
      </c>
      <c r="H1538" s="18" t="inlineStr">
        <is>
          <t>Atropine sulfate 2 mg IV Q5-10 min</t>
        </is>
      </c>
      <c r="I1538" s="15" t="inlineStr">
        <is>
          <t>1</t>
        </is>
      </c>
      <c r="J15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8" s="18" t="inlineStr"/>
      <c r="L1538" s="18" t="inlineStr">
        <is>
          <t>General Therapeutics</t>
        </is>
      </c>
      <c r="M1538" s="18" t="inlineStr">
        <is>
          <t>Clinic</t>
        </is>
      </c>
      <c r="N1538" s="18" t="inlineStr">
        <is>
          <t>ข้อ 3 (PLE_CC1_Key_Rx20_UBU.md)</t>
        </is>
      </c>
      <c r="O1538" s="18" t="inlineStr">
        <is>
          <t>Mock</t>
        </is>
      </c>
      <c r="P1538" s="18" t="inlineStr">
        <is>
          <t>Mock Rx20 UBU</t>
        </is>
      </c>
    </row>
    <row r="1539">
      <c r="A1539" s="15" t="inlineStr">
        <is>
          <t>1560</t>
        </is>
      </c>
      <c r="B1539" s="18" t="inlineStr">
        <is>
          <t>pastule</t>
        </is>
      </c>
      <c r="C1539" s="18" t="inlineStr"/>
      <c r="D1539" s="18" t="inlineStr">
        <is>
          <t>N-acetylcysteine (NAC) IV infusion protocol</t>
        </is>
      </c>
      <c r="E1539" s="18" t="inlineStr">
        <is>
          <t>Atropine sulfate 2 mg IV Q5-10 min</t>
        </is>
      </c>
      <c r="F1539" s="18" t="inlineStr">
        <is>
          <t>Pralidoxime (2-PAM) 1-2 g IV over 30 min</t>
        </is>
      </c>
      <c r="G1539" s="18" t="inlineStr">
        <is>
          <t>Naloxone 0.4 mg IV stat</t>
        </is>
      </c>
      <c r="H1539" s="18" t="inlineStr">
        <is>
          <t>Flumazenil 0.2 mg IV stat</t>
        </is>
      </c>
      <c r="I1539" s="15" t="inlineStr">
        <is>
          <t>1</t>
        </is>
      </c>
      <c r="J15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9" s="18" t="inlineStr"/>
      <c r="L1539" s="18" t="inlineStr">
        <is>
          <t>General Therapeutics</t>
        </is>
      </c>
      <c r="M1539" s="18" t="inlineStr">
        <is>
          <t>Clinic</t>
        </is>
      </c>
      <c r="N1539" s="18" t="inlineStr">
        <is>
          <t>ข้อ 5 (PLE_CC1_Key_Rx20_UBU.md)</t>
        </is>
      </c>
      <c r="O1539" s="18" t="inlineStr">
        <is>
          <t>Mock</t>
        </is>
      </c>
      <c r="P1539" s="18" t="inlineStr">
        <is>
          <t>Mock Rx20 UBU</t>
        </is>
      </c>
    </row>
    <row r="1540">
      <c r="A1540" s="15" t="inlineStr">
        <is>
          <t>1561</t>
        </is>
      </c>
      <c r="B1540" s="18" t="inlineStr">
        <is>
          <t>ยับยั้ง protein synthesis ที่ 30s</t>
        </is>
      </c>
      <c r="C1540" s="18" t="inlineStr"/>
      <c r="D1540" s="18" t="inlineStr">
        <is>
          <t>Lyophilization (Freeze-drying) with Trehalose Cryoprotectant</t>
        </is>
      </c>
      <c r="E1540" s="18" t="inlineStr">
        <is>
          <t>ELISA Immunoassay for protein quantification</t>
        </is>
      </c>
      <c r="F1540" s="18" t="inlineStr">
        <is>
          <t>SDS-PAGE Gel Electrophoresis purity analysis</t>
        </is>
      </c>
      <c r="G1540" s="18" t="inlineStr">
        <is>
          <t>Isoelectric Focusing (IEF) for charge heterogeneity</t>
        </is>
      </c>
      <c r="H1540" s="18" t="inlineStr">
        <is>
          <t>Immunogenicity Neutralizing Antibody Assay</t>
        </is>
      </c>
      <c r="I1540" s="15" t="inlineStr">
        <is>
          <t>1</t>
        </is>
      </c>
      <c r="J1540" s="18"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0" s="18" t="inlineStr"/>
      <c r="L1540" s="18" t="inlineStr">
        <is>
          <t>Biotech Products</t>
        </is>
      </c>
      <c r="M1540" s="18" t="inlineStr">
        <is>
          <t>Product</t>
        </is>
      </c>
      <c r="N1540" s="18" t="inlineStr">
        <is>
          <t>ข้อ 1 (PLE_CC1_Key_Rx20_UBU.md)</t>
        </is>
      </c>
      <c r="O1540" s="18" t="inlineStr">
        <is>
          <t>Mock</t>
        </is>
      </c>
      <c r="P1540" s="18" t="inlineStr">
        <is>
          <t>Mock Rx20 UBU</t>
        </is>
      </c>
    </row>
    <row r="1541">
      <c r="A1541" s="15" t="inlineStr">
        <is>
          <t>1562</t>
        </is>
      </c>
      <c r="B1541" s="18" t="inlineStr">
        <is>
          <t>ยับยั้ง protein synthesis ที่ 50s</t>
        </is>
      </c>
      <c r="C1541" s="18" t="inlineStr"/>
      <c r="D1541" s="18" t="inlineStr">
        <is>
          <t>Isoelectric Focusing (IEF) for charge heterogeneity</t>
        </is>
      </c>
      <c r="E1541" s="18" t="inlineStr">
        <is>
          <t>Immunogenicity Neutralizing Antibody Assay</t>
        </is>
      </c>
      <c r="F1541" s="18" t="inlineStr">
        <is>
          <t>Polysorbate 20 surfactant to prevent protein aggregation</t>
        </is>
      </c>
      <c r="G1541" s="18" t="inlineStr">
        <is>
          <t>Histidine Buffer pH 6.0 formulation stability</t>
        </is>
      </c>
      <c r="H1541" s="18" t="inlineStr">
        <is>
          <t>Recombinant DNA Human Insulin in E. coli</t>
        </is>
      </c>
      <c r="I1541" s="15" t="inlineStr">
        <is>
          <t>1</t>
        </is>
      </c>
      <c r="J1541" s="1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1" s="18" t="inlineStr"/>
      <c r="L1541" s="18" t="inlineStr">
        <is>
          <t>Biotech Products</t>
        </is>
      </c>
      <c r="M1541" s="18" t="inlineStr">
        <is>
          <t>Product</t>
        </is>
      </c>
      <c r="N1541" s="18" t="inlineStr">
        <is>
          <t>ข้อ 2 (PLE_CC1_Key_Rx20_UBU.md)</t>
        </is>
      </c>
      <c r="O1541" s="18" t="inlineStr">
        <is>
          <t>Mock</t>
        </is>
      </c>
      <c r="P1541" s="18" t="inlineStr">
        <is>
          <t>Mock Rx20 UBU</t>
        </is>
      </c>
    </row>
    <row r="1542">
      <c r="A1542" s="15" t="inlineStr">
        <is>
          <t>1563</t>
        </is>
      </c>
      <c r="B1542" s="18" t="inlineStr">
        <is>
          <t>ยับยั้งกำรสังเครำะห์ผนังเซลล์ของแบคทีเรีย</t>
        </is>
      </c>
      <c r="C1542" s="18" t="inlineStr"/>
      <c r="D1542" s="18" t="inlineStr">
        <is>
          <t>Dimercaprol (BAL) 3 mg/kg IM</t>
        </is>
      </c>
      <c r="E1542" s="18" t="inlineStr">
        <is>
          <t>Ethanol 10% IV infusion for Methanol poisoning</t>
        </is>
      </c>
      <c r="F1542" s="18" t="inlineStr">
        <is>
          <t>Fomepizole 15 mg/kg IV loading</t>
        </is>
      </c>
      <c r="G1542" s="18" t="inlineStr">
        <is>
          <t>N-acetylcysteine (NAC) IV infusion protocol</t>
        </is>
      </c>
      <c r="H1542" s="18" t="inlineStr">
        <is>
          <t>Atropine sulfate 2 mg IV Q5-10 min</t>
        </is>
      </c>
      <c r="I1542" s="15" t="inlineStr">
        <is>
          <t>1</t>
        </is>
      </c>
      <c r="J15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2" s="18" t="inlineStr"/>
      <c r="L1542" s="18" t="inlineStr">
        <is>
          <t>General Therapeutics</t>
        </is>
      </c>
      <c r="M1542" s="18" t="inlineStr">
        <is>
          <t>Clinic</t>
        </is>
      </c>
      <c r="N1542" s="18" t="inlineStr">
        <is>
          <t>ข้อ 3 (PLE_CC1_Key_Rx20_UBU.md)</t>
        </is>
      </c>
      <c r="O1542" s="18" t="inlineStr">
        <is>
          <t>Mock</t>
        </is>
      </c>
      <c r="P1542" s="18" t="inlineStr">
        <is>
          <t>Mock Rx20 UBU</t>
        </is>
      </c>
    </row>
    <row r="1543">
      <c r="A1543" s="15" t="inlineStr">
        <is>
          <t>1564</t>
        </is>
      </c>
      <c r="B1543" s="18" t="inlineStr">
        <is>
          <t>ยับยั้งกำรสังเครำะห์RNA ของแบคทีเรีย</t>
        </is>
      </c>
      <c r="C1543" s="18" t="inlineStr"/>
      <c r="D1543" s="18" t="inlineStr">
        <is>
          <t>N-acetylcysteine (NAC) IV infusion protocol</t>
        </is>
      </c>
      <c r="E1543" s="18" t="inlineStr">
        <is>
          <t>Atropine sulfate 2 mg IV Q5-10 min</t>
        </is>
      </c>
      <c r="F1543" s="18" t="inlineStr">
        <is>
          <t>Pralidoxime (2-PAM) 1-2 g IV over 30 min</t>
        </is>
      </c>
      <c r="G1543" s="18" t="inlineStr">
        <is>
          <t>Naloxone 0.4 mg IV stat</t>
        </is>
      </c>
      <c r="H1543" s="18" t="inlineStr">
        <is>
          <t>Flumazenil 0.2 mg IV stat</t>
        </is>
      </c>
      <c r="I1543" s="15" t="inlineStr">
        <is>
          <t>1</t>
        </is>
      </c>
      <c r="J15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43" s="18" t="inlineStr"/>
      <c r="L1543" s="18" t="inlineStr">
        <is>
          <t>General Therapeutics</t>
        </is>
      </c>
      <c r="M1543" s="18" t="inlineStr">
        <is>
          <t>Clinic</t>
        </is>
      </c>
      <c r="N1543" s="18" t="inlineStr">
        <is>
          <t>ข้อ 4 (PLE_CC1_Key_Rx20_UBU.md)</t>
        </is>
      </c>
      <c r="O1543" s="18" t="inlineStr">
        <is>
          <t>Mock</t>
        </is>
      </c>
      <c r="P1543" s="18" t="inlineStr">
        <is>
          <t>Mock Rx20 UBU</t>
        </is>
      </c>
    </row>
    <row r="1544">
      <c r="A1544" s="15" t="inlineStr">
        <is>
          <t>1565</t>
        </is>
      </c>
      <c r="B1544" s="18" t="inlineStr">
        <is>
          <t>ขายได้ในร้านยาโดยไม่ต้องมีใบสั่งแพทย์</t>
        </is>
      </c>
      <c r="C1544" s="18" t="inlineStr"/>
      <c r="D1544" s="18" t="inlineStr">
        <is>
          <t>พ.ร.บ. เครื่องสำอาง พ.ศ. 2558</t>
        </is>
      </c>
      <c r="E1544" s="18" t="inlineStr">
        <is>
          <t>พ.ร.บ. หลักประกันสุขภาพแห่งชาติ พ.ศ. 2545</t>
        </is>
      </c>
      <c r="F1544" s="18" t="inlineStr">
        <is>
          <t>การปฏิบัติทางเภสัชกรรมชุมชน (Good Pharmacy Practice: GPP)</t>
        </is>
      </c>
      <c r="G1544" s="18" t="inlineStr">
        <is>
          <t>บัญชียาหลักแห่งชาติ (National List of Essential Medicines: NLEM)</t>
        </is>
      </c>
      <c r="H1544" s="18" t="inlineStr">
        <is>
          <t>เกณฑ์จริยธรรมว่าด้วยการส่งเสริมการขายยาของกระทรวงสาธารณสุข</t>
        </is>
      </c>
      <c r="I1544" s="15" t="inlineStr">
        <is>
          <t>1</t>
        </is>
      </c>
      <c r="J1544"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4" s="18" t="inlineStr"/>
      <c r="L1544" s="18" t="inlineStr">
        <is>
          <t>Pharmacy Laws &amp; Ethics</t>
        </is>
      </c>
      <c r="M1544" s="18" t="inlineStr">
        <is>
          <t>SAP</t>
        </is>
      </c>
      <c r="N1544" s="18" t="inlineStr">
        <is>
          <t>ข้อ 1 (PLE_CC1_Key_Rx20_UBU.md)</t>
        </is>
      </c>
      <c r="O1544" s="18" t="inlineStr">
        <is>
          <t>Mock</t>
        </is>
      </c>
      <c r="P1544" s="18" t="inlineStr">
        <is>
          <t>Mock Rx20 UBU</t>
        </is>
      </c>
    </row>
    <row r="1545">
      <c r="A1545" s="15" t="inlineStr">
        <is>
          <t>1566</t>
        </is>
      </c>
      <c r="B1545" s="18" t="inlineStr">
        <is>
          <t>ขายได้ในร้านยาแต่ต้องมีใบสั่งแพทย์</t>
        </is>
      </c>
      <c r="C1545" s="18" t="inlineStr"/>
      <c r="D1545" s="18" t="inlineStr">
        <is>
          <t>บัญชียาหลักแห่งชาติ (National List of Essential Medicines: NLEM)</t>
        </is>
      </c>
      <c r="E1545" s="18" t="inlineStr">
        <is>
          <t>เกณฑ์จริยธรรมว่าด้วยการส่งเสริมการขายยาของกระทรวงสาธารณสุข</t>
        </is>
      </c>
      <c r="F1545" s="18" t="inlineStr">
        <is>
          <t>พ.ร.บ. ยา พ.ศ. 2510 (การจำหน่ายยาอันตรายและยาควบคุมพิเศษ)</t>
        </is>
      </c>
      <c r="G1545" s="18" t="inlineStr">
        <is>
          <t>พ.ร.บ. ยาเสพติดให้โทษ พ.ศ. 2522 (ยาเสพติดให้โทษประเภท 2 และ 3)</t>
        </is>
      </c>
      <c r="H1545" s="18" t="inlineStr">
        <is>
          <t>พ.ร.บ. วัตถุที่ออกฤทธิ์ต่อจิตและประสาท พ.ศ. 2559 (ประเภท 2 และ 4)</t>
        </is>
      </c>
      <c r="I1545" s="15" t="inlineStr">
        <is>
          <t>1</t>
        </is>
      </c>
      <c r="J1545"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5" s="18" t="inlineStr"/>
      <c r="L1545" s="18" t="inlineStr">
        <is>
          <t>Pharmacy Laws &amp; Ethics</t>
        </is>
      </c>
      <c r="M1545" s="18" t="inlineStr">
        <is>
          <t>SAP</t>
        </is>
      </c>
      <c r="N1545" s="18" t="inlineStr">
        <is>
          <t>ข้อ 2 (PLE_CC1_Key_Rx20_UBU.md)</t>
        </is>
      </c>
      <c r="O1545" s="18" t="inlineStr">
        <is>
          <t>Mock</t>
        </is>
      </c>
      <c r="P1545" s="18" t="inlineStr">
        <is>
          <t>Mock Rx20 UBU</t>
        </is>
      </c>
    </row>
    <row r="1546">
      <c r="A1546" s="15" t="inlineStr">
        <is>
          <t>1567</t>
        </is>
      </c>
      <c r="B1546" s="18" t="inlineStr">
        <is>
          <t>ใช้เฉพาะโรงพยาบาลและคลินิกเท่านั้น</t>
        </is>
      </c>
      <c r="C1546" s="18" t="inlineStr"/>
      <c r="D1546" s="18" t="inlineStr">
        <is>
          <t>Dimercaprol (BAL) 3 mg/kg IM</t>
        </is>
      </c>
      <c r="E1546" s="18" t="inlineStr">
        <is>
          <t>Ethanol 10% IV infusion for Methanol poisoning</t>
        </is>
      </c>
      <c r="F1546" s="18" t="inlineStr">
        <is>
          <t>Fomepizole 15 mg/kg IV loading</t>
        </is>
      </c>
      <c r="G1546" s="18" t="inlineStr">
        <is>
          <t>N-acetylcysteine (NAC) IV infusion protocol</t>
        </is>
      </c>
      <c r="H1546" s="18" t="inlineStr">
        <is>
          <t>Atropine sulfate 2 mg IV Q5-10 min</t>
        </is>
      </c>
      <c r="I1546" s="15" t="inlineStr">
        <is>
          <t>1</t>
        </is>
      </c>
      <c r="J154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6" s="18" t="inlineStr"/>
      <c r="L1546" s="18" t="inlineStr">
        <is>
          <t>General Therapeutics</t>
        </is>
      </c>
      <c r="M1546" s="18" t="inlineStr">
        <is>
          <t>Clinic</t>
        </is>
      </c>
      <c r="N1546" s="18" t="inlineStr">
        <is>
          <t>ข้อ 3 (PLE_CC1_Key_Rx20_UBU.md)</t>
        </is>
      </c>
      <c r="O1546" s="18" t="inlineStr">
        <is>
          <t>Mock</t>
        </is>
      </c>
      <c r="P1546" s="18" t="inlineStr">
        <is>
          <t>Mock Rx20 UBU</t>
        </is>
      </c>
    </row>
    <row r="1547">
      <c r="A1547" s="15" t="inlineStr">
        <is>
          <t>1568</t>
        </is>
      </c>
      <c r="B1547" s="18" t="inlineStr">
        <is>
          <t>ขายให้ผู้ประกอบการได้</t>
        </is>
      </c>
      <c r="C1547" s="18" t="inlineStr"/>
      <c r="D1547" s="18" t="inlineStr">
        <is>
          <t>N-acetylcysteine (NAC) IV infusion protocol</t>
        </is>
      </c>
      <c r="E1547" s="18" t="inlineStr">
        <is>
          <t>Atropine sulfate 2 mg IV Q5-10 min</t>
        </is>
      </c>
      <c r="F1547" s="18" t="inlineStr">
        <is>
          <t>Pralidoxime (2-PAM) 1-2 g IV over 30 min</t>
        </is>
      </c>
      <c r="G1547" s="18" t="inlineStr">
        <is>
          <t>Naloxone 0.4 mg IV stat</t>
        </is>
      </c>
      <c r="H1547" s="18" t="inlineStr">
        <is>
          <t>Flumazenil 0.2 mg IV stat</t>
        </is>
      </c>
      <c r="I1547" s="15" t="inlineStr">
        <is>
          <t>4</t>
        </is>
      </c>
      <c r="J1547" s="18"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47" s="18" t="inlineStr"/>
      <c r="L1547" s="18" t="inlineStr">
        <is>
          <t>General Therapeutics</t>
        </is>
      </c>
      <c r="M1547" s="18" t="inlineStr">
        <is>
          <t>Clinic</t>
        </is>
      </c>
      <c r="N1547" s="18" t="inlineStr">
        <is>
          <t>ข้อ 4 (PLE_CC1_Key_Rx20_UBU.md)</t>
        </is>
      </c>
      <c r="O1547" s="18" t="inlineStr">
        <is>
          <t>Mock</t>
        </is>
      </c>
      <c r="P1547" s="18" t="inlineStr">
        <is>
          <t>Mock Rx20 UBU</t>
        </is>
      </c>
    </row>
    <row r="1548">
      <c r="A1548" s="15" t="inlineStr">
        <is>
          <t>1569</t>
        </is>
      </c>
      <c r="B1548" s="18" t="inlineStr">
        <is>
          <t>Isotretinoin ข้อใดผิด</t>
        </is>
      </c>
      <c r="C1548" s="18" t="inlineStr"/>
      <c r="D1548" s="18" t="inlineStr">
        <is>
          <t>Clobetasol propionate 0.05% cream</t>
        </is>
      </c>
      <c r="E1548" s="18" t="inlineStr">
        <is>
          <t>Ketoconazole 2% shampoo</t>
        </is>
      </c>
      <c r="F1548" s="18" t="inlineStr">
        <is>
          <t>Benzoyl peroxide 2.5% gel</t>
        </is>
      </c>
      <c r="G1548" s="18" t="inlineStr">
        <is>
          <t>Acyclovir 5% cream</t>
        </is>
      </c>
      <c r="H1548" s="18" t="inlineStr">
        <is>
          <t>Silver sulfadiazine 1% cream</t>
        </is>
      </c>
      <c r="I1548" s="15" t="inlineStr">
        <is>
          <t>1</t>
        </is>
      </c>
      <c r="J1548" s="18"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8" s="18" t="inlineStr"/>
      <c r="L1548" s="18" t="inlineStr">
        <is>
          <t>Dermatologic Disorders</t>
        </is>
      </c>
      <c r="M1548" s="18" t="inlineStr">
        <is>
          <t>Clinic</t>
        </is>
      </c>
      <c r="N1548" s="18" t="inlineStr">
        <is>
          <t>ข้อ 66 (PLE_CC1_Key_Rx20_UBU.md)</t>
        </is>
      </c>
      <c r="O1548" s="18" t="inlineStr">
        <is>
          <t>Mock</t>
        </is>
      </c>
      <c r="P1548" s="18" t="inlineStr">
        <is>
          <t>Mock Rx20 UBU</t>
        </is>
      </c>
    </row>
    <row r="1549">
      <c r="A1549" s="15" t="inlineStr">
        <is>
          <t>1570</t>
        </is>
      </c>
      <c r="B1549" s="18" t="inlineStr">
        <is>
          <t>ต้องหลีกเลี่ยงแสง เพราะอาจแพ้แสง</t>
        </is>
      </c>
      <c r="C1549" s="18" t="inlineStr"/>
      <c r="D1549" s="18" t="inlineStr">
        <is>
          <t>Sodium thiosulfate 25% 50 mL IV</t>
        </is>
      </c>
      <c r="E1549" s="18" t="inlineStr">
        <is>
          <t>Calcium disodium EDTA 1 g IV</t>
        </is>
      </c>
      <c r="F1549" s="18" t="inlineStr">
        <is>
          <t>Desferrioxamine 1 g IM/IV</t>
        </is>
      </c>
      <c r="G1549" s="18" t="inlineStr">
        <is>
          <t>Dimercaprol (BAL) 3 mg/kg IM</t>
        </is>
      </c>
      <c r="H1549" s="18" t="inlineStr">
        <is>
          <t>Ethanol 10% IV infusion for Methanol poisoning</t>
        </is>
      </c>
      <c r="I1549" s="15" t="inlineStr">
        <is>
          <t>1</t>
        </is>
      </c>
      <c r="J15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9" s="18" t="inlineStr"/>
      <c r="L1549" s="18" t="inlineStr">
        <is>
          <t>General Therapeutics</t>
        </is>
      </c>
      <c r="M1549" s="18" t="inlineStr">
        <is>
          <t>Clinic</t>
        </is>
      </c>
      <c r="N1549" s="18" t="inlineStr">
        <is>
          <t>ข้อ 2 (PLE_CC1_Key_Rx20_UBU.md)</t>
        </is>
      </c>
      <c r="O1549" s="18" t="inlineStr">
        <is>
          <t>Mock</t>
        </is>
      </c>
      <c r="P1549" s="18" t="inlineStr">
        <is>
          <t>Mock Rx20 UBU</t>
        </is>
      </c>
    </row>
    <row r="1550">
      <c r="A1550" s="15" t="inlineStr">
        <is>
          <t>1571</t>
        </is>
      </c>
      <c r="B1550" s="18" t="inlineStr">
        <is>
          <t>เพิ่มระดับ Triglyceride</t>
        </is>
      </c>
      <c r="C1550" s="18" t="inlineStr"/>
      <c r="D1550" s="18" t="inlineStr">
        <is>
          <t>Hydrochlorothiazide 25 mg OD</t>
        </is>
      </c>
      <c r="E1550" s="18" t="inlineStr">
        <is>
          <t>Atorvastatin 20 mg OD</t>
        </is>
      </c>
      <c r="F1550" s="18" t="inlineStr">
        <is>
          <t>Simvastatin 20 mg HS</t>
        </is>
      </c>
      <c r="G1550" s="18" t="inlineStr">
        <is>
          <t>Bisoprolol 5 mg OD</t>
        </is>
      </c>
      <c r="H1550" s="18" t="inlineStr">
        <is>
          <t>Spironolactone 25 mg OD</t>
        </is>
      </c>
      <c r="I1550" s="15" t="inlineStr">
        <is>
          <t>1</t>
        </is>
      </c>
      <c r="J1550" s="18"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550" s="18" t="inlineStr"/>
      <c r="L1550" s="18" t="inlineStr">
        <is>
          <t>Cardiovascular Diseases</t>
        </is>
      </c>
      <c r="M1550" s="18" t="inlineStr">
        <is>
          <t>Clinic</t>
        </is>
      </c>
      <c r="N1550" s="18" t="inlineStr">
        <is>
          <t>ข้อ 3 (PLE_CC1_Key_Rx20_UBU.md)</t>
        </is>
      </c>
      <c r="O1550" s="18" t="inlineStr">
        <is>
          <t>Mock</t>
        </is>
      </c>
      <c r="P1550" s="18" t="inlineStr">
        <is>
          <t>Mock Rx20 UBU</t>
        </is>
      </c>
    </row>
    <row r="1551">
      <c r="A1551" s="15" t="inlineStr">
        <is>
          <t>1572</t>
        </is>
      </c>
      <c r="B1551" s="18" t="inlineStr">
        <is>
          <t>ใช้นานๆแล้วอาจทำให้ตับผิดปกติต้องตรวจการทำงานของตับ</t>
        </is>
      </c>
      <c r="C1551" s="18" t="inlineStr"/>
      <c r="D1551" s="18" t="inlineStr">
        <is>
          <t>N-acetylcysteine (NAC) IV infusion protocol</t>
        </is>
      </c>
      <c r="E1551" s="18" t="inlineStr">
        <is>
          <t>Atropine sulfate 2 mg IV Q5-10 min</t>
        </is>
      </c>
      <c r="F1551" s="18" t="inlineStr">
        <is>
          <t>Pralidoxime (2-PAM) 1-2 g IV over 30 min</t>
        </is>
      </c>
      <c r="G1551" s="18" t="inlineStr">
        <is>
          <t>Naloxone 0.4 mg IV stat</t>
        </is>
      </c>
      <c r="H1551" s="18" t="inlineStr">
        <is>
          <t>Flumazenil 0.2 mg IV stat</t>
        </is>
      </c>
      <c r="I1551" s="15" t="inlineStr">
        <is>
          <t>1</t>
        </is>
      </c>
      <c r="J155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1" s="18" t="inlineStr"/>
      <c r="L1551" s="18" t="inlineStr">
        <is>
          <t>General Therapeutics</t>
        </is>
      </c>
      <c r="M1551" s="18" t="inlineStr">
        <is>
          <t>Clinic</t>
        </is>
      </c>
      <c r="N1551" s="18" t="inlineStr">
        <is>
          <t>ข้อ 4 (PLE_CC1_Key_Rx20_UBU.md)</t>
        </is>
      </c>
      <c r="O1551" s="18" t="inlineStr">
        <is>
          <t>Mock</t>
        </is>
      </c>
      <c r="P1551" s="18" t="inlineStr">
        <is>
          <t>Mock Rx20 UBU</t>
        </is>
      </c>
    </row>
    <row r="1552">
      <c r="A1552" s="15" t="inlineStr">
        <is>
          <t>1573</t>
        </is>
      </c>
      <c r="B1552" s="18" t="inlineStr">
        <is>
          <t>มีสารก่อเจล 2 ชนิด</t>
        </is>
      </c>
      <c r="C1552" s="18" t="inlineStr"/>
      <c r="D1552" s="18" t="inlineStr">
        <is>
          <t>Naloxone 0.4 mg IV stat</t>
        </is>
      </c>
      <c r="E1552" s="18" t="inlineStr">
        <is>
          <t>Flumazenil 0.2 mg IV stat</t>
        </is>
      </c>
      <c r="F1552" s="18" t="inlineStr">
        <is>
          <t>Vitamin K1 (Phytomenadione) 10 mg IV slow</t>
        </is>
      </c>
      <c r="G1552" s="18" t="inlineStr">
        <is>
          <t>Sodium thiosulfate 25% 50 mL IV</t>
        </is>
      </c>
      <c r="H1552" s="18" t="inlineStr">
        <is>
          <t>Calcium disodium EDTA 1 g IV</t>
        </is>
      </c>
      <c r="I1552" s="15" t="inlineStr">
        <is>
          <t>1</t>
        </is>
      </c>
      <c r="J155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2" s="18" t="inlineStr"/>
      <c r="L1552" s="18" t="inlineStr">
        <is>
          <t>General Therapeutics</t>
        </is>
      </c>
      <c r="M1552" s="18" t="inlineStr">
        <is>
          <t>Clinic</t>
        </is>
      </c>
      <c r="N1552" s="18" t="inlineStr">
        <is>
          <t>ข้อ 1 (PLE_CC1_Key_Rx20_UBU.md)</t>
        </is>
      </c>
      <c r="O1552" s="18" t="inlineStr">
        <is>
          <t>Mock</t>
        </is>
      </c>
      <c r="P1552" s="18" t="inlineStr">
        <is>
          <t>Mock Rx20 UBU</t>
        </is>
      </c>
    </row>
    <row r="1553">
      <c r="A1553" s="15" t="inlineStr">
        <is>
          <t>1574</t>
        </is>
      </c>
      <c r="B1553" s="18" t="inlineStr">
        <is>
          <t>Ethanol ทำให้ Carbomer เป็นเจลได้ดีขึ้น</t>
        </is>
      </c>
      <c r="C1553" s="18" t="inlineStr"/>
      <c r="D1553" s="18" t="inlineStr">
        <is>
          <t>Sodium thiosulfate 25% 50 mL IV</t>
        </is>
      </c>
      <c r="E1553" s="18" t="inlineStr">
        <is>
          <t>Calcium disodium EDTA 1 g IV</t>
        </is>
      </c>
      <c r="F1553" s="18" t="inlineStr">
        <is>
          <t>Desferrioxamine 1 g IM/IV</t>
        </is>
      </c>
      <c r="G1553" s="18" t="inlineStr">
        <is>
          <t>Dimercaprol (BAL) 3 mg/kg IM</t>
        </is>
      </c>
      <c r="H1553" s="18" t="inlineStr">
        <is>
          <t>Ethanol 10% IV infusion for Methanol poisoning</t>
        </is>
      </c>
      <c r="I1553" s="15" t="inlineStr">
        <is>
          <t>1</t>
        </is>
      </c>
      <c r="J1553" s="18"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553" s="18" t="inlineStr"/>
      <c r="L1553" s="18" t="inlineStr">
        <is>
          <t>Toxicology &amp; Antidote</t>
        </is>
      </c>
      <c r="M1553" s="18" t="inlineStr">
        <is>
          <t>Clinic</t>
        </is>
      </c>
      <c r="N1553" s="18" t="inlineStr">
        <is>
          <t>ข้อ 2 (PLE_CC1_Key_Rx20_UBU.md)</t>
        </is>
      </c>
      <c r="O1553" s="18" t="inlineStr">
        <is>
          <t>Mock</t>
        </is>
      </c>
      <c r="P1553" s="18" t="inlineStr">
        <is>
          <t>Mock Rx20 UBU</t>
        </is>
      </c>
    </row>
    <row r="1554">
      <c r="A1554" s="15" t="inlineStr">
        <is>
          <t>1575</t>
        </is>
      </c>
      <c r="B1554" s="18" t="inlineStr">
        <is>
          <t>Carbomer กระจายในน้ำร้อน แล้วแช่ตู้เย็นทันที</t>
        </is>
      </c>
      <c r="C1554" s="18" t="inlineStr"/>
      <c r="D1554" s="18" t="inlineStr">
        <is>
          <t>Dimercaprol (BAL) 3 mg/kg IM</t>
        </is>
      </c>
      <c r="E1554" s="18" t="inlineStr">
        <is>
          <t>Ethanol 10% IV infusion for Methanol poisoning</t>
        </is>
      </c>
      <c r="F1554" s="18" t="inlineStr">
        <is>
          <t>Fomepizole 15 mg/kg IV loading</t>
        </is>
      </c>
      <c r="G1554" s="18" t="inlineStr">
        <is>
          <t>N-acetylcysteine (NAC) IV infusion protocol</t>
        </is>
      </c>
      <c r="H1554" s="18" t="inlineStr">
        <is>
          <t>Atropine sulfate 2 mg IV Q5-10 min</t>
        </is>
      </c>
      <c r="I1554" s="15" t="inlineStr">
        <is>
          <t>1</t>
        </is>
      </c>
      <c r="J15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54" s="18" t="inlineStr"/>
      <c r="L1554" s="18" t="inlineStr">
        <is>
          <t>General Therapeutics</t>
        </is>
      </c>
      <c r="M1554" s="18" t="inlineStr">
        <is>
          <t>Clinic</t>
        </is>
      </c>
      <c r="N1554" s="18" t="inlineStr">
        <is>
          <t>ข้อ 3 (PLE_CC1_Key_Rx20_UBU.md)</t>
        </is>
      </c>
      <c r="O1554" s="18" t="inlineStr">
        <is>
          <t>Mock</t>
        </is>
      </c>
      <c r="P1554" s="18" t="inlineStr">
        <is>
          <t>Mock Rx20 UBU</t>
        </is>
      </c>
    </row>
    <row r="1555">
      <c r="A1555" s="15" t="inlineStr">
        <is>
          <t>1576</t>
        </is>
      </c>
      <c r="B1555" s="18" t="inlineStr">
        <is>
          <t>ทาวันละ 3-4 ครั้ง จะได้ผลดี</t>
        </is>
      </c>
      <c r="C1555" s="18" t="inlineStr"/>
      <c r="D1555" s="18" t="inlineStr">
        <is>
          <t>N-acetylcysteine (NAC) IV infusion protocol</t>
        </is>
      </c>
      <c r="E1555" s="18" t="inlineStr">
        <is>
          <t>Atropine sulfate 2 mg IV Q5-10 min</t>
        </is>
      </c>
      <c r="F1555" s="18" t="inlineStr">
        <is>
          <t>Pralidoxime (2-PAM) 1-2 g IV over 30 min</t>
        </is>
      </c>
      <c r="G1555" s="18" t="inlineStr">
        <is>
          <t>Naloxone 0.4 mg IV stat</t>
        </is>
      </c>
      <c r="H1555" s="18" t="inlineStr">
        <is>
          <t>Flumazenil 0.2 mg IV stat</t>
        </is>
      </c>
      <c r="I1555" s="15" t="inlineStr">
        <is>
          <t>1</t>
        </is>
      </c>
      <c r="J155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5" s="18" t="inlineStr"/>
      <c r="L1555" s="18" t="inlineStr">
        <is>
          <t>General Therapeutics</t>
        </is>
      </c>
      <c r="M1555" s="18" t="inlineStr">
        <is>
          <t>Clinic</t>
        </is>
      </c>
      <c r="N1555" s="18" t="inlineStr">
        <is>
          <t>ข้อ 1 (PLE_CC1_Key_Rx20_UBU.md)</t>
        </is>
      </c>
      <c r="O1555" s="18" t="inlineStr">
        <is>
          <t>Mock</t>
        </is>
      </c>
      <c r="P1555" s="18" t="inlineStr">
        <is>
          <t>Mock Rx20 UBU</t>
        </is>
      </c>
    </row>
    <row r="1556">
      <c r="A1556" s="15" t="inlineStr">
        <is>
          <t>1577</t>
        </is>
      </c>
      <c r="B1556" s="18" t="inlineStr">
        <is>
          <t>ไม่ฆ่าเชื้อ , ลอกผิวอย่างเดียว</t>
        </is>
      </c>
      <c r="C1556" s="18" t="inlineStr"/>
      <c r="D1556" s="18" t="inlineStr">
        <is>
          <t>Naloxone 0.4 mg IV stat</t>
        </is>
      </c>
      <c r="E1556" s="18" t="inlineStr">
        <is>
          <t>Flumazenil 0.2 mg IV stat</t>
        </is>
      </c>
      <c r="F1556" s="18" t="inlineStr">
        <is>
          <t>Vitamin K1 (Phytomenadione) 10 mg IV slow</t>
        </is>
      </c>
      <c r="G1556" s="18" t="inlineStr">
        <is>
          <t>Sodium thiosulfate 25% 50 mL IV</t>
        </is>
      </c>
      <c r="H1556" s="18" t="inlineStr">
        <is>
          <t>Calcium disodium EDTA 1 g IV</t>
        </is>
      </c>
      <c r="I1556" s="15" t="inlineStr">
        <is>
          <t>1</t>
        </is>
      </c>
      <c r="J15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6" s="18" t="inlineStr"/>
      <c r="L1556" s="18" t="inlineStr">
        <is>
          <t>General Therapeutics</t>
        </is>
      </c>
      <c r="M1556" s="18" t="inlineStr">
        <is>
          <t>Clinic</t>
        </is>
      </c>
      <c r="N1556" s="18" t="inlineStr">
        <is>
          <t>ข้อ 2 (PLE_CC1_Key_Rx20_UBU.md)</t>
        </is>
      </c>
      <c r="O1556" s="18" t="inlineStr">
        <is>
          <t>Mock</t>
        </is>
      </c>
      <c r="P1556" s="18" t="inlineStr">
        <is>
          <t>Mock Rx20 UBU</t>
        </is>
      </c>
    </row>
    <row r="1557">
      <c r="A1557" s="15" t="inlineStr">
        <is>
          <t>1578</t>
        </is>
      </c>
      <c r="B1557" s="18" t="inlineStr">
        <is>
          <t>มี oxidation activity ทำให้การอักเสบดีขึ้น</t>
        </is>
      </c>
      <c r="C1557" s="18" t="inlineStr"/>
      <c r="D1557" s="18" t="inlineStr">
        <is>
          <t>High-Density Polyethylene (HDPE) Container</t>
        </is>
      </c>
      <c r="E1557" s="18" t="inlineStr">
        <is>
          <t>Type I Borosilicate Glass Ampoule</t>
        </is>
      </c>
      <c r="F1557" s="18" t="inlineStr">
        <is>
          <t>Accelerated Stability Testing (40 C / 75% RH)</t>
        </is>
      </c>
      <c r="G1557" s="18" t="inlineStr">
        <is>
          <t>Long-term Stability Testing (30 C / 65% RH)</t>
        </is>
      </c>
      <c r="H1557" s="18" t="inlineStr">
        <is>
          <t>Differential Scanning Calorimetry (DSC) Polymorphism</t>
        </is>
      </c>
      <c r="I1557" s="15" t="inlineStr">
        <is>
          <t>1</t>
        </is>
      </c>
      <c r="J1557" s="18"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7" s="18" t="inlineStr"/>
      <c r="L1557" s="18" t="inlineStr">
        <is>
          <t>Preformulation &amp; Stability</t>
        </is>
      </c>
      <c r="M1557" s="18" t="inlineStr">
        <is>
          <t>Product</t>
        </is>
      </c>
      <c r="N1557" s="18" t="inlineStr">
        <is>
          <t>ข้อ 3 (PLE_CC1_Key_Rx20_UBU.md)</t>
        </is>
      </c>
      <c r="O1557" s="18" t="inlineStr">
        <is>
          <t>Mock</t>
        </is>
      </c>
      <c r="P1557" s="18" t="inlineStr">
        <is>
          <t>Mock Rx20 UBU</t>
        </is>
      </c>
    </row>
    <row r="1558">
      <c r="A1558" s="15" t="inlineStr">
        <is>
          <t>1579</t>
        </is>
      </c>
      <c r="B1558" s="18" t="inlineStr">
        <is>
          <t>เริ่มด้วย dose สูงๆแล้วลดขนาดยาลง</t>
        </is>
      </c>
      <c r="C1558" s="18" t="inlineStr"/>
      <c r="D1558" s="18" t="inlineStr">
        <is>
          <t>Dimercaprol (BAL) 3 mg/kg IM</t>
        </is>
      </c>
      <c r="E1558" s="18" t="inlineStr">
        <is>
          <t>Ethanol 10% IV infusion for Methanol poisoning</t>
        </is>
      </c>
      <c r="F1558" s="18" t="inlineStr">
        <is>
          <t>Fomepizole 15 mg/kg IV loading</t>
        </is>
      </c>
      <c r="G1558" s="18" t="inlineStr">
        <is>
          <t>N-acetylcysteine (NAC) IV infusion protocol</t>
        </is>
      </c>
      <c r="H1558" s="18" t="inlineStr">
        <is>
          <t>Atropine sulfate 2 mg IV Q5-10 min</t>
        </is>
      </c>
      <c r="I1558" s="15" t="inlineStr">
        <is>
          <t>4</t>
        </is>
      </c>
      <c r="J1558" s="18"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8" s="18" t="inlineStr"/>
      <c r="L1558" s="18" t="inlineStr">
        <is>
          <t>General Therapeutics</t>
        </is>
      </c>
      <c r="M1558" s="18" t="inlineStr">
        <is>
          <t>Clinic</t>
        </is>
      </c>
      <c r="N1558" s="18" t="inlineStr">
        <is>
          <t>ข้อ 5 (PLE_CC1_Key_Rx20_UBU.md)</t>
        </is>
      </c>
      <c r="O1558" s="18" t="inlineStr">
        <is>
          <t>Mock</t>
        </is>
      </c>
      <c r="P1558" s="18" t="inlineStr">
        <is>
          <t>Mock Rx20 UBU</t>
        </is>
      </c>
    </row>
    <row r="1559">
      <c r="A1559" s="15" t="inlineStr">
        <is>
          <t>1580</t>
        </is>
      </c>
      <c r="B1559" s="18" t="inlineStr">
        <is>
          <t>มีการนำ starch มาใช้ผลิตเปลือกcapsule</t>
        </is>
      </c>
      <c r="C1559" s="18" t="inlineStr"/>
      <c r="D1559" s="18" t="inlineStr">
        <is>
          <t>Sodium starch glycolate (Superdisintegrant)</t>
        </is>
      </c>
      <c r="E1559" s="18" t="inlineStr">
        <is>
          <t>Direct Compression tableting method</t>
        </is>
      </c>
      <c r="F1559" s="18" t="inlineStr">
        <is>
          <t>Wet Granulation tableting method</t>
        </is>
      </c>
      <c r="G1559" s="18" t="inlineStr">
        <is>
          <t>Dry Granulation (Roller Compaction)</t>
        </is>
      </c>
      <c r="H1559" s="18" t="inlineStr">
        <is>
          <t>Fluidized Bed Granulation</t>
        </is>
      </c>
      <c r="I1559" s="15" t="inlineStr">
        <is>
          <t>1</t>
        </is>
      </c>
      <c r="J1559" s="1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9" s="18" t="inlineStr"/>
      <c r="L1559" s="18" t="inlineStr">
        <is>
          <t>Solid Dosage Forms</t>
        </is>
      </c>
      <c r="M1559" s="18" t="inlineStr">
        <is>
          <t>Product</t>
        </is>
      </c>
      <c r="N1559" s="18" t="inlineStr">
        <is>
          <t>ข้อ 2 (PLE_CC1_Key_Rx20_UBU.md)</t>
        </is>
      </c>
      <c r="O1559" s="18" t="inlineStr">
        <is>
          <t>Mock</t>
        </is>
      </c>
      <c r="P1559" s="18" t="inlineStr">
        <is>
          <t>Mock Rx20 UBU</t>
        </is>
      </c>
    </row>
    <row r="1560">
      <c r="A1560" s="15" t="inlineStr">
        <is>
          <t>1581</t>
        </is>
      </c>
      <c r="B1560" s="18" t="inlineStr">
        <is>
          <t>มีสารแต่งสีเป็นส่วนประกอบ</t>
        </is>
      </c>
      <c r="C1560" s="18" t="inlineStr"/>
      <c r="D1560" s="18" t="inlineStr">
        <is>
          <t>Naloxone 0.4 mg IV stat</t>
        </is>
      </c>
      <c r="E1560" s="18" t="inlineStr">
        <is>
          <t>Flumazenil 0.2 mg IV stat</t>
        </is>
      </c>
      <c r="F1560" s="18" t="inlineStr">
        <is>
          <t>Vitamin K1 (Phytomenadione) 10 mg IV slow</t>
        </is>
      </c>
      <c r="G1560" s="18" t="inlineStr">
        <is>
          <t>Sodium thiosulfate 25% 50 mL IV</t>
        </is>
      </c>
      <c r="H1560" s="18" t="inlineStr">
        <is>
          <t>Calcium disodium EDTA 1 g IV</t>
        </is>
      </c>
      <c r="I1560" s="15" t="inlineStr">
        <is>
          <t>1</t>
        </is>
      </c>
      <c r="J15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0" s="18" t="inlineStr"/>
      <c r="L1560" s="18" t="inlineStr">
        <is>
          <t>General Therapeutics</t>
        </is>
      </c>
      <c r="M1560" s="18" t="inlineStr">
        <is>
          <t>Clinic</t>
        </is>
      </c>
      <c r="N1560" s="18" t="inlineStr">
        <is>
          <t>ข้อ 4 (PLE_CC1_Key_Rx20_UBU.md)</t>
        </is>
      </c>
      <c r="O1560" s="18" t="inlineStr">
        <is>
          <t>Mock</t>
        </is>
      </c>
      <c r="P1560" s="18" t="inlineStr">
        <is>
          <t>Mock Rx20 UBU</t>
        </is>
      </c>
    </row>
    <row r="1561">
      <c r="A1561" s="15" t="inlineStr">
        <is>
          <t>1582</t>
        </is>
      </c>
      <c r="B1561" s="18" t="inlineStr">
        <is>
          <t>มีสารทึบแสงเป็นส่วนประกอบ</t>
        </is>
      </c>
      <c r="C1561" s="18" t="inlineStr"/>
      <c r="D1561" s="18" t="inlineStr">
        <is>
          <t>Sodium thiosulfate 25% 50 mL IV</t>
        </is>
      </c>
      <c r="E1561" s="18" t="inlineStr">
        <is>
          <t>Calcium disodium EDTA 1 g IV</t>
        </is>
      </c>
      <c r="F1561" s="18" t="inlineStr">
        <is>
          <t>Desferrioxamine 1 g IM/IV</t>
        </is>
      </c>
      <c r="G1561" s="18" t="inlineStr">
        <is>
          <t>Dimercaprol (BAL) 3 mg/kg IM</t>
        </is>
      </c>
      <c r="H1561" s="18" t="inlineStr">
        <is>
          <t>Ethanol 10% IV infusion for Methanol poisoning</t>
        </is>
      </c>
      <c r="I1561" s="15" t="inlineStr">
        <is>
          <t>1</t>
        </is>
      </c>
      <c r="J15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1" s="18" t="inlineStr"/>
      <c r="L1561" s="18" t="inlineStr">
        <is>
          <t>General Therapeutics</t>
        </is>
      </c>
      <c r="M1561" s="18" t="inlineStr">
        <is>
          <t>Clinic</t>
        </is>
      </c>
      <c r="N1561" s="18" t="inlineStr">
        <is>
          <t>ข้อ 5 (PLE_CC1_Key_Rx20_UBU.md)</t>
        </is>
      </c>
      <c r="O1561" s="18" t="inlineStr">
        <is>
          <t>Mock</t>
        </is>
      </c>
      <c r="P1561" s="18" t="inlineStr">
        <is>
          <t>Mock Rx20 UBU</t>
        </is>
      </c>
    </row>
    <row r="1562">
      <c r="A1562" s="15" t="inlineStr">
        <is>
          <t>1583</t>
        </is>
      </c>
      <c r="B1562" s="18" t="inlineStr">
        <is>
          <t>Lactose เป็นสารให้ความหวาน</t>
        </is>
      </c>
      <c r="C1562" s="18" t="inlineStr"/>
      <c r="D1562" s="18" t="inlineStr">
        <is>
          <t>Microcrystalline cellulose</t>
        </is>
      </c>
      <c r="E1562" s="18" t="inlineStr">
        <is>
          <t>Magnesium stearate (Lubricant 1%)</t>
        </is>
      </c>
      <c r="F1562" s="18" t="inlineStr">
        <is>
          <t>Sodium starch glycolate (Superdisintegrant)</t>
        </is>
      </c>
      <c r="G1562" s="18" t="inlineStr">
        <is>
          <t>Direct Compression tableting method</t>
        </is>
      </c>
      <c r="H1562" s="18" t="inlineStr">
        <is>
          <t>Wet Granulation tableting method</t>
        </is>
      </c>
      <c r="I1562" s="15" t="inlineStr">
        <is>
          <t>1</t>
        </is>
      </c>
      <c r="J1562" s="1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2" s="18" t="inlineStr"/>
      <c r="L1562" s="18" t="inlineStr">
        <is>
          <t>Solid Dosage Forms</t>
        </is>
      </c>
      <c r="M1562" s="18" t="inlineStr">
        <is>
          <t>Product</t>
        </is>
      </c>
      <c r="N1562" s="18" t="inlineStr">
        <is>
          <t>ข้อ 1 (PLE_CC1_Key_Rx20_UBU.md)</t>
        </is>
      </c>
      <c r="O1562" s="18" t="inlineStr">
        <is>
          <t>Mock</t>
        </is>
      </c>
      <c r="P1562" s="18" t="inlineStr">
        <is>
          <t>Mock Rx20 UBU</t>
        </is>
      </c>
    </row>
    <row r="1563">
      <c r="A1563" s="15" t="inlineStr">
        <is>
          <t>1584</t>
        </is>
      </c>
      <c r="B1563" s="18" t="inlineStr">
        <is>
          <t>Colloidal Silicon dioxide ช่วยให้ผงยาไหลสม่ำเสมอ</t>
        </is>
      </c>
      <c r="C1563" s="18" t="inlineStr"/>
      <c r="D1563" s="18" t="inlineStr">
        <is>
          <t>N-acetylcysteine (NAC) IV infusion protocol</t>
        </is>
      </c>
      <c r="E1563" s="18" t="inlineStr">
        <is>
          <t>Atropine sulfate 2 mg IV Q5-10 min</t>
        </is>
      </c>
      <c r="F1563" s="18" t="inlineStr">
        <is>
          <t>Pralidoxime (2-PAM) 1-2 g IV over 30 min</t>
        </is>
      </c>
      <c r="G1563" s="18" t="inlineStr">
        <is>
          <t>Naloxone 0.4 mg IV stat</t>
        </is>
      </c>
      <c r="H1563" s="18" t="inlineStr">
        <is>
          <t>Flumazenil 0.2 mg IV stat</t>
        </is>
      </c>
      <c r="I1563" s="15" t="inlineStr">
        <is>
          <t>1</t>
        </is>
      </c>
      <c r="J15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3" s="18" t="inlineStr"/>
      <c r="L1563" s="18" t="inlineStr">
        <is>
          <t>General Therapeutics</t>
        </is>
      </c>
      <c r="M1563" s="18" t="inlineStr">
        <is>
          <t>Clinic</t>
        </is>
      </c>
      <c r="N1563" s="18" t="inlineStr">
        <is>
          <t>ข้อ 2 (PLE_CC1_Key_Rx20_UBU.md)</t>
        </is>
      </c>
      <c r="O1563" s="18" t="inlineStr">
        <is>
          <t>Mock</t>
        </is>
      </c>
      <c r="P1563" s="18" t="inlineStr">
        <is>
          <t>Mock Rx20 UBU</t>
        </is>
      </c>
    </row>
    <row r="1564">
      <c r="A1564" s="15" t="inlineStr">
        <is>
          <t>1585</t>
        </is>
      </c>
      <c r="B1564" s="18" t="inlineStr">
        <is>
          <t>แคปซูลขนาด 000 เล็กที่สุด และขนาด 5 ใหญ่ที่สุด</t>
        </is>
      </c>
      <c r="C1564" s="18" t="inlineStr"/>
      <c r="D1564" s="18" t="inlineStr">
        <is>
          <t>Fluidized Bed Granulation</t>
        </is>
      </c>
      <c r="E1564" s="18" t="inlineStr">
        <is>
          <t>Film Coating with Hydroxypropyl methylcellulose (HPMC)</t>
        </is>
      </c>
      <c r="F1564" s="18" t="inlineStr">
        <is>
          <t>Enteric Coating with Cellulose acetate phthalate (CAP)</t>
        </is>
      </c>
      <c r="G1564" s="18" t="inlineStr">
        <is>
          <t>Hard Gelatin Capsule filling</t>
        </is>
      </c>
      <c r="H1564" s="18" t="inlineStr">
        <is>
          <t>Soft Gelatin Capsule encapsulation</t>
        </is>
      </c>
      <c r="I1564" s="15" t="inlineStr">
        <is>
          <t>3</t>
        </is>
      </c>
      <c r="J1564" s="18" t="inlineStr">
        <is>
          <t>✅ คำตอบที่ถูกต้อง: ข้อ ค.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ก.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4" s="18" t="inlineStr"/>
      <c r="L1564" s="18" t="inlineStr">
        <is>
          <t>Solid Dosage Forms</t>
        </is>
      </c>
      <c r="M1564" s="18" t="inlineStr">
        <is>
          <t>Product</t>
        </is>
      </c>
      <c r="N1564" s="18" t="inlineStr">
        <is>
          <t>ข้อ 3 (PLE_CC1_Key_Rx20_UBU.md)</t>
        </is>
      </c>
      <c r="O1564" s="18" t="inlineStr">
        <is>
          <t>Mock</t>
        </is>
      </c>
      <c r="P1564" s="18" t="inlineStr">
        <is>
          <t>Mock Rx20 UBU</t>
        </is>
      </c>
    </row>
    <row r="1565">
      <c r="A1565" s="15" t="inlineStr">
        <is>
          <t>1586</t>
        </is>
      </c>
      <c r="B1565" s="18" t="inlineStr">
        <is>
          <t>Dissolubility + wt variation</t>
        </is>
      </c>
      <c r="C1565" s="18" t="inlineStr"/>
      <c r="D1565" s="18" t="inlineStr">
        <is>
          <t>Sodium thiosulfate 25% 50 mL IV</t>
        </is>
      </c>
      <c r="E1565" s="18" t="inlineStr">
        <is>
          <t>Calcium disodium EDTA 1 g IV</t>
        </is>
      </c>
      <c r="F1565" s="18" t="inlineStr">
        <is>
          <t>Desferrioxamine 1 g IM/IV</t>
        </is>
      </c>
      <c r="G1565" s="18" t="inlineStr">
        <is>
          <t>Dimercaprol (BAL) 3 mg/kg IM</t>
        </is>
      </c>
      <c r="H1565" s="18" t="inlineStr">
        <is>
          <t>Ethanol 10% IV infusion for Methanol poisoning</t>
        </is>
      </c>
      <c r="I1565" s="15" t="inlineStr">
        <is>
          <t>1</t>
        </is>
      </c>
      <c r="J15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5" s="18" t="inlineStr"/>
      <c r="L1565" s="18" t="inlineStr">
        <is>
          <t>General Therapeutics</t>
        </is>
      </c>
      <c r="M1565" s="18" t="inlineStr">
        <is>
          <t>Clinic</t>
        </is>
      </c>
      <c r="N1565" s="18" t="inlineStr">
        <is>
          <t>ข้อ 1 (PLE_CC1_Key_Rx20_UBU.md)</t>
        </is>
      </c>
      <c r="O1565" s="18" t="inlineStr">
        <is>
          <t>Mock</t>
        </is>
      </c>
      <c r="P1565" s="18" t="inlineStr">
        <is>
          <t>Mock Rx20 UBU</t>
        </is>
      </c>
    </row>
    <row r="1566">
      <c r="A1566" s="15" t="inlineStr">
        <is>
          <t>1587</t>
        </is>
      </c>
      <c r="B1566" s="18" t="inlineStr">
        <is>
          <t>Hardness+ wt variation</t>
        </is>
      </c>
      <c r="C1566" s="18" t="inlineStr"/>
      <c r="D1566" s="18" t="inlineStr">
        <is>
          <t>Dimercaprol (BAL) 3 mg/kg IM</t>
        </is>
      </c>
      <c r="E1566" s="18" t="inlineStr">
        <is>
          <t>Ethanol 10% IV infusion for Methanol poisoning</t>
        </is>
      </c>
      <c r="F1566" s="18" t="inlineStr">
        <is>
          <t>Fomepizole 15 mg/kg IV loading</t>
        </is>
      </c>
      <c r="G1566" s="18" t="inlineStr">
        <is>
          <t>N-acetylcysteine (NAC) IV infusion protocol</t>
        </is>
      </c>
      <c r="H1566" s="18" t="inlineStr">
        <is>
          <t>Atropine sulfate 2 mg IV Q5-10 min</t>
        </is>
      </c>
      <c r="I1566" s="15" t="inlineStr">
        <is>
          <t>1</t>
        </is>
      </c>
      <c r="J15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6" s="18" t="inlineStr"/>
      <c r="L1566" s="18" t="inlineStr">
        <is>
          <t>General Therapeutics</t>
        </is>
      </c>
      <c r="M1566" s="18" t="inlineStr">
        <is>
          <t>Clinic</t>
        </is>
      </c>
      <c r="N1566" s="18" t="inlineStr">
        <is>
          <t>ข้อ 2 (PLE_CC1_Key_Rx20_UBU.md)</t>
        </is>
      </c>
      <c r="O1566" s="18" t="inlineStr">
        <is>
          <t>Mock</t>
        </is>
      </c>
      <c r="P1566" s="18" t="inlineStr">
        <is>
          <t>Mock Rx20 UBU</t>
        </is>
      </c>
    </row>
    <row r="1567">
      <c r="A1567" s="15" t="inlineStr">
        <is>
          <t>1588</t>
        </is>
      </c>
      <c r="B1567" s="18" t="inlineStr">
        <is>
          <t>ถ้านำเลือดของผู้ป่วยมาส่องดูในกล้องจุลทรรศน์ คาดวาจะพบสิ่งใด</t>
        </is>
      </c>
      <c r="C1567" s="18" t="inlineStr"/>
      <c r="D1567" s="18" t="inlineStr">
        <is>
          <t>N-acetylcysteine (NAC) IV infusion protocol</t>
        </is>
      </c>
      <c r="E1567" s="18" t="inlineStr">
        <is>
          <t>Atropine sulfate 2 mg IV Q5-10 min</t>
        </is>
      </c>
      <c r="F1567" s="18" t="inlineStr">
        <is>
          <t>Pralidoxime (2-PAM) 1-2 g IV over 30 min</t>
        </is>
      </c>
      <c r="G1567" s="18" t="inlineStr">
        <is>
          <t>Naloxone 0.4 mg IV stat</t>
        </is>
      </c>
      <c r="H1567" s="18" t="inlineStr">
        <is>
          <t>Flumazenil 0.2 mg IV stat</t>
        </is>
      </c>
      <c r="I1567" s="15" t="inlineStr">
        <is>
          <t>1</t>
        </is>
      </c>
      <c r="J15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7" s="18" t="inlineStr"/>
      <c r="L1567" s="18" t="inlineStr">
        <is>
          <t>General Therapeutics</t>
        </is>
      </c>
      <c r="M1567" s="18" t="inlineStr">
        <is>
          <t>Clinic</t>
        </is>
      </c>
      <c r="N1567" s="18" t="inlineStr">
        <is>
          <t>ข้อ 72 (PLE_CC1_Key_Rx20_UBU.md)</t>
        </is>
      </c>
      <c r="O1567" s="18" t="inlineStr">
        <is>
          <t>Mock</t>
        </is>
      </c>
      <c r="P1567" s="18" t="inlineStr">
        <is>
          <t>Mock Rx20 UBU</t>
        </is>
      </c>
    </row>
    <row r="1568">
      <c r="A1568" s="15" t="inlineStr">
        <is>
          <t>1589</t>
        </is>
      </c>
      <c r="B1568" s="18" t="inlineStr">
        <is>
          <t>เม็ดเลือดแดงมีสีซีด</t>
        </is>
      </c>
      <c r="C1568" s="18" t="inlineStr"/>
      <c r="D1568" s="18" t="inlineStr">
        <is>
          <t>Naloxone 0.4 mg IV stat</t>
        </is>
      </c>
      <c r="E1568" s="18" t="inlineStr">
        <is>
          <t>Flumazenil 0.2 mg IV stat</t>
        </is>
      </c>
      <c r="F1568" s="18" t="inlineStr">
        <is>
          <t>Vitamin K1 (Phytomenadione) 10 mg IV slow</t>
        </is>
      </c>
      <c r="G1568" s="18" t="inlineStr">
        <is>
          <t>Sodium thiosulfate 25% 50 mL IV</t>
        </is>
      </c>
      <c r="H1568" s="18" t="inlineStr">
        <is>
          <t>Calcium disodium EDTA 1 g IV</t>
        </is>
      </c>
      <c r="I1568" s="15" t="inlineStr">
        <is>
          <t>1</t>
        </is>
      </c>
      <c r="J15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8" s="18" t="inlineStr"/>
      <c r="L1568" s="18" t="inlineStr">
        <is>
          <t>General Therapeutics</t>
        </is>
      </c>
      <c r="M1568" s="18" t="inlineStr">
        <is>
          <t>Clinic</t>
        </is>
      </c>
      <c r="N1568" s="18" t="inlineStr">
        <is>
          <t>ข้อ 1 (PLE_CC1_Key_Rx20_UBU.md)</t>
        </is>
      </c>
      <c r="O1568" s="18" t="inlineStr">
        <is>
          <t>Mock</t>
        </is>
      </c>
      <c r="P1568" s="18" t="inlineStr">
        <is>
          <t>Mock Rx20 UBU</t>
        </is>
      </c>
    </row>
    <row r="1569">
      <c r="A1569" s="15" t="inlineStr">
        <is>
          <t>1590</t>
        </is>
      </c>
      <c r="B1569" s="18" t="inlineStr">
        <is>
          <t>เม็ดเลือดแดงมีสีจาง</t>
        </is>
      </c>
      <c r="C1569" s="18" t="inlineStr"/>
      <c r="D1569" s="18" t="inlineStr">
        <is>
          <t>Sodium thiosulfate 25% 50 mL IV</t>
        </is>
      </c>
      <c r="E1569" s="18" t="inlineStr">
        <is>
          <t>Calcium disodium EDTA 1 g IV</t>
        </is>
      </c>
      <c r="F1569" s="18" t="inlineStr">
        <is>
          <t>Desferrioxamine 1 g IM/IV</t>
        </is>
      </c>
      <c r="G1569" s="18" t="inlineStr">
        <is>
          <t>Dimercaprol (BAL) 3 mg/kg IM</t>
        </is>
      </c>
      <c r="H1569" s="18" t="inlineStr">
        <is>
          <t>Ethanol 10% IV infusion for Methanol poisoning</t>
        </is>
      </c>
      <c r="I1569" s="15" t="inlineStr">
        <is>
          <t>1</t>
        </is>
      </c>
      <c r="J15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9" s="18" t="inlineStr"/>
      <c r="L1569" s="18" t="inlineStr">
        <is>
          <t>General Therapeutics</t>
        </is>
      </c>
      <c r="M1569" s="18" t="inlineStr">
        <is>
          <t>Clinic</t>
        </is>
      </c>
      <c r="N1569" s="18" t="inlineStr">
        <is>
          <t>ข้อ 2 (PLE_CC1_Key_Rx20_UBU.md)</t>
        </is>
      </c>
      <c r="O1569" s="18" t="inlineStr">
        <is>
          <t>Mock</t>
        </is>
      </c>
      <c r="P1569" s="18" t="inlineStr">
        <is>
          <t>Mock Rx20 UBU</t>
        </is>
      </c>
    </row>
    <row r="1570">
      <c r="A1570" s="15" t="inlineStr">
        <is>
          <t>1591</t>
        </is>
      </c>
      <c r="B1570" s="18" t="inlineStr">
        <is>
          <t>เม็ดเลือดแดงขนาดเล็ก</t>
        </is>
      </c>
      <c r="C1570" s="18" t="inlineStr"/>
      <c r="D1570" s="18" t="inlineStr">
        <is>
          <t>Dimercaprol (BAL) 3 mg/kg IM</t>
        </is>
      </c>
      <c r="E1570" s="18" t="inlineStr">
        <is>
          <t>Ethanol 10% IV infusion for Methanol poisoning</t>
        </is>
      </c>
      <c r="F1570" s="18" t="inlineStr">
        <is>
          <t>Fomepizole 15 mg/kg IV loading</t>
        </is>
      </c>
      <c r="G1570" s="18" t="inlineStr">
        <is>
          <t>N-acetylcysteine (NAC) IV infusion protocol</t>
        </is>
      </c>
      <c r="H1570" s="18" t="inlineStr">
        <is>
          <t>Atropine sulfate 2 mg IV Q5-10 min</t>
        </is>
      </c>
      <c r="I1570" s="15" t="inlineStr">
        <is>
          <t>1</t>
        </is>
      </c>
      <c r="J15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0" s="18" t="inlineStr"/>
      <c r="L1570" s="18" t="inlineStr">
        <is>
          <t>General Therapeutics</t>
        </is>
      </c>
      <c r="M1570" s="18" t="inlineStr">
        <is>
          <t>Clinic</t>
        </is>
      </c>
      <c r="N1570" s="18" t="inlineStr">
        <is>
          <t>ข้อ 3 (PLE_CC1_Key_Rx20_UBU.md)</t>
        </is>
      </c>
      <c r="O1570" s="18" t="inlineStr">
        <is>
          <t>Mock</t>
        </is>
      </c>
      <c r="P1570" s="18" t="inlineStr">
        <is>
          <t>Mock Rx20 UBU</t>
        </is>
      </c>
    </row>
    <row r="1571">
      <c r="A1571" s="15" t="inlineStr">
        <is>
          <t>1592</t>
        </is>
      </c>
      <c r="B1571" s="18" t="inlineStr">
        <is>
          <t>เม็ดเลือดแดงขนาดใหญ่</t>
        </is>
      </c>
      <c r="C1571" s="18" t="inlineStr"/>
      <c r="D1571" s="18" t="inlineStr">
        <is>
          <t>N-acetylcysteine (NAC) IV infusion protocol</t>
        </is>
      </c>
      <c r="E1571" s="18" t="inlineStr">
        <is>
          <t>Atropine sulfate 2 mg IV Q5-10 min</t>
        </is>
      </c>
      <c r="F1571" s="18" t="inlineStr">
        <is>
          <t>Pralidoxime (2-PAM) 1-2 g IV over 30 min</t>
        </is>
      </c>
      <c r="G1571" s="18" t="inlineStr">
        <is>
          <t>Naloxone 0.4 mg IV stat</t>
        </is>
      </c>
      <c r="H1571" s="18" t="inlineStr">
        <is>
          <t>Flumazenil 0.2 mg IV stat</t>
        </is>
      </c>
      <c r="I1571" s="15" t="inlineStr">
        <is>
          <t>1</t>
        </is>
      </c>
      <c r="J15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1" s="18" t="inlineStr"/>
      <c r="L1571" s="18" t="inlineStr">
        <is>
          <t>General Therapeutics</t>
        </is>
      </c>
      <c r="M1571" s="18" t="inlineStr">
        <is>
          <t>Clinic</t>
        </is>
      </c>
      <c r="N1571" s="18" t="inlineStr">
        <is>
          <t>ข้อ 4 (PLE_CC1_Key_Rx20_UBU.md)</t>
        </is>
      </c>
      <c r="O1571" s="18" t="inlineStr">
        <is>
          <t>Mock</t>
        </is>
      </c>
      <c r="P1571" s="18" t="inlineStr">
        <is>
          <t>Mock Rx20 UBU</t>
        </is>
      </c>
    </row>
    <row r="1572">
      <c r="A1572" s="15" t="inlineStr">
        <is>
          <t>1593</t>
        </is>
      </c>
      <c r="B1572" s="18" t="inlineStr">
        <is>
          <t>พบเศษเซลล์ของเม็ดเลือดแดงที่แตก</t>
        </is>
      </c>
      <c r="C1572" s="18" t="inlineStr"/>
      <c r="D1572" s="18" t="inlineStr">
        <is>
          <t>Naloxone 0.4 mg IV stat</t>
        </is>
      </c>
      <c r="E1572" s="18" t="inlineStr">
        <is>
          <t>Flumazenil 0.2 mg IV stat</t>
        </is>
      </c>
      <c r="F1572" s="18" t="inlineStr">
        <is>
          <t>Vitamin K1 (Phytomenadione) 10 mg IV slow</t>
        </is>
      </c>
      <c r="G1572" s="18" t="inlineStr">
        <is>
          <t>Sodium thiosulfate 25% 50 mL IV</t>
        </is>
      </c>
      <c r="H1572" s="18" t="inlineStr">
        <is>
          <t>Calcium disodium EDTA 1 g IV</t>
        </is>
      </c>
      <c r="I1572" s="15" t="inlineStr">
        <is>
          <t>2</t>
        </is>
      </c>
      <c r="J1572" s="18"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572" s="18" t="inlineStr"/>
      <c r="L1572" s="18" t="inlineStr">
        <is>
          <t>General Therapeutics</t>
        </is>
      </c>
      <c r="M1572" s="18" t="inlineStr">
        <is>
          <t>Clinic</t>
        </is>
      </c>
      <c r="N1572" s="18" t="inlineStr">
        <is>
          <t>ข้อ 5 (PLE_CC1_Key_Rx20_UBU.md)</t>
        </is>
      </c>
      <c r="O1572" s="18" t="inlineStr">
        <is>
          <t>Mock</t>
        </is>
      </c>
      <c r="P1572" s="18" t="inlineStr">
        <is>
          <t>Mock Rx20 UBU</t>
        </is>
      </c>
    </row>
    <row r="1573">
      <c r="A1573" s="15" t="inlineStr">
        <is>
          <t>1594</t>
        </is>
      </c>
      <c r="B1573" s="18" t="inlineStr">
        <is>
          <t>Enzyme Glucose-6-phosphate dehydrogenase มีบทบาทอย่างไรต่อเม็ดเลือดแดง</t>
        </is>
      </c>
      <c r="C1573" s="18" t="inlineStr"/>
      <c r="D1573" s="18" t="inlineStr">
        <is>
          <t>Dapagliflozin 10 mg OD</t>
        </is>
      </c>
      <c r="E1573" s="18" t="inlineStr">
        <is>
          <t>Semaglutide 0.5 mg SC weekly</t>
        </is>
      </c>
      <c r="F1573" s="18" t="inlineStr">
        <is>
          <t>Metformin 500 mg BID</t>
        </is>
      </c>
      <c r="G1573" s="18" t="inlineStr">
        <is>
          <t>Glipizide 5 mg OD</t>
        </is>
      </c>
      <c r="H1573" s="18" t="inlineStr">
        <is>
          <t>Empagliflozin 10 mg OD</t>
        </is>
      </c>
      <c r="I1573" s="15" t="inlineStr">
        <is>
          <t>1</t>
        </is>
      </c>
      <c r="J1573" s="1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73" s="18" t="inlineStr"/>
      <c r="L1573" s="18" t="inlineStr">
        <is>
          <t>Diabetes &amp; Endocrine</t>
        </is>
      </c>
      <c r="M1573" s="18" t="inlineStr">
        <is>
          <t>Clinic</t>
        </is>
      </c>
      <c r="N1573" s="18" t="inlineStr">
        <is>
          <t>ข้อ 73 (PLE_CC1_Key_Rx20_UBU.md)</t>
        </is>
      </c>
      <c r="O1573" s="18" t="inlineStr">
        <is>
          <t>Mock</t>
        </is>
      </c>
      <c r="P1573" s="18" t="inlineStr">
        <is>
          <t>Mock Rx20 UBU</t>
        </is>
      </c>
    </row>
    <row r="1574">
      <c r="A1574" s="15" t="inlineStr">
        <is>
          <t>1595</t>
        </is>
      </c>
      <c r="B1574" s="18" t="inlineStr">
        <is>
          <t>สร้างพลังงานจากการเปลี่ยนแปลง glucose</t>
        </is>
      </c>
      <c r="C1574" s="18" t="inlineStr"/>
      <c r="D1574" s="18" t="inlineStr">
        <is>
          <t>Glipizide 5 mg OD</t>
        </is>
      </c>
      <c r="E1574" s="18" t="inlineStr">
        <is>
          <t>Empagliflozin 10 mg OD</t>
        </is>
      </c>
      <c r="F1574" s="18" t="inlineStr">
        <is>
          <t>Sitagliptin 100 mg OD</t>
        </is>
      </c>
      <c r="G1574" s="18" t="inlineStr">
        <is>
          <t>Liraglutide 1.2 mg SC OD</t>
        </is>
      </c>
      <c r="H1574" s="18" t="inlineStr">
        <is>
          <t>Levothyroxine 50 mcg OD</t>
        </is>
      </c>
      <c r="I1574" s="15" t="inlineStr">
        <is>
          <t>1</t>
        </is>
      </c>
      <c r="J1574" s="1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74" s="18" t="inlineStr"/>
      <c r="L1574" s="18" t="inlineStr">
        <is>
          <t>Diabetes &amp; Endocrine</t>
        </is>
      </c>
      <c r="M1574" s="18" t="inlineStr">
        <is>
          <t>Clinic</t>
        </is>
      </c>
      <c r="N1574" s="18" t="inlineStr">
        <is>
          <t>ข้อ 1 (PLE_CC1_Key_Rx20_UBU.md)</t>
        </is>
      </c>
      <c r="O1574" s="18" t="inlineStr">
        <is>
          <t>Mock</t>
        </is>
      </c>
      <c r="P1574" s="18" t="inlineStr">
        <is>
          <t>Mock Rx20 UBU</t>
        </is>
      </c>
    </row>
    <row r="1575">
      <c r="A1575" s="15" t="inlineStr">
        <is>
          <t>1596</t>
        </is>
      </c>
      <c r="B1575" s="18" t="inlineStr">
        <is>
          <t>ป้องกันการเปลี่ยนจาก hemoglobin ไปเป็น methemoglobin</t>
        </is>
      </c>
      <c r="C1575" s="18" t="inlineStr"/>
      <c r="D1575" s="18" t="inlineStr">
        <is>
          <t>N-acetylcysteine (NAC) IV infusion protocol</t>
        </is>
      </c>
      <c r="E1575" s="18" t="inlineStr">
        <is>
          <t>Atropine sulfate 2 mg IV Q5-10 min</t>
        </is>
      </c>
      <c r="F1575" s="18" t="inlineStr">
        <is>
          <t>Pralidoxime (2-PAM) 1-2 g IV over 30 min</t>
        </is>
      </c>
      <c r="G1575" s="18" t="inlineStr">
        <is>
          <t>Naloxone 0.4 mg IV stat</t>
        </is>
      </c>
      <c r="H1575" s="18" t="inlineStr">
        <is>
          <t>Flumazenil 0.2 mg IV stat</t>
        </is>
      </c>
      <c r="I1575" s="15" t="inlineStr">
        <is>
          <t>1</t>
        </is>
      </c>
      <c r="J15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5" s="18" t="inlineStr"/>
      <c r="L1575" s="18" t="inlineStr">
        <is>
          <t>General Therapeutics</t>
        </is>
      </c>
      <c r="M1575" s="18" t="inlineStr">
        <is>
          <t>Clinic</t>
        </is>
      </c>
      <c r="N1575" s="18" t="inlineStr">
        <is>
          <t>ข้อ 2 (PLE_CC1_Key_Rx20_UBU.md)</t>
        </is>
      </c>
      <c r="O1575" s="18" t="inlineStr">
        <is>
          <t>Mock</t>
        </is>
      </c>
      <c r="P1575" s="18" t="inlineStr">
        <is>
          <t>Mock Rx20 UBU</t>
        </is>
      </c>
    </row>
    <row r="1576">
      <c r="A1576" s="15" t="inlineStr">
        <is>
          <t>1597</t>
        </is>
      </c>
      <c r="B1576" s="18" t="inlineStr">
        <is>
          <t>ทำให้นำส่งออกซิเจนได้ดีมากขึ้น</t>
        </is>
      </c>
      <c r="C1576" s="18" t="inlineStr"/>
      <c r="D1576" s="18" t="inlineStr">
        <is>
          <t>Naloxone 0.4 mg IV stat</t>
        </is>
      </c>
      <c r="E1576" s="18" t="inlineStr">
        <is>
          <t>Flumazenil 0.2 mg IV stat</t>
        </is>
      </c>
      <c r="F1576" s="18" t="inlineStr">
        <is>
          <t>Vitamin K1 (Phytomenadione) 10 mg IV slow</t>
        </is>
      </c>
      <c r="G1576" s="18" t="inlineStr">
        <is>
          <t>Sodium thiosulfate 25% 50 mL IV</t>
        </is>
      </c>
      <c r="H1576" s="18" t="inlineStr">
        <is>
          <t>Calcium disodium EDTA 1 g IV</t>
        </is>
      </c>
      <c r="I1576" s="15" t="inlineStr">
        <is>
          <t>1</t>
        </is>
      </c>
      <c r="J15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76" s="18" t="inlineStr"/>
      <c r="L1576" s="18" t="inlineStr">
        <is>
          <t>General Therapeutics</t>
        </is>
      </c>
      <c r="M1576" s="18" t="inlineStr">
        <is>
          <t>Clinic</t>
        </is>
      </c>
      <c r="N1576" s="18" t="inlineStr">
        <is>
          <t>ข้อ 3 (PLE_CC1_Key_Rx20_UBU.md)</t>
        </is>
      </c>
      <c r="O1576" s="18" t="inlineStr">
        <is>
          <t>Mock</t>
        </is>
      </c>
      <c r="P1576" s="18" t="inlineStr">
        <is>
          <t>Mock Rx20 UBU</t>
        </is>
      </c>
    </row>
    <row r="1577">
      <c r="A1577" s="15" t="inlineStr">
        <is>
          <t>1598</t>
        </is>
      </c>
      <c r="B1577" s="18" t="inlineStr">
        <is>
          <t>ทำให้โครงสร้างของ globin คงรูปร่างอยู่ได้</t>
        </is>
      </c>
      <c r="C1577" s="18" t="inlineStr"/>
      <c r="D1577" s="18" t="inlineStr">
        <is>
          <t>Sodium thiosulfate 25% 50 mL IV</t>
        </is>
      </c>
      <c r="E1577" s="18" t="inlineStr">
        <is>
          <t>Calcium disodium EDTA 1 g IV</t>
        </is>
      </c>
      <c r="F1577" s="18" t="inlineStr">
        <is>
          <t>Desferrioxamine 1 g IM/IV</t>
        </is>
      </c>
      <c r="G1577" s="18" t="inlineStr">
        <is>
          <t>Dimercaprol (BAL) 3 mg/kg IM</t>
        </is>
      </c>
      <c r="H1577" s="18" t="inlineStr">
        <is>
          <t>Ethanol 10% IV infusion for Methanol poisoning</t>
        </is>
      </c>
      <c r="I1577" s="15" t="inlineStr">
        <is>
          <t>1</t>
        </is>
      </c>
      <c r="J15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7" s="18" t="inlineStr"/>
      <c r="L1577" s="18" t="inlineStr">
        <is>
          <t>General Therapeutics</t>
        </is>
      </c>
      <c r="M1577" s="18" t="inlineStr">
        <is>
          <t>Clinic</t>
        </is>
      </c>
      <c r="N1577" s="18" t="inlineStr">
        <is>
          <t>ข้อ 4 (PLE_CC1_Key_Rx20_UBU.md)</t>
        </is>
      </c>
      <c r="O1577" s="18" t="inlineStr">
        <is>
          <t>Mock</t>
        </is>
      </c>
      <c r="P1577" s="18" t="inlineStr">
        <is>
          <t>Mock Rx20 UBU</t>
        </is>
      </c>
    </row>
    <row r="1578">
      <c r="A1578" s="15" t="inlineStr">
        <is>
          <t>1599</t>
        </is>
      </c>
      <c r="B1578" s="18" t="inlineStr">
        <is>
          <t>ทำให้ hemoglobin จับกับเหล็ก</t>
        </is>
      </c>
      <c r="C1578" s="18" t="inlineStr"/>
      <c r="D1578" s="18" t="inlineStr">
        <is>
          <t>Dimercaprol (BAL) 3 mg/kg IM</t>
        </is>
      </c>
      <c r="E1578" s="18" t="inlineStr">
        <is>
          <t>Ethanol 10% IV infusion for Methanol poisoning</t>
        </is>
      </c>
      <c r="F1578" s="18" t="inlineStr">
        <is>
          <t>Fomepizole 15 mg/kg IV loading</t>
        </is>
      </c>
      <c r="G1578" s="18" t="inlineStr">
        <is>
          <t>N-acetylcysteine (NAC) IV infusion protocol</t>
        </is>
      </c>
      <c r="H1578" s="18" t="inlineStr">
        <is>
          <t>Atropine sulfate 2 mg IV Q5-10 min</t>
        </is>
      </c>
      <c r="I1578" s="15" t="inlineStr">
        <is>
          <t>4</t>
        </is>
      </c>
      <c r="J1578" s="18"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8" s="18" t="inlineStr"/>
      <c r="L1578" s="18" t="inlineStr">
        <is>
          <t>General Therapeutics</t>
        </is>
      </c>
      <c r="M1578" s="18" t="inlineStr">
        <is>
          <t>Clinic</t>
        </is>
      </c>
      <c r="N1578" s="18" t="inlineStr">
        <is>
          <t>ข้อ 5 (PLE_CC1_Key_Rx20_UBU.md)</t>
        </is>
      </c>
      <c r="O1578" s="18" t="inlineStr">
        <is>
          <t>Mock</t>
        </is>
      </c>
      <c r="P1578" s="18" t="inlineStr">
        <is>
          <t>Mock Rx20 UBU</t>
        </is>
      </c>
    </row>
    <row r="1579">
      <c r="A1579" s="15" t="inlineStr">
        <is>
          <t>1600</t>
        </is>
      </c>
      <c r="B1579" s="18" t="inlineStr">
        <is>
          <t>ผู้ป่วยรายนี้ควรได้รับอะไรเสริมในปริมาณมาก</t>
        </is>
      </c>
      <c r="C1579" s="18" t="inlineStr"/>
      <c r="D1579" s="18" t="inlineStr">
        <is>
          <t>N-acetylcysteine (NAC) IV infusion protocol</t>
        </is>
      </c>
      <c r="E1579" s="18" t="inlineStr">
        <is>
          <t>Atropine sulfate 2 mg IV Q5-10 min</t>
        </is>
      </c>
      <c r="F1579" s="18" t="inlineStr">
        <is>
          <t>Pralidoxime (2-PAM) 1-2 g IV over 30 min</t>
        </is>
      </c>
      <c r="G1579" s="18" t="inlineStr">
        <is>
          <t>Naloxone 0.4 mg IV stat</t>
        </is>
      </c>
      <c r="H1579" s="18" t="inlineStr">
        <is>
          <t>Flumazenil 0.2 mg IV stat</t>
        </is>
      </c>
      <c r="I1579" s="15" t="inlineStr">
        <is>
          <t>1</t>
        </is>
      </c>
      <c r="J15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9" s="18" t="inlineStr"/>
      <c r="L1579" s="18" t="inlineStr">
        <is>
          <t>General Therapeutics</t>
        </is>
      </c>
      <c r="M1579" s="18" t="inlineStr">
        <is>
          <t>Clinic</t>
        </is>
      </c>
      <c r="N1579" s="18" t="inlineStr">
        <is>
          <t>ข้อ 74 (PLE_CC1_Key_Rx20_UBU.md)</t>
        </is>
      </c>
      <c r="O1579" s="18" t="inlineStr">
        <is>
          <t>Mock</t>
        </is>
      </c>
      <c r="P1579" s="18" t="inlineStr">
        <is>
          <t>Mock Rx20 UBU</t>
        </is>
      </c>
    </row>
    <row r="1580">
      <c r="A1580" s="15" t="inlineStr">
        <is>
          <t>1601</t>
        </is>
      </c>
      <c r="B1580" s="18" t="inlineStr">
        <is>
          <t>ยาใดที่อาจทำให้เกิดผลในลักษณะเดียวกับ Cotrimoxazole</t>
        </is>
      </c>
      <c r="C1580" s="18" t="inlineStr"/>
      <c r="D1580" s="18" t="inlineStr">
        <is>
          <t>Naloxone 0.4 mg IV stat</t>
        </is>
      </c>
      <c r="E1580" s="18" t="inlineStr">
        <is>
          <t>Flumazenil 0.2 mg IV stat</t>
        </is>
      </c>
      <c r="F1580" s="18" t="inlineStr">
        <is>
          <t>Vitamin K1 (Phytomenadione) 10 mg IV slow</t>
        </is>
      </c>
      <c r="G1580" s="18" t="inlineStr">
        <is>
          <t>Sodium thiosulfate 25% 50 mL IV</t>
        </is>
      </c>
      <c r="H1580" s="18" t="inlineStr">
        <is>
          <t>Calcium disodium EDTA 1 g IV</t>
        </is>
      </c>
      <c r="I1580" s="15" t="inlineStr">
        <is>
          <t>1</t>
        </is>
      </c>
      <c r="J15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0" s="18" t="inlineStr"/>
      <c r="L1580" s="18" t="inlineStr">
        <is>
          <t>General Therapeutics</t>
        </is>
      </c>
      <c r="M1580" s="18" t="inlineStr">
        <is>
          <t>Clinic</t>
        </is>
      </c>
      <c r="N1580" s="18" t="inlineStr">
        <is>
          <t>ข้อ 75 (PLE_CC1_Key_Rx20_UBU.md)</t>
        </is>
      </c>
      <c r="O1580" s="18" t="inlineStr">
        <is>
          <t>Mock</t>
        </is>
      </c>
      <c r="P1580" s="18" t="inlineStr">
        <is>
          <t>Mock Rx20 UBU</t>
        </is>
      </c>
    </row>
    <row r="1581">
      <c r="A1581" s="15" t="inlineStr">
        <is>
          <t>1602</t>
        </is>
      </c>
      <c r="B1581" s="18" t="inlineStr">
        <is>
          <t>ถ้าต้องรักษาโรคทางเดินปัสสาวะอักเสบ ผู้ป่วยควรได้ยาอะไรแทน</t>
        </is>
      </c>
      <c r="C1581" s="18" t="inlineStr"/>
      <c r="D1581" s="18" t="inlineStr">
        <is>
          <t>Sodium thiosulfate 25% 50 mL IV</t>
        </is>
      </c>
      <c r="E1581" s="18" t="inlineStr">
        <is>
          <t>Calcium disodium EDTA 1 g IV</t>
        </is>
      </c>
      <c r="F1581" s="18" t="inlineStr">
        <is>
          <t>Desferrioxamine 1 g IM/IV</t>
        </is>
      </c>
      <c r="G1581" s="18" t="inlineStr">
        <is>
          <t>Dimercaprol (BAL) 3 mg/kg IM</t>
        </is>
      </c>
      <c r="H1581" s="18" t="inlineStr">
        <is>
          <t>Ethanol 10% IV infusion for Methanol poisoning</t>
        </is>
      </c>
      <c r="I1581" s="15" t="inlineStr">
        <is>
          <t>1</t>
        </is>
      </c>
      <c r="J15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1" s="18" t="inlineStr"/>
      <c r="L1581" s="18" t="inlineStr">
        <is>
          <t>General Therapeutics</t>
        </is>
      </c>
      <c r="M1581" s="18" t="inlineStr">
        <is>
          <t>Clinic</t>
        </is>
      </c>
      <c r="N1581" s="18" t="inlineStr">
        <is>
          <t>ข้อ 76 (PLE_CC1_Key_Rx20_UBU.md)</t>
        </is>
      </c>
      <c r="O1581" s="18" t="inlineStr">
        <is>
          <t>Mock</t>
        </is>
      </c>
      <c r="P1581" s="18" t="inlineStr">
        <is>
          <t>Mock Rx20 UBU</t>
        </is>
      </c>
    </row>
    <row r="1582">
      <c r="A1582" s="15" t="inlineStr">
        <is>
          <t>1603</t>
        </is>
      </c>
      <c r="B1582" s="18" t="inlineStr">
        <is>
          <t>Cotrimoxazole half dose</t>
        </is>
      </c>
      <c r="C1582" s="18" t="inlineStr"/>
      <c r="D1582" s="18" t="inlineStr">
        <is>
          <t>Dimercaprol (BAL) 3 mg/kg IM</t>
        </is>
      </c>
      <c r="E1582" s="18" t="inlineStr">
        <is>
          <t>Ethanol 10% IV infusion for Methanol poisoning</t>
        </is>
      </c>
      <c r="F1582" s="18" t="inlineStr">
        <is>
          <t>Fomepizole 15 mg/kg IV loading</t>
        </is>
      </c>
      <c r="G1582" s="18" t="inlineStr">
        <is>
          <t>N-acetylcysteine (NAC) IV infusion protocol</t>
        </is>
      </c>
      <c r="H1582" s="18" t="inlineStr">
        <is>
          <t>Atropine sulfate 2 mg IV Q5-10 min</t>
        </is>
      </c>
      <c r="I1582" s="15" t="inlineStr">
        <is>
          <t>3</t>
        </is>
      </c>
      <c r="J1582" s="18"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2" s="18" t="inlineStr"/>
      <c r="L1582" s="18" t="inlineStr">
        <is>
          <t>General Therapeutics</t>
        </is>
      </c>
      <c r="M1582" s="18" t="inlineStr">
        <is>
          <t>Clinic</t>
        </is>
      </c>
      <c r="N1582" s="18" t="inlineStr">
        <is>
          <t>ข้อ 5 (PLE_CC1_Key_Rx20_UBU.md)</t>
        </is>
      </c>
      <c r="O1582" s="18" t="inlineStr">
        <is>
          <t>Mock</t>
        </is>
      </c>
      <c r="P1582" s="18" t="inlineStr">
        <is>
          <t>Mock Rx20 UBU</t>
        </is>
      </c>
    </row>
    <row r="1583">
      <c r="A1583" s="15" t="inlineStr">
        <is>
          <t>1604</t>
        </is>
      </c>
      <c r="B1583" s="18" t="inlineStr">
        <is>
          <t>ถ้าผู้ป่วยมีภาวะเม็ดเลือดแดงแตกอย่างรุนแรง ควรได้รับผลิตภัณฑใด</t>
        </is>
      </c>
      <c r="C1583" s="18" t="inlineStr"/>
      <c r="D1583" s="18" t="inlineStr">
        <is>
          <t>N-acetylcysteine (NAC) IV infusion protocol</t>
        </is>
      </c>
      <c r="E1583" s="18" t="inlineStr">
        <is>
          <t>Atropine sulfate 2 mg IV Q5-10 min</t>
        </is>
      </c>
      <c r="F1583" s="18" t="inlineStr">
        <is>
          <t>Pralidoxime (2-PAM) 1-2 g IV over 30 min</t>
        </is>
      </c>
      <c r="G1583" s="18" t="inlineStr">
        <is>
          <t>Naloxone 0.4 mg IV stat</t>
        </is>
      </c>
      <c r="H1583" s="18" t="inlineStr">
        <is>
          <t>Flumazenil 0.2 mg IV stat</t>
        </is>
      </c>
      <c r="I1583" s="15" t="inlineStr">
        <is>
          <t>1</t>
        </is>
      </c>
      <c r="J15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3" s="18" t="inlineStr"/>
      <c r="L1583" s="18" t="inlineStr">
        <is>
          <t>General Therapeutics</t>
        </is>
      </c>
      <c r="M1583" s="18" t="inlineStr">
        <is>
          <t>Clinic</t>
        </is>
      </c>
      <c r="N1583" s="18" t="inlineStr">
        <is>
          <t>ข้อ 77 (PLE_CC1_Key_Rx20_UBU.md)</t>
        </is>
      </c>
      <c r="O1583" s="18" t="inlineStr">
        <is>
          <t>Mock</t>
        </is>
      </c>
      <c r="P1583" s="18" t="inlineStr">
        <is>
          <t>Mock Rx20 UBU</t>
        </is>
      </c>
    </row>
    <row r="1584">
      <c r="A1584" s="15" t="inlineStr">
        <is>
          <t>1605</t>
        </is>
      </c>
      <c r="B1584" s="18" t="inlineStr">
        <is>
          <t>Packed red cell</t>
        </is>
      </c>
      <c r="C1584" s="18" t="inlineStr"/>
      <c r="D1584" s="18" t="inlineStr">
        <is>
          <t>Naloxone 0.4 mg IV stat</t>
        </is>
      </c>
      <c r="E1584" s="18" t="inlineStr">
        <is>
          <t>Flumazenil 0.2 mg IV stat</t>
        </is>
      </c>
      <c r="F1584" s="18" t="inlineStr">
        <is>
          <t>Vitamin K1 (Phytomenadione) 10 mg IV slow</t>
        </is>
      </c>
      <c r="G1584" s="18" t="inlineStr">
        <is>
          <t>Sodium thiosulfate 25% 50 mL IV</t>
        </is>
      </c>
      <c r="H1584" s="18" t="inlineStr">
        <is>
          <t>Calcium disodium EDTA 1 g IV</t>
        </is>
      </c>
      <c r="I1584" s="15" t="inlineStr">
        <is>
          <t>1</t>
        </is>
      </c>
      <c r="J15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4" s="18" t="inlineStr"/>
      <c r="L1584" s="18" t="inlineStr">
        <is>
          <t>General Therapeutics</t>
        </is>
      </c>
      <c r="M1584" s="18" t="inlineStr">
        <is>
          <t>Clinic</t>
        </is>
      </c>
      <c r="N1584" s="18" t="inlineStr">
        <is>
          <t>ข้อ 2 (PLE_CC1_Key_Rx20_UBU.md)</t>
        </is>
      </c>
      <c r="O1584" s="18" t="inlineStr">
        <is>
          <t>Mock</t>
        </is>
      </c>
      <c r="P1584" s="18" t="inlineStr">
        <is>
          <t>Mock Rx20 UBU</t>
        </is>
      </c>
    </row>
    <row r="1585">
      <c r="A1585" s="15" t="inlineStr">
        <is>
          <t>1606</t>
        </is>
      </c>
      <c r="B1585" s="18" t="inlineStr">
        <is>
          <t>Platelet Rich Plasma</t>
        </is>
      </c>
      <c r="C1585" s="18" t="inlineStr"/>
      <c r="D1585" s="18" t="inlineStr">
        <is>
          <t>Sodium thiosulfate 25% 50 mL IV</t>
        </is>
      </c>
      <c r="E1585" s="18" t="inlineStr">
        <is>
          <t>Calcium disodium EDTA 1 g IV</t>
        </is>
      </c>
      <c r="F1585" s="18" t="inlineStr">
        <is>
          <t>Desferrioxamine 1 g IM/IV</t>
        </is>
      </c>
      <c r="G1585" s="18" t="inlineStr">
        <is>
          <t>Dimercaprol (BAL) 3 mg/kg IM</t>
        </is>
      </c>
      <c r="H1585" s="18" t="inlineStr">
        <is>
          <t>Ethanol 10% IV infusion for Methanol poisoning</t>
        </is>
      </c>
      <c r="I1585" s="15" t="inlineStr">
        <is>
          <t>1</t>
        </is>
      </c>
      <c r="J15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5" s="18" t="inlineStr"/>
      <c r="L1585" s="18" t="inlineStr">
        <is>
          <t>General Therapeutics</t>
        </is>
      </c>
      <c r="M1585" s="18" t="inlineStr">
        <is>
          <t>Clinic</t>
        </is>
      </c>
      <c r="N1585" s="18" t="inlineStr">
        <is>
          <t>ข้อ 3 (PLE_CC1_Key_Rx20_UBU.md)</t>
        </is>
      </c>
      <c r="O1585" s="18" t="inlineStr">
        <is>
          <t>Mock</t>
        </is>
      </c>
      <c r="P1585" s="18" t="inlineStr">
        <is>
          <t>Mock Rx20 UBU</t>
        </is>
      </c>
    </row>
    <row r="1586">
      <c r="A1586" s="15" t="inlineStr">
        <is>
          <t>1607</t>
        </is>
      </c>
      <c r="B1586" s="18" t="inlineStr">
        <is>
          <t>Cryoprecipitate factor VIII</t>
        </is>
      </c>
      <c r="C1586" s="18" t="inlineStr"/>
      <c r="D1586" s="18" t="inlineStr">
        <is>
          <t>Dimercaprol (BAL) 3 mg/kg IM</t>
        </is>
      </c>
      <c r="E1586" s="18" t="inlineStr">
        <is>
          <t>Ethanol 10% IV infusion for Methanol poisoning</t>
        </is>
      </c>
      <c r="F1586" s="18" t="inlineStr">
        <is>
          <t>Fomepizole 15 mg/kg IV loading</t>
        </is>
      </c>
      <c r="G1586" s="18" t="inlineStr">
        <is>
          <t>N-acetylcysteine (NAC) IV infusion protocol</t>
        </is>
      </c>
      <c r="H1586" s="18" t="inlineStr">
        <is>
          <t>Atropine sulfate 2 mg IV Q5-10 min</t>
        </is>
      </c>
      <c r="I1586" s="15" t="inlineStr">
        <is>
          <t>1</t>
        </is>
      </c>
      <c r="J15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6" s="18" t="inlineStr"/>
      <c r="L1586" s="18" t="inlineStr">
        <is>
          <t>General Therapeutics</t>
        </is>
      </c>
      <c r="M1586" s="18" t="inlineStr">
        <is>
          <t>Clinic</t>
        </is>
      </c>
      <c r="N1586" s="18" t="inlineStr">
        <is>
          <t>ข้อ 4 (PLE_CC1_Key_Rx20_UBU.md)</t>
        </is>
      </c>
      <c r="O1586" s="18" t="inlineStr">
        <is>
          <t>Mock</t>
        </is>
      </c>
      <c r="P1586" s="18" t="inlineStr">
        <is>
          <t>Mock Rx20 UBU</t>
        </is>
      </c>
    </row>
    <row r="1587">
      <c r="A1587" s="15" t="inlineStr">
        <is>
          <t>1608</t>
        </is>
      </c>
      <c r="B1587" s="18" t="inlineStr">
        <is>
          <t>Human Plasma</t>
        </is>
      </c>
      <c r="C1587" s="18" t="inlineStr"/>
      <c r="D1587" s="18" t="inlineStr">
        <is>
          <t>N-acetylcysteine (NAC) IV infusion protocol</t>
        </is>
      </c>
      <c r="E1587" s="18" t="inlineStr">
        <is>
          <t>Atropine sulfate 2 mg IV Q5-10 min</t>
        </is>
      </c>
      <c r="F1587" s="18" t="inlineStr">
        <is>
          <t>Pralidoxime (2-PAM) 1-2 g IV over 30 min</t>
        </is>
      </c>
      <c r="G1587" s="18" t="inlineStr">
        <is>
          <t>Naloxone 0.4 mg IV stat</t>
        </is>
      </c>
      <c r="H1587" s="18" t="inlineStr">
        <is>
          <t>Flumazenil 0.2 mg IV stat</t>
        </is>
      </c>
      <c r="I1587" s="15" t="inlineStr">
        <is>
          <t>1</t>
        </is>
      </c>
      <c r="J15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7" s="18" t="inlineStr"/>
      <c r="L1587" s="18" t="inlineStr">
        <is>
          <t>General Therapeutics</t>
        </is>
      </c>
      <c r="M1587" s="18" t="inlineStr">
        <is>
          <t>Clinic</t>
        </is>
      </c>
      <c r="N1587" s="18" t="inlineStr">
        <is>
          <t>ข้อ 5 (PLE_CC1_Key_Rx20_UBU.md)</t>
        </is>
      </c>
      <c r="O1587" s="18" t="inlineStr">
        <is>
          <t>Mock</t>
        </is>
      </c>
      <c r="P1587" s="18" t="inlineStr">
        <is>
          <t>Mock Rx20 UBU</t>
        </is>
      </c>
    </row>
    <row r="1588">
      <c r="A1588" s="15" t="inlineStr">
        <is>
          <t>1609</t>
        </is>
      </c>
      <c r="B1588" s="18" t="inlineStr">
        <is>
          <t>ลดแรงตอกอัด เพื่อลดความแข็งของเม็ดยา</t>
        </is>
      </c>
      <c r="C1588" s="18" t="inlineStr"/>
      <c r="D1588" s="18" t="inlineStr">
        <is>
          <t>Naloxone 0.4 mg IV stat</t>
        </is>
      </c>
      <c r="E1588" s="18" t="inlineStr">
        <is>
          <t>Flumazenil 0.2 mg IV stat</t>
        </is>
      </c>
      <c r="F1588" s="18" t="inlineStr">
        <is>
          <t>Vitamin K1 (Phytomenadione) 10 mg IV slow</t>
        </is>
      </c>
      <c r="G1588" s="18" t="inlineStr">
        <is>
          <t>Sodium thiosulfate 25% 50 mL IV</t>
        </is>
      </c>
      <c r="H1588" s="18" t="inlineStr">
        <is>
          <t>Calcium disodium EDTA 1 g IV</t>
        </is>
      </c>
      <c r="I1588" s="15" t="inlineStr">
        <is>
          <t>1</t>
        </is>
      </c>
      <c r="J15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8" s="18" t="inlineStr"/>
      <c r="L1588" s="18" t="inlineStr">
        <is>
          <t>General Therapeutics</t>
        </is>
      </c>
      <c r="M1588" s="18" t="inlineStr">
        <is>
          <t>Clinic</t>
        </is>
      </c>
      <c r="N1588" s="18" t="inlineStr">
        <is>
          <t>ข้อ 1 (PLE_CC1_Key_Rx20_UBU.md)</t>
        </is>
      </c>
      <c r="O1588" s="18" t="inlineStr">
        <is>
          <t>Mock</t>
        </is>
      </c>
      <c r="P1588" s="18" t="inlineStr">
        <is>
          <t>Mock Rx20 UBU</t>
        </is>
      </c>
    </row>
    <row r="1589">
      <c r="A1589" s="15" t="inlineStr">
        <is>
          <t>1610</t>
        </is>
      </c>
      <c r="B1589" s="18" t="inlineStr">
        <is>
          <t>ลดปริมาณ Lactose เพื่อลดความแข็งของเมดยา</t>
        </is>
      </c>
      <c r="C1589" s="18" t="inlineStr"/>
      <c r="D1589" s="18" t="inlineStr">
        <is>
          <t>Wet Granulation tableting method</t>
        </is>
      </c>
      <c r="E1589" s="18" t="inlineStr">
        <is>
          <t>Dry Granulation (Roller Compaction)</t>
        </is>
      </c>
      <c r="F1589" s="18" t="inlineStr">
        <is>
          <t>Fluidized Bed Granulation</t>
        </is>
      </c>
      <c r="G1589" s="18" t="inlineStr">
        <is>
          <t>Film Coating with Hydroxypropyl methylcellulose (HPMC)</t>
        </is>
      </c>
      <c r="H1589" s="18" t="inlineStr">
        <is>
          <t>Enteric Coating with Cellulose acetate phthalate (CAP)</t>
        </is>
      </c>
      <c r="I1589" s="15" t="inlineStr">
        <is>
          <t>1</t>
        </is>
      </c>
      <c r="J1589"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9" s="18" t="inlineStr"/>
      <c r="L1589" s="18" t="inlineStr">
        <is>
          <t>Solid Dosage Forms</t>
        </is>
      </c>
      <c r="M1589" s="18" t="inlineStr">
        <is>
          <t>Product</t>
        </is>
      </c>
      <c r="N1589" s="18" t="inlineStr">
        <is>
          <t>ข้อ 2 (PLE_CC1_Key_Rx20_UBU.md)</t>
        </is>
      </c>
      <c r="O1589" s="18" t="inlineStr">
        <is>
          <t>Mock</t>
        </is>
      </c>
      <c r="P1589" s="18" t="inlineStr">
        <is>
          <t>Mock Rx20 UBU</t>
        </is>
      </c>
    </row>
    <row r="1590">
      <c r="A1590" s="15" t="inlineStr">
        <is>
          <t>1611</t>
        </is>
      </c>
      <c r="B1590" s="18" t="inlineStr">
        <is>
          <t>ควรเพิ่ม Sodium Starch Glycolate ลงไปในตำรับเพื่อช่วยในการแตกตัว</t>
        </is>
      </c>
      <c r="C1590" s="18" t="inlineStr"/>
      <c r="D1590" s="18" t="inlineStr">
        <is>
          <t>Dimercaprol (BAL) 3 mg/kg IM</t>
        </is>
      </c>
      <c r="E1590" s="18" t="inlineStr">
        <is>
          <t>Ethanol 10% IV infusion for Methanol poisoning</t>
        </is>
      </c>
      <c r="F1590" s="18" t="inlineStr">
        <is>
          <t>Fomepizole 15 mg/kg IV loading</t>
        </is>
      </c>
      <c r="G1590" s="18" t="inlineStr">
        <is>
          <t>N-acetylcysteine (NAC) IV infusion protocol</t>
        </is>
      </c>
      <c r="H1590" s="18" t="inlineStr">
        <is>
          <t>Atropine sulfate 2 mg IV Q5-10 min</t>
        </is>
      </c>
      <c r="I1590" s="15" t="inlineStr">
        <is>
          <t>1</t>
        </is>
      </c>
      <c r="J15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0" s="18" t="inlineStr"/>
      <c r="L1590" s="18" t="inlineStr">
        <is>
          <t>General Therapeutics</t>
        </is>
      </c>
      <c r="M1590" s="18" t="inlineStr">
        <is>
          <t>Clinic</t>
        </is>
      </c>
      <c r="N1590" s="18" t="inlineStr">
        <is>
          <t>ข้อ 4 (PLE_CC1_Key_Rx20_UBU.md)</t>
        </is>
      </c>
      <c r="O1590" s="18" t="inlineStr">
        <is>
          <t>Mock</t>
        </is>
      </c>
      <c r="P1590" s="18" t="inlineStr">
        <is>
          <t>Mock Rx20 UBU</t>
        </is>
      </c>
    </row>
    <row r="1591">
      <c r="A1591" s="15" t="inlineStr">
        <is>
          <t>1612</t>
        </is>
      </c>
      <c r="B1591" s="18" t="inlineStr">
        <is>
          <t>เพิ่ม Sodium Lauryl Sulfate เพื่อให้ผงยาปียกได้ดีขึ้น เป็นสารที่มีคุณสมบัติลดแรงตึงผิวของน้ำ</t>
        </is>
      </c>
      <c r="C1591" s="18" t="inlineStr"/>
      <c r="D1591" s="18" t="inlineStr">
        <is>
          <t>N-acetylcysteine (NAC) IV infusion protocol</t>
        </is>
      </c>
      <c r="E1591" s="18" t="inlineStr">
        <is>
          <t>Atropine sulfate 2 mg IV Q5-10 min</t>
        </is>
      </c>
      <c r="F1591" s="18" t="inlineStr">
        <is>
          <t>Pralidoxime (2-PAM) 1-2 g IV over 30 min</t>
        </is>
      </c>
      <c r="G1591" s="18" t="inlineStr">
        <is>
          <t>Naloxone 0.4 mg IV stat</t>
        </is>
      </c>
      <c r="H1591" s="18" t="inlineStr">
        <is>
          <t>Flumazenil 0.2 mg IV stat</t>
        </is>
      </c>
      <c r="I1591" s="15" t="inlineStr">
        <is>
          <t>4</t>
        </is>
      </c>
      <c r="J1591" s="18"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1" s="18" t="inlineStr"/>
      <c r="L1591" s="18" t="inlineStr">
        <is>
          <t>General Therapeutics</t>
        </is>
      </c>
      <c r="M1591" s="18" t="inlineStr">
        <is>
          <t>Clinic</t>
        </is>
      </c>
      <c r="N1591" s="18" t="inlineStr">
        <is>
          <t>ข้อ 5 (PLE_CC1_Key_Rx20_UBU.md)</t>
        </is>
      </c>
      <c r="O1591" s="18" t="inlineStr">
        <is>
          <t>Mock</t>
        </is>
      </c>
      <c r="P1591" s="18" t="inlineStr">
        <is>
          <t>Mock Rx20 UBU</t>
        </is>
      </c>
    </row>
    <row r="1592">
      <c r="A1592" s="15" t="inlineStr">
        <is>
          <t>1613</t>
        </is>
      </c>
      <c r="B1592" s="18" t="inlineStr">
        <is>
          <t>เป็นวง Thiazole ring</t>
        </is>
      </c>
      <c r="C1592" s="18" t="inlineStr"/>
      <c r="D1592" s="18" t="inlineStr">
        <is>
          <t>Naloxone 0.4 mg IV stat</t>
        </is>
      </c>
      <c r="E1592" s="18" t="inlineStr">
        <is>
          <t>Flumazenil 0.2 mg IV stat</t>
        </is>
      </c>
      <c r="F1592" s="18" t="inlineStr">
        <is>
          <t>Vitamin K1 (Phytomenadione) 10 mg IV slow</t>
        </is>
      </c>
      <c r="G1592" s="18" t="inlineStr">
        <is>
          <t>Sodium thiosulfate 25% 50 mL IV</t>
        </is>
      </c>
      <c r="H1592" s="18" t="inlineStr">
        <is>
          <t>Calcium disodium EDTA 1 g IV</t>
        </is>
      </c>
      <c r="I1592" s="15" t="inlineStr">
        <is>
          <t>1</t>
        </is>
      </c>
      <c r="J15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2" s="18" t="inlineStr"/>
      <c r="L1592" s="18" t="inlineStr">
        <is>
          <t>General Therapeutics</t>
        </is>
      </c>
      <c r="M1592" s="18" t="inlineStr">
        <is>
          <t>Clinic</t>
        </is>
      </c>
      <c r="N1592" s="18" t="inlineStr">
        <is>
          <t>ข้อ 1 (PLE_CC1_Key_Rx20_UBU.md)</t>
        </is>
      </c>
      <c r="O1592" s="18" t="inlineStr">
        <is>
          <t>Mock</t>
        </is>
      </c>
      <c r="P1592" s="18" t="inlineStr">
        <is>
          <t>Mock Rx20 UBU</t>
        </is>
      </c>
    </row>
    <row r="1593">
      <c r="A1593" s="15" t="inlineStr">
        <is>
          <t>1614</t>
        </is>
      </c>
      <c r="B1593" s="18" t="inlineStr">
        <is>
          <t>หมู่ NH2 จำเป็นต่อการออกฤทธิ์</t>
        </is>
      </c>
      <c r="C1593" s="18" t="inlineStr"/>
      <c r="D1593" s="18" t="inlineStr">
        <is>
          <t>Sodium thiosulfate 25% 50 mL IV</t>
        </is>
      </c>
      <c r="E1593" s="18" t="inlineStr">
        <is>
          <t>Calcium disodium EDTA 1 g IV</t>
        </is>
      </c>
      <c r="F1593" s="18" t="inlineStr">
        <is>
          <t>Desferrioxamine 1 g IM/IV</t>
        </is>
      </c>
      <c r="G1593" s="18" t="inlineStr">
        <is>
          <t>Dimercaprol (BAL) 3 mg/kg IM</t>
        </is>
      </c>
      <c r="H1593" s="18" t="inlineStr">
        <is>
          <t>Ethanol 10% IV infusion for Methanol poisoning</t>
        </is>
      </c>
      <c r="I1593" s="15" t="inlineStr">
        <is>
          <t>1</t>
        </is>
      </c>
      <c r="J15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3" s="18" t="inlineStr"/>
      <c r="L1593" s="18" t="inlineStr">
        <is>
          <t>General Therapeutics</t>
        </is>
      </c>
      <c r="M1593" s="18" t="inlineStr">
        <is>
          <t>Clinic</t>
        </is>
      </c>
      <c r="N1593" s="18" t="inlineStr">
        <is>
          <t>ข้อ 4 (PLE_CC1_Key_Rx20_UBU.md)</t>
        </is>
      </c>
      <c r="O1593" s="18" t="inlineStr">
        <is>
          <t>Mock</t>
        </is>
      </c>
      <c r="P1593" s="18" t="inlineStr">
        <is>
          <t>Mock Rx20 UBU</t>
        </is>
      </c>
    </row>
    <row r="1594">
      <c r="A1594" s="15" t="inlineStr">
        <is>
          <t>1615</t>
        </is>
      </c>
      <c r="B1594" s="18" t="inlineStr">
        <is>
          <t>Chronic bronchitis</t>
        </is>
      </c>
      <c r="C1594" s="18" t="inlineStr"/>
      <c r="D1594" s="18" t="inlineStr">
        <is>
          <t>Dimercaprol (BAL) 3 mg/kg IM</t>
        </is>
      </c>
      <c r="E1594" s="18" t="inlineStr">
        <is>
          <t>Ethanol 10% IV infusion for Methanol poisoning</t>
        </is>
      </c>
      <c r="F1594" s="18" t="inlineStr">
        <is>
          <t>Fomepizole 15 mg/kg IV loading</t>
        </is>
      </c>
      <c r="G1594" s="18" t="inlineStr">
        <is>
          <t>N-acetylcysteine (NAC) IV infusion protocol</t>
        </is>
      </c>
      <c r="H1594" s="18" t="inlineStr">
        <is>
          <t>Atropine sulfate 2 mg IV Q5-10 min</t>
        </is>
      </c>
      <c r="I1594" s="15" t="inlineStr">
        <is>
          <t>1</t>
        </is>
      </c>
      <c r="J15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4" s="18" t="inlineStr"/>
      <c r="L1594" s="18" t="inlineStr">
        <is>
          <t>General Therapeutics</t>
        </is>
      </c>
      <c r="M1594" s="18" t="inlineStr">
        <is>
          <t>Clinic</t>
        </is>
      </c>
      <c r="N1594" s="18" t="inlineStr">
        <is>
          <t>ข้อ 1 (PLE_CC1_Key_Rx20_UBU.md)</t>
        </is>
      </c>
      <c r="O1594" s="18" t="inlineStr">
        <is>
          <t>Mock</t>
        </is>
      </c>
      <c r="P1594" s="18" t="inlineStr">
        <is>
          <t>Mock Rx20 UBU</t>
        </is>
      </c>
    </row>
    <row r="1595">
      <c r="A1595" s="15" t="inlineStr">
        <is>
          <t>1616</t>
        </is>
      </c>
      <c r="B1595" s="18" t="inlineStr">
        <is>
          <t>โรคดังกล่าวน่าจะเกิดจากเชื้อใด</t>
        </is>
      </c>
      <c r="C1595" s="18" t="inlineStr"/>
      <c r="D1595" s="18" t="inlineStr">
        <is>
          <t>N-acetylcysteine (NAC) IV infusion protocol</t>
        </is>
      </c>
      <c r="E1595" s="18" t="inlineStr">
        <is>
          <t>Atropine sulfate 2 mg IV Q5-10 min</t>
        </is>
      </c>
      <c r="F1595" s="18" t="inlineStr">
        <is>
          <t>Pralidoxime (2-PAM) 1-2 g IV over 30 min</t>
        </is>
      </c>
      <c r="G1595" s="18" t="inlineStr">
        <is>
          <t>Naloxone 0.4 mg IV stat</t>
        </is>
      </c>
      <c r="H1595" s="18" t="inlineStr">
        <is>
          <t>Flumazenil 0.2 mg IV stat</t>
        </is>
      </c>
      <c r="I1595" s="15" t="inlineStr">
        <is>
          <t>1</t>
        </is>
      </c>
      <c r="J15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5" s="18" t="inlineStr"/>
      <c r="L1595" s="18" t="inlineStr">
        <is>
          <t>General Therapeutics</t>
        </is>
      </c>
      <c r="M1595" s="18" t="inlineStr">
        <is>
          <t>Clinic</t>
        </is>
      </c>
      <c r="N1595" s="18" t="inlineStr">
        <is>
          <t>ข้อ 81 (PLE_CC1_Key_Rx20_UBU.md)</t>
        </is>
      </c>
      <c r="O1595" s="18" t="inlineStr">
        <is>
          <t>Mock</t>
        </is>
      </c>
      <c r="P1595" s="18" t="inlineStr">
        <is>
          <t>Mock Rx20 UBU</t>
        </is>
      </c>
    </row>
    <row r="1596">
      <c r="A1596" s="15" t="inlineStr">
        <is>
          <t>1617</t>
        </is>
      </c>
      <c r="B1596" s="18" t="inlineStr">
        <is>
          <t>Legionella spp.</t>
        </is>
      </c>
      <c r="C1596" s="18" t="inlineStr"/>
      <c r="D1596" s="18" t="inlineStr">
        <is>
          <t>Naloxone 0.4 mg IV stat</t>
        </is>
      </c>
      <c r="E1596" s="18" t="inlineStr">
        <is>
          <t>Flumazenil 0.2 mg IV stat</t>
        </is>
      </c>
      <c r="F1596" s="18" t="inlineStr">
        <is>
          <t>Vitamin K1 (Phytomenadione) 10 mg IV slow</t>
        </is>
      </c>
      <c r="G1596" s="18" t="inlineStr">
        <is>
          <t>Sodium thiosulfate 25% 50 mL IV</t>
        </is>
      </c>
      <c r="H1596" s="18" t="inlineStr">
        <is>
          <t>Calcium disodium EDTA 1 g IV</t>
        </is>
      </c>
      <c r="I1596" s="15" t="inlineStr">
        <is>
          <t>1</t>
        </is>
      </c>
      <c r="J15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6" s="18" t="inlineStr"/>
      <c r="L1596" s="18" t="inlineStr">
        <is>
          <t>General Therapeutics</t>
        </is>
      </c>
      <c r="M1596" s="18" t="inlineStr">
        <is>
          <t>Clinic</t>
        </is>
      </c>
      <c r="N1596" s="18" t="inlineStr">
        <is>
          <t>ข้อ 1 (PLE_CC1_Key_Rx20_UBU.md)</t>
        </is>
      </c>
      <c r="O1596" s="18" t="inlineStr">
        <is>
          <t>Mock</t>
        </is>
      </c>
      <c r="P1596" s="18" t="inlineStr">
        <is>
          <t>Mock Rx20 UBU</t>
        </is>
      </c>
    </row>
    <row r="1597">
      <c r="A1597" s="15" t="inlineStr">
        <is>
          <t>1618</t>
        </is>
      </c>
      <c r="B1597" s="18" t="inlineStr">
        <is>
          <t>Amoxycillin+Clindamycin</t>
        </is>
      </c>
      <c r="C1597" s="18" t="inlineStr"/>
      <c r="D1597" s="18" t="inlineStr">
        <is>
          <t>Sodium thiosulfate 25% 50 mL IV</t>
        </is>
      </c>
      <c r="E1597" s="18" t="inlineStr">
        <is>
          <t>Calcium disodium EDTA 1 g IV</t>
        </is>
      </c>
      <c r="F1597" s="18" t="inlineStr">
        <is>
          <t>Desferrioxamine 1 g IM/IV</t>
        </is>
      </c>
      <c r="G1597" s="18" t="inlineStr">
        <is>
          <t>Dimercaprol (BAL) 3 mg/kg IM</t>
        </is>
      </c>
      <c r="H1597" s="18" t="inlineStr">
        <is>
          <t>Ethanol 10% IV infusion for Methanol poisoning</t>
        </is>
      </c>
      <c r="I1597" s="15" t="inlineStr">
        <is>
          <t>1</t>
        </is>
      </c>
      <c r="J15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7" s="18" t="inlineStr"/>
      <c r="L1597" s="18" t="inlineStr">
        <is>
          <t>General Therapeutics</t>
        </is>
      </c>
      <c r="M1597" s="18" t="inlineStr">
        <is>
          <t>Clinic</t>
        </is>
      </c>
      <c r="N1597" s="18" t="inlineStr">
        <is>
          <t>ข้อ 1 (PLE_CC1_Key_Rx20_UBU.md)</t>
        </is>
      </c>
      <c r="O1597" s="18" t="inlineStr">
        <is>
          <t>Mock</t>
        </is>
      </c>
      <c r="P1597" s="18" t="inlineStr">
        <is>
          <t>Mock Rx20 UBU</t>
        </is>
      </c>
    </row>
    <row r="1598">
      <c r="A1598" s="15" t="inlineStr">
        <is>
          <t>1619</t>
        </is>
      </c>
      <c r="B1598" s="18" t="inlineStr">
        <is>
          <t>Clindamycin+Roxithromycin</t>
        </is>
      </c>
      <c r="C1598" s="18" t="inlineStr"/>
      <c r="D1598" s="18" t="inlineStr">
        <is>
          <t>Dimercaprol (BAL) 3 mg/kg IM</t>
        </is>
      </c>
      <c r="E1598" s="18" t="inlineStr">
        <is>
          <t>Ethanol 10% IV infusion for Methanol poisoning</t>
        </is>
      </c>
      <c r="F1598" s="18" t="inlineStr">
        <is>
          <t>Fomepizole 15 mg/kg IV loading</t>
        </is>
      </c>
      <c r="G1598" s="18" t="inlineStr">
        <is>
          <t>N-acetylcysteine (NAC) IV infusion protocol</t>
        </is>
      </c>
      <c r="H1598" s="18" t="inlineStr">
        <is>
          <t>Atropine sulfate 2 mg IV Q5-10 min</t>
        </is>
      </c>
      <c r="I1598" s="15" t="inlineStr">
        <is>
          <t>1</t>
        </is>
      </c>
      <c r="J159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8" s="18" t="inlineStr"/>
      <c r="L1598" s="18" t="inlineStr">
        <is>
          <t>General Therapeutics</t>
        </is>
      </c>
      <c r="M1598" s="18" t="inlineStr">
        <is>
          <t>Clinic</t>
        </is>
      </c>
      <c r="N1598" s="18" t="inlineStr">
        <is>
          <t>ข้อ 2 (PLE_CC1_Key_Rx20_UBU.md)</t>
        </is>
      </c>
      <c r="O1598" s="18" t="inlineStr">
        <is>
          <t>Mock</t>
        </is>
      </c>
      <c r="P1598" s="18" t="inlineStr">
        <is>
          <t>Mock Rx20 UBU</t>
        </is>
      </c>
    </row>
    <row r="1599">
      <c r="A1599" s="15" t="inlineStr">
        <is>
          <t>1620</t>
        </is>
      </c>
      <c r="B1599" s="18" t="inlineStr">
        <is>
          <t>Metronidazole+Doxycycline</t>
        </is>
      </c>
      <c r="C1599" s="18" t="inlineStr"/>
      <c r="D1599" s="18" t="inlineStr">
        <is>
          <t>Meropenem 1 g IV Q8H</t>
        </is>
      </c>
      <c r="E1599" s="18" t="inlineStr">
        <is>
          <t>Cefazolin 1 g IV Q8H</t>
        </is>
      </c>
      <c r="F1599" s="18" t="inlineStr">
        <is>
          <t>Amoxicillin/Clavulanate 1 g BID</t>
        </is>
      </c>
      <c r="G1599" s="18" t="inlineStr">
        <is>
          <t>Ceftriaxone 1 g IV OD</t>
        </is>
      </c>
      <c r="H1599" s="18" t="inlineStr">
        <is>
          <t>Ciprofloxacin 500 mg BID</t>
        </is>
      </c>
      <c r="I1599" s="15" t="inlineStr">
        <is>
          <t>1</t>
        </is>
      </c>
      <c r="J1599" s="18"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9" s="18" t="inlineStr"/>
      <c r="L1599" s="18" t="inlineStr">
        <is>
          <t>Infectious Diseases</t>
        </is>
      </c>
      <c r="M1599" s="18" t="inlineStr">
        <is>
          <t>Clinic</t>
        </is>
      </c>
      <c r="N1599" s="18" t="inlineStr">
        <is>
          <t>ข้อ 4 (PLE_CC1_Key_Rx20_UBU.md)</t>
        </is>
      </c>
      <c r="O1599" s="18" t="inlineStr">
        <is>
          <t>Mock</t>
        </is>
      </c>
      <c r="P1599" s="18" t="inlineStr">
        <is>
          <t>Mock Rx20 UBU</t>
        </is>
      </c>
    </row>
    <row r="1600">
      <c r="A1600" s="15" t="inlineStr">
        <is>
          <t>1621</t>
        </is>
      </c>
      <c r="B1600" s="18" t="inlineStr">
        <is>
          <t>Amoxycillin+Clavulonic acid</t>
        </is>
      </c>
      <c r="C1600" s="18" t="inlineStr"/>
      <c r="D1600" s="18" t="inlineStr">
        <is>
          <t>Naloxone 0.4 mg IV stat</t>
        </is>
      </c>
      <c r="E1600" s="18" t="inlineStr">
        <is>
          <t>Flumazenil 0.2 mg IV stat</t>
        </is>
      </c>
      <c r="F1600" s="18" t="inlineStr">
        <is>
          <t>Vitamin K1 (Phytomenadione) 10 mg IV slow</t>
        </is>
      </c>
      <c r="G1600" s="18" t="inlineStr">
        <is>
          <t>Sodium thiosulfate 25% 50 mL IV</t>
        </is>
      </c>
      <c r="H1600" s="18" t="inlineStr">
        <is>
          <t>Calcium disodium EDTA 1 g IV</t>
        </is>
      </c>
      <c r="I1600" s="15" t="inlineStr">
        <is>
          <t>1</t>
        </is>
      </c>
      <c r="J16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0" s="18" t="inlineStr"/>
      <c r="L1600" s="18" t="inlineStr">
        <is>
          <t>General Therapeutics</t>
        </is>
      </c>
      <c r="M1600" s="18" t="inlineStr">
        <is>
          <t>Clinic</t>
        </is>
      </c>
      <c r="N1600" s="18" t="inlineStr">
        <is>
          <t>ข้อ 4 (PLE_CC1_Key_Rx20_UBU.md)</t>
        </is>
      </c>
      <c r="O1600" s="18" t="inlineStr">
        <is>
          <t>Mock</t>
        </is>
      </c>
      <c r="P1600" s="18" t="inlineStr">
        <is>
          <t>Mock Rx20 UBU</t>
        </is>
      </c>
    </row>
    <row r="1601">
      <c r="A1601" s="15" t="inlineStr">
        <is>
          <t>1622</t>
        </is>
      </c>
      <c r="B1601" s="18" t="inlineStr">
        <is>
          <t>ยาที่มีรูปเครื่องหมายกรอบสามเหลี่ยมสีแดงอยู่บนกล่องยา มีความหมายว่าอย่างไร</t>
        </is>
      </c>
      <c r="C1601" s="18" t="inlineStr"/>
      <c r="D1601" s="18" t="inlineStr">
        <is>
          <t>Sodium thiosulfate 25% 50 mL IV</t>
        </is>
      </c>
      <c r="E1601" s="18" t="inlineStr">
        <is>
          <t>Calcium disodium EDTA 1 g IV</t>
        </is>
      </c>
      <c r="F1601" s="18" t="inlineStr">
        <is>
          <t>Desferrioxamine 1 g IM/IV</t>
        </is>
      </c>
      <c r="G1601" s="18" t="inlineStr">
        <is>
          <t>Dimercaprol (BAL) 3 mg/kg IM</t>
        </is>
      </c>
      <c r="H1601" s="18" t="inlineStr">
        <is>
          <t>Ethanol 10% IV infusion for Methanol poisoning</t>
        </is>
      </c>
      <c r="I1601" s="15" t="inlineStr">
        <is>
          <t>1</t>
        </is>
      </c>
      <c r="J160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1" s="18" t="inlineStr"/>
      <c r="L1601" s="18" t="inlineStr">
        <is>
          <t>General Therapeutics</t>
        </is>
      </c>
      <c r="M1601" s="18" t="inlineStr">
        <is>
          <t>Clinic</t>
        </is>
      </c>
      <c r="N1601" s="18" t="inlineStr">
        <is>
          <t>ข้อ 88 (PLE_CC1_Key_Rx20_UBU.md)</t>
        </is>
      </c>
      <c r="O1601" s="18" t="inlineStr">
        <is>
          <t>Mock</t>
        </is>
      </c>
      <c r="P1601" s="18" t="inlineStr">
        <is>
          <t>Mock Rx20 UBU</t>
        </is>
      </c>
    </row>
    <row r="1602">
      <c r="A1602" s="15" t="inlineStr">
        <is>
          <t>1623</t>
        </is>
      </c>
      <c r="B1602" s="18" t="inlineStr">
        <is>
          <t>ยาที่มีการใช้ในสถานพยาบาลและร้านยาเพื่อ......</t>
        </is>
      </c>
      <c r="C1602" s="18" t="inlineStr"/>
      <c r="D1602" s="18" t="inlineStr">
        <is>
          <t>เกณฑ์จริยธรรมว่าด้วยการส่งเสริมการขายยาของกระทรวงสาธารณสุข</t>
        </is>
      </c>
      <c r="E1602" s="18" t="inlineStr">
        <is>
          <t>พ.ร.บ. ยา พ.ศ. 2510 (การจำหน่ายยาอันตรายและยาควบคุมพิเศษ)</t>
        </is>
      </c>
      <c r="F1602" s="18" t="inlineStr">
        <is>
          <t>พ.ร.บ. ยาเสพติดให้โทษ พ.ศ. 2522 (ยาเสพติดให้โทษประเภท 2 และ 3)</t>
        </is>
      </c>
      <c r="G1602" s="18" t="inlineStr">
        <is>
          <t>พ.ร.บ. วัตถุที่ออกฤทธิ์ต่อจิตและประสาท พ.ศ. 2559 (ประเภท 2 และ 4)</t>
        </is>
      </c>
      <c r="H1602" s="18" t="inlineStr">
        <is>
          <t>พ.ร.บ. วิชาชีพเภสัชกรรม พ.ศ. 2537 และข้อบังคับจรรยาบรรณวิชาชีพ</t>
        </is>
      </c>
      <c r="I1602" s="15" t="inlineStr">
        <is>
          <t>1</t>
        </is>
      </c>
      <c r="J160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2" s="18" t="inlineStr"/>
      <c r="L1602" s="18" t="inlineStr">
        <is>
          <t>Pharmacy Laws &amp; Ethics</t>
        </is>
      </c>
      <c r="M1602" s="18" t="inlineStr">
        <is>
          <t>SAP</t>
        </is>
      </c>
      <c r="N1602" s="18" t="inlineStr">
        <is>
          <t>ข้อ 1 (PLE_CC1_Key_Rx20_UBU.md)</t>
        </is>
      </c>
      <c r="O1602" s="18" t="inlineStr">
        <is>
          <t>Mock</t>
        </is>
      </c>
      <c r="P1602" s="18" t="inlineStr">
        <is>
          <t>Mock Rx20 UBU</t>
        </is>
      </c>
    </row>
    <row r="1603">
      <c r="A1603" s="15" t="inlineStr">
        <is>
          <t>1624</t>
        </is>
      </c>
      <c r="B1603" s="18" t="inlineStr">
        <is>
          <t>ยาควบคุมพิเศษที่มีการใช้เฉพาะในสถานพยาบาลเพื่อติดตามความปลอดภัย</t>
        </is>
      </c>
      <c r="C1603" s="18" t="inlineStr"/>
      <c r="D1603" s="18" t="inlineStr">
        <is>
          <t>พ.ร.บ. วัตถุที่ออกฤทธิ์ต่อจิตและประสาท พ.ศ. 2559 (ประเภท 2 และ 4)</t>
        </is>
      </c>
      <c r="E1603" s="18" t="inlineStr">
        <is>
          <t>พ.ร.บ. วิชาชีพเภสัชกรรม พ.ศ. 2537 และข้อบังคับจรรยาบรรณวิชาชีพ</t>
        </is>
      </c>
      <c r="F1603" s="18" t="inlineStr">
        <is>
          <t>พ.ร.บ. ผลิตภัณฑ์สมุนไพร พ.ศ. 2562</t>
        </is>
      </c>
      <c r="G1603" s="18" t="inlineStr">
        <is>
          <t>พ.ร.บ. เครื่องสำอาง พ.ศ. 2558</t>
        </is>
      </c>
      <c r="H1603" s="18" t="inlineStr">
        <is>
          <t>พ.ร.บ. หลักประกันสุขภาพแห่งชาติ พ.ศ. 2545</t>
        </is>
      </c>
      <c r="I1603" s="15" t="inlineStr">
        <is>
          <t>1</t>
        </is>
      </c>
      <c r="J1603"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3" s="18" t="inlineStr"/>
      <c r="L1603" s="18" t="inlineStr">
        <is>
          <t>Pharmacy Laws &amp; Ethics</t>
        </is>
      </c>
      <c r="M1603" s="18" t="inlineStr">
        <is>
          <t>SAP</t>
        </is>
      </c>
      <c r="N1603" s="18" t="inlineStr">
        <is>
          <t>ข้อ 2 (PLE_CC1_Key_Rx20_UBU.md)</t>
        </is>
      </c>
      <c r="O1603" s="18" t="inlineStr">
        <is>
          <t>Mock</t>
        </is>
      </c>
      <c r="P1603" s="18" t="inlineStr">
        <is>
          <t>Mock Rx20 UBU</t>
        </is>
      </c>
    </row>
    <row r="1604">
      <c r="A1604" s="15" t="inlineStr">
        <is>
          <t>1625</t>
        </is>
      </c>
      <c r="B1604" s="18" t="inlineStr">
        <is>
          <t>เชื้อที่เป็นสาเหตุของอาการดังกล่าว คือเชื้ออะไร</t>
        </is>
      </c>
      <c r="C1604" s="18" t="inlineStr"/>
      <c r="D1604" s="18" t="inlineStr">
        <is>
          <t>Naloxone 0.4 mg IV stat</t>
        </is>
      </c>
      <c r="E1604" s="18" t="inlineStr">
        <is>
          <t>Flumazenil 0.2 mg IV stat</t>
        </is>
      </c>
      <c r="F1604" s="18" t="inlineStr">
        <is>
          <t>Vitamin K1 (Phytomenadione) 10 mg IV slow</t>
        </is>
      </c>
      <c r="G1604" s="18" t="inlineStr">
        <is>
          <t>Sodium thiosulfate 25% 50 mL IV</t>
        </is>
      </c>
      <c r="H1604" s="18" t="inlineStr">
        <is>
          <t>Calcium disodium EDTA 1 g IV</t>
        </is>
      </c>
      <c r="I1604" s="15" t="inlineStr">
        <is>
          <t>1</t>
        </is>
      </c>
      <c r="J16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4" s="18" t="inlineStr"/>
      <c r="L1604" s="18" t="inlineStr">
        <is>
          <t>General Therapeutics</t>
        </is>
      </c>
      <c r="M1604" s="18" t="inlineStr">
        <is>
          <t>Clinic</t>
        </is>
      </c>
      <c r="N1604" s="18" t="inlineStr">
        <is>
          <t>ข้อ 89 (PLE_CC1_Key_Rx20_UBU.md)</t>
        </is>
      </c>
      <c r="O1604" s="18" t="inlineStr">
        <is>
          <t>Mock</t>
        </is>
      </c>
      <c r="P1604" s="18" t="inlineStr">
        <is>
          <t>Mock Rx20 UBU</t>
        </is>
      </c>
    </row>
    <row r="1605">
      <c r="A1605" s="15" t="inlineStr">
        <is>
          <t>1626</t>
        </is>
      </c>
      <c r="B1605" s="18" t="inlineStr">
        <is>
          <t>Candida albican</t>
        </is>
      </c>
      <c r="C1605" s="18" t="inlineStr"/>
      <c r="D1605" s="18" t="inlineStr">
        <is>
          <t>Sodium thiosulfate 25% 50 mL IV</t>
        </is>
      </c>
      <c r="E1605" s="18" t="inlineStr">
        <is>
          <t>Calcium disodium EDTA 1 g IV</t>
        </is>
      </c>
      <c r="F1605" s="18" t="inlineStr">
        <is>
          <t>Desferrioxamine 1 g IM/IV</t>
        </is>
      </c>
      <c r="G1605" s="18" t="inlineStr">
        <is>
          <t>Dimercaprol (BAL) 3 mg/kg IM</t>
        </is>
      </c>
      <c r="H1605" s="18" t="inlineStr">
        <is>
          <t>Ethanol 10% IV infusion for Methanol poisoning</t>
        </is>
      </c>
      <c r="I1605" s="15" t="inlineStr">
        <is>
          <t>1</t>
        </is>
      </c>
      <c r="J16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5" s="18" t="inlineStr"/>
      <c r="L1605" s="18" t="inlineStr">
        <is>
          <t>General Therapeutics</t>
        </is>
      </c>
      <c r="M1605" s="18" t="inlineStr">
        <is>
          <t>Clinic</t>
        </is>
      </c>
      <c r="N1605" s="18" t="inlineStr">
        <is>
          <t>ข้อ 1 (PLE_CC1_Key_Rx20_UBU.md)</t>
        </is>
      </c>
      <c r="O1605" s="18" t="inlineStr">
        <is>
          <t>Mock</t>
        </is>
      </c>
      <c r="P1605" s="18" t="inlineStr">
        <is>
          <t>Mock Rx20 UBU</t>
        </is>
      </c>
    </row>
    <row r="1606">
      <c r="A1606" s="15" t="inlineStr">
        <is>
          <t>1627</t>
        </is>
      </c>
      <c r="B1606" s="18" t="inlineStr">
        <is>
          <t>Malassezia furfur</t>
        </is>
      </c>
      <c r="C1606" s="18" t="inlineStr"/>
      <c r="D1606" s="18" t="inlineStr">
        <is>
          <t>Dimercaprol (BAL) 3 mg/kg IM</t>
        </is>
      </c>
      <c r="E1606" s="18" t="inlineStr">
        <is>
          <t>Ethanol 10% IV infusion for Methanol poisoning</t>
        </is>
      </c>
      <c r="F1606" s="18" t="inlineStr">
        <is>
          <t>Fomepizole 15 mg/kg IV loading</t>
        </is>
      </c>
      <c r="G1606" s="18" t="inlineStr">
        <is>
          <t>N-acetylcysteine (NAC) IV infusion protocol</t>
        </is>
      </c>
      <c r="H1606" s="18" t="inlineStr">
        <is>
          <t>Atropine sulfate 2 mg IV Q5-10 min</t>
        </is>
      </c>
      <c r="I1606" s="15" t="inlineStr">
        <is>
          <t>1</t>
        </is>
      </c>
      <c r="J16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6" s="18" t="inlineStr"/>
      <c r="L1606" s="18" t="inlineStr">
        <is>
          <t>General Therapeutics</t>
        </is>
      </c>
      <c r="M1606" s="18" t="inlineStr">
        <is>
          <t>Clinic</t>
        </is>
      </c>
      <c r="N1606" s="18" t="inlineStr">
        <is>
          <t>ข้อ 2 (PLE_CC1_Key_Rx20_UBU.md)</t>
        </is>
      </c>
      <c r="O1606" s="18" t="inlineStr">
        <is>
          <t>Mock</t>
        </is>
      </c>
      <c r="P1606" s="18" t="inlineStr">
        <is>
          <t>Mock Rx20 UBU</t>
        </is>
      </c>
    </row>
    <row r="1607">
      <c r="A1607" s="15" t="inlineStr">
        <is>
          <t>1628</t>
        </is>
      </c>
      <c r="B1607" s="18" t="inlineStr">
        <is>
          <t>ควรกินยาก่อนอาหาร 30 นาที</t>
        </is>
      </c>
      <c r="C1607" s="18" t="inlineStr"/>
      <c r="D1607" s="18" t="inlineStr">
        <is>
          <t>N-acetylcysteine (NAC) IV infusion protocol</t>
        </is>
      </c>
      <c r="E1607" s="18" t="inlineStr">
        <is>
          <t>Atropine sulfate 2 mg IV Q5-10 min</t>
        </is>
      </c>
      <c r="F1607" s="18" t="inlineStr">
        <is>
          <t>Pralidoxime (2-PAM) 1-2 g IV over 30 min</t>
        </is>
      </c>
      <c r="G1607" s="18" t="inlineStr">
        <is>
          <t>Naloxone 0.4 mg IV stat</t>
        </is>
      </c>
      <c r="H1607" s="18" t="inlineStr">
        <is>
          <t>Flumazenil 0.2 mg IV stat</t>
        </is>
      </c>
      <c r="I1607" s="15" t="inlineStr">
        <is>
          <t>1</t>
        </is>
      </c>
      <c r="J16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07" s="18" t="inlineStr"/>
      <c r="L1607" s="18" t="inlineStr">
        <is>
          <t>General Therapeutics</t>
        </is>
      </c>
      <c r="M1607" s="18" t="inlineStr">
        <is>
          <t>Clinic</t>
        </is>
      </c>
      <c r="N1607" s="18" t="inlineStr">
        <is>
          <t>ข้อ 1 (PLE_CC1_Key_Rx20_UBU.md)</t>
        </is>
      </c>
      <c r="O1607" s="18" t="inlineStr">
        <is>
          <t>Mock</t>
        </is>
      </c>
      <c r="P1607" s="18" t="inlineStr">
        <is>
          <t>Mock Rx20 UBU</t>
        </is>
      </c>
    </row>
    <row r="1608">
      <c r="A1608" s="15" t="inlineStr">
        <is>
          <t>1629</t>
        </is>
      </c>
      <c r="B1608" s="18" t="inlineStr">
        <is>
          <t>กินยาพร้อมอาหารไขมัน จะเพิ่มการดูดซึม</t>
        </is>
      </c>
      <c r="C1608" s="18" t="inlineStr"/>
      <c r="D1608" s="18" t="inlineStr">
        <is>
          <t>Naloxone 0.4 mg IV stat</t>
        </is>
      </c>
      <c r="E1608" s="18" t="inlineStr">
        <is>
          <t>Flumazenil 0.2 mg IV stat</t>
        </is>
      </c>
      <c r="F1608" s="18" t="inlineStr">
        <is>
          <t>Vitamin K1 (Phytomenadione) 10 mg IV slow</t>
        </is>
      </c>
      <c r="G1608" s="18" t="inlineStr">
        <is>
          <t>Sodium thiosulfate 25% 50 mL IV</t>
        </is>
      </c>
      <c r="H1608" s="18" t="inlineStr">
        <is>
          <t>Calcium disodium EDTA 1 g IV</t>
        </is>
      </c>
      <c r="I1608" s="15" t="inlineStr">
        <is>
          <t>1</t>
        </is>
      </c>
      <c r="J16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8" s="18" t="inlineStr"/>
      <c r="L1608" s="18" t="inlineStr">
        <is>
          <t>General Therapeutics</t>
        </is>
      </c>
      <c r="M1608" s="18" t="inlineStr">
        <is>
          <t>Clinic</t>
        </is>
      </c>
      <c r="N1608" s="18" t="inlineStr">
        <is>
          <t>ข้อ 2 (PLE_CC1_Key_Rx20_UBU.md)</t>
        </is>
      </c>
      <c r="O1608" s="18" t="inlineStr">
        <is>
          <t>Mock</t>
        </is>
      </c>
      <c r="P1608" s="18" t="inlineStr">
        <is>
          <t>Mock Rx20 UBU</t>
        </is>
      </c>
    </row>
    <row r="1609">
      <c r="A1609" s="15" t="inlineStr">
        <is>
          <t>1630</t>
        </is>
      </c>
      <c r="B1609" s="18" t="inlineStr">
        <is>
          <t>กินยานี้พร้อมยาลดกรดได้</t>
        </is>
      </c>
      <c r="C1609" s="18" t="inlineStr"/>
      <c r="D1609" s="18" t="inlineStr">
        <is>
          <t>Domperidone 10 mg TID</t>
        </is>
      </c>
      <c r="E1609" s="18" t="inlineStr">
        <is>
          <t>Dimenhydrinate 50 mg TID</t>
        </is>
      </c>
      <c r="F1609" s="18" t="inlineStr">
        <is>
          <t>Loperamide 2 mg PRN</t>
        </is>
      </c>
      <c r="G1609" s="18" t="inlineStr">
        <is>
          <t>Senna 2 tabs HS</t>
        </is>
      </c>
      <c r="H1609" s="18" t="inlineStr">
        <is>
          <t>Bisacodyl 5 mg HS</t>
        </is>
      </c>
      <c r="I1609" s="15" t="inlineStr">
        <is>
          <t>1</t>
        </is>
      </c>
      <c r="J1609" s="18"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9" s="18" t="inlineStr"/>
      <c r="L1609" s="18" t="inlineStr">
        <is>
          <t>GI Disorders</t>
        </is>
      </c>
      <c r="M1609" s="18" t="inlineStr">
        <is>
          <t>Clinic</t>
        </is>
      </c>
      <c r="N1609" s="18" t="inlineStr">
        <is>
          <t>ข้อ 3 (PLE_CC1_Key_Rx20_UBU.md)</t>
        </is>
      </c>
      <c r="O1609" s="18" t="inlineStr">
        <is>
          <t>Mock</t>
        </is>
      </c>
      <c r="P1609" s="18" t="inlineStr">
        <is>
          <t>Mock Rx20 UBU</t>
        </is>
      </c>
    </row>
    <row r="1610">
      <c r="A1610" s="15" t="inlineStr">
        <is>
          <t>1631</t>
        </is>
      </c>
      <c r="B1610" s="18" t="inlineStr">
        <is>
          <t>เมื่อใช้ยาเป็นเวลา 7 วัน อาการจะดีขึ้น</t>
        </is>
      </c>
      <c r="C1610" s="18" t="inlineStr"/>
      <c r="D1610" s="18" t="inlineStr">
        <is>
          <t>Dimercaprol (BAL) 3 mg/kg IM</t>
        </is>
      </c>
      <c r="E1610" s="18" t="inlineStr">
        <is>
          <t>Ethanol 10% IV infusion for Methanol poisoning</t>
        </is>
      </c>
      <c r="F1610" s="18" t="inlineStr">
        <is>
          <t>Fomepizole 15 mg/kg IV loading</t>
        </is>
      </c>
      <c r="G1610" s="18" t="inlineStr">
        <is>
          <t>N-acetylcysteine (NAC) IV infusion protocol</t>
        </is>
      </c>
      <c r="H1610" s="18" t="inlineStr">
        <is>
          <t>Atropine sulfate 2 mg IV Q5-10 min</t>
        </is>
      </c>
      <c r="I1610" s="15" t="inlineStr">
        <is>
          <t>1</t>
        </is>
      </c>
      <c r="J16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0" s="18" t="inlineStr"/>
      <c r="L1610" s="18" t="inlineStr">
        <is>
          <t>General Therapeutics</t>
        </is>
      </c>
      <c r="M1610" s="18" t="inlineStr">
        <is>
          <t>Clinic</t>
        </is>
      </c>
      <c r="N1610" s="18" t="inlineStr">
        <is>
          <t>ข้อ 5 (PLE_CC1_Key_Rx20_UBU.md)</t>
        </is>
      </c>
      <c r="O1610" s="18" t="inlineStr">
        <is>
          <t>Mock</t>
        </is>
      </c>
      <c r="P1610" s="18" t="inlineStr">
        <is>
          <t>Mock Rx20 UBU</t>
        </is>
      </c>
    </row>
    <row r="1611">
      <c r="A1611" s="15" t="inlineStr">
        <is>
          <t>1632</t>
        </is>
      </c>
      <c r="B1611" s="18" t="inlineStr">
        <is>
          <t>Ketoconazole Diphenoxylate + Atropine</t>
        </is>
      </c>
      <c r="C1611" s="18" t="inlineStr"/>
      <c r="D1611" s="18" t="inlineStr">
        <is>
          <t>Terbinafine 1% cream</t>
        </is>
      </c>
      <c r="E1611" s="18" t="inlineStr">
        <is>
          <t>Adapalene 0.1% gel</t>
        </is>
      </c>
      <c r="F1611" s="18" t="inlineStr">
        <is>
          <t>Mupirocin 2% ointment</t>
        </is>
      </c>
      <c r="G1611" s="18" t="inlineStr">
        <is>
          <t>Betamethasone dipropionate 0.05% cream</t>
        </is>
      </c>
      <c r="H1611" s="18" t="inlineStr">
        <is>
          <t>Clotrimazole 1% cream</t>
        </is>
      </c>
      <c r="I1611" s="15" t="inlineStr">
        <is>
          <t>1</t>
        </is>
      </c>
      <c r="J1611" s="18"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11" s="18" t="inlineStr"/>
      <c r="L1611" s="18" t="inlineStr">
        <is>
          <t>Dermatologic Disorders</t>
        </is>
      </c>
      <c r="M1611" s="18" t="inlineStr">
        <is>
          <t>Clinic</t>
        </is>
      </c>
      <c r="N1611" s="18" t="inlineStr">
        <is>
          <t>ข้อ 1 (PLE_CC1_Key_Rx20_UBU.md)</t>
        </is>
      </c>
      <c r="O1611" s="18" t="inlineStr">
        <is>
          <t>Mock</t>
        </is>
      </c>
      <c r="P1611" s="18" t="inlineStr">
        <is>
          <t>Mock Rx20 UBU</t>
        </is>
      </c>
    </row>
    <row r="1612">
      <c r="A1612" s="15" t="inlineStr">
        <is>
          <t>1633</t>
        </is>
      </c>
      <c r="B1612" s="18" t="inlineStr">
        <is>
          <t>ทิงเจอร์ทองพันชั่ง</t>
        </is>
      </c>
      <c r="C1612" s="18" t="inlineStr"/>
      <c r="D1612" s="18" t="inlineStr">
        <is>
          <t>Naloxone 0.4 mg IV stat</t>
        </is>
      </c>
      <c r="E1612" s="18" t="inlineStr">
        <is>
          <t>Flumazenil 0.2 mg IV stat</t>
        </is>
      </c>
      <c r="F1612" s="18" t="inlineStr">
        <is>
          <t>Vitamin K1 (Phytomenadione) 10 mg IV slow</t>
        </is>
      </c>
      <c r="G1612" s="18" t="inlineStr">
        <is>
          <t>Sodium thiosulfate 25% 50 mL IV</t>
        </is>
      </c>
      <c r="H1612" s="18" t="inlineStr">
        <is>
          <t>Calcium disodium EDTA 1 g IV</t>
        </is>
      </c>
      <c r="I1612" s="15" t="inlineStr">
        <is>
          <t>1</t>
        </is>
      </c>
      <c r="J16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2" s="18" t="inlineStr"/>
      <c r="L1612" s="18" t="inlineStr">
        <is>
          <t>General Therapeutics</t>
        </is>
      </c>
      <c r="M1612" s="18" t="inlineStr">
        <is>
          <t>Clinic</t>
        </is>
      </c>
      <c r="N1612" s="18" t="inlineStr">
        <is>
          <t>ข้อ 1 (PLE_CC1_Key_Rx20_UBU.md)</t>
        </is>
      </c>
      <c r="O1612" s="18" t="inlineStr">
        <is>
          <t>Mock</t>
        </is>
      </c>
      <c r="P1612" s="18" t="inlineStr">
        <is>
          <t>Mock Rx20 UBU</t>
        </is>
      </c>
    </row>
    <row r="1613">
      <c r="A1613" s="15" t="inlineStr">
        <is>
          <t>1634</t>
        </is>
      </c>
      <c r="B1613" s="18" t="inlineStr">
        <is>
          <t>ถ้าใช้ระบบการนำส่งยาแบบ gastroretention ยาจะถูกดูดซึมได้ดีขึ้น</t>
        </is>
      </c>
      <c r="C1613" s="18" t="inlineStr"/>
      <c r="D1613" s="18" t="inlineStr">
        <is>
          <t>Sodium thiosulfate 25% 50 mL IV</t>
        </is>
      </c>
      <c r="E1613" s="18" t="inlineStr">
        <is>
          <t>Calcium disodium EDTA 1 g IV</t>
        </is>
      </c>
      <c r="F1613" s="18" t="inlineStr">
        <is>
          <t>Desferrioxamine 1 g IM/IV</t>
        </is>
      </c>
      <c r="G1613" s="18" t="inlineStr">
        <is>
          <t>Dimercaprol (BAL) 3 mg/kg IM</t>
        </is>
      </c>
      <c r="H1613" s="18" t="inlineStr">
        <is>
          <t>Ethanol 10% IV infusion for Methanol poisoning</t>
        </is>
      </c>
      <c r="I1613" s="15" t="inlineStr">
        <is>
          <t>1</t>
        </is>
      </c>
      <c r="J16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3" s="18" t="inlineStr"/>
      <c r="L1613" s="18" t="inlineStr">
        <is>
          <t>General Therapeutics</t>
        </is>
      </c>
      <c r="M1613" s="18" t="inlineStr">
        <is>
          <t>Clinic</t>
        </is>
      </c>
      <c r="N1613" s="18" t="inlineStr">
        <is>
          <t>ข้อ 1 (PLE_CC1_Key_Rx20_UBU.md)</t>
        </is>
      </c>
      <c r="O1613" s="18" t="inlineStr">
        <is>
          <t>Mock</t>
        </is>
      </c>
      <c r="P1613" s="18" t="inlineStr">
        <is>
          <t>Mock Rx20 UBU</t>
        </is>
      </c>
    </row>
    <row r="1614">
      <c r="A1614" s="15" t="inlineStr">
        <is>
          <t>1635</t>
        </is>
      </c>
      <c r="B1614" s="18" t="inlineStr">
        <is>
          <t>จัดเป็น BSC class 2</t>
        </is>
      </c>
      <c r="C1614" s="18" t="inlineStr"/>
      <c r="D1614" s="18" t="inlineStr">
        <is>
          <t>Dimercaprol (BAL) 3 mg/kg IM</t>
        </is>
      </c>
      <c r="E1614" s="18" t="inlineStr">
        <is>
          <t>Ethanol 10% IV infusion for Methanol poisoning</t>
        </is>
      </c>
      <c r="F1614" s="18" t="inlineStr">
        <is>
          <t>Fomepizole 15 mg/kg IV loading</t>
        </is>
      </c>
      <c r="G1614" s="18" t="inlineStr">
        <is>
          <t>N-acetylcysteine (NAC) IV infusion protocol</t>
        </is>
      </c>
      <c r="H1614" s="18" t="inlineStr">
        <is>
          <t>Atropine sulfate 2 mg IV Q5-10 min</t>
        </is>
      </c>
      <c r="I1614" s="15" t="inlineStr">
        <is>
          <t>1</t>
        </is>
      </c>
      <c r="J16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4" s="18" t="inlineStr"/>
      <c r="L1614" s="18" t="inlineStr">
        <is>
          <t>General Therapeutics</t>
        </is>
      </c>
      <c r="M1614" s="18" t="inlineStr">
        <is>
          <t>Clinic</t>
        </is>
      </c>
      <c r="N1614" s="18" t="inlineStr">
        <is>
          <t>ข้อ 2 (PLE_CC1_Key_Rx20_UBU.md)</t>
        </is>
      </c>
      <c r="O1614" s="18" t="inlineStr">
        <is>
          <t>Mock</t>
        </is>
      </c>
      <c r="P1614" s="18" t="inlineStr">
        <is>
          <t>Mock Rx20 UBU</t>
        </is>
      </c>
    </row>
    <row r="1615">
      <c r="A1615" s="15" t="inlineStr">
        <is>
          <t>1636</t>
        </is>
      </c>
      <c r="B1615" s="18" t="inlineStr">
        <is>
          <t>Solid Dispersion</t>
        </is>
      </c>
      <c r="C1615" s="18" t="inlineStr"/>
      <c r="D1615" s="18" t="inlineStr">
        <is>
          <t>N-acetylcysteine (NAC) IV infusion protocol</t>
        </is>
      </c>
      <c r="E1615" s="18" t="inlineStr">
        <is>
          <t>Atropine sulfate 2 mg IV Q5-10 min</t>
        </is>
      </c>
      <c r="F1615" s="18" t="inlineStr">
        <is>
          <t>Pralidoxime (2-PAM) 1-2 g IV over 30 min</t>
        </is>
      </c>
      <c r="G1615" s="18" t="inlineStr">
        <is>
          <t>Naloxone 0.4 mg IV stat</t>
        </is>
      </c>
      <c r="H1615" s="18" t="inlineStr">
        <is>
          <t>Flumazenil 0.2 mg IV stat</t>
        </is>
      </c>
      <c r="I1615" s="15" t="inlineStr">
        <is>
          <t>1</t>
        </is>
      </c>
      <c r="J16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5" s="18" t="inlineStr"/>
      <c r="L1615" s="18" t="inlineStr">
        <is>
          <t>General Therapeutics</t>
        </is>
      </c>
      <c r="M1615" s="18" t="inlineStr">
        <is>
          <t>Clinic</t>
        </is>
      </c>
      <c r="N1615" s="18" t="inlineStr">
        <is>
          <t>ข้อ 5 (PLE_CC1_Key_Rx20_UBU.md)</t>
        </is>
      </c>
      <c r="O1615" s="18" t="inlineStr">
        <is>
          <t>Mock</t>
        </is>
      </c>
      <c r="P1615" s="18" t="inlineStr">
        <is>
          <t>Mock Rx20 UBU</t>
        </is>
      </c>
    </row>
    <row r="1616">
      <c r="A1616" s="15" t="inlineStr">
        <is>
          <t>1637</t>
        </is>
      </c>
      <c r="B1616" s="18" t="inlineStr">
        <is>
          <t>ดูที่ใบปลิวโฆษณาว่ามีเลขทะเบียน ฆย. XX/XXXX หรือไม่ ถ้ามีแสดงว่าขออนุญาตโฆษณาแล้ว</t>
        </is>
      </c>
      <c r="C1616" s="18" t="inlineStr"/>
      <c r="D1616" s="18" t="inlineStr">
        <is>
          <t>Naloxone 0.4 mg IV stat</t>
        </is>
      </c>
      <c r="E1616" s="18" t="inlineStr">
        <is>
          <t>Flumazenil 0.2 mg IV stat</t>
        </is>
      </c>
      <c r="F1616" s="18" t="inlineStr">
        <is>
          <t>Vitamin K1 (Phytomenadione) 10 mg IV slow</t>
        </is>
      </c>
      <c r="G1616" s="18" t="inlineStr">
        <is>
          <t>Sodium thiosulfate 25% 50 mL IV</t>
        </is>
      </c>
      <c r="H1616" s="18" t="inlineStr">
        <is>
          <t>Calcium disodium EDTA 1 g IV</t>
        </is>
      </c>
      <c r="I1616" s="15" t="inlineStr">
        <is>
          <t>1</t>
        </is>
      </c>
      <c r="J16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6" s="18" t="inlineStr"/>
      <c r="L1616" s="18" t="inlineStr">
        <is>
          <t>General Therapeutics</t>
        </is>
      </c>
      <c r="M1616" s="18" t="inlineStr">
        <is>
          <t>Clinic</t>
        </is>
      </c>
      <c r="N1616" s="18" t="inlineStr">
        <is>
          <t>ข้อ 1 (PLE_CC1_Key_Rx20_UBU.md)</t>
        </is>
      </c>
      <c r="O1616" s="18" t="inlineStr">
        <is>
          <t>Mock</t>
        </is>
      </c>
      <c r="P1616" s="18" t="inlineStr">
        <is>
          <t>Mock Rx20 UBU</t>
        </is>
      </c>
    </row>
    <row r="1617">
      <c r="A1617" s="15" t="inlineStr">
        <is>
          <t>1638</t>
        </is>
      </c>
      <c r="B1617" s="18" t="inlineStr">
        <is>
          <t>แนะนำอันตรายของการใช้ยาที่ไม่มีเลขทะเบียน และขอตัวอย่างของผลิตภัณฑ์นั้นมาให้เภสัชกรเพื่อนำไปตรวจสอบ</t>
        </is>
      </c>
      <c r="C1617" s="18" t="inlineStr"/>
      <c r="D1617" s="18" t="inlineStr">
        <is>
          <t>Sodium thiosulfate 25% 50 mL IV</t>
        </is>
      </c>
      <c r="E1617" s="18" t="inlineStr">
        <is>
          <t>Calcium disodium EDTA 1 g IV</t>
        </is>
      </c>
      <c r="F1617" s="18" t="inlineStr">
        <is>
          <t>Desferrioxamine 1 g IM/IV</t>
        </is>
      </c>
      <c r="G1617" s="18" t="inlineStr">
        <is>
          <t>Dimercaprol (BAL) 3 mg/kg IM</t>
        </is>
      </c>
      <c r="H1617" s="18" t="inlineStr">
        <is>
          <t>Ethanol 10% IV infusion for Methanol poisoning</t>
        </is>
      </c>
      <c r="I1617" s="15" t="inlineStr">
        <is>
          <t>1</t>
        </is>
      </c>
      <c r="J16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7" s="18" t="inlineStr"/>
      <c r="L1617" s="18" t="inlineStr">
        <is>
          <t>General Therapeutics</t>
        </is>
      </c>
      <c r="M1617" s="18" t="inlineStr">
        <is>
          <t>Clinic</t>
        </is>
      </c>
      <c r="N1617" s="18" t="inlineStr">
        <is>
          <t>ข้อ 2 (PLE_CC1_Key_Rx20_UBU.md)</t>
        </is>
      </c>
      <c r="O1617" s="18" t="inlineStr">
        <is>
          <t>Mock</t>
        </is>
      </c>
      <c r="P1617" s="18" t="inlineStr">
        <is>
          <t>Mock Rx20 UBU</t>
        </is>
      </c>
    </row>
    <row r="1618">
      <c r="A1618" s="15" t="inlineStr">
        <is>
          <t>1639</t>
        </is>
      </c>
      <c r="B1618" s="18" t="inlineStr">
        <is>
          <t>พยายามหายามาขายเนื่องจากลูกค้ามาถามหายาหลายครั้งแล้ว</t>
        </is>
      </c>
      <c r="C1618" s="18" t="inlineStr"/>
      <c r="D1618" s="18" t="inlineStr">
        <is>
          <t>Dimercaprol (BAL) 3 mg/kg IM</t>
        </is>
      </c>
      <c r="E1618" s="18" t="inlineStr">
        <is>
          <t>Ethanol 10% IV infusion for Methanol poisoning</t>
        </is>
      </c>
      <c r="F1618" s="18" t="inlineStr">
        <is>
          <t>Fomepizole 15 mg/kg IV loading</t>
        </is>
      </c>
      <c r="G1618" s="18" t="inlineStr">
        <is>
          <t>N-acetylcysteine (NAC) IV infusion protocol</t>
        </is>
      </c>
      <c r="H1618" s="18" t="inlineStr">
        <is>
          <t>Atropine sulfate 2 mg IV Q5-10 min</t>
        </is>
      </c>
      <c r="I1618" s="15" t="inlineStr">
        <is>
          <t>1</t>
        </is>
      </c>
      <c r="J16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8" s="18" t="inlineStr"/>
      <c r="L1618" s="18" t="inlineStr">
        <is>
          <t>General Therapeutics</t>
        </is>
      </c>
      <c r="M1618" s="18" t="inlineStr">
        <is>
          <t>Clinic</t>
        </is>
      </c>
      <c r="N1618" s="18" t="inlineStr">
        <is>
          <t>ข้อ 4 (PLE_CC1_Key_Rx20_UBU.md)</t>
        </is>
      </c>
      <c r="O1618" s="18" t="inlineStr">
        <is>
          <t>Mock</t>
        </is>
      </c>
      <c r="P1618" s="18" t="inlineStr">
        <is>
          <t>Mock Rx20 UBU</t>
        </is>
      </c>
    </row>
    <row r="1619">
      <c r="A1619" s="15" t="inlineStr">
        <is>
          <t>1640</t>
        </is>
      </c>
      <c r="B1619" s="18" t="inlineStr">
        <is>
          <t>ข้อใดไม่ใช่สาเหตุของ Non-small-cell lung carcinoma</t>
        </is>
      </c>
      <c r="C1619" s="18" t="inlineStr"/>
      <c r="D1619" s="18" t="inlineStr">
        <is>
          <t>N-acetylcysteine (NAC) IV infusion protocol</t>
        </is>
      </c>
      <c r="E1619" s="18" t="inlineStr">
        <is>
          <t>Atropine sulfate 2 mg IV Q5-10 min</t>
        </is>
      </c>
      <c r="F1619" s="18" t="inlineStr">
        <is>
          <t>Pralidoxime (2-PAM) 1-2 g IV over 30 min</t>
        </is>
      </c>
      <c r="G1619" s="18" t="inlineStr">
        <is>
          <t>Naloxone 0.4 mg IV stat</t>
        </is>
      </c>
      <c r="H1619" s="18" t="inlineStr">
        <is>
          <t>Flumazenil 0.2 mg IV stat</t>
        </is>
      </c>
      <c r="I1619" s="15" t="inlineStr">
        <is>
          <t>1</t>
        </is>
      </c>
      <c r="J161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9" s="18" t="inlineStr"/>
      <c r="L1619" s="18" t="inlineStr">
        <is>
          <t>General Therapeutics</t>
        </is>
      </c>
      <c r="M1619" s="18" t="inlineStr">
        <is>
          <t>Clinic</t>
        </is>
      </c>
      <c r="N1619" s="18" t="inlineStr">
        <is>
          <t>ข้อ 98 (PLE_CC1_Key_Rx20_UBU.md)</t>
        </is>
      </c>
      <c r="O1619" s="18" t="inlineStr">
        <is>
          <t>Mock</t>
        </is>
      </c>
      <c r="P1619" s="18" t="inlineStr">
        <is>
          <t>Mock Rx20 UBU</t>
        </is>
      </c>
    </row>
    <row r="1620">
      <c r="A1620" s="15" t="inlineStr">
        <is>
          <t>1641</t>
        </is>
      </c>
      <c r="B1620" s="18" t="inlineStr">
        <is>
          <t>มีประวัติสูดดม Benzene, Asbestos บ่อยๆ</t>
        </is>
      </c>
      <c r="C1620" s="18" t="inlineStr"/>
      <c r="D1620" s="18" t="inlineStr">
        <is>
          <t>Naloxone 0.4 mg IV stat</t>
        </is>
      </c>
      <c r="E1620" s="18" t="inlineStr">
        <is>
          <t>Flumazenil 0.2 mg IV stat</t>
        </is>
      </c>
      <c r="F1620" s="18" t="inlineStr">
        <is>
          <t>Vitamin K1 (Phytomenadione) 10 mg IV slow</t>
        </is>
      </c>
      <c r="G1620" s="18" t="inlineStr">
        <is>
          <t>Sodium thiosulfate 25% 50 mL IV</t>
        </is>
      </c>
      <c r="H1620" s="18" t="inlineStr">
        <is>
          <t>Calcium disodium EDTA 1 g IV</t>
        </is>
      </c>
      <c r="I1620" s="15" t="inlineStr">
        <is>
          <t>1</t>
        </is>
      </c>
      <c r="J16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0" s="18" t="inlineStr"/>
      <c r="L1620" s="18" t="inlineStr">
        <is>
          <t>General Therapeutics</t>
        </is>
      </c>
      <c r="M1620" s="18" t="inlineStr">
        <is>
          <t>Clinic</t>
        </is>
      </c>
      <c r="N1620" s="18" t="inlineStr">
        <is>
          <t>ข้อ 5 (PLE_CC1_Key_Rx20_UBU.md)</t>
        </is>
      </c>
      <c r="O1620" s="18" t="inlineStr">
        <is>
          <t>Mock</t>
        </is>
      </c>
      <c r="P1620" s="18" t="inlineStr">
        <is>
          <t>Mock Rx20 UBU</t>
        </is>
      </c>
    </row>
    <row r="1621">
      <c r="A1621" s="15" t="inlineStr">
        <is>
          <t>1642</t>
        </is>
      </c>
      <c r="B1621" s="18" t="inlineStr">
        <is>
          <t>คำนวณ Body Surface Area ของผู้ป่วย</t>
        </is>
      </c>
      <c r="C1621" s="18" t="inlineStr"/>
      <c r="D1621" s="18" t="inlineStr">
        <is>
          <t>Pediatric dose calculation via Clark / Young rule</t>
        </is>
      </c>
      <c r="E1621" s="18" t="inlineStr">
        <is>
          <t>Displacement Value calculation for Suppositories</t>
        </is>
      </c>
      <c r="F1621" s="18" t="inlineStr">
        <is>
          <t>Alligation Alternate method for concentration adjustment</t>
        </is>
      </c>
      <c r="G1621" s="18" t="inlineStr">
        <is>
          <t>mEq / mmol Electrolyte conversion formula</t>
        </is>
      </c>
      <c r="H1621" s="18" t="inlineStr">
        <is>
          <t>Osmolarity (mOsmol/L) calculation</t>
        </is>
      </c>
      <c r="I1621" s="15" t="inlineStr">
        <is>
          <t>1</t>
        </is>
      </c>
      <c r="J1621" s="18" t="inlineStr">
        <is>
          <t>✅ คำตอบที่ถูกต้อง: ข้อ ก. Pediatric dose calculation via Clark / Young rule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Pediatric dose calculation via Clark / Young rule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(Displacement Value calculation for Suppositories): ข้อนี้ไม่ใช่คำตอบที่ถูกต้องสำหรับภาวะ Pharmaceutical Calculations เนื่องจากกลไกการออกฤทธิ์, efficacy หรือข้อบ่งใช้ไม่ตรงกับโจทย์ที่กำหนด
• ข้อ ค.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ง.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1" s="18" t="inlineStr"/>
      <c r="L1621" s="18" t="inlineStr">
        <is>
          <t>Pharmaceutical Calculations</t>
        </is>
      </c>
      <c r="M1621" s="18" t="inlineStr">
        <is>
          <t>Product</t>
        </is>
      </c>
      <c r="N1621" s="18" t="inlineStr">
        <is>
          <t>ข้อ 99 (PLE_CC1_Key_Rx20_UBU.md)</t>
        </is>
      </c>
      <c r="O1621" s="18" t="inlineStr">
        <is>
          <t>Mock</t>
        </is>
      </c>
      <c r="P1621" s="18" t="inlineStr">
        <is>
          <t>Mock Rx20 UBU</t>
        </is>
      </c>
    </row>
    <row r="1622">
      <c r="A1622" s="15" t="inlineStr">
        <is>
          <t>1643</t>
        </is>
      </c>
      <c r="B1622" s="18" t="inlineStr">
        <is>
          <t>07 แนวคิด!45 % 160/3600= 2 = 1.414 m2</t>
        </is>
      </c>
      <c r="C1622" s="18" t="inlineStr"/>
      <c r="D1622" s="18" t="inlineStr">
        <is>
          <t>Dimercaprol (BAL) 3 mg/kg IM</t>
        </is>
      </c>
      <c r="E1622" s="18" t="inlineStr">
        <is>
          <t>Ethanol 10% IV infusion for Methanol poisoning</t>
        </is>
      </c>
      <c r="F1622" s="18" t="inlineStr">
        <is>
          <t>Fomepizole 15 mg/kg IV loading</t>
        </is>
      </c>
      <c r="G1622" s="18" t="inlineStr">
        <is>
          <t>N-acetylcysteine (NAC) IV infusion protocol</t>
        </is>
      </c>
      <c r="H1622" s="18" t="inlineStr">
        <is>
          <t>Atropine sulfate 2 mg IV Q5-10 min</t>
        </is>
      </c>
      <c r="I1622" s="15" t="inlineStr">
        <is>
          <t>1</t>
        </is>
      </c>
      <c r="J16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2" s="18" t="inlineStr"/>
      <c r="L1622" s="18" t="inlineStr">
        <is>
          <t>General Therapeutics</t>
        </is>
      </c>
      <c r="M1622" s="18" t="inlineStr">
        <is>
          <t>Clinic</t>
        </is>
      </c>
      <c r="N1622" s="18" t="inlineStr">
        <is>
          <t>ข้อ 5 (PLE_CC1_Key_Rx20_UBU.md)</t>
        </is>
      </c>
      <c r="O1622" s="18" t="inlineStr">
        <is>
          <t>Mock</t>
        </is>
      </c>
      <c r="P1622" s="18" t="inlineStr">
        <is>
          <t>Mock Rx20 UBU</t>
        </is>
      </c>
    </row>
    <row r="1623">
      <c r="A1623" s="15" t="inlineStr">
        <is>
          <t>1644</t>
        </is>
      </c>
      <c r="B1623" s="18" t="inlineStr">
        <is>
          <t>ประคบร้อนวันละ 4 ครั้ง 3 วันเท่านั้น</t>
        </is>
      </c>
      <c r="C1623" s="18" t="inlineStr"/>
      <c r="D1623" s="18" t="inlineStr">
        <is>
          <t>N-acetylcysteine (NAC) IV infusion protocol</t>
        </is>
      </c>
      <c r="E1623" s="18" t="inlineStr">
        <is>
          <t>Atropine sulfate 2 mg IV Q5-10 min</t>
        </is>
      </c>
      <c r="F1623" s="18" t="inlineStr">
        <is>
          <t>Pralidoxime (2-PAM) 1-2 g IV over 30 min</t>
        </is>
      </c>
      <c r="G1623" s="18" t="inlineStr">
        <is>
          <t>Naloxone 0.4 mg IV stat</t>
        </is>
      </c>
      <c r="H1623" s="18" t="inlineStr">
        <is>
          <t>Flumazenil 0.2 mg IV stat</t>
        </is>
      </c>
      <c r="I1623" s="15" t="inlineStr">
        <is>
          <t>1</t>
        </is>
      </c>
      <c r="J16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23" s="18" t="inlineStr"/>
      <c r="L1623" s="18" t="inlineStr">
        <is>
          <t>General Therapeutics</t>
        </is>
      </c>
      <c r="M1623" s="18" t="inlineStr">
        <is>
          <t>Clinic</t>
        </is>
      </c>
      <c r="N1623" s="18" t="inlineStr">
        <is>
          <t>ข้อ 1 (PLE_CC1_Key_Rx20_UBU.md)</t>
        </is>
      </c>
      <c r="O1623" s="18" t="inlineStr">
        <is>
          <t>Mock</t>
        </is>
      </c>
      <c r="P1623" s="18" t="inlineStr">
        <is>
          <t>Mock Rx20 UBU</t>
        </is>
      </c>
    </row>
    <row r="1624">
      <c r="A1624" s="15" t="inlineStr">
        <is>
          <t>1645</t>
        </is>
      </c>
      <c r="B1624" s="18" t="inlineStr">
        <is>
          <t>รัดแขนเหนือบริเวณที่ให้ยา</t>
        </is>
      </c>
      <c r="C1624" s="18" t="inlineStr"/>
      <c r="D1624" s="18" t="inlineStr">
        <is>
          <t>Naloxone 0.4 mg IV stat</t>
        </is>
      </c>
      <c r="E1624" s="18" t="inlineStr">
        <is>
          <t>Flumazenil 0.2 mg IV stat</t>
        </is>
      </c>
      <c r="F1624" s="18" t="inlineStr">
        <is>
          <t>Vitamin K1 (Phytomenadione) 10 mg IV slow</t>
        </is>
      </c>
      <c r="G1624" s="18" t="inlineStr">
        <is>
          <t>Sodium thiosulfate 25% 50 mL IV</t>
        </is>
      </c>
      <c r="H1624" s="18" t="inlineStr">
        <is>
          <t>Calcium disodium EDTA 1 g IV</t>
        </is>
      </c>
      <c r="I1624" s="15" t="inlineStr">
        <is>
          <t>1</t>
        </is>
      </c>
      <c r="J162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4" s="18" t="inlineStr"/>
      <c r="L1624" s="18" t="inlineStr">
        <is>
          <t>General Therapeutics</t>
        </is>
      </c>
      <c r="M1624" s="18" t="inlineStr">
        <is>
          <t>Clinic</t>
        </is>
      </c>
      <c r="N1624" s="18" t="inlineStr">
        <is>
          <t>ข้อ 2 (PLE_CC1_Key_Rx20_UBU.md)</t>
        </is>
      </c>
      <c r="O1624" s="18" t="inlineStr">
        <is>
          <t>Mock</t>
        </is>
      </c>
      <c r="P1624" s="18" t="inlineStr">
        <is>
          <t>Mock Rx20 UBU</t>
        </is>
      </c>
    </row>
    <row r="1625">
      <c r="A1625" s="15" t="inlineStr">
        <is>
          <t>1646</t>
        </is>
      </c>
      <c r="B1625" s="18" t="inlineStr">
        <is>
          <t>Flush หลอดเลือดด้วย 0.9% Sodium Chloride</t>
        </is>
      </c>
      <c r="C1625" s="18" t="inlineStr"/>
      <c r="D1625" s="18" t="inlineStr">
        <is>
          <t>Sodium thiosulfate 25% 50 mL IV</t>
        </is>
      </c>
      <c r="E1625" s="18" t="inlineStr">
        <is>
          <t>Calcium disodium EDTA 1 g IV</t>
        </is>
      </c>
      <c r="F1625" s="18" t="inlineStr">
        <is>
          <t>Desferrioxamine 1 g IM/IV</t>
        </is>
      </c>
      <c r="G1625" s="18" t="inlineStr">
        <is>
          <t>Dimercaprol (BAL) 3 mg/kg IM</t>
        </is>
      </c>
      <c r="H1625" s="18" t="inlineStr">
        <is>
          <t>Ethanol 10% IV infusion for Methanol poisoning</t>
        </is>
      </c>
      <c r="I1625" s="15" t="inlineStr">
        <is>
          <t>1</t>
        </is>
      </c>
      <c r="J162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5" s="18" t="inlineStr"/>
      <c r="L1625" s="18" t="inlineStr">
        <is>
          <t>General Therapeutics</t>
        </is>
      </c>
      <c r="M1625" s="18" t="inlineStr">
        <is>
          <t>Clinic</t>
        </is>
      </c>
      <c r="N1625" s="18" t="inlineStr">
        <is>
          <t>ข้อ 3 (PLE_CC1_Key_Rx20_UBU.md)</t>
        </is>
      </c>
      <c r="O1625" s="18" t="inlineStr">
        <is>
          <t>Mock</t>
        </is>
      </c>
      <c r="P1625" s="18" t="inlineStr">
        <is>
          <t>Mock Rx20 UBU</t>
        </is>
      </c>
    </row>
    <row r="1626">
      <c r="A1626" s="15" t="inlineStr">
        <is>
          <t>1647</t>
        </is>
      </c>
      <c r="B1626" s="18" t="inlineStr">
        <is>
          <t>ให้ Antidote คือ ฉีด Hyarulonidase SC</t>
        </is>
      </c>
      <c r="C1626" s="18" t="inlineStr"/>
      <c r="D1626" s="18" t="inlineStr">
        <is>
          <t>Dimercaprol (BAL) 3 mg/kg IM</t>
        </is>
      </c>
      <c r="E1626" s="18" t="inlineStr">
        <is>
          <t>Ethanol 10% IV infusion for Methanol poisoning</t>
        </is>
      </c>
      <c r="F1626" s="18" t="inlineStr">
        <is>
          <t>Fomepizole 15 mg/kg IV loading</t>
        </is>
      </c>
      <c r="G1626" s="18" t="inlineStr">
        <is>
          <t>N-acetylcysteine (NAC) IV infusion protocol</t>
        </is>
      </c>
      <c r="H1626" s="18" t="inlineStr">
        <is>
          <t>Atropine sulfate 2 mg IV Q5-10 min</t>
        </is>
      </c>
      <c r="I1626" s="15" t="inlineStr">
        <is>
          <t>1</t>
        </is>
      </c>
      <c r="J1626" s="18"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626" s="18" t="inlineStr"/>
      <c r="L1626" s="18" t="inlineStr">
        <is>
          <t>Toxicology &amp; Antidote</t>
        </is>
      </c>
      <c r="M1626" s="18" t="inlineStr">
        <is>
          <t>Clinic</t>
        </is>
      </c>
      <c r="N1626" s="18" t="inlineStr">
        <is>
          <t>ข้อ 5 (PLE_CC1_Key_Rx20_UBU.md)</t>
        </is>
      </c>
      <c r="O1626" s="18" t="inlineStr">
        <is>
          <t>Mock</t>
        </is>
      </c>
      <c r="P1626" s="18" t="inlineStr">
        <is>
          <t>Mock Rx20 UBU</t>
        </is>
      </c>
    </row>
    <row r="1627">
      <c r="A1627" s="15" t="inlineStr">
        <is>
          <t>1648</t>
        </is>
      </c>
      <c r="B1627" s="18" t="inlineStr">
        <is>
          <t>ข้อใดคือ ADR ที่พบน้อยสุดของ Paclitaxel</t>
        </is>
      </c>
      <c r="C1627" s="18" t="inlineStr"/>
      <c r="D1627" s="18" t="inlineStr">
        <is>
          <t>Cetirizine 10 mg OD</t>
        </is>
      </c>
      <c r="E1627" s="18" t="inlineStr">
        <is>
          <t>Loratadine 10 mg OD</t>
        </is>
      </c>
      <c r="F1627" s="18" t="inlineStr">
        <is>
          <t>Fexofenadine 180 mg OD</t>
        </is>
      </c>
      <c r="G1627" s="18" t="inlineStr">
        <is>
          <t>Chlorpheniramine 4 mg TID</t>
        </is>
      </c>
      <c r="H1627" s="18" t="inlineStr">
        <is>
          <t>Fluticasone furoate nasal spray</t>
        </is>
      </c>
      <c r="I1627" s="15" t="inlineStr">
        <is>
          <t>1</t>
        </is>
      </c>
      <c r="J1627" s="18"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7" s="18" t="inlineStr"/>
      <c r="L1627" s="18" t="inlineStr">
        <is>
          <t>Allergy &amp; Immunology</t>
        </is>
      </c>
      <c r="M1627" s="18" t="inlineStr">
        <is>
          <t>Clinic</t>
        </is>
      </c>
      <c r="N1627" s="18" t="inlineStr">
        <is>
          <t>ข้อ 101 (PLE_CC1_Key_Rx20_UBU.md)</t>
        </is>
      </c>
      <c r="O1627" s="18" t="inlineStr">
        <is>
          <t>Mock</t>
        </is>
      </c>
      <c r="P1627" s="18" t="inlineStr">
        <is>
          <t>Mock Rx20 UBU</t>
        </is>
      </c>
    </row>
    <row r="1628">
      <c r="A1628" s="15" t="inlineStr">
        <is>
          <t>1649</t>
        </is>
      </c>
      <c r="B1628" s="18" t="inlineStr">
        <is>
          <t>Thombocytopenia</t>
        </is>
      </c>
      <c r="C1628" s="18" t="inlineStr"/>
      <c r="D1628" s="18" t="inlineStr">
        <is>
          <t>Naloxone 0.4 mg IV stat</t>
        </is>
      </c>
      <c r="E1628" s="18" t="inlineStr">
        <is>
          <t>Flumazenil 0.2 mg IV stat</t>
        </is>
      </c>
      <c r="F1628" s="18" t="inlineStr">
        <is>
          <t>Vitamin K1 (Phytomenadione) 10 mg IV slow</t>
        </is>
      </c>
      <c r="G1628" s="18" t="inlineStr">
        <is>
          <t>Sodium thiosulfate 25% 50 mL IV</t>
        </is>
      </c>
      <c r="H1628" s="18" t="inlineStr">
        <is>
          <t>Calcium disodium EDTA 1 g IV</t>
        </is>
      </c>
      <c r="I1628" s="15" t="inlineStr">
        <is>
          <t>1</t>
        </is>
      </c>
      <c r="J16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8" s="18" t="inlineStr"/>
      <c r="L1628" s="18" t="inlineStr">
        <is>
          <t>General Therapeutics</t>
        </is>
      </c>
      <c r="M1628" s="18" t="inlineStr">
        <is>
          <t>Clinic</t>
        </is>
      </c>
      <c r="N1628" s="18" t="inlineStr">
        <is>
          <t>ข้อ 1 (PLE_CC1_Key_Rx20_UBU.md)</t>
        </is>
      </c>
      <c r="O1628" s="18" t="inlineStr">
        <is>
          <t>Mock</t>
        </is>
      </c>
      <c r="P1628" s="18" t="inlineStr">
        <is>
          <t>Mock Rx20 UBU</t>
        </is>
      </c>
    </row>
    <row r="1629">
      <c r="A1629" s="15" t="inlineStr">
        <is>
          <t>1650</t>
        </is>
      </c>
      <c r="B1629" s="18" t="inlineStr">
        <is>
          <t>ควรให้ยาใดป้องกัน ภาวะ High Risk Emetic</t>
        </is>
      </c>
      <c r="C1629" s="18" t="inlineStr"/>
      <c r="D1629" s="18" t="inlineStr">
        <is>
          <t>Sodium thiosulfate 25% 50 mL IV</t>
        </is>
      </c>
      <c r="E1629" s="18" t="inlineStr">
        <is>
          <t>Calcium disodium EDTA 1 g IV</t>
        </is>
      </c>
      <c r="F1629" s="18" t="inlineStr">
        <is>
          <t>Desferrioxamine 1 g IM/IV</t>
        </is>
      </c>
      <c r="G1629" s="18" t="inlineStr">
        <is>
          <t>Dimercaprol (BAL) 3 mg/kg IM</t>
        </is>
      </c>
      <c r="H1629" s="18" t="inlineStr">
        <is>
          <t>Ethanol 10% IV infusion for Methanol poisoning</t>
        </is>
      </c>
      <c r="I1629" s="15" t="inlineStr">
        <is>
          <t>1</t>
        </is>
      </c>
      <c r="J16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9" s="18" t="inlineStr"/>
      <c r="L1629" s="18" t="inlineStr">
        <is>
          <t>General Therapeutics</t>
        </is>
      </c>
      <c r="M1629" s="18" t="inlineStr">
        <is>
          <t>Clinic</t>
        </is>
      </c>
      <c r="N1629" s="18" t="inlineStr">
        <is>
          <t>ข้อ 102 (PLE_CC1_Key_Rx20_UBU.md)</t>
        </is>
      </c>
      <c r="O1629" s="18" t="inlineStr">
        <is>
          <t>Mock</t>
        </is>
      </c>
      <c r="P1629" s="18" t="inlineStr">
        <is>
          <t>Mock Rx20 UBU</t>
        </is>
      </c>
    </row>
    <row r="1630">
      <c r="A1630" s="15" t="inlineStr">
        <is>
          <t>1651</t>
        </is>
      </c>
      <c r="B1630" s="18" t="inlineStr">
        <is>
          <t>ยับยั้งการสังเคราะห์ DNA โดยรบกวนการ Cross-link DNA</t>
        </is>
      </c>
      <c r="C1630" s="18" t="inlineStr"/>
      <c r="D1630" s="18" t="inlineStr">
        <is>
          <t>Dimercaprol (BAL) 3 mg/kg IM</t>
        </is>
      </c>
      <c r="E1630" s="18" t="inlineStr">
        <is>
          <t>Ethanol 10% IV infusion for Methanol poisoning</t>
        </is>
      </c>
      <c r="F1630" s="18" t="inlineStr">
        <is>
          <t>Fomepizole 15 mg/kg IV loading</t>
        </is>
      </c>
      <c r="G1630" s="18" t="inlineStr">
        <is>
          <t>N-acetylcysteine (NAC) IV infusion protocol</t>
        </is>
      </c>
      <c r="H1630" s="18" t="inlineStr">
        <is>
          <t>Atropine sulfate 2 mg IV Q5-10 min</t>
        </is>
      </c>
      <c r="I1630" s="15" t="inlineStr">
        <is>
          <t>1</t>
        </is>
      </c>
      <c r="J16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0" s="18" t="inlineStr"/>
      <c r="L1630" s="18" t="inlineStr">
        <is>
          <t>General Therapeutics</t>
        </is>
      </c>
      <c r="M1630" s="18" t="inlineStr">
        <is>
          <t>Clinic</t>
        </is>
      </c>
      <c r="N1630" s="18" t="inlineStr">
        <is>
          <t>ข้อ 3 (PLE_CC1_Key_Rx20_UBU.md)</t>
        </is>
      </c>
      <c r="O1630" s="18" t="inlineStr">
        <is>
          <t>Mock</t>
        </is>
      </c>
      <c r="P1630" s="18" t="inlineStr">
        <is>
          <t>Mock Rx20 UBU</t>
        </is>
      </c>
    </row>
    <row r="1631">
      <c r="A1631" s="15" t="inlineStr">
        <is>
          <t>1652</t>
        </is>
      </c>
      <c r="B1631" s="18" t="inlineStr">
        <is>
          <t>Vincristine มาจากพืชชนิดใด</t>
        </is>
      </c>
      <c r="C1631" s="18" t="inlineStr"/>
      <c r="D1631" s="18" t="inlineStr">
        <is>
          <t>N-acetylcysteine (NAC) IV infusion protocol</t>
        </is>
      </c>
      <c r="E1631" s="18" t="inlineStr">
        <is>
          <t>Atropine sulfate 2 mg IV Q5-10 min</t>
        </is>
      </c>
      <c r="F1631" s="18" t="inlineStr">
        <is>
          <t>Pralidoxime (2-PAM) 1-2 g IV over 30 min</t>
        </is>
      </c>
      <c r="G1631" s="18" t="inlineStr">
        <is>
          <t>Naloxone 0.4 mg IV stat</t>
        </is>
      </c>
      <c r="H1631" s="18" t="inlineStr">
        <is>
          <t>Flumazenil 0.2 mg IV stat</t>
        </is>
      </c>
      <c r="I1631" s="15" t="inlineStr">
        <is>
          <t>1</t>
        </is>
      </c>
      <c r="J16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1" s="18" t="inlineStr"/>
      <c r="L1631" s="18" t="inlineStr">
        <is>
          <t>General Therapeutics</t>
        </is>
      </c>
      <c r="M1631" s="18" t="inlineStr">
        <is>
          <t>Clinic</t>
        </is>
      </c>
      <c r="N1631" s="18" t="inlineStr">
        <is>
          <t>ข้อ 104 (PLE_CC1_Key_Rx20_UBU.md)</t>
        </is>
      </c>
      <c r="O1631" s="18" t="inlineStr">
        <is>
          <t>Mock</t>
        </is>
      </c>
      <c r="P1631" s="18" t="inlineStr">
        <is>
          <t>Mock Rx20 UBU</t>
        </is>
      </c>
    </row>
    <row r="1632">
      <c r="A1632" s="15" t="inlineStr">
        <is>
          <t>1653</t>
        </is>
      </c>
      <c r="B1632" s="18" t="inlineStr">
        <is>
          <t>ทำความสะอาดอากาศโดยใช้เครื่องดูดฝุ่นและ/หรือผ้าแห้งเช็ด</t>
        </is>
      </c>
      <c r="C1632" s="18" t="inlineStr"/>
      <c r="D1632" s="18" t="inlineStr">
        <is>
          <t>Naloxone 0.4 mg IV stat</t>
        </is>
      </c>
      <c r="E1632" s="18" t="inlineStr">
        <is>
          <t>Flumazenil 0.2 mg IV stat</t>
        </is>
      </c>
      <c r="F1632" s="18" t="inlineStr">
        <is>
          <t>Vitamin K1 (Phytomenadione) 10 mg IV slow</t>
        </is>
      </c>
      <c r="G1632" s="18" t="inlineStr">
        <is>
          <t>Sodium thiosulfate 25% 50 mL IV</t>
        </is>
      </c>
      <c r="H1632" s="18" t="inlineStr">
        <is>
          <t>Calcium disodium EDTA 1 g IV</t>
        </is>
      </c>
      <c r="I1632" s="15" t="inlineStr">
        <is>
          <t>1</t>
        </is>
      </c>
      <c r="J16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2" s="18" t="inlineStr"/>
      <c r="L1632" s="18" t="inlineStr">
        <is>
          <t>General Therapeutics</t>
        </is>
      </c>
      <c r="M1632" s="18" t="inlineStr">
        <is>
          <t>Clinic</t>
        </is>
      </c>
      <c r="N1632" s="18" t="inlineStr">
        <is>
          <t>ข้อ 2 (PLE_CC1_Key_Rx20_UBU.md)</t>
        </is>
      </c>
      <c r="O1632" s="18" t="inlineStr">
        <is>
          <t>Mock</t>
        </is>
      </c>
      <c r="P1632" s="18" t="inlineStr">
        <is>
          <t>Mock Rx20 UBU</t>
        </is>
      </c>
    </row>
    <row r="1633">
      <c r="A1633" s="15" t="inlineStr">
        <is>
          <t>1654</t>
        </is>
      </c>
      <c r="B1633" s="18" t="inlineStr">
        <is>
          <t>ควรแยกระบบอากาศออกจากระบบการผลิตยาส่วนอื่น</t>
        </is>
      </c>
      <c r="C1633" s="18" t="inlineStr"/>
      <c r="D1633" s="18" t="inlineStr">
        <is>
          <t>Sodium thiosulfate 25% 50 mL IV</t>
        </is>
      </c>
      <c r="E1633" s="18" t="inlineStr">
        <is>
          <t>Calcium disodium EDTA 1 g IV</t>
        </is>
      </c>
      <c r="F1633" s="18" t="inlineStr">
        <is>
          <t>Desferrioxamine 1 g IM/IV</t>
        </is>
      </c>
      <c r="G1633" s="18" t="inlineStr">
        <is>
          <t>Dimercaprol (BAL) 3 mg/kg IM</t>
        </is>
      </c>
      <c r="H1633" s="18" t="inlineStr">
        <is>
          <t>Ethanol 10% IV infusion for Methanol poisoning</t>
        </is>
      </c>
      <c r="I1633" s="15" t="inlineStr">
        <is>
          <t>1</t>
        </is>
      </c>
      <c r="J16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3" s="18" t="inlineStr"/>
      <c r="L1633" s="18" t="inlineStr">
        <is>
          <t>General Therapeutics</t>
        </is>
      </c>
      <c r="M1633" s="18" t="inlineStr">
        <is>
          <t>Clinic</t>
        </is>
      </c>
      <c r="N1633" s="18" t="inlineStr">
        <is>
          <t>ข้อ 3 (PLE_CC1_Key_Rx20_UBU.md)</t>
        </is>
      </c>
      <c r="O1633" s="18" t="inlineStr">
        <is>
          <t>Mock</t>
        </is>
      </c>
      <c r="P1633" s="18" t="inlineStr">
        <is>
          <t>Mock Rx20 UBU</t>
        </is>
      </c>
    </row>
    <row r="1634">
      <c r="A1634" s="15" t="inlineStr">
        <is>
          <t>1655</t>
        </is>
      </c>
      <c r="B1634" s="18" t="inlineStr">
        <is>
          <t>ต้องทำลายฤทธิ์ยาในน้ำที่มียาปนเปื้อนก่อนทิ้งลงบำบัดน้ำเสีย</t>
        </is>
      </c>
      <c r="C1634" s="18" t="inlineStr"/>
      <c r="D1634" s="18" t="inlineStr">
        <is>
          <t>Dimercaprol (BAL) 3 mg/kg IM</t>
        </is>
      </c>
      <c r="E1634" s="18" t="inlineStr">
        <is>
          <t>Ethanol 10% IV infusion for Methanol poisoning</t>
        </is>
      </c>
      <c r="F1634" s="18" t="inlineStr">
        <is>
          <t>Fomepizole 15 mg/kg IV loading</t>
        </is>
      </c>
      <c r="G1634" s="18" t="inlineStr">
        <is>
          <t>N-acetylcysteine (NAC) IV infusion protocol</t>
        </is>
      </c>
      <c r="H1634" s="18" t="inlineStr">
        <is>
          <t>Atropine sulfate 2 mg IV Q5-10 min</t>
        </is>
      </c>
      <c r="I1634" s="15" t="inlineStr">
        <is>
          <t>1</t>
        </is>
      </c>
      <c r="J16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4" s="18" t="inlineStr"/>
      <c r="L1634" s="18" t="inlineStr">
        <is>
          <t>General Therapeutics</t>
        </is>
      </c>
      <c r="M1634" s="18" t="inlineStr">
        <is>
          <t>Clinic</t>
        </is>
      </c>
      <c r="N1634" s="18" t="inlineStr">
        <is>
          <t>ข้อ 4 (PLE_CC1_Key_Rx20_UBU.md)</t>
        </is>
      </c>
      <c r="O1634" s="18" t="inlineStr">
        <is>
          <t>Mock</t>
        </is>
      </c>
      <c r="P1634" s="18" t="inlineStr">
        <is>
          <t>Mock Rx20 UBU</t>
        </is>
      </c>
    </row>
    <row r="1635">
      <c r="A1635" s="15" t="inlineStr">
        <is>
          <t>1656</t>
        </is>
      </c>
      <c r="B1635" s="18" t="inlineStr">
        <is>
          <t>ใช้ยาที่ผลิตในประเทศที่มี Bioequivalent แทนการใช้ยาต้นแบบ</t>
        </is>
      </c>
      <c r="C1635" s="18" t="inlineStr"/>
      <c r="D1635" s="18" t="inlineStr">
        <is>
          <t>N-acetylcysteine (NAC) IV infusion protocol</t>
        </is>
      </c>
      <c r="E1635" s="18" t="inlineStr">
        <is>
          <t>Atropine sulfate 2 mg IV Q5-10 min</t>
        </is>
      </c>
      <c r="F1635" s="18" t="inlineStr">
        <is>
          <t>Pralidoxime (2-PAM) 1-2 g IV over 30 min</t>
        </is>
      </c>
      <c r="G1635" s="18" t="inlineStr">
        <is>
          <t>Naloxone 0.4 mg IV stat</t>
        </is>
      </c>
      <c r="H1635" s="18" t="inlineStr">
        <is>
          <t>Flumazenil 0.2 mg IV stat</t>
        </is>
      </c>
      <c r="I1635" s="15" t="inlineStr">
        <is>
          <t>1</t>
        </is>
      </c>
      <c r="J16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5" s="18" t="inlineStr"/>
      <c r="L1635" s="18" t="inlineStr">
        <is>
          <t>General Therapeutics</t>
        </is>
      </c>
      <c r="M1635" s="18" t="inlineStr">
        <is>
          <t>Clinic</t>
        </is>
      </c>
      <c r="N1635" s="18" t="inlineStr">
        <is>
          <t>ข้อ 1 (PLE_CC1_Key_Rx20_UBU.md)</t>
        </is>
      </c>
      <c r="O1635" s="18" t="inlineStr">
        <is>
          <t>Mock</t>
        </is>
      </c>
      <c r="P1635" s="18" t="inlineStr">
        <is>
          <t>Mock Rx20 UBU</t>
        </is>
      </c>
    </row>
    <row r="1636">
      <c r="A1636" s="15" t="inlineStr">
        <is>
          <t>1657</t>
        </is>
      </c>
      <c r="B1636" s="18" t="inlineStr">
        <is>
          <t>ผู้ป่วยมีค่าใช้จ่ายเกิน ต้องจ่ายส่วนต่างเอง ไม่สามารถเบิกคืนได้</t>
        </is>
      </c>
      <c r="C1636" s="18" t="inlineStr"/>
      <c r="D1636" s="18" t="inlineStr">
        <is>
          <t>Naloxone 0.4 mg IV stat</t>
        </is>
      </c>
      <c r="E1636" s="18" t="inlineStr">
        <is>
          <t>Flumazenil 0.2 mg IV stat</t>
        </is>
      </c>
      <c r="F1636" s="18" t="inlineStr">
        <is>
          <t>Vitamin K1 (Phytomenadione) 10 mg IV slow</t>
        </is>
      </c>
      <c r="G1636" s="18" t="inlineStr">
        <is>
          <t>Sodium thiosulfate 25% 50 mL IV</t>
        </is>
      </c>
      <c r="H1636" s="18" t="inlineStr">
        <is>
          <t>Calcium disodium EDTA 1 g IV</t>
        </is>
      </c>
      <c r="I1636" s="15" t="inlineStr">
        <is>
          <t>1</t>
        </is>
      </c>
      <c r="J16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6" s="18" t="inlineStr"/>
      <c r="L1636" s="18" t="inlineStr">
        <is>
          <t>General Therapeutics</t>
        </is>
      </c>
      <c r="M1636" s="18" t="inlineStr">
        <is>
          <t>Clinic</t>
        </is>
      </c>
      <c r="N1636" s="18" t="inlineStr">
        <is>
          <t>ข้อ 2 (PLE_CC1_Key_Rx20_UBU.md)</t>
        </is>
      </c>
      <c r="O1636" s="18" t="inlineStr">
        <is>
          <t>Mock</t>
        </is>
      </c>
      <c r="P1636" s="18" t="inlineStr">
        <is>
          <t>Mock Rx20 UBU</t>
        </is>
      </c>
    </row>
    <row r="1637">
      <c r="A1637" s="15" t="inlineStr">
        <is>
          <t>1658</t>
        </is>
      </c>
      <c r="B1637" s="18" t="inlineStr">
        <is>
          <t>เป็นระบบเหมาจ่ายปลายเปิด</t>
        </is>
      </c>
      <c r="C1637" s="18" t="inlineStr"/>
      <c r="D1637" s="18" t="inlineStr">
        <is>
          <t>Sodium thiosulfate 25% 50 mL IV</t>
        </is>
      </c>
      <c r="E1637" s="18" t="inlineStr">
        <is>
          <t>Calcium disodium EDTA 1 g IV</t>
        </is>
      </c>
      <c r="F1637" s="18" t="inlineStr">
        <is>
          <t>Desferrioxamine 1 g IM/IV</t>
        </is>
      </c>
      <c r="G1637" s="18" t="inlineStr">
        <is>
          <t>Dimercaprol (BAL) 3 mg/kg IM</t>
        </is>
      </c>
      <c r="H1637" s="18" t="inlineStr">
        <is>
          <t>Ethanol 10% IV infusion for Methanol poisoning</t>
        </is>
      </c>
      <c r="I1637" s="15" t="inlineStr">
        <is>
          <t>1</t>
        </is>
      </c>
      <c r="J16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7" s="18" t="inlineStr"/>
      <c r="L1637" s="18" t="inlineStr">
        <is>
          <t>General Therapeutics</t>
        </is>
      </c>
      <c r="M1637" s="18" t="inlineStr">
        <is>
          <t>Clinic</t>
        </is>
      </c>
      <c r="N1637" s="18" t="inlineStr">
        <is>
          <t>ข้อ 3 (PLE_CC1_Key_Rx20_UBU.md)</t>
        </is>
      </c>
      <c r="O1637" s="18" t="inlineStr">
        <is>
          <t>Mock</t>
        </is>
      </c>
      <c r="P1637" s="18" t="inlineStr">
        <is>
          <t>Mock Rx20 UBU</t>
        </is>
      </c>
    </row>
    <row r="1638">
      <c r="A1638" s="15" t="inlineStr">
        <is>
          <t>1659</t>
        </is>
      </c>
      <c r="B1638" s="18" t="inlineStr">
        <is>
          <t>Hardness + Weight variation</t>
        </is>
      </c>
      <c r="C1638" s="18" t="inlineStr"/>
      <c r="D1638" s="18" t="inlineStr">
        <is>
          <t>Dimercaprol (BAL) 3 mg/kg IM</t>
        </is>
      </c>
      <c r="E1638" s="18" t="inlineStr">
        <is>
          <t>Ethanol 10% IV infusion for Methanol poisoning</t>
        </is>
      </c>
      <c r="F1638" s="18" t="inlineStr">
        <is>
          <t>Fomepizole 15 mg/kg IV loading</t>
        </is>
      </c>
      <c r="G1638" s="18" t="inlineStr">
        <is>
          <t>N-acetylcysteine (NAC) IV infusion protocol</t>
        </is>
      </c>
      <c r="H1638" s="18" t="inlineStr">
        <is>
          <t>Atropine sulfate 2 mg IV Q5-10 min</t>
        </is>
      </c>
      <c r="I1638" s="15" t="inlineStr">
        <is>
          <t>1</t>
        </is>
      </c>
      <c r="J16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8" s="18" t="inlineStr"/>
      <c r="L1638" s="18" t="inlineStr">
        <is>
          <t>General Therapeutics</t>
        </is>
      </c>
      <c r="M1638" s="18" t="inlineStr">
        <is>
          <t>Clinic</t>
        </is>
      </c>
      <c r="N1638" s="18" t="inlineStr">
        <is>
          <t>ข้อ 3 (PLE_CC1_Key_Rx20_UBU.md)</t>
        </is>
      </c>
      <c r="O1638" s="18" t="inlineStr">
        <is>
          <t>Mock</t>
        </is>
      </c>
      <c r="P1638" s="18" t="inlineStr">
        <is>
          <t>Mock Rx20 UBU</t>
        </is>
      </c>
    </row>
    <row r="1639">
      <c r="A1639" s="15" t="inlineStr">
        <is>
          <t>1660</t>
        </is>
      </c>
      <c r="B1639" s="18" t="inlineStr">
        <is>
          <t>เลขทะเบียนยา Reg. 1C 2554/52 หมายความว่าอย่างไร</t>
        </is>
      </c>
      <c r="C1639" s="18" t="inlineStr"/>
      <c r="D1639" s="18" t="inlineStr">
        <is>
          <t>N-acetylcysteine (NAC) IV infusion protocol</t>
        </is>
      </c>
      <c r="E1639" s="18" t="inlineStr">
        <is>
          <t>Atropine sulfate 2 mg IV Q5-10 min</t>
        </is>
      </c>
      <c r="F1639" s="18" t="inlineStr">
        <is>
          <t>Pralidoxime (2-PAM) 1-2 g IV over 30 min</t>
        </is>
      </c>
      <c r="G1639" s="18" t="inlineStr">
        <is>
          <t>Naloxone 0.4 mg IV stat</t>
        </is>
      </c>
      <c r="H1639" s="18" t="inlineStr">
        <is>
          <t>Flumazenil 0.2 mg IV stat</t>
        </is>
      </c>
      <c r="I1639" s="15" t="inlineStr">
        <is>
          <t>1</t>
        </is>
      </c>
      <c r="J16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9" s="18" t="inlineStr"/>
      <c r="L1639" s="18" t="inlineStr">
        <is>
          <t>General Therapeutics</t>
        </is>
      </c>
      <c r="M1639" s="18" t="inlineStr">
        <is>
          <t>Clinic</t>
        </is>
      </c>
      <c r="N1639" s="18" t="inlineStr">
        <is>
          <t>ข้อ 2 (PLE_CC1_Key_Rx20_UBU.md)</t>
        </is>
      </c>
      <c r="O1639" s="18" t="inlineStr">
        <is>
          <t>Mock</t>
        </is>
      </c>
      <c r="P1639" s="18" t="inlineStr">
        <is>
          <t>Mock Rx20 UBU</t>
        </is>
      </c>
    </row>
    <row r="1640">
      <c r="A1640" s="15" t="inlineStr">
        <is>
          <t>1661</t>
        </is>
      </c>
      <c r="B1640" s="18" t="inlineStr">
        <is>
          <t>ยาเดี่ยวสำหรับมนุษย์ ที่ผลิตภำยในประเทศ</t>
        </is>
      </c>
      <c r="C1640" s="18" t="inlineStr"/>
      <c r="D1640" s="18" t="inlineStr">
        <is>
          <t>Naloxone 0.4 mg IV stat</t>
        </is>
      </c>
      <c r="E1640" s="18" t="inlineStr">
        <is>
          <t>Flumazenil 0.2 mg IV stat</t>
        </is>
      </c>
      <c r="F1640" s="18" t="inlineStr">
        <is>
          <t>Vitamin K1 (Phytomenadione) 10 mg IV slow</t>
        </is>
      </c>
      <c r="G1640" s="18" t="inlineStr">
        <is>
          <t>Sodium thiosulfate 25% 50 mL IV</t>
        </is>
      </c>
      <c r="H1640" s="18" t="inlineStr">
        <is>
          <t>Calcium disodium EDTA 1 g IV</t>
        </is>
      </c>
      <c r="I1640" s="15" t="inlineStr">
        <is>
          <t>1</t>
        </is>
      </c>
      <c r="J16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0" s="18" t="inlineStr"/>
      <c r="L1640" s="18" t="inlineStr">
        <is>
          <t>General Therapeutics</t>
        </is>
      </c>
      <c r="M1640" s="18" t="inlineStr">
        <is>
          <t>Clinic</t>
        </is>
      </c>
      <c r="N1640" s="18" t="inlineStr">
        <is>
          <t>ข้อ 1 (PLE_CC1_Key_Rx20_UBU.md)</t>
        </is>
      </c>
      <c r="O1640" s="18" t="inlineStr">
        <is>
          <t>Mock</t>
        </is>
      </c>
      <c r="P1640" s="18" t="inlineStr">
        <is>
          <t>Mock Rx20 UBU</t>
        </is>
      </c>
    </row>
    <row r="1641">
      <c r="A1641" s="15" t="inlineStr">
        <is>
          <t>1662</t>
        </is>
      </c>
      <c r="B1641" s="18" t="inlineStr">
        <is>
          <t>ยาเดี่ยวสำหรับมนุษย์ ที่บรรจุภายในประเทศ</t>
        </is>
      </c>
      <c r="C1641" s="18" t="inlineStr"/>
      <c r="D1641" s="18" t="inlineStr">
        <is>
          <t>Sodium thiosulfate 25% 50 mL IV</t>
        </is>
      </c>
      <c r="E1641" s="18" t="inlineStr">
        <is>
          <t>Calcium disodium EDTA 1 g IV</t>
        </is>
      </c>
      <c r="F1641" s="18" t="inlineStr">
        <is>
          <t>Desferrioxamine 1 g IM/IV</t>
        </is>
      </c>
      <c r="G1641" s="18" t="inlineStr">
        <is>
          <t>Dimercaprol (BAL) 3 mg/kg IM</t>
        </is>
      </c>
      <c r="H1641" s="18" t="inlineStr">
        <is>
          <t>Ethanol 10% IV infusion for Methanol poisoning</t>
        </is>
      </c>
      <c r="I1641" s="15" t="inlineStr">
        <is>
          <t>1</t>
        </is>
      </c>
      <c r="J16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1" s="18" t="inlineStr"/>
      <c r="L1641" s="18" t="inlineStr">
        <is>
          <t>General Therapeutics</t>
        </is>
      </c>
      <c r="M1641" s="18" t="inlineStr">
        <is>
          <t>Clinic</t>
        </is>
      </c>
      <c r="N1641" s="18" t="inlineStr">
        <is>
          <t>ข้อ 2 (PLE_CC1_Key_Rx20_UBU.md)</t>
        </is>
      </c>
      <c r="O1641" s="18" t="inlineStr">
        <is>
          <t>Mock</t>
        </is>
      </c>
      <c r="P1641" s="18" t="inlineStr">
        <is>
          <t>Mock Rx20 UBU</t>
        </is>
      </c>
    </row>
    <row r="1642">
      <c r="A1642" s="15" t="inlineStr">
        <is>
          <t>1663</t>
        </is>
      </c>
      <c r="B1642" s="18" t="inlineStr">
        <is>
          <t>ยาเดี่ยวสำหรับมนุษย์ ที่นำเข้าจากต่างประเทศ</t>
        </is>
      </c>
      <c r="C1642" s="18" t="inlineStr"/>
      <c r="D1642" s="18" t="inlineStr">
        <is>
          <t>Dimercaprol (BAL) 3 mg/kg IM</t>
        </is>
      </c>
      <c r="E1642" s="18" t="inlineStr">
        <is>
          <t>Ethanol 10% IV infusion for Methanol poisoning</t>
        </is>
      </c>
      <c r="F1642" s="18" t="inlineStr">
        <is>
          <t>Fomepizole 15 mg/kg IV loading</t>
        </is>
      </c>
      <c r="G1642" s="18" t="inlineStr">
        <is>
          <t>N-acetylcysteine (NAC) IV infusion protocol</t>
        </is>
      </c>
      <c r="H1642" s="18" t="inlineStr">
        <is>
          <t>Atropine sulfate 2 mg IV Q5-10 min</t>
        </is>
      </c>
      <c r="I1642" s="15" t="inlineStr">
        <is>
          <t>1</t>
        </is>
      </c>
      <c r="J16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2" s="18" t="inlineStr"/>
      <c r="L1642" s="18" t="inlineStr">
        <is>
          <t>General Therapeutics</t>
        </is>
      </c>
      <c r="M1642" s="18" t="inlineStr">
        <is>
          <t>Clinic</t>
        </is>
      </c>
      <c r="N1642" s="18" t="inlineStr">
        <is>
          <t>ข้อ 3 (PLE_CC1_Key_Rx20_UBU.md)</t>
        </is>
      </c>
      <c r="O1642" s="18" t="inlineStr">
        <is>
          <t>Mock</t>
        </is>
      </c>
      <c r="P1642" s="18" t="inlineStr">
        <is>
          <t>Mock Rx20 UBU</t>
        </is>
      </c>
    </row>
    <row r="1643">
      <c r="A1643" s="15" t="inlineStr">
        <is>
          <t>1664</t>
        </is>
      </c>
      <c r="B1643" s="18" t="inlineStr">
        <is>
          <t>ยาผสมสำหรับมนุษย์ ที่ผลิตภายในประเทศ</t>
        </is>
      </c>
      <c r="C1643" s="18" t="inlineStr"/>
      <c r="D1643" s="18" t="inlineStr">
        <is>
          <t>N-acetylcysteine (NAC) IV infusion protocol</t>
        </is>
      </c>
      <c r="E1643" s="18" t="inlineStr">
        <is>
          <t>Atropine sulfate 2 mg IV Q5-10 min</t>
        </is>
      </c>
      <c r="F1643" s="18" t="inlineStr">
        <is>
          <t>Pralidoxime (2-PAM) 1-2 g IV over 30 min</t>
        </is>
      </c>
      <c r="G1643" s="18" t="inlineStr">
        <is>
          <t>Naloxone 0.4 mg IV stat</t>
        </is>
      </c>
      <c r="H1643" s="18" t="inlineStr">
        <is>
          <t>Flumazenil 0.2 mg IV stat</t>
        </is>
      </c>
      <c r="I1643" s="15" t="inlineStr">
        <is>
          <t>1</t>
        </is>
      </c>
      <c r="J16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3" s="18" t="inlineStr"/>
      <c r="L1643" s="18" t="inlineStr">
        <is>
          <t>General Therapeutics</t>
        </is>
      </c>
      <c r="M1643" s="18" t="inlineStr">
        <is>
          <t>Clinic</t>
        </is>
      </c>
      <c r="N1643" s="18" t="inlineStr">
        <is>
          <t>ข้อ 4 (PLE_CC1_Key_Rx20_UBU.md)</t>
        </is>
      </c>
      <c r="O1643" s="18" t="inlineStr">
        <is>
          <t>Mock</t>
        </is>
      </c>
      <c r="P1643" s="18" t="inlineStr">
        <is>
          <t>Mock Rx20 UBU</t>
        </is>
      </c>
    </row>
    <row r="1644">
      <c r="A1644" s="15" t="inlineStr">
        <is>
          <t>1665</t>
        </is>
      </c>
      <c r="B1644" s="18" t="inlineStr">
        <is>
          <t>ไม่ผ่าน S1 เนื่องจากมียา 1 เม็ดที่อยู่ต่ำกว่า Q+5</t>
        </is>
      </c>
      <c r="C1644" s="18" t="inlineStr"/>
      <c r="D1644" s="18" t="inlineStr">
        <is>
          <t>Naloxone 0.4 mg IV stat</t>
        </is>
      </c>
      <c r="E1644" s="18" t="inlineStr">
        <is>
          <t>Flumazenil 0.2 mg IV stat</t>
        </is>
      </c>
      <c r="F1644" s="18" t="inlineStr">
        <is>
          <t>Vitamin K1 (Phytomenadione) 10 mg IV slow</t>
        </is>
      </c>
      <c r="G1644" s="18" t="inlineStr">
        <is>
          <t>Sodium thiosulfate 25% 50 mL IV</t>
        </is>
      </c>
      <c r="H1644" s="18" t="inlineStr">
        <is>
          <t>Calcium disodium EDTA 1 g IV</t>
        </is>
      </c>
      <c r="I1644" s="15" t="inlineStr">
        <is>
          <t>1</t>
        </is>
      </c>
      <c r="J16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4" s="18" t="inlineStr"/>
      <c r="L1644" s="18" t="inlineStr">
        <is>
          <t>General Therapeutics</t>
        </is>
      </c>
      <c r="M1644" s="18" t="inlineStr">
        <is>
          <t>Clinic</t>
        </is>
      </c>
      <c r="N1644" s="18" t="inlineStr">
        <is>
          <t>ข้อ 2 (PLE_CC1_Key_Rx20_UBU.md)</t>
        </is>
      </c>
      <c r="O1644" s="18" t="inlineStr">
        <is>
          <t>Mock</t>
        </is>
      </c>
      <c r="P1644" s="18" t="inlineStr">
        <is>
          <t>Mock Rx20 UBU</t>
        </is>
      </c>
    </row>
    <row r="1645">
      <c r="A1645" s="15" t="inlineStr">
        <is>
          <t>1666</t>
        </is>
      </c>
      <c r="B1645" s="18" t="inlineStr">
        <is>
          <t>ไม่ผ่าน S1 เนื่องจากมียา 4 เม็ดที่อยู่ต่ำกว่า Q+5</t>
        </is>
      </c>
      <c r="C1645" s="18" t="inlineStr"/>
      <c r="D1645" s="18" t="inlineStr">
        <is>
          <t>Sodium thiosulfate 25% 50 mL IV</t>
        </is>
      </c>
      <c r="E1645" s="18" t="inlineStr">
        <is>
          <t>Calcium disodium EDTA 1 g IV</t>
        </is>
      </c>
      <c r="F1645" s="18" t="inlineStr">
        <is>
          <t>Desferrioxamine 1 g IM/IV</t>
        </is>
      </c>
      <c r="G1645" s="18" t="inlineStr">
        <is>
          <t>Dimercaprol (BAL) 3 mg/kg IM</t>
        </is>
      </c>
      <c r="H1645" s="18" t="inlineStr">
        <is>
          <t>Ethanol 10% IV infusion for Methanol poisoning</t>
        </is>
      </c>
      <c r="I1645" s="15" t="inlineStr">
        <is>
          <t>1</t>
        </is>
      </c>
      <c r="J164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5" s="18" t="inlineStr"/>
      <c r="L1645" s="18" t="inlineStr">
        <is>
          <t>General Therapeutics</t>
        </is>
      </c>
      <c r="M1645" s="18" t="inlineStr">
        <is>
          <t>Clinic</t>
        </is>
      </c>
      <c r="N1645" s="18" t="inlineStr">
        <is>
          <t>ข้อ 3 (PLE_CC1_Key_Rx20_UBU.md)</t>
        </is>
      </c>
      <c r="O1645" s="18" t="inlineStr">
        <is>
          <t>Mock</t>
        </is>
      </c>
      <c r="P1645" s="18" t="inlineStr">
        <is>
          <t>Mock Rx20 UBU</t>
        </is>
      </c>
    </row>
    <row r="1646">
      <c r="A1646" s="15" t="inlineStr">
        <is>
          <t>1667</t>
        </is>
      </c>
      <c r="B1646" s="18" t="inlineStr">
        <is>
          <t>5 mg จำนวน 28 เม็ด ดังนั้นต้องใช้ขนาดเท่ากันทุกวันคือ 2.5 mg จากยาขนาด 5 mg แบ่งครึ่งเม็ด จะต้องใช้ยา 70/5=14 เม็ด</t>
        </is>
      </c>
      <c r="C1646" s="18" t="inlineStr"/>
      <c r="D1646" s="18" t="inlineStr">
        <is>
          <t>Dimercaprol (BAL) 3 mg/kg IM</t>
        </is>
      </c>
      <c r="E1646" s="18" t="inlineStr">
        <is>
          <t>Ethanol 10% IV infusion for Methanol poisoning</t>
        </is>
      </c>
      <c r="F1646" s="18" t="inlineStr">
        <is>
          <t>Fomepizole 15 mg/kg IV loading</t>
        </is>
      </c>
      <c r="G1646" s="18" t="inlineStr">
        <is>
          <t>N-acetylcysteine (NAC) IV infusion protocol</t>
        </is>
      </c>
      <c r="H1646" s="18" t="inlineStr">
        <is>
          <t>Atropine sulfate 2 mg IV Q5-10 min</t>
        </is>
      </c>
      <c r="I1646" s="15" t="inlineStr">
        <is>
          <t>5</t>
        </is>
      </c>
      <c r="J1646" s="18"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46" s="18" t="inlineStr"/>
      <c r="L1646" s="18" t="inlineStr">
        <is>
          <t>General Therapeutics</t>
        </is>
      </c>
      <c r="M1646" s="18" t="inlineStr">
        <is>
          <t>Clinic</t>
        </is>
      </c>
      <c r="N1646" s="18" t="inlineStr">
        <is>
          <t>ข้อ 4 (PLE_CC1_Key_Rx20_UBU.md)</t>
        </is>
      </c>
      <c r="O1646" s="18" t="inlineStr">
        <is>
          <t>Mock</t>
        </is>
      </c>
      <c r="P1646" s="18" t="inlineStr">
        <is>
          <t>Mock Rx20 UBU</t>
        </is>
      </c>
    </row>
    <row r="1647">
      <c r="A1647" s="15" t="inlineStr">
        <is>
          <t>1668</t>
        </is>
      </c>
      <c r="B1647" s="18" t="inlineStr">
        <is>
          <t>R-isomer มีฤทธิ์มากกวา่ S-isomer</t>
        </is>
      </c>
      <c r="C1647" s="18" t="inlineStr"/>
      <c r="D1647" s="18" t="inlineStr">
        <is>
          <t>N-acetylcysteine (NAC) IV infusion protocol</t>
        </is>
      </c>
      <c r="E1647" s="18" t="inlineStr">
        <is>
          <t>Atropine sulfate 2 mg IV Q5-10 min</t>
        </is>
      </c>
      <c r="F1647" s="18" t="inlineStr">
        <is>
          <t>Pralidoxime (2-PAM) 1-2 g IV over 30 min</t>
        </is>
      </c>
      <c r="G1647" s="18" t="inlineStr">
        <is>
          <t>Naloxone 0.4 mg IV stat</t>
        </is>
      </c>
      <c r="H1647" s="18" t="inlineStr">
        <is>
          <t>Flumazenil 0.2 mg IV stat</t>
        </is>
      </c>
      <c r="I1647" s="15" t="inlineStr">
        <is>
          <t>1</t>
        </is>
      </c>
      <c r="J16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7" s="18" t="inlineStr"/>
      <c r="L1647" s="18" t="inlineStr">
        <is>
          <t>General Therapeutics</t>
        </is>
      </c>
      <c r="M1647" s="18" t="inlineStr">
        <is>
          <t>Clinic</t>
        </is>
      </c>
      <c r="N1647" s="18" t="inlineStr">
        <is>
          <t>ข้อ 1 (PLE_CC1_Key_Rx20_UBU.md)</t>
        </is>
      </c>
      <c r="O1647" s="18" t="inlineStr">
        <is>
          <t>Mock</t>
        </is>
      </c>
      <c r="P1647" s="18" t="inlineStr">
        <is>
          <t>Mock Rx20 UBU</t>
        </is>
      </c>
    </row>
    <row r="1648">
      <c r="A1648" s="15" t="inlineStr">
        <is>
          <t>1669</t>
        </is>
      </c>
      <c r="B1648" s="18" t="inlineStr">
        <is>
          <t>ผู้ป่วยคนใดมีความเสี่ยงที่จะเกิด thrombosis</t>
        </is>
      </c>
      <c r="C1648" s="18" t="inlineStr"/>
      <c r="D1648" s="18" t="inlineStr">
        <is>
          <t>Naloxone 0.4 mg IV stat</t>
        </is>
      </c>
      <c r="E1648" s="18" t="inlineStr">
        <is>
          <t>Flumazenil 0.2 mg IV stat</t>
        </is>
      </c>
      <c r="F1648" s="18" t="inlineStr">
        <is>
          <t>Vitamin K1 (Phytomenadione) 10 mg IV slow</t>
        </is>
      </c>
      <c r="G1648" s="18" t="inlineStr">
        <is>
          <t>Sodium thiosulfate 25% 50 mL IV</t>
        </is>
      </c>
      <c r="H1648" s="18" t="inlineStr">
        <is>
          <t>Calcium disodium EDTA 1 g IV</t>
        </is>
      </c>
      <c r="I1648" s="15" t="inlineStr">
        <is>
          <t>1</t>
        </is>
      </c>
      <c r="J16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8" s="18" t="inlineStr"/>
      <c r="L1648" s="18" t="inlineStr">
        <is>
          <t>General Therapeutics</t>
        </is>
      </c>
      <c r="M1648" s="18" t="inlineStr">
        <is>
          <t>Clinic</t>
        </is>
      </c>
      <c r="N1648" s="18" t="inlineStr">
        <is>
          <t>ข้อ 8 (PLE_CC1_Key_Rx20_UBU.md)</t>
        </is>
      </c>
      <c r="O1648" s="18" t="inlineStr">
        <is>
          <t>Mock</t>
        </is>
      </c>
      <c r="P1648" s="18" t="inlineStr">
        <is>
          <t>Mock Rx20 UBU</t>
        </is>
      </c>
    </row>
    <row r="1649">
      <c r="A1649" s="15" t="inlineStr">
        <is>
          <t>1670</t>
        </is>
      </c>
      <c r="B1649" s="18" t="inlineStr">
        <is>
          <t>ควรเลือกใช้ยาแก้แพ้ใดในผู้ป่วยต่อไปนี้</t>
        </is>
      </c>
      <c r="C1649" s="18" t="inlineStr"/>
      <c r="D1649" s="18" t="inlineStr">
        <is>
          <t>Sodium thiosulfate 25% 50 mL IV</t>
        </is>
      </c>
      <c r="E1649" s="18" t="inlineStr">
        <is>
          <t>Calcium disodium EDTA 1 g IV</t>
        </is>
      </c>
      <c r="F1649" s="18" t="inlineStr">
        <is>
          <t>Desferrioxamine 1 g IM/IV</t>
        </is>
      </c>
      <c r="G1649" s="18" t="inlineStr">
        <is>
          <t>Dimercaprol (BAL) 3 mg/kg IM</t>
        </is>
      </c>
      <c r="H1649" s="18" t="inlineStr">
        <is>
          <t>Ethanol 10% IV infusion for Methanol poisoning</t>
        </is>
      </c>
      <c r="I1649" s="15" t="inlineStr">
        <is>
          <t>1</t>
        </is>
      </c>
      <c r="J16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9" s="18" t="inlineStr"/>
      <c r="L1649" s="18" t="inlineStr">
        <is>
          <t>General Therapeutics</t>
        </is>
      </c>
      <c r="M1649" s="18" t="inlineStr">
        <is>
          <t>Clinic</t>
        </is>
      </c>
      <c r="N1649" s="18" t="inlineStr">
        <is>
          <t>ข้อ 1 (PLE_CC1_Key_Rx20_UBU.md)</t>
        </is>
      </c>
      <c r="O1649" s="18" t="inlineStr">
        <is>
          <t>Mock</t>
        </is>
      </c>
      <c r="P1649" s="18" t="inlineStr">
        <is>
          <t>Mock Rx20 UBU</t>
        </is>
      </c>
    </row>
    <row r="1650">
      <c r="A1650" s="15" t="inlineStr">
        <is>
          <t>1671</t>
        </is>
      </c>
      <c r="B1650" s="18" t="inlineStr">
        <is>
          <t>Cyproheptadine</t>
        </is>
      </c>
      <c r="C1650" s="18" t="inlineStr"/>
      <c r="D1650" s="18" t="inlineStr">
        <is>
          <t>Dimercaprol (BAL) 3 mg/kg IM</t>
        </is>
      </c>
      <c r="E1650" s="18" t="inlineStr">
        <is>
          <t>Ethanol 10% IV infusion for Methanol poisoning</t>
        </is>
      </c>
      <c r="F1650" s="18" t="inlineStr">
        <is>
          <t>Fomepizole 15 mg/kg IV loading</t>
        </is>
      </c>
      <c r="G1650" s="18" t="inlineStr">
        <is>
          <t>N-acetylcysteine (NAC) IV infusion protocol</t>
        </is>
      </c>
      <c r="H1650" s="18" t="inlineStr">
        <is>
          <t>Atropine sulfate 2 mg IV Q5-10 min</t>
        </is>
      </c>
      <c r="I1650" s="15" t="inlineStr">
        <is>
          <t>3</t>
        </is>
      </c>
      <c r="J1650" s="18"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0" s="18" t="inlineStr"/>
      <c r="L1650" s="18" t="inlineStr">
        <is>
          <t>General Therapeutics</t>
        </is>
      </c>
      <c r="M1650" s="18" t="inlineStr">
        <is>
          <t>Clinic</t>
        </is>
      </c>
      <c r="N1650" s="18" t="inlineStr">
        <is>
          <t>ข้อ 5 (PLE_CC1_Key_Rx20_UBU.md)</t>
        </is>
      </c>
      <c r="O1650" s="18" t="inlineStr">
        <is>
          <t>Mock</t>
        </is>
      </c>
      <c r="P1650" s="18" t="inlineStr">
        <is>
          <t>Mock Rx20 UBU</t>
        </is>
      </c>
    </row>
    <row r="1651">
      <c r="A1651" s="15" t="inlineStr">
        <is>
          <t>1672</t>
        </is>
      </c>
      <c r="B1651" s="18" t="inlineStr">
        <is>
          <t>ถ้าพ่นไม่ถูกตามวิธีข้างต้น จะเกิด ADR อะไรขึ้น</t>
        </is>
      </c>
      <c r="C1651" s="18" t="inlineStr"/>
      <c r="D1651" s="18" t="inlineStr">
        <is>
          <t>Cetirizine 10 mg OD</t>
        </is>
      </c>
      <c r="E1651" s="18" t="inlineStr">
        <is>
          <t>Loratadine 10 mg OD</t>
        </is>
      </c>
      <c r="F1651" s="18" t="inlineStr">
        <is>
          <t>Fexofenadine 180 mg OD</t>
        </is>
      </c>
      <c r="G1651" s="18" t="inlineStr">
        <is>
          <t>Chlorpheniramine 4 mg TID</t>
        </is>
      </c>
      <c r="H1651" s="18" t="inlineStr">
        <is>
          <t>Fluticasone furoate nasal spray</t>
        </is>
      </c>
      <c r="I1651" s="15" t="inlineStr">
        <is>
          <t>1</t>
        </is>
      </c>
      <c r="J1651" s="18"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1" s="18" t="inlineStr"/>
      <c r="L1651" s="18" t="inlineStr">
        <is>
          <t>Allergy &amp; Immunology</t>
        </is>
      </c>
      <c r="M1651" s="18" t="inlineStr">
        <is>
          <t>Clinic</t>
        </is>
      </c>
      <c r="N1651" s="18" t="inlineStr">
        <is>
          <t>ข้อ 3 (PLE_CC1_Key_Rx20_UBU.md)</t>
        </is>
      </c>
      <c r="O1651" s="18" t="inlineStr">
        <is>
          <t>Mock</t>
        </is>
      </c>
      <c r="P1651" s="18" t="inlineStr">
        <is>
          <t>Mock Rx20 UBU</t>
        </is>
      </c>
    </row>
    <row r="1652">
      <c r="A1652" s="15" t="inlineStr">
        <is>
          <t>1673</t>
        </is>
      </c>
      <c r="B1652" s="18" t="inlineStr">
        <is>
          <t>ตำรับ Oxymethazoline (E=0.30) 0.1 % NaCl qs Purified water 100 ml จะปรับให้สูตรตำรับ Isotonic ต้องใช้ NaCl เท่าไร</t>
        </is>
      </c>
      <c r="C1652" s="18" t="inlineStr"/>
      <c r="D1652" s="18" t="inlineStr">
        <is>
          <t>เกณฑ์จริยธรรมว่าด้วยการส่งเสริมการขายยาของกระทรวงสาธารณสุข</t>
        </is>
      </c>
      <c r="E1652" s="18" t="inlineStr">
        <is>
          <t>พ.ร.บ. ยา พ.ศ. 2510 (การจำหน่ายยาอันตรายและยาควบคุมพิเศษ)</t>
        </is>
      </c>
      <c r="F1652" s="18" t="inlineStr">
        <is>
          <t>พ.ร.บ. ยาเสพติดให้โทษ พ.ศ. 2522 (ยาเสพติดให้โทษประเภท 2 และ 3)</t>
        </is>
      </c>
      <c r="G1652" s="18" t="inlineStr">
        <is>
          <t>พ.ร.บ. วัตถุที่ออกฤทธิ์ต่อจิตและประสาท พ.ศ. 2559 (ประเภท 2 และ 4)</t>
        </is>
      </c>
      <c r="H1652" s="18" t="inlineStr">
        <is>
          <t>พ.ร.บ. วิชาชีพเภสัชกรรม พ.ศ. 2537 และข้อบังคับจรรยาบรรณวิชาชีพ</t>
        </is>
      </c>
      <c r="I1652" s="15" t="inlineStr">
        <is>
          <t>1</t>
        </is>
      </c>
      <c r="J165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2" s="18" t="inlineStr"/>
      <c r="L1652" s="18" t="inlineStr">
        <is>
          <t>Pharmacy Laws &amp; Ethics</t>
        </is>
      </c>
      <c r="M1652" s="18" t="inlineStr">
        <is>
          <t>SAP</t>
        </is>
      </c>
      <c r="N1652" s="18" t="inlineStr">
        <is>
          <t>ข้อ 5 (PLE_CC1_Key_Rx20_UBU.md)</t>
        </is>
      </c>
      <c r="O1652" s="18" t="inlineStr">
        <is>
          <t>Mock</t>
        </is>
      </c>
      <c r="P1652" s="18" t="inlineStr">
        <is>
          <t>Mock Rx20 UBU</t>
        </is>
      </c>
    </row>
    <row r="1653">
      <c r="A1653" s="15" t="inlineStr">
        <is>
          <t>1674</t>
        </is>
      </c>
      <c r="B1653" s="18" t="inlineStr">
        <is>
          <t>0.60 จะได้ 0.300.1=0.03…….1 และ 0.9/100100=0.9…....2 เอา ..2-..1= 0.9-0.03 = 0.87</t>
        </is>
      </c>
      <c r="C1653" s="18" t="inlineStr"/>
      <c r="D1653" s="18" t="inlineStr">
        <is>
          <t>Sodium thiosulfate 25% 50 mL IV</t>
        </is>
      </c>
      <c r="E1653" s="18" t="inlineStr">
        <is>
          <t>Calcium disodium EDTA 1 g IV</t>
        </is>
      </c>
      <c r="F1653" s="18" t="inlineStr">
        <is>
          <t>Desferrioxamine 1 g IM/IV</t>
        </is>
      </c>
      <c r="G1653" s="18" t="inlineStr">
        <is>
          <t>Dimercaprol (BAL) 3 mg/kg IM</t>
        </is>
      </c>
      <c r="H1653" s="18" t="inlineStr">
        <is>
          <t>Ethanol 10% IV infusion for Methanol poisoning</t>
        </is>
      </c>
      <c r="I1653" s="15" t="inlineStr">
        <is>
          <t>5</t>
        </is>
      </c>
      <c r="J1653" s="18"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3" s="18" t="inlineStr"/>
      <c r="L1653" s="18" t="inlineStr">
        <is>
          <t>General Therapeutics</t>
        </is>
      </c>
      <c r="M1653" s="18" t="inlineStr">
        <is>
          <t>Clinic</t>
        </is>
      </c>
      <c r="N1653" s="18" t="inlineStr">
        <is>
          <t>ข้อ 5 (PLE_CC1_Key_Rx20_UBU.md)</t>
        </is>
      </c>
      <c r="O1653" s="18" t="inlineStr">
        <is>
          <t>Mock</t>
        </is>
      </c>
      <c r="P1653" s="18" t="inlineStr">
        <is>
          <t>Mock Rx20 UBU</t>
        </is>
      </c>
    </row>
    <row r="1654">
      <c r="A1654" s="15" t="inlineStr">
        <is>
          <t>1675</t>
        </is>
      </c>
      <c r="B1654" s="18" t="inlineStr">
        <is>
          <t>ปวดจุก รู้สึกแสบท้อง</t>
        </is>
      </c>
      <c r="C1654" s="18" t="inlineStr"/>
      <c r="D1654" s="18" t="inlineStr">
        <is>
          <t>Dimercaprol (BAL) 3 mg/kg IM</t>
        </is>
      </c>
      <c r="E1654" s="18" t="inlineStr">
        <is>
          <t>Ethanol 10% IV infusion for Methanol poisoning</t>
        </is>
      </c>
      <c r="F1654" s="18" t="inlineStr">
        <is>
          <t>Fomepizole 15 mg/kg IV loading</t>
        </is>
      </c>
      <c r="G1654" s="18" t="inlineStr">
        <is>
          <t>N-acetylcysteine (NAC) IV infusion protocol</t>
        </is>
      </c>
      <c r="H1654" s="18" t="inlineStr">
        <is>
          <t>Atropine sulfate 2 mg IV Q5-10 min</t>
        </is>
      </c>
      <c r="I1654" s="15" t="inlineStr">
        <is>
          <t>1</t>
        </is>
      </c>
      <c r="J16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4" s="18" t="inlineStr"/>
      <c r="L1654" s="18" t="inlineStr">
        <is>
          <t>General Therapeutics</t>
        </is>
      </c>
      <c r="M1654" s="18" t="inlineStr">
        <is>
          <t>Clinic</t>
        </is>
      </c>
      <c r="N1654" s="18" t="inlineStr">
        <is>
          <t>ข้อ 1 (PLE_CC1_Key_Rx20_UBU.md)</t>
        </is>
      </c>
      <c r="O1654" s="18" t="inlineStr">
        <is>
          <t>Mock</t>
        </is>
      </c>
      <c r="P1654" s="18" t="inlineStr">
        <is>
          <t>Mock Rx20 UBU</t>
        </is>
      </c>
    </row>
    <row r="1655">
      <c r="A1655" s="15" t="inlineStr">
        <is>
          <t>1676</t>
        </is>
      </c>
      <c r="B1655" s="18" t="inlineStr">
        <is>
          <t>อาการดีขึ้นตอนกินยาลดกรด กรดในระบบทางเดินอาหารจะทำให้เลือดมีสีดำคล้ำ</t>
        </is>
      </c>
      <c r="C1655" s="18" t="inlineStr"/>
      <c r="D1655" s="18" t="inlineStr">
        <is>
          <t>Hyoscine butylbromide 10 mg TID</t>
        </is>
      </c>
      <c r="E1655" s="18" t="inlineStr">
        <is>
          <t>Aluminium hydroxide/Magnesium hydroxide suspension</t>
        </is>
      </c>
      <c r="F1655" s="18" t="inlineStr">
        <is>
          <t>Metoclopramide 10 mg TID before meals</t>
        </is>
      </c>
      <c r="G1655" s="18" t="inlineStr">
        <is>
          <t>Omeprazole 20 mg OD</t>
        </is>
      </c>
      <c r="H1655" s="18" t="inlineStr">
        <is>
          <t>Esomeprazole 20 mg OD</t>
        </is>
      </c>
      <c r="I1655" s="15" t="inlineStr">
        <is>
          <t>5</t>
        </is>
      </c>
      <c r="J1655" s="18" t="inlineStr">
        <is>
          <t>✅ คำตอบที่ถูกต้อง: ข้อ จ.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ข.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5" s="18" t="inlineStr"/>
      <c r="L1655" s="18" t="inlineStr">
        <is>
          <t>GI Disorders</t>
        </is>
      </c>
      <c r="M1655" s="18" t="inlineStr">
        <is>
          <t>Clinic</t>
        </is>
      </c>
      <c r="N1655" s="18" t="inlineStr">
        <is>
          <t>ข้อ 5 (PLE_CC1_Key_Rx20_UBU.md)</t>
        </is>
      </c>
      <c r="O1655" s="18" t="inlineStr">
        <is>
          <t>Mock</t>
        </is>
      </c>
      <c r="P1655" s="18" t="inlineStr">
        <is>
          <t>Mock Rx20 UBU</t>
        </is>
      </c>
    </row>
    <row r="1656">
      <c r="A1656" s="15" t="inlineStr">
        <is>
          <t>1677</t>
        </is>
      </c>
      <c r="B1656" s="18" t="inlineStr">
        <is>
          <t>H+/K+ ATPase inhibitor</t>
        </is>
      </c>
      <c r="C1656" s="18" t="inlineStr"/>
      <c r="D1656" s="18" t="inlineStr">
        <is>
          <t>Naloxone 0.4 mg IV stat</t>
        </is>
      </c>
      <c r="E1656" s="18" t="inlineStr">
        <is>
          <t>Flumazenil 0.2 mg IV stat</t>
        </is>
      </c>
      <c r="F1656" s="18" t="inlineStr">
        <is>
          <t>Vitamin K1 (Phytomenadione) 10 mg IV slow</t>
        </is>
      </c>
      <c r="G1656" s="18" t="inlineStr">
        <is>
          <t>Sodium thiosulfate 25% 50 mL IV</t>
        </is>
      </c>
      <c r="H1656" s="18" t="inlineStr">
        <is>
          <t>Calcium disodium EDTA 1 g IV</t>
        </is>
      </c>
      <c r="I1656" s="15" t="inlineStr">
        <is>
          <t>1</t>
        </is>
      </c>
      <c r="J16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56" s="18" t="inlineStr"/>
      <c r="L1656" s="18" t="inlineStr">
        <is>
          <t>General Therapeutics</t>
        </is>
      </c>
      <c r="M1656" s="18" t="inlineStr">
        <is>
          <t>Clinic</t>
        </is>
      </c>
      <c r="N1656" s="18" t="inlineStr">
        <is>
          <t>ข้อ 4 (PLE_CC1_Key_Rx20_UBU.md)</t>
        </is>
      </c>
      <c r="O1656" s="18" t="inlineStr">
        <is>
          <t>Mock</t>
        </is>
      </c>
      <c r="P1656" s="18" t="inlineStr">
        <is>
          <t>Mock Rx20 UBU</t>
        </is>
      </c>
    </row>
    <row r="1657">
      <c r="A1657" s="15" t="inlineStr">
        <is>
          <t>1678</t>
        </is>
      </c>
      <c r="B1657" s="18" t="inlineStr">
        <is>
          <t>ถ้าผู้ป่วยได้รับ antacid น้ำร่วมด้วย ควรทำยังไง</t>
        </is>
      </c>
      <c r="C1657" s="18" t="inlineStr"/>
      <c r="D1657" s="18" t="inlineStr">
        <is>
          <t>Dimenhydrinate 50 mg TID</t>
        </is>
      </c>
      <c r="E1657" s="18" t="inlineStr">
        <is>
          <t>Loperamide 2 mg PRN</t>
        </is>
      </c>
      <c r="F1657" s="18" t="inlineStr">
        <is>
          <t>Senna 2 tabs HS</t>
        </is>
      </c>
      <c r="G1657" s="18" t="inlineStr">
        <is>
          <t>Bisacodyl 5 mg HS</t>
        </is>
      </c>
      <c r="H1657" s="18" t="inlineStr">
        <is>
          <t>Lactulose 15 mL OD</t>
        </is>
      </c>
      <c r="I1657" s="15" t="inlineStr">
        <is>
          <t>1</t>
        </is>
      </c>
      <c r="J1657" s="18"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7" s="18" t="inlineStr"/>
      <c r="L1657" s="18" t="inlineStr">
        <is>
          <t>GI Disorders</t>
        </is>
      </c>
      <c r="M1657" s="18" t="inlineStr">
        <is>
          <t>Clinic</t>
        </is>
      </c>
      <c r="N1657" s="18" t="inlineStr">
        <is>
          <t>ข้อ 3 (PLE_CC1_Key_Rx20_UBU.md)</t>
        </is>
      </c>
      <c r="O1657" s="18" t="inlineStr">
        <is>
          <t>Mock</t>
        </is>
      </c>
      <c r="P1657" s="18" t="inlineStr">
        <is>
          <t>Mock Rx20 UBU</t>
        </is>
      </c>
    </row>
    <row r="1658">
      <c r="A1658" s="15" t="inlineStr">
        <is>
          <t>1679</t>
        </is>
      </c>
      <c r="B1658" s="18" t="inlineStr">
        <is>
          <t>ควรจะแก้ปัญหานี้อย่างไร</t>
        </is>
      </c>
      <c r="C1658" s="18" t="inlineStr"/>
      <c r="D1658" s="18" t="inlineStr">
        <is>
          <t>Dimercaprol (BAL) 3 mg/kg IM</t>
        </is>
      </c>
      <c r="E1658" s="18" t="inlineStr">
        <is>
          <t>Ethanol 10% IV infusion for Methanol poisoning</t>
        </is>
      </c>
      <c r="F1658" s="18" t="inlineStr">
        <is>
          <t>Fomepizole 15 mg/kg IV loading</t>
        </is>
      </c>
      <c r="G1658" s="18" t="inlineStr">
        <is>
          <t>N-acetylcysteine (NAC) IV infusion protocol</t>
        </is>
      </c>
      <c r="H1658" s="18" t="inlineStr">
        <is>
          <t>Atropine sulfate 2 mg IV Q5-10 min</t>
        </is>
      </c>
      <c r="I1658" s="15" t="inlineStr">
        <is>
          <t>1</t>
        </is>
      </c>
      <c r="J16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8" s="18" t="inlineStr"/>
      <c r="L1658" s="18" t="inlineStr">
        <is>
          <t>General Therapeutics</t>
        </is>
      </c>
      <c r="M1658" s="18" t="inlineStr">
        <is>
          <t>Clinic</t>
        </is>
      </c>
      <c r="N1658" s="18" t="inlineStr">
        <is>
          <t>ข้อ 5 (PLE_CC1_Key_Rx20_UBU.md)</t>
        </is>
      </c>
      <c r="O1658" s="18" t="inlineStr">
        <is>
          <t>Mock</t>
        </is>
      </c>
      <c r="P1658" s="18" t="inlineStr">
        <is>
          <t>Mock Rx20 UBU</t>
        </is>
      </c>
    </row>
    <row r="1659">
      <c r="A1659" s="15" t="inlineStr">
        <is>
          <t>1680</t>
        </is>
      </c>
      <c r="B1659" s="18" t="inlineStr">
        <is>
          <t>เก็บผลิตเอาไว้ใช้ในครั้งต่อไปได้อีกในคราวหน้า หากใช้ไม่หมด</t>
        </is>
      </c>
      <c r="C1659" s="18" t="inlineStr"/>
      <c r="D1659" s="18" t="inlineStr">
        <is>
          <t>N-acetylcysteine (NAC) IV infusion protocol</t>
        </is>
      </c>
      <c r="E1659" s="18" t="inlineStr">
        <is>
          <t>Atropine sulfate 2 mg IV Q5-10 min</t>
        </is>
      </c>
      <c r="F1659" s="18" t="inlineStr">
        <is>
          <t>Pralidoxime (2-PAM) 1-2 g IV over 30 min</t>
        </is>
      </c>
      <c r="G1659" s="18" t="inlineStr">
        <is>
          <t>Naloxone 0.4 mg IV stat</t>
        </is>
      </c>
      <c r="H1659" s="18" t="inlineStr">
        <is>
          <t>Flumazenil 0.2 mg IV stat</t>
        </is>
      </c>
      <c r="I1659" s="15" t="inlineStr">
        <is>
          <t>1</t>
        </is>
      </c>
      <c r="J16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59" s="18" t="inlineStr"/>
      <c r="L1659" s="18" t="inlineStr">
        <is>
          <t>General Therapeutics</t>
        </is>
      </c>
      <c r="M1659" s="18" t="inlineStr">
        <is>
          <t>Clinic</t>
        </is>
      </c>
      <c r="N1659" s="18" t="inlineStr">
        <is>
          <t>ข้อ 3 (PLE_CC1_Key_Rx20_UBU.md)</t>
        </is>
      </c>
      <c r="O1659" s="18" t="inlineStr">
        <is>
          <t>Mock</t>
        </is>
      </c>
      <c r="P1659" s="18" t="inlineStr">
        <is>
          <t>Mock Rx20 UBU</t>
        </is>
      </c>
    </row>
    <row r="1660">
      <c r="A1660" s="15" t="inlineStr">
        <is>
          <t>1681</t>
        </is>
      </c>
      <c r="B1660" s="18" t="inlineStr">
        <is>
          <t>ต่อมาผู้ป่วยรายนี้ตายังไม่หายแดง แต่มีขี้ตาสีขาวใส น้ำตาไหลมาก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1660" s="18" t="inlineStr"/>
      <c r="D1660" s="18" t="inlineStr">
        <is>
          <t>Naloxone 0.4 mg IV stat</t>
        </is>
      </c>
      <c r="E1660" s="18" t="inlineStr">
        <is>
          <t>Flumazenil 0.2 mg IV stat</t>
        </is>
      </c>
      <c r="F1660" s="18" t="inlineStr">
        <is>
          <t>Vitamin K1 (Phytomenadione) 10 mg IV slow</t>
        </is>
      </c>
      <c r="G1660" s="18" t="inlineStr">
        <is>
          <t>Sodium thiosulfate 25% 50 mL IV</t>
        </is>
      </c>
      <c r="H1660" s="18" t="inlineStr">
        <is>
          <t>Calcium disodium EDTA 1 g IV</t>
        </is>
      </c>
      <c r="I1660" s="15" t="inlineStr">
        <is>
          <t>1</t>
        </is>
      </c>
      <c r="J16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60" s="18" t="inlineStr"/>
      <c r="L1660" s="18" t="inlineStr">
        <is>
          <t>General Therapeutics</t>
        </is>
      </c>
      <c r="M1660" s="18" t="inlineStr">
        <is>
          <t>Clinic</t>
        </is>
      </c>
      <c r="N1660" s="18" t="inlineStr">
        <is>
          <t>ข้อ 4 (PLE_CC1_Key_Rx20_UBU.md)</t>
        </is>
      </c>
      <c r="O1660" s="18" t="inlineStr">
        <is>
          <t>Mock</t>
        </is>
      </c>
      <c r="P1660" s="18" t="inlineStr">
        <is>
          <t>Mock Rx20 UBU</t>
        </is>
      </c>
    </row>
    <row r="1661">
      <c r="A1661" s="15" t="inlineStr">
        <is>
          <t>1682</t>
        </is>
      </c>
      <c r="B1661" s="18" t="inlineStr">
        <is>
          <t>จากอาการข้างต้น ยาใดที่ไม่ควรจ่ายให้กับผู้ป่วยรายนี้</t>
        </is>
      </c>
      <c r="C1661" s="18" t="inlineStr"/>
      <c r="D1661" s="18" t="inlineStr">
        <is>
          <t>Sodium thiosulfate 25% 50 mL IV</t>
        </is>
      </c>
      <c r="E1661" s="18" t="inlineStr">
        <is>
          <t>Calcium disodium EDTA 1 g IV</t>
        </is>
      </c>
      <c r="F1661" s="18" t="inlineStr">
        <is>
          <t>Desferrioxamine 1 g IM/IV</t>
        </is>
      </c>
      <c r="G1661" s="18" t="inlineStr">
        <is>
          <t>Dimercaprol (BAL) 3 mg/kg IM</t>
        </is>
      </c>
      <c r="H1661" s="18" t="inlineStr">
        <is>
          <t>Ethanol 10% IV infusion for Methanol poisoning</t>
        </is>
      </c>
      <c r="I1661" s="15" t="inlineStr">
        <is>
          <t>1</t>
        </is>
      </c>
      <c r="J16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1" s="18" t="inlineStr"/>
      <c r="L1661" s="18" t="inlineStr">
        <is>
          <t>General Therapeutics</t>
        </is>
      </c>
      <c r="M1661" s="18" t="inlineStr">
        <is>
          <t>Clinic</t>
        </is>
      </c>
      <c r="N1661" s="18" t="inlineStr">
        <is>
          <t>ข้อ 5 (PLE_CC1_Key_Rx20_UBU.md)</t>
        </is>
      </c>
      <c r="O1661" s="18" t="inlineStr">
        <is>
          <t>Mock</t>
        </is>
      </c>
      <c r="P1661" s="18" t="inlineStr">
        <is>
          <t>Mock Rx20 UBU</t>
        </is>
      </c>
    </row>
    <row r="1662">
      <c r="A1662" s="15" t="inlineStr">
        <is>
          <t>1683</t>
        </is>
      </c>
      <c r="B1662" s="18" t="inlineStr">
        <is>
          <t>ยาใดที่สามารถทำให้เกิด rhinitis medicamentosa</t>
        </is>
      </c>
      <c r="C1662" s="18" t="inlineStr"/>
      <c r="D1662" s="18" t="inlineStr">
        <is>
          <t>Dimercaprol (BAL) 3 mg/kg IM</t>
        </is>
      </c>
      <c r="E1662" s="18" t="inlineStr">
        <is>
          <t>Ethanol 10% IV infusion for Methanol poisoning</t>
        </is>
      </c>
      <c r="F1662" s="18" t="inlineStr">
        <is>
          <t>Fomepizole 15 mg/kg IV loading</t>
        </is>
      </c>
      <c r="G1662" s="18" t="inlineStr">
        <is>
          <t>N-acetylcysteine (NAC) IV infusion protocol</t>
        </is>
      </c>
      <c r="H1662" s="18" t="inlineStr">
        <is>
          <t>Atropine sulfate 2 mg IV Q5-10 min</t>
        </is>
      </c>
      <c r="I1662" s="15" t="inlineStr">
        <is>
          <t>1</t>
        </is>
      </c>
      <c r="J16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2" s="18" t="inlineStr"/>
      <c r="L1662" s="18" t="inlineStr">
        <is>
          <t>General Therapeutics</t>
        </is>
      </c>
      <c r="M1662" s="18" t="inlineStr">
        <is>
          <t>Clinic</t>
        </is>
      </c>
      <c r="N1662" s="18" t="inlineStr">
        <is>
          <t>ข้อ 6 (PLE_CC1_Key_Rx20_UBU.md)</t>
        </is>
      </c>
      <c r="O1662" s="18" t="inlineStr">
        <is>
          <t>Mock</t>
        </is>
      </c>
      <c r="P1662" s="18" t="inlineStr">
        <is>
          <t>Mock Rx20 UBU</t>
        </is>
      </c>
    </row>
    <row r="1663">
      <c r="A1663" s="15" t="inlineStr">
        <is>
          <t>1684</t>
        </is>
      </c>
      <c r="B1663" s="18" t="inlineStr">
        <is>
          <t>Isoosmotic Ephrine HCl = 1g/100 ml วิธีที่ 1 คิดจากค่า E จะได้ Ephrine HCl เทียบเท่ากับ NaCl 0.26 1 = 0.26 g ดังนั้นจะต้องเพิ่ม NaCl ลงไป เพื่อให้เท่ากับ NaCl 0.9 g ดังนั้น ยาตาเป็น Hypotonic วิธีที่ 2 คิดจาก Tf จะได้ 1% Ephrine HCl จะทำให้สารละลายมี Freezing point ลดลง 0.1 องศา ถ้าอยากให้ลดลงถึง -0.52 จะต้องเติม NaCl เพิ่ม ดังนั้น ยาตาเป็น Hypotonic</t>
        </is>
      </c>
      <c r="C1663" s="18" t="inlineStr"/>
      <c r="D1663" s="18" t="inlineStr">
        <is>
          <t>N-acetylcysteine (NAC) IV infusion protocol</t>
        </is>
      </c>
      <c r="E1663" s="18" t="inlineStr">
        <is>
          <t>Atropine sulfate 2 mg IV Q5-10 min</t>
        </is>
      </c>
      <c r="F1663" s="18" t="inlineStr">
        <is>
          <t>Pralidoxime (2-PAM) 1-2 g IV over 30 min</t>
        </is>
      </c>
      <c r="G1663" s="18" t="inlineStr">
        <is>
          <t>Naloxone 0.4 mg IV stat</t>
        </is>
      </c>
      <c r="H1663" s="18" t="inlineStr">
        <is>
          <t>Flumazenil 0.2 mg IV stat</t>
        </is>
      </c>
      <c r="I1663" s="15" t="inlineStr">
        <is>
          <t>1</t>
        </is>
      </c>
      <c r="J16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63" s="18" t="inlineStr"/>
      <c r="L1663" s="18" t="inlineStr">
        <is>
          <t>General Therapeutics</t>
        </is>
      </c>
      <c r="M1663" s="18" t="inlineStr">
        <is>
          <t>Clinic</t>
        </is>
      </c>
      <c r="N1663" s="18" t="inlineStr">
        <is>
          <t>ข้อ 5 (PLE_CC1_Key_Rx20_UBU.md)</t>
        </is>
      </c>
      <c r="O1663" s="18" t="inlineStr">
        <is>
          <t>Mock</t>
        </is>
      </c>
      <c r="P1663" s="18" t="inlineStr">
        <is>
          <t>Mock Rx20 UBU</t>
        </is>
      </c>
    </row>
    <row r="1664">
      <c r="A1664" s="15" t="inlineStr">
        <is>
          <t>1685</t>
        </is>
      </c>
      <c r="B1664" s="18" t="inlineStr">
        <is>
          <t>สาเหตุของอาการชัก ยกเว้น</t>
        </is>
      </c>
      <c r="C1664" s="18" t="inlineStr"/>
      <c r="D1664" s="18" t="inlineStr">
        <is>
          <t>head trauma</t>
        </is>
      </c>
      <c r="E1664" s="18" t="inlineStr">
        <is>
          <t>ติดเชื้อที่หูส่วนกลาง</t>
        </is>
      </c>
      <c r="F1664" s="18" t="inlineStr">
        <is>
          <t>hypoglycemia</t>
        </is>
      </c>
      <c r="G1664" s="18" t="inlineStr">
        <is>
          <t>brain tumor</t>
        </is>
      </c>
      <c r="H1664" s="18" t="inlineStr">
        <is>
          <t>ไข้สูงในเด็กเล็ก</t>
        </is>
      </c>
      <c r="I1664" s="15" t="inlineStr">
        <is>
          <t>2</t>
        </is>
      </c>
      <c r="J1664" s="18" t="inlineStr">
        <is>
          <t>✅ คำตอบที่ถูกต้อง: ข้อ ข. ติดเชื้อที่หูส่วนกลาง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ติดเชื้อที่หูส่วนกลาง การเลือก ติดเชื้อที่หูส่วนกลาง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ก. (head trauma): ข้อนี้ไม่ใช่คำตอบที่ถูกต้องสำหรับภาวะ Neurologic Disorders เนื่องจากกลไกการออกฤทธิ์, efficacy หรือข้อบ่งใช้ไม่ตรงกับโจทย์ที่กำหนด
• ข้อ ค. (hypoglycemia): ข้อนี้ไม่ใช่คำตอบที่ถูกต้องสำหรับภาวะ Neurologic Disorders เนื่องจากกลไกการออกฤทธิ์, efficacy หรือข้อบ่งใช้ไม่ตรงกับโจทย์ที่กำหนด
• ข้อ ง. (brain tumor): ข้อนี้ไม่ใช่คำตอบที่ถูกต้องสำหรับภาวะ Neurologic Disorders เนื่องจากกลไกการออกฤทธิ์, efficacy หรือข้อบ่งใช้ไม่ตรงกับโจทย์ที่กำหนด
• ข้อ จ. (ไข้สูงในเด็กเล็ก):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64" s="18" t="inlineStr"/>
      <c r="L1664" s="18" t="inlineStr">
        <is>
          <t>Neurologic Disorders</t>
        </is>
      </c>
      <c r="M1664" s="18" t="inlineStr">
        <is>
          <t>Clinic</t>
        </is>
      </c>
      <c r="N1664" s="18" t="inlineStr">
        <is>
          <t>ข้อ 2 (PLE_CC1_Key_Rx20_UBU.md)</t>
        </is>
      </c>
      <c r="O1664" s="18" t="inlineStr">
        <is>
          <t>Mock</t>
        </is>
      </c>
      <c r="P1664" s="18" t="inlineStr">
        <is>
          <t>Mock Rx20 UBU</t>
        </is>
      </c>
    </row>
    <row r="1665">
      <c r="A1665" s="15" t="inlineStr">
        <is>
          <t>1686</t>
        </is>
      </c>
      <c r="B1665" s="18" t="inlineStr">
        <is>
          <t>MC disperse ให้ใส ทำอย่างไร</t>
        </is>
      </c>
      <c r="C1665" s="18" t="inlineStr"/>
      <c r="D1665" s="18" t="inlineStr">
        <is>
          <t>บดกับ Sucrose คนผสมน้ำ</t>
        </is>
      </c>
      <c r="E1665" s="18" t="inlineStr">
        <is>
          <t>โปรยในน้ำเย็น คนให้เข้ากัน แล้วเติมกรดเพื่อปรับ pH</t>
        </is>
      </c>
      <c r="F1665" s="18" t="inlineStr">
        <is>
          <t>บดในน้ำเย็น เติมด่างเพื่อปรับ pH</t>
        </is>
      </c>
      <c r="G1665" s="18" t="inlineStr">
        <is>
          <t>โปรยให้กระจายตัวในน้ำเย็น แล้วเติมน้ำร้อน</t>
        </is>
      </c>
      <c r="H1665" s="18" t="inlineStr">
        <is>
          <t>โปรยให้กระจายตัวในน้ำร้อน แล้วเติมน้ำเย็น</t>
        </is>
      </c>
      <c r="I1665" s="15" t="inlineStr">
        <is>
          <t>5</t>
        </is>
      </c>
      <c r="J1665" s="18" t="inlineStr">
        <is>
          <t>✅ คำตอบที่ถูกต้อง: ข้อ จ. โปรยให้กระจายตัวในน้ำร้อน แล้วเติมน้ำเย็น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โปรยให้กระจายตัวในน้ำร้อน แล้วเติมน้ำเย็น การเลือก โปรยให้กระจายตัวในน้ำร้อน แล้วเติมน้ำเย็น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(บดกับ Sucrose คนผสมน้ำ): ข้อนี้ไม่ใช่คำตอบที่ถูกต้องสำหรับภาวะ General Therapeutics เนื่องจากกลไกการออกฤทธิ์, efficacy หรือข้อบ่งใช้ไม่ตรงกับโจทย์ที่กำหนด
• ข้อ ข. (โปรยในน้ำเย็น คนให้เข้ากัน แล้วเติมกรดเพื่อปรับ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ค. (บดในน้ำเย็น เติมด่างเพื่อปรับ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ง. (โปรยให้กระจายตัวในน้ำเย็น แล้วเติมน้ำร้อน):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5" s="18" t="inlineStr"/>
      <c r="L1665" s="18" t="inlineStr">
        <is>
          <t>General Therapeutics</t>
        </is>
      </c>
      <c r="M1665" s="18" t="inlineStr">
        <is>
          <t>Clinic</t>
        </is>
      </c>
      <c r="N1665" s="18" t="inlineStr">
        <is>
          <t>ข้อ 9 (PLE_CC1_Key_Rx20_UBU.md)</t>
        </is>
      </c>
      <c r="O1665" s="18" t="inlineStr">
        <is>
          <t>Mock</t>
        </is>
      </c>
      <c r="P1665" s="18" t="inlineStr">
        <is>
          <t>Mock Rx20 UBU</t>
        </is>
      </c>
    </row>
    <row r="1666">
      <c r="A1666" s="15" t="inlineStr">
        <is>
          <t>1687</t>
        </is>
      </c>
      <c r="B1666" s="18" t="inlineStr">
        <is>
          <t>จากภาพ เป็นระบบนำส่งยาที่เรียกว่าอะไร</t>
        </is>
      </c>
      <c r="C1666" s="18" t="inlineStr"/>
      <c r="D1666" s="18" t="inlineStr">
        <is>
          <t>Single-layer Drug-in-Adhesive</t>
        </is>
      </c>
      <c r="E1666" s="18" t="inlineStr">
        <is>
          <t>Multi-layer Drug-in-Adhesive</t>
        </is>
      </c>
      <c r="F1666" s="18" t="inlineStr">
        <is>
          <t>Reservoir</t>
        </is>
      </c>
      <c r="G1666" s="18" t="inlineStr">
        <is>
          <t>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t>
        </is>
      </c>
      <c r="H1666" s="18" t="inlineStr">
        <is>
          <t>Atropine sulfate 2 mg IV Q5-10 min</t>
        </is>
      </c>
      <c r="I1666" s="15" t="inlineStr">
        <is>
          <t>3</t>
        </is>
      </c>
      <c r="J1666" s="18" t="inlineStr">
        <is>
          <t>✅ คำตอบที่ถูกต้อง: ข้อ ค. Reservoir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การเลือก Reservoir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(Single-layer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ข. (Multi-layer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ง. (Matrix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6" s="18" t="inlineStr"/>
      <c r="L1666" s="18" t="inlineStr">
        <is>
          <t>General Therapeutics</t>
        </is>
      </c>
      <c r="M1666" s="18" t="inlineStr">
        <is>
          <t>Clinic</t>
        </is>
      </c>
      <c r="N1666" s="18" t="inlineStr">
        <is>
          <t>ข้อ 8 (PLE_CC1_Key_Rx20_UBU.md)</t>
        </is>
      </c>
      <c r="O1666" s="18" t="inlineStr">
        <is>
          <t>Mock</t>
        </is>
      </c>
      <c r="P1666" s="18" t="inlineStr">
        <is>
          <t>Mock Rx20 UBU</t>
        </is>
      </c>
    </row>
    <row r="1667">
      <c r="A1667" s="15" t="inlineStr">
        <is>
          <t>1688</t>
        </is>
      </c>
      <c r="B1667" s="18" t="inlineStr">
        <is>
          <t>ปัจจัยใดที่ทำให้ผู้ป่วยเกิดอาการเกาต์กาเริบ</t>
        </is>
      </c>
      <c r="C1667" s="18" t="inlineStr"/>
      <c r="D1667" s="18" t="inlineStr">
        <is>
          <t>HCTZ induced hyponatremia</t>
        </is>
      </c>
      <c r="E1667" s="18" t="inlineStr">
        <is>
          <t>complication จากโรคความดันโลหิตสูง</t>
        </is>
      </c>
      <c r="F1667" s="18" t="inlineStr">
        <is>
          <t>ได้รับยา HCTZ เพิ่มขึ้น</t>
        </is>
      </c>
      <c r="G1667" s="18" t="inlineStr">
        <is>
          <t>ได้รับยา amiloride เพิ่ม</t>
        </is>
      </c>
      <c r="H1667" s="18" t="inlineStr">
        <is>
          <t>Flumazenil 0.2 mg IV stat</t>
        </is>
      </c>
      <c r="I1667" s="15" t="inlineStr">
        <is>
          <t>4</t>
        </is>
      </c>
      <c r="J1667" s="18" t="inlineStr">
        <is>
          <t>✅ คำตอบที่ถูกต้อง: ข้อ ง. ได้รับยา amiloride เพิ่ม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ได้รับยา amiloride เพิ่ม การเลือก ได้รับยา amiloride เพิ่ม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ก. (HCTZ induced hyponatremia): ข้อนี้ไม่ใช่คำตอบที่ถูกต้องสำหรับภาวะ Musculoskeletal &amp; Joint เนื่องจากกลไกการออกฤทธิ์, efficacy หรือข้อบ่งใช้ไม่ตรงกับโจทย์ที่กำหนด
• ข้อ ข. (complication จากโรคความดันโลหิตสูง): ข้อนี้ไม่ใช่คำตอบที่ถูกต้องสำหรับภาวะ Musculoskeletal &amp; Joint เนื่องจากกลไกการออกฤทธิ์, efficacy หรือข้อบ่งใช้ไม่ตรงกับโจทย์ที่กำหนด
• ข้อ ค. (ได้รับยา HCTZ เพิ่มขึ้น): ข้อนี้ไม่ใช่คำตอบที่ถูกต้องสำหรับภาวะ Musculoskeletal &amp; Joint เนื่องจากกลไกการออกฤทธิ์, efficacy หรือข้อบ่งใช้ไม่ตรงกับโจทย์ที่กำหนด
• ข้อ จ. (Flumazenil 0.2 mg IV stat):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7" s="18" t="inlineStr"/>
      <c r="L1667" s="18" t="inlineStr">
        <is>
          <t>Musculoskeletal &amp; Joint</t>
        </is>
      </c>
      <c r="M1667" s="18" t="inlineStr">
        <is>
          <t>Clinic</t>
        </is>
      </c>
      <c r="N1667" s="18" t="inlineStr">
        <is>
          <t>ข้อ 1 (PLE_CC1_Key_Rx20_UBU.md)</t>
        </is>
      </c>
      <c r="O1667" s="18" t="inlineStr">
        <is>
          <t>Mock</t>
        </is>
      </c>
      <c r="P1667" s="18" t="inlineStr">
        <is>
          <t>Mock Rx20 UBU</t>
        </is>
      </c>
    </row>
    <row r="1668">
      <c r="A1668" s="15" t="inlineStr">
        <is>
          <t>1689</t>
        </is>
      </c>
      <c r="B1668" s="18" t="inlineStr">
        <is>
          <t>อาหารที่ผู้ป่วยรายนี้ไม่ควรรับประทาน</t>
        </is>
      </c>
      <c r="C1668" s="18" t="inlineStr"/>
      <c r="D1668" s="18" t="inlineStr">
        <is>
          <t>ปลาหมึกย่าง</t>
        </is>
      </c>
      <c r="E1668" s="18" t="inlineStr">
        <is>
          <t>ต้มยำปลาช่อน</t>
        </is>
      </c>
      <c r="F1668" s="18" t="inlineStr">
        <is>
          <t>ตับหวาน</t>
        </is>
      </c>
      <c r="G1668" s="18" t="inlineStr">
        <is>
          <t>แกงบวชฟังทอง</t>
        </is>
      </c>
      <c r="H1668" s="18" t="inlineStr">
        <is>
          <t>หมูแดดเดียว</t>
        </is>
      </c>
      <c r="I1668" s="15" t="inlineStr">
        <is>
          <t>3</t>
        </is>
      </c>
      <c r="J1668" s="18" t="inlineStr">
        <is>
          <t>✅ คำตอบที่ถูกต้อง: ข้อ ค. ตับหวาน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ตับหวาน การเลือก ตับหวาน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(ปลาหมึกย่าง): ข้อนี้ไม่ใช่คำตอบที่ถูกต้องสำหรับภาวะ General Therapeutics เนื่องจากกลไกการออกฤทธิ์, efficacy หรือข้อบ่งใช้ไม่ตรงกับโจทย์ที่กำหนด
• ข้อ ข. (ต้มยำปลาช่อน): ข้อนี้ไม่ใช่คำตอบที่ถูกต้องสำหรับภาวะ General Therapeutics เนื่องจากกลไกการออกฤทธิ์, efficacy หรือข้อบ่งใช้ไม่ตรงกับโจทย์ที่กำหนด
• ข้อ ง. (แกงบวชฟังทอง): ข้อนี้ไม่ใช่คำตอบที่ถูกต้องสำหรับภาวะ General Therapeutics เนื่องจากกลไกการออกฤทธิ์, efficacy หรือข้อบ่งใช้ไม่ตรงกับโจทย์ที่กำหนด
• ข้อ จ. (หมูแดดเดียว):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8" s="18" t="inlineStr"/>
      <c r="L1668" s="18" t="inlineStr">
        <is>
          <t>General Therapeutics</t>
        </is>
      </c>
      <c r="M1668" s="18" t="inlineStr">
        <is>
          <t>Clinic</t>
        </is>
      </c>
      <c r="N1668" s="18" t="inlineStr">
        <is>
          <t>ข้อ 3 (PLE_CC1_Key_Rx20_UBU.md)</t>
        </is>
      </c>
      <c r="O1668" s="18" t="inlineStr">
        <is>
          <t>Mock</t>
        </is>
      </c>
      <c r="P1668" s="18" t="inlineStr">
        <is>
          <t>Mock Rx20 UBU</t>
        </is>
      </c>
    </row>
    <row r="1669">
      <c r="A1669" s="15" t="inlineStr">
        <is>
          <t>1690</t>
        </is>
      </c>
      <c r="B1669" s="18" t="inlineStr">
        <is>
          <t>ยาต้านอักเสบตัวใดที่ไม่ควรใช้ในโรคเกาต์</t>
        </is>
      </c>
      <c r="C1669" s="18" t="inlineStr"/>
      <c r="D1669" s="18" t="inlineStr">
        <is>
          <t>Aspirin</t>
        </is>
      </c>
      <c r="E1669" s="18" t="inlineStr">
        <is>
          <t>Diclofenac</t>
        </is>
      </c>
      <c r="F1669" s="18" t="inlineStr">
        <is>
          <t>Celecoxib</t>
        </is>
      </c>
      <c r="G1669" s="18" t="inlineStr">
        <is>
          <t>Piroxicam</t>
        </is>
      </c>
      <c r="H1669" s="18" t="inlineStr">
        <is>
          <t>Ibuprofen - ถ้า low dose ASA จะมีผลลดการขับออกของ uric acid - แต่ high dose จะช่วยขับ uric acid</t>
        </is>
      </c>
      <c r="I1669" s="15" t="inlineStr">
        <is>
          <t>1</t>
        </is>
      </c>
      <c r="J1669" s="18" t="inlineStr">
        <is>
          <t>✅ คำตอบที่ถูกต้อง: ข้อ ก. Aspirin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(Celecoxib): เป็น selective COX-2 inhibitor มี GI safety profile ดีกว่า non-selective NSAIDs แต่มี cardiovascular risk เพิ่มขึ้น และ contraindication ในผู้ป่วย post-CABG หรือ sulfonamide allergy
• ข้อ ง. (Piroxicam): เป็น oxicam NSAID ที่มี half-life ยาวนานมาก (~50 ชม.) แต่มีความเสี่ยงต่อ severe GI bleed และ skin reactions สูงที่สุดในกลุ่ม NSAIDs
• ข้อ จ. (Ibuprofen - ถ้า low dose ASA จะมีผลลดการขับออกของ uric acid - แต่ high dose จะช่วยขับ uric acid):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9" s="18" t="inlineStr"/>
      <c r="L1669" s="18" t="inlineStr">
        <is>
          <t>Musculoskeletal &amp; Joint</t>
        </is>
      </c>
      <c r="M1669" s="18" t="inlineStr">
        <is>
          <t>Clinic</t>
        </is>
      </c>
      <c r="N1669" s="18" t="inlineStr">
        <is>
          <t>ข้อ 7 (PLE_CC1_Key_Rx20_UBU.md)</t>
        </is>
      </c>
      <c r="O1669" s="18" t="inlineStr">
        <is>
          <t>Mock</t>
        </is>
      </c>
      <c r="P1669" s="18" t="inlineStr">
        <is>
          <t>Mock Rx20 UBU</t>
        </is>
      </c>
    </row>
    <row r="1670">
      <c r="A1670" s="15" t="inlineStr">
        <is>
          <t>1691</t>
        </is>
      </c>
      <c r="B1670" s="18" t="inlineStr">
        <is>
          <t>คำแนะนำในการปฏิบัติตัวข้อใดต่อไปนี้ไม่ถูกต้อง</t>
        </is>
      </c>
      <c r="C1670" s="18" t="inlineStr"/>
      <c r="D1670" s="18" t="inlineStr">
        <is>
          <t>อาบน้ำวันละ 2 ครั้ง</t>
        </is>
      </c>
      <c r="E1670" s="18" t="inlineStr">
        <is>
          <t>ทาโลชั่นบ่อยๆ เพื่อให้ผิวชุ่มชื้น</t>
        </is>
      </c>
      <c r="F1670" s="18" t="inlineStr">
        <is>
          <t>ทายาบางๆบริเวณที่เป็น</t>
        </is>
      </c>
      <c r="G1670" s="18" t="inlineStr">
        <is>
          <t>ใส่เสื้อแขนยาวเพื่อป้องกันฝุ่น</t>
        </is>
      </c>
      <c r="H1670" s="18" t="inlineStr">
        <is>
          <t>ล้างมือบ่อยๆ ด้วย Clohexidine scrub เพื่อฆ่าเชื้อ</t>
        </is>
      </c>
      <c r="I1670" s="15" t="inlineStr">
        <is>
          <t>5</t>
        </is>
      </c>
      <c r="J1670" s="18" t="inlineStr">
        <is>
          <t>✅ คำตอบที่ถูกต้อง: ข้อ จ. ล้างมือบ่อยๆ ด้วย Clohexidine scrub เพื่อฆ่าเชื้อ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ล้างมือบ่อยๆ ด้วย Clohexidine scrub เพื่อฆ่าเชื้อ การเลือก ล้างมือบ่อยๆ ด้วย Clohexidine scrub เพื่อฆ่าเชื้อ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(อาบน้ำวันละ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ข. (ทาโลชั่นบ่อยๆ เพื่อให้ผิวชุ่มชื้น): ข้อนี้ไม่ใช่คำตอบที่ถูกต้องสำหรับภาวะ General Therapeutics เนื่องจากกลไกการออกฤทธิ์, efficacy หรือข้อบ่งใช้ไม่ตรงกับโจทย์ที่กำหนด
• ข้อ ค. (ทายาบางๆบริเวณที่เป็น): ข้อนี้ไม่ใช่คำตอบที่ถูกต้องสำหรับภาวะ General Therapeutics เนื่องจากกลไกการออกฤทธิ์, efficacy หรือข้อบ่งใช้ไม่ตรงกับโจทย์ที่กำหนด
• ข้อ ง. (ใส่เสื้อแขนยาวเพื่อป้องกันฝุ่น):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0" s="18" t="inlineStr"/>
      <c r="L1670" s="18" t="inlineStr">
        <is>
          <t>General Therapeutics</t>
        </is>
      </c>
      <c r="M1670" s="18" t="inlineStr">
        <is>
          <t>Clinic</t>
        </is>
      </c>
      <c r="N1670" s="18" t="inlineStr">
        <is>
          <t>ข้อ 2 (PLE_CC1_Key_Rx20_UBU.md)</t>
        </is>
      </c>
      <c r="O1670" s="18" t="inlineStr">
        <is>
          <t>Mock</t>
        </is>
      </c>
      <c r="P1670" s="18" t="inlineStr">
        <is>
          <t>Mock Rx20 UBU</t>
        </is>
      </c>
    </row>
    <row r="1671">
      <c r="A1671" s="15" t="inlineStr">
        <is>
          <t>1692</t>
        </is>
      </c>
      <c r="B1671" s="18" t="inlineStr">
        <is>
          <t>Clotrimazole</t>
        </is>
      </c>
      <c r="C1671" s="18" t="inlineStr"/>
      <c r="D1671" s="18" t="inlineStr">
        <is>
          <t>Cetirizine 10 mg OD</t>
        </is>
      </c>
      <c r="E1671" s="18" t="inlineStr">
        <is>
          <t>Isotretinoin 10 mg OD</t>
        </is>
      </c>
      <c r="F1671" s="18" t="inlineStr">
        <is>
          <t>Terbinafine 1% cream</t>
        </is>
      </c>
      <c r="G1671" s="18" t="inlineStr">
        <is>
          <t>Adapalene 0.1% gel</t>
        </is>
      </c>
      <c r="H1671" s="18" t="inlineStr">
        <is>
          <t>Mupirocin 2% ointment</t>
        </is>
      </c>
      <c r="I1671" s="15" t="inlineStr">
        <is>
          <t>5</t>
        </is>
      </c>
      <c r="J1671" s="18" t="inlineStr">
        <is>
          <t>✅ คำตอบที่ถูกต้อง: ข้อ จ. Mupirocin 2% ointment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1" s="18" t="inlineStr"/>
      <c r="L1671" s="18" t="inlineStr">
        <is>
          <t>Dermatologic Disorders</t>
        </is>
      </c>
      <c r="M1671" s="18" t="inlineStr">
        <is>
          <t>Clinic</t>
        </is>
      </c>
      <c r="N1671" s="18" t="inlineStr">
        <is>
          <t>ข้อ 5 (PLE_CC1_Key_Rx20_UBU.md)</t>
        </is>
      </c>
      <c r="O1671" s="18" t="inlineStr">
        <is>
          <t>Mock</t>
        </is>
      </c>
      <c r="P1671" s="18" t="inlineStr">
        <is>
          <t>Mock Rx20 UBU</t>
        </is>
      </c>
    </row>
    <row r="1672">
      <c r="A1672" s="15" t="inlineStr">
        <is>
          <t>1693</t>
        </is>
      </c>
      <c r="B1672" s="18" t="inlineStr">
        <is>
          <t>ผู้ป่วยมีอาการคันมาก จึงมาขอซื้อยา hydroxyzine ข้อใดไม่ถูกต้องเกี่ยวกับยา hydroxyzine</t>
        </is>
      </c>
      <c r="C1672" s="18" t="inlineStr"/>
      <c r="D1672" s="18" t="inlineStr">
        <is>
          <t>Naloxone 0.4 mg IV stat</t>
        </is>
      </c>
      <c r="E1672" s="18" t="inlineStr">
        <is>
          <t>Flumazenil 0.2 mg IV stat</t>
        </is>
      </c>
      <c r="F1672" s="18" t="inlineStr">
        <is>
          <t>Vitamin K1 (Phytomenadione) 10 mg IV slow</t>
        </is>
      </c>
      <c r="G1672" s="18" t="inlineStr">
        <is>
          <t>Sodium thiosulfate 25% 50 mL IV</t>
        </is>
      </c>
      <c r="H1672" s="18" t="inlineStr">
        <is>
          <t>Calcium disodium EDTA 1 g IV</t>
        </is>
      </c>
      <c r="I1672" s="15" t="inlineStr">
        <is>
          <t>1</t>
        </is>
      </c>
      <c r="J16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2" s="18" t="inlineStr"/>
      <c r="L1672" s="18" t="inlineStr">
        <is>
          <t>General Therapeutics</t>
        </is>
      </c>
      <c r="M1672" s="18" t="inlineStr">
        <is>
          <t>Clinic</t>
        </is>
      </c>
      <c r="N1672" s="18" t="inlineStr">
        <is>
          <t>ข้อ 5 (PLE_CC1_Key_Rx20_UBU.md)</t>
        </is>
      </c>
      <c r="O1672" s="18" t="inlineStr">
        <is>
          <t>Mock</t>
        </is>
      </c>
      <c r="P1672" s="18" t="inlineStr">
        <is>
          <t>Mock Rx20 UBU</t>
        </is>
      </c>
    </row>
    <row r="1673">
      <c r="A1673" s="15" t="inlineStr">
        <is>
          <t>1694</t>
        </is>
      </c>
      <c r="B1673" s="18" t="inlineStr">
        <is>
          <t>Hydroxyzine มีสูตรโครงสร้างดังนี้ เป็นสูตรโครงสร้างแบบใด</t>
        </is>
      </c>
      <c r="C1673" s="18" t="inlineStr"/>
      <c r="D1673" s="18" t="inlineStr">
        <is>
          <t>Sodium thiosulfate 25% 50 mL IV</t>
        </is>
      </c>
      <c r="E1673" s="18" t="inlineStr">
        <is>
          <t>Calcium disodium EDTA 1 g IV</t>
        </is>
      </c>
      <c r="F1673" s="18" t="inlineStr">
        <is>
          <t>Desferrioxamine 1 g IM/IV</t>
        </is>
      </c>
      <c r="G1673" s="18" t="inlineStr">
        <is>
          <t>Dimercaprol (BAL) 3 mg/kg IM</t>
        </is>
      </c>
      <c r="H1673" s="18" t="inlineStr">
        <is>
          <t>Ethanol 10% IV infusion for Methanol poisoning</t>
        </is>
      </c>
      <c r="I1673" s="15" t="inlineStr">
        <is>
          <t>1</t>
        </is>
      </c>
      <c r="J16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3" s="18" t="inlineStr"/>
      <c r="L1673" s="18" t="inlineStr">
        <is>
          <t>General Therapeutics</t>
        </is>
      </c>
      <c r="M1673" s="18" t="inlineStr">
        <is>
          <t>Clinic</t>
        </is>
      </c>
      <c r="N1673" s="18" t="inlineStr">
        <is>
          <t>ข้อ 6 (PLE_CC1_Key_Rx20_UBU.md)</t>
        </is>
      </c>
      <c r="O1673" s="18" t="inlineStr">
        <is>
          <t>Mock</t>
        </is>
      </c>
      <c r="P1673" s="18" t="inlineStr">
        <is>
          <t>Mock Rx20 UBU</t>
        </is>
      </c>
    </row>
    <row r="1674">
      <c r="A1674" s="15" t="inlineStr">
        <is>
          <t>1695</t>
        </is>
      </c>
      <c r="B1674" s="18" t="inlineStr">
        <is>
          <t>Hydroxyzine อาจทำให้อาการใดของผู้ป่วยแย่ลง</t>
        </is>
      </c>
      <c r="C1674" s="18" t="inlineStr"/>
      <c r="D1674" s="18" t="inlineStr">
        <is>
          <t>Dimercaprol (BAL) 3 mg/kg IM</t>
        </is>
      </c>
      <c r="E1674" s="18" t="inlineStr">
        <is>
          <t>Ethanol 10% IV infusion for Methanol poisoning</t>
        </is>
      </c>
      <c r="F1674" s="18" t="inlineStr">
        <is>
          <t>Fomepizole 15 mg/kg IV loading</t>
        </is>
      </c>
      <c r="G1674" s="18" t="inlineStr">
        <is>
          <t>N-acetylcysteine (NAC) IV infusion protocol</t>
        </is>
      </c>
      <c r="H1674" s="18" t="inlineStr">
        <is>
          <t>Atropine sulfate 2 mg IV Q5-10 min</t>
        </is>
      </c>
      <c r="I1674" s="15" t="inlineStr">
        <is>
          <t>1</t>
        </is>
      </c>
      <c r="J167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4" s="18" t="inlineStr"/>
      <c r="L1674" s="18" t="inlineStr">
        <is>
          <t>General Therapeutics</t>
        </is>
      </c>
      <c r="M1674" s="18" t="inlineStr">
        <is>
          <t>Clinic</t>
        </is>
      </c>
      <c r="N1674" s="18" t="inlineStr">
        <is>
          <t>ข้อ 7 (PLE_CC1_Key_Rx20_UBU.md)</t>
        </is>
      </c>
      <c r="O1674" s="18" t="inlineStr">
        <is>
          <t>Mock</t>
        </is>
      </c>
      <c r="P1674" s="18" t="inlineStr">
        <is>
          <t>Mock Rx20 UBU</t>
        </is>
      </c>
    </row>
    <row r="1675">
      <c r="A1675" s="15" t="inlineStr">
        <is>
          <t>1696</t>
        </is>
      </c>
      <c r="B1675" s="18" t="inlineStr">
        <is>
          <t>คำแนะนำสำหรับยา Ciprofloxacin ข้อใดต่อไปนี้ไม่ถูกต้อง</t>
        </is>
      </c>
      <c r="C1675" s="18" t="inlineStr"/>
      <c r="D1675" s="18" t="inlineStr">
        <is>
          <t>Cotrimoxazole 160/800 mg BID</t>
        </is>
      </c>
      <c r="E1675" s="18" t="inlineStr">
        <is>
          <t>Metronidazole 400 mg TID</t>
        </is>
      </c>
      <c r="F1675" s="18" t="inlineStr">
        <is>
          <t>Nitrofurantoin 100 mg BID</t>
        </is>
      </c>
      <c r="G1675" s="18" t="inlineStr">
        <is>
          <t>Tenofovir/Emtricitabine 300/200 mg OD</t>
        </is>
      </c>
      <c r="H1675" s="18" t="inlineStr">
        <is>
          <t>Dolutegravir 50 mg OD</t>
        </is>
      </c>
      <c r="I1675" s="15" t="inlineStr">
        <is>
          <t>1</t>
        </is>
      </c>
      <c r="J1675" s="18"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75" s="18" t="inlineStr"/>
      <c r="L1675" s="18" t="inlineStr">
        <is>
          <t>Infectious Diseases</t>
        </is>
      </c>
      <c r="M1675" s="18" t="inlineStr">
        <is>
          <t>Clinic</t>
        </is>
      </c>
      <c r="N1675" s="18" t="inlineStr">
        <is>
          <t>ข้อ 1 (PLE_CC1_Key_Rx20_UBU.md)</t>
        </is>
      </c>
      <c r="O1675" s="18" t="inlineStr">
        <is>
          <t>Mock</t>
        </is>
      </c>
      <c r="P1675" s="18" t="inlineStr">
        <is>
          <t>Mock Rx20 UBU</t>
        </is>
      </c>
    </row>
    <row r="1676">
      <c r="A1676" s="15" t="inlineStr">
        <is>
          <t>1697</t>
        </is>
      </c>
      <c r="B1676" s="18" t="inlineStr">
        <is>
          <t>หลีกเลี่ยงการรับประทานพร้อมกับนม</t>
        </is>
      </c>
      <c r="C1676" s="18" t="inlineStr"/>
      <c r="D1676" s="18" t="inlineStr">
        <is>
          <t>Naloxone 0.4 mg IV stat</t>
        </is>
      </c>
      <c r="E1676" s="18" t="inlineStr">
        <is>
          <t>Flumazenil 0.2 mg IV stat</t>
        </is>
      </c>
      <c r="F1676" s="18" t="inlineStr">
        <is>
          <t>Vitamin K1 (Phytomenadione) 10 mg IV slow</t>
        </is>
      </c>
      <c r="G1676" s="18" t="inlineStr">
        <is>
          <t>Sodium thiosulfate 25% 50 mL IV</t>
        </is>
      </c>
      <c r="H1676" s="18" t="inlineStr">
        <is>
          <t>Calcium disodium EDTA 1 g IV</t>
        </is>
      </c>
      <c r="I1676" s="15" t="inlineStr">
        <is>
          <t>1</t>
        </is>
      </c>
      <c r="J16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6" s="18" t="inlineStr"/>
      <c r="L1676" s="18" t="inlineStr">
        <is>
          <t>General Therapeutics</t>
        </is>
      </c>
      <c r="M1676" s="18" t="inlineStr">
        <is>
          <t>Clinic</t>
        </is>
      </c>
      <c r="N1676" s="18" t="inlineStr">
        <is>
          <t>ข้อ 3 (PLE_CC1_Key_Rx20_UBU.md)</t>
        </is>
      </c>
      <c r="O1676" s="18" t="inlineStr">
        <is>
          <t>Mock</t>
        </is>
      </c>
      <c r="P1676" s="18" t="inlineStr">
        <is>
          <t>Mock Rx20 UBU</t>
        </is>
      </c>
    </row>
    <row r="1677">
      <c r="A1677" s="15" t="inlineStr">
        <is>
          <t>1698</t>
        </is>
      </c>
      <c r="B1677" s="18" t="inlineStr">
        <is>
          <t>ถ้าลืมรับประทานยาให้รับประทานมื้อต่อไป 2 เม็ด</t>
        </is>
      </c>
      <c r="C1677" s="18" t="inlineStr"/>
      <c r="D1677" s="18" t="inlineStr">
        <is>
          <t>Sodium thiosulfate 25% 50 mL IV</t>
        </is>
      </c>
      <c r="E1677" s="18" t="inlineStr">
        <is>
          <t>Calcium disodium EDTA 1 g IV</t>
        </is>
      </c>
      <c r="F1677" s="18" t="inlineStr">
        <is>
          <t>Desferrioxamine 1 g IM/IV</t>
        </is>
      </c>
      <c r="G1677" s="18" t="inlineStr">
        <is>
          <t>Dimercaprol (BAL) 3 mg/kg IM</t>
        </is>
      </c>
      <c r="H1677" s="18" t="inlineStr">
        <is>
          <t>Ethanol 10% IV infusion for Methanol poisoning</t>
        </is>
      </c>
      <c r="I1677" s="15" t="inlineStr">
        <is>
          <t>1</t>
        </is>
      </c>
      <c r="J16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7" s="18" t="inlineStr"/>
      <c r="L1677" s="18" t="inlineStr">
        <is>
          <t>General Therapeutics</t>
        </is>
      </c>
      <c r="M1677" s="18" t="inlineStr">
        <is>
          <t>Clinic</t>
        </is>
      </c>
      <c r="N1677" s="18" t="inlineStr">
        <is>
          <t>ข้อ 4 (PLE_CC1_Key_Rx20_UBU.md)</t>
        </is>
      </c>
      <c r="O1677" s="18" t="inlineStr">
        <is>
          <t>Mock</t>
        </is>
      </c>
      <c r="P1677" s="18" t="inlineStr">
        <is>
          <t>Mock Rx20 UBU</t>
        </is>
      </c>
    </row>
    <row r="1678">
      <c r="A1678" s="15" t="inlineStr">
        <is>
          <t>1699</t>
        </is>
      </c>
      <c r="B1678" s="18" t="inlineStr">
        <is>
          <t>หากกินร่วมกับยา Antacid ให้กินห่างกัน 2 ชม. และทานมื้อต่อไปขนาดปกติ</t>
        </is>
      </c>
      <c r="C1678" s="18" t="inlineStr"/>
      <c r="D1678" s="18" t="inlineStr">
        <is>
          <t>Esomeprazole 20 mg OD</t>
        </is>
      </c>
      <c r="E1678" s="18" t="inlineStr">
        <is>
          <t>Domperidone 10 mg TID</t>
        </is>
      </c>
      <c r="F1678" s="18" t="inlineStr">
        <is>
          <t>Dimenhydrinate 50 mg TID</t>
        </is>
      </c>
      <c r="G1678" s="18" t="inlineStr">
        <is>
          <t>Loperamide 2 mg PRN</t>
        </is>
      </c>
      <c r="H1678" s="18" t="inlineStr">
        <is>
          <t>Senna 2 tabs HS</t>
        </is>
      </c>
      <c r="I1678" s="15" t="inlineStr">
        <is>
          <t>1</t>
        </is>
      </c>
      <c r="J1678" s="18"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78" s="18" t="inlineStr"/>
      <c r="L1678" s="18" t="inlineStr">
        <is>
          <t>GI Disorders</t>
        </is>
      </c>
      <c r="M1678" s="18" t="inlineStr">
        <is>
          <t>Clinic</t>
        </is>
      </c>
      <c r="N1678" s="18" t="inlineStr">
        <is>
          <t>ข้อ 5 (PLE_CC1_Key_Rx20_UBU.md)</t>
        </is>
      </c>
      <c r="O1678" s="18" t="inlineStr">
        <is>
          <t>Mock</t>
        </is>
      </c>
      <c r="P1678" s="18" t="inlineStr">
        <is>
          <t>Mock Rx20 UBU</t>
        </is>
      </c>
    </row>
    <row r="1679">
      <c r="A1679" s="15" t="inlineStr">
        <is>
          <t>1700</t>
        </is>
      </c>
      <c r="B1679" s="18" t="inlineStr">
        <is>
          <t>Burning sensation</t>
        </is>
      </c>
      <c r="C1679" s="18" t="inlineStr"/>
      <c r="D1679" s="18" t="inlineStr">
        <is>
          <t>Ketoconazole 2% shampoo</t>
        </is>
      </c>
      <c r="E1679" s="18" t="inlineStr">
        <is>
          <t>Benzoyl peroxide 2.5% gel</t>
        </is>
      </c>
      <c r="F1679" s="18" t="inlineStr">
        <is>
          <t>Acyclovir 5% cream</t>
        </is>
      </c>
      <c r="G1679" s="18" t="inlineStr">
        <is>
          <t>Silver sulfadiazine 1% cream</t>
        </is>
      </c>
      <c r="H1679" s="18" t="inlineStr">
        <is>
          <t>Cetirizine 10 mg OD</t>
        </is>
      </c>
      <c r="I1679" s="15" t="inlineStr">
        <is>
          <t>5</t>
        </is>
      </c>
      <c r="J1679" s="18" t="inlineStr">
        <is>
          <t>✅ คำตอบที่ถูกต้อง: ข้อ จ.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9" s="18" t="inlineStr"/>
      <c r="L1679" s="18" t="inlineStr">
        <is>
          <t>Dermatologic Disorders</t>
        </is>
      </c>
      <c r="M1679" s="18" t="inlineStr">
        <is>
          <t>Clinic</t>
        </is>
      </c>
      <c r="N1679" s="18" t="inlineStr">
        <is>
          <t>ข้อ 5 (PLE_CC1_Key_Rx20_UBU.md)</t>
        </is>
      </c>
      <c r="O1679" s="18" t="inlineStr">
        <is>
          <t>Mock</t>
        </is>
      </c>
      <c r="P1679" s="18" t="inlineStr">
        <is>
          <t>Mock Rx20 UBU</t>
        </is>
      </c>
    </row>
    <row r="1680">
      <c r="A1680" s="15" t="inlineStr">
        <is>
          <t>1701</t>
        </is>
      </c>
      <c r="B1680" s="18" t="inlineStr">
        <is>
          <t>หากคนไข้ทำยาหายแล้วมาขอซื้อยาที่ร้าน สามารถจ่ายให้ได้หรือไม่</t>
        </is>
      </c>
      <c r="C1680" s="18" t="inlineStr"/>
      <c r="D1680" s="18" t="inlineStr">
        <is>
          <t>Naloxone 0.4 mg IV stat</t>
        </is>
      </c>
      <c r="E1680" s="18" t="inlineStr">
        <is>
          <t>Flumazenil 0.2 mg IV stat</t>
        </is>
      </c>
      <c r="F1680" s="18" t="inlineStr">
        <is>
          <t>Vitamin K1 (Phytomenadione) 10 mg IV slow</t>
        </is>
      </c>
      <c r="G1680" s="18" t="inlineStr">
        <is>
          <t>Sodium thiosulfate 25% 50 mL IV</t>
        </is>
      </c>
      <c r="H1680" s="18" t="inlineStr">
        <is>
          <t>Calcium disodium EDTA 1 g IV</t>
        </is>
      </c>
      <c r="I1680" s="15" t="inlineStr">
        <is>
          <t>1</t>
        </is>
      </c>
      <c r="J16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0" s="18" t="inlineStr"/>
      <c r="L1680" s="18" t="inlineStr">
        <is>
          <t>General Therapeutics</t>
        </is>
      </c>
      <c r="M1680" s="18" t="inlineStr">
        <is>
          <t>Clinic</t>
        </is>
      </c>
      <c r="N1680" s="18" t="inlineStr">
        <is>
          <t>ข้อ 5 (PLE_CC1_Key_Rx20_UBU.md)</t>
        </is>
      </c>
      <c r="O1680" s="18" t="inlineStr">
        <is>
          <t>Mock</t>
        </is>
      </c>
      <c r="P1680" s="18" t="inlineStr">
        <is>
          <t>Mock Rx20 UBU</t>
        </is>
      </c>
    </row>
    <row r="1681">
      <c r="A1681" s="15" t="inlineStr">
        <is>
          <t>1702</t>
        </is>
      </c>
      <c r="B1681" s="18" t="inlineStr">
        <is>
          <t>ไม่สามารถจ่ายได้เนื่องจากไม่มีใบสั่งแพทย์</t>
        </is>
      </c>
      <c r="C1681" s="18" t="inlineStr"/>
      <c r="D1681" s="18" t="inlineStr">
        <is>
          <t>Sodium thiosulfate 25% 50 mL IV</t>
        </is>
      </c>
      <c r="E1681" s="18" t="inlineStr">
        <is>
          <t>Calcium disodium EDTA 1 g IV</t>
        </is>
      </c>
      <c r="F1681" s="18" t="inlineStr">
        <is>
          <t>Desferrioxamine 1 g IM/IV</t>
        </is>
      </c>
      <c r="G1681" s="18" t="inlineStr">
        <is>
          <t>Dimercaprol (BAL) 3 mg/kg IM</t>
        </is>
      </c>
      <c r="H1681" s="18" t="inlineStr">
        <is>
          <t>Ethanol 10% IV infusion for Methanol poisoning</t>
        </is>
      </c>
      <c r="I1681" s="15" t="inlineStr">
        <is>
          <t>5</t>
        </is>
      </c>
      <c r="J1681" s="18"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1" s="18" t="inlineStr"/>
      <c r="L1681" s="18" t="inlineStr">
        <is>
          <t>General Therapeutics</t>
        </is>
      </c>
      <c r="M1681" s="18" t="inlineStr">
        <is>
          <t>Clinic</t>
        </is>
      </c>
      <c r="N1681" s="18" t="inlineStr">
        <is>
          <t>ข้อ 5 (PLE_CC1_Key_Rx20_UBU.md)</t>
        </is>
      </c>
      <c r="O1681" s="18" t="inlineStr">
        <is>
          <t>Mock</t>
        </is>
      </c>
      <c r="P1681" s="18" t="inlineStr">
        <is>
          <t>Mock Rx20 UBU</t>
        </is>
      </c>
    </row>
    <row r="1682">
      <c r="A1682" s="15" t="inlineStr">
        <is>
          <t>1703</t>
        </is>
      </c>
      <c r="B1682" s="18" t="inlineStr">
        <is>
          <t>หากที่อยู่โรงงานบนฉลากยาไม่เป็นไปตามความจริง ยานี้จัดเป็นยาใด</t>
        </is>
      </c>
      <c r="C1682" s="18" t="inlineStr"/>
      <c r="D1682" s="18" t="inlineStr">
        <is>
          <t>เกณฑ์จริยธรรมว่าด้วยการส่งเสริมการขายยาของกระทรวงสาธารณสุข</t>
        </is>
      </c>
      <c r="E1682" s="18" t="inlineStr">
        <is>
          <t>พ.ร.บ. ยา พ.ศ. 2510 (การจำหน่ายยาอันตรายและยาควบคุมพิเศษ)</t>
        </is>
      </c>
      <c r="F1682" s="18" t="inlineStr">
        <is>
          <t>พ.ร.บ. ยาเสพติดให้โทษ พ.ศ. 2522 (ยาเสพติดให้โทษประเภท 2 และ 3)</t>
        </is>
      </c>
      <c r="G1682" s="18" t="inlineStr">
        <is>
          <t>พ.ร.บ. วัตถุที่ออกฤทธิ์ต่อจิตและประสาท พ.ศ. 2559 (ประเภท 2 และ 4)</t>
        </is>
      </c>
      <c r="H1682" s="18" t="inlineStr">
        <is>
          <t>พ.ร.บ. วิชาชีพเภสัชกรรม พ.ศ. 2537 และข้อบังคับจรรยาบรรณวิชาชีพ</t>
        </is>
      </c>
      <c r="I1682" s="15" t="inlineStr">
        <is>
          <t>1</t>
        </is>
      </c>
      <c r="J168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2" s="18" t="inlineStr"/>
      <c r="L1682" s="18" t="inlineStr">
        <is>
          <t>Pharmacy Laws &amp; Ethics</t>
        </is>
      </c>
      <c r="M1682" s="18" t="inlineStr">
        <is>
          <t>SAP</t>
        </is>
      </c>
      <c r="N1682" s="18" t="inlineStr">
        <is>
          <t>ข้อ 6 (PLE_CC1_Key_Rx20_UBU.md)</t>
        </is>
      </c>
      <c r="O1682" s="18" t="inlineStr">
        <is>
          <t>Mock</t>
        </is>
      </c>
      <c r="P1682" s="18" t="inlineStr">
        <is>
          <t>Mock Rx20 UBU</t>
        </is>
      </c>
    </row>
    <row r="1683">
      <c r="A1683" s="15" t="inlineStr">
        <is>
          <t>1704</t>
        </is>
      </c>
      <c r="B1683" s="18" t="inlineStr">
        <is>
          <t>ยาไม่ได้ขึ้นทะเบียน (1) ยาหรือวัตถุที่ทำเทียมทั้งหมดหรือแต่บางส่วนว่าเป็นยาแท้ (2) ยาที่แสดงชื่อว่าเป็นยาอื่น หรือแสดงเดือน ปี ที่ยาสิ้นอายุ ซึ่งมิใช่ความจริง (3) ยาที่แสดงชื่อหรือเครื่องหมายของผู้ผลิตหรือที่ตั้งสถานที่ผลิตยา ซึ่งมิใช่ความจริง (4) ยาที่แสดงว่าเป็นยาตามตำรับยาที่ขึ้นทะเบียนไว้ ซึ่งมิใช่ความจริง (5) ยาที่ผลิตขึ้นไม่ถูกต้องตามมาตรฐานถึงขนาดที่ปริมาณหรือความแรงของสารออกฤทธิ์ขาดหรือเกินกว่าร้อยละยี่ สิบจากเกณฑ์ต่ำสุดหรือสูงสุด ซึ่งกำหนดไว้ในตำรับยาที่ขึ้นทะเบียนไว้ตามมาตรา 79</t>
        </is>
      </c>
      <c r="C1683" s="18" t="inlineStr"/>
      <c r="D1683" s="18" t="inlineStr">
        <is>
          <t>N-acetylcysteine (NAC) IV infusion protocol</t>
        </is>
      </c>
      <c r="E1683" s="18" t="inlineStr">
        <is>
          <t>Atropine sulfate 2 mg IV Q5-10 min</t>
        </is>
      </c>
      <c r="F1683" s="18" t="inlineStr">
        <is>
          <t>Pralidoxime (2-PAM) 1-2 g IV over 30 min</t>
        </is>
      </c>
      <c r="G1683" s="18" t="inlineStr">
        <is>
          <t>Naloxone 0.4 mg IV stat</t>
        </is>
      </c>
      <c r="H1683" s="18" t="inlineStr">
        <is>
          <t>Flumazenil 0.2 mg IV stat</t>
        </is>
      </c>
      <c r="I1683" s="15" t="inlineStr">
        <is>
          <t>1</t>
        </is>
      </c>
      <c r="J16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3" s="18" t="inlineStr"/>
      <c r="L1683" s="18" t="inlineStr">
        <is>
          <t>General Therapeutics</t>
        </is>
      </c>
      <c r="M1683" s="18" t="inlineStr">
        <is>
          <t>Clinic</t>
        </is>
      </c>
      <c r="N1683" s="18" t="inlineStr">
        <is>
          <t>ข้อ 5 (PLE_CC1_Key_Rx20_UBU.md)</t>
        </is>
      </c>
      <c r="O1683" s="18" t="inlineStr">
        <is>
          <t>Mock</t>
        </is>
      </c>
      <c r="P1683" s="18" t="inlineStr">
        <is>
          <t>Mock Rx20 UBU</t>
        </is>
      </c>
    </row>
    <row r="1684">
      <c r="A1684" s="15" t="inlineStr">
        <is>
          <t>1705</t>
        </is>
      </c>
      <c r="B1684" s="18" t="inlineStr">
        <is>
          <t>Doxycycline category Cat B : Cephalexin Cat C : Ciprofloxacin Cat D : Cloxacillin, Bactrim, Doxycycline 8.ยา 3 ตำรับมีการตกตะกอนดังนี้ ข้อใดถูกต้อง</t>
        </is>
      </c>
      <c r="C1684" s="18" t="inlineStr"/>
      <c r="D1684" s="18" t="inlineStr">
        <is>
          <t>Metronidazole 400 mg TID</t>
        </is>
      </c>
      <c r="E1684" s="18" t="inlineStr">
        <is>
          <t>Nitrofurantoin 100 mg BID</t>
        </is>
      </c>
      <c r="F1684" s="18" t="inlineStr">
        <is>
          <t>Tenofovir/Emtricitabine 300/200 mg OD</t>
        </is>
      </c>
      <c r="G1684" s="18" t="inlineStr">
        <is>
          <t>Dolutegravir 50 mg OD</t>
        </is>
      </c>
      <c r="H1684" s="18" t="inlineStr">
        <is>
          <t>Vancomycin 1 g IV Q12H</t>
        </is>
      </c>
      <c r="I1684" s="15" t="inlineStr">
        <is>
          <t>3</t>
        </is>
      </c>
      <c r="J1684" s="18"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84" s="18" t="inlineStr"/>
      <c r="L1684" s="18" t="inlineStr">
        <is>
          <t>Infectious Diseases</t>
        </is>
      </c>
      <c r="M1684" s="18" t="inlineStr">
        <is>
          <t>Clinic</t>
        </is>
      </c>
      <c r="N1684" s="18" t="inlineStr">
        <is>
          <t>ข้อ 5 (PLE_CC1_Key_Rx20_UBU.md)</t>
        </is>
      </c>
      <c r="O1684" s="18" t="inlineStr">
        <is>
          <t>Mock</t>
        </is>
      </c>
      <c r="P1684" s="18" t="inlineStr">
        <is>
          <t>Mock Rx20 UBU</t>
        </is>
      </c>
    </row>
    <row r="1685">
      <c r="A1685" s="15" t="inlineStr">
        <is>
          <t>1706</t>
        </is>
      </c>
      <c r="B1685" s="18" t="inlineStr">
        <is>
          <t>Indian ink positive ส่วน Papanicolaou positive เป็นการตรวจหาเชื้อ HPV, Indian ink positive ตรวจหาเชื้อ Cryptococcus neoformans (meningitis)</t>
        </is>
      </c>
      <c r="C1685" s="18" t="inlineStr"/>
      <c r="D1685" s="18" t="inlineStr">
        <is>
          <t>Dolutegravir 50 mg OD</t>
        </is>
      </c>
      <c r="E1685" s="18" t="inlineStr">
        <is>
          <t>Vancomycin 1 g IV Q12H</t>
        </is>
      </c>
      <c r="F1685" s="18" t="inlineStr">
        <is>
          <t>Meropenem 1 g IV Q8H</t>
        </is>
      </c>
      <c r="G1685" s="18" t="inlineStr">
        <is>
          <t>Cefazolin 1 g IV Q8H</t>
        </is>
      </c>
      <c r="H1685" s="18" t="inlineStr">
        <is>
          <t>Amoxicillin/Clavulanate 1 g BID</t>
        </is>
      </c>
      <c r="I1685" s="15" t="inlineStr">
        <is>
          <t>1</t>
        </is>
      </c>
      <c r="J1685" s="18" t="inlineStr">
        <is>
          <t>✅ คำตอบที่ถูกต้อง: ข้อ ก.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685" s="18" t="inlineStr"/>
      <c r="L1685" s="18" t="inlineStr">
        <is>
          <t>Infectious Diseases</t>
        </is>
      </c>
      <c r="M1685" s="18" t="inlineStr">
        <is>
          <t>Clinic</t>
        </is>
      </c>
      <c r="N1685" s="18" t="inlineStr">
        <is>
          <t>ข้อ 5 (PLE_CC1_Key_Rx20_UBU.md)</t>
        </is>
      </c>
      <c r="O1685" s="18" t="inlineStr">
        <is>
          <t>Mock</t>
        </is>
      </c>
      <c r="P1685" s="18" t="inlineStr">
        <is>
          <t>Mock Rx20 UBU</t>
        </is>
      </c>
    </row>
    <row r="1686">
      <c r="A1686" s="15" t="inlineStr">
        <is>
          <t>1707</t>
        </is>
      </c>
      <c r="B1686" s="18" t="inlineStr">
        <is>
          <t>การดูแลผู้ป่วยรายนี้ข้อใดไม่ถูกต้อง</t>
        </is>
      </c>
      <c r="C1686" s="18" t="inlineStr"/>
      <c r="D1686" s="18" t="inlineStr">
        <is>
          <t>Dimercaprol (BAL) 3 mg/kg IM</t>
        </is>
      </c>
      <c r="E1686" s="18" t="inlineStr">
        <is>
          <t>Ethanol 10% IV infusion for Methanol poisoning</t>
        </is>
      </c>
      <c r="F1686" s="18" t="inlineStr">
        <is>
          <t>Fomepizole 15 mg/kg IV loading</t>
        </is>
      </c>
      <c r="G1686" s="18" t="inlineStr">
        <is>
          <t>N-acetylcysteine (NAC) IV infusion protocol</t>
        </is>
      </c>
      <c r="H1686" s="18" t="inlineStr">
        <is>
          <t>Atropine sulfate 2 mg IV Q5-10 min</t>
        </is>
      </c>
      <c r="I1686" s="15" t="inlineStr">
        <is>
          <t>1</t>
        </is>
      </c>
      <c r="J16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6" s="18" t="inlineStr"/>
      <c r="L1686" s="18" t="inlineStr">
        <is>
          <t>General Therapeutics</t>
        </is>
      </c>
      <c r="M1686" s="18" t="inlineStr">
        <is>
          <t>Clinic</t>
        </is>
      </c>
      <c r="N1686" s="18" t="inlineStr">
        <is>
          <t>ข้อ 3 (PLE_CC1_Key_Rx20_UBU.md)</t>
        </is>
      </c>
      <c r="O1686" s="18" t="inlineStr">
        <is>
          <t>Mock</t>
        </is>
      </c>
      <c r="P1686" s="18" t="inlineStr">
        <is>
          <t>Mock Rx20 UBU</t>
        </is>
      </c>
    </row>
    <row r="1687">
      <c r="A1687" s="15" t="inlineStr">
        <is>
          <t>1708</t>
        </is>
      </c>
      <c r="B1687" s="18" t="inlineStr">
        <is>
          <t>ยาเพิ่มการทำงานของเอนไซม์ตับทำให้ให้ยาออกฤทธิ์เร็วขึ้น</t>
        </is>
      </c>
      <c r="C1687" s="18" t="inlineStr"/>
      <c r="D1687" s="18" t="inlineStr">
        <is>
          <t>N-acetylcysteine (NAC) IV infusion protocol</t>
        </is>
      </c>
      <c r="E1687" s="18" t="inlineStr">
        <is>
          <t>Atropine sulfate 2 mg IV Q5-10 min</t>
        </is>
      </c>
      <c r="F1687" s="18" t="inlineStr">
        <is>
          <t>Pralidoxime (2-PAM) 1-2 g IV over 30 min</t>
        </is>
      </c>
      <c r="G1687" s="18" t="inlineStr">
        <is>
          <t>Naloxone 0.4 mg IV stat</t>
        </is>
      </c>
      <c r="H1687" s="18" t="inlineStr">
        <is>
          <t>Flumazenil 0.2 mg IV stat</t>
        </is>
      </c>
      <c r="I1687" s="15" t="inlineStr">
        <is>
          <t>1</t>
        </is>
      </c>
      <c r="J16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7" s="18" t="inlineStr"/>
      <c r="L1687" s="18" t="inlineStr">
        <is>
          <t>General Therapeutics</t>
        </is>
      </c>
      <c r="M1687" s="18" t="inlineStr">
        <is>
          <t>Clinic</t>
        </is>
      </c>
      <c r="N1687" s="18" t="inlineStr">
        <is>
          <t>ข้อ 3 (PLE_CC1_Key_Rx20_UBU.md)</t>
        </is>
      </c>
      <c r="O1687" s="18" t="inlineStr">
        <is>
          <t>Mock</t>
        </is>
      </c>
      <c r="P1687" s="18" t="inlineStr">
        <is>
          <t>Mock Rx20 UBU</t>
        </is>
      </c>
    </row>
    <row r="1688">
      <c r="A1688" s="15" t="inlineStr">
        <is>
          <t>1709</t>
        </is>
      </c>
      <c r="B1688" s="18" t="inlineStr">
        <is>
          <t>ยากระตุ้นระบบภูมิคุ้มกันให้ทำงานมากขึ้น</t>
        </is>
      </c>
      <c r="C1688" s="18" t="inlineStr"/>
      <c r="D1688" s="18" t="inlineStr">
        <is>
          <t>Naloxone 0.4 mg IV stat</t>
        </is>
      </c>
      <c r="E1688" s="18" t="inlineStr">
        <is>
          <t>Flumazenil 0.2 mg IV stat</t>
        </is>
      </c>
      <c r="F1688" s="18" t="inlineStr">
        <is>
          <t>Vitamin K1 (Phytomenadione) 10 mg IV slow</t>
        </is>
      </c>
      <c r="G1688" s="18" t="inlineStr">
        <is>
          <t>Sodium thiosulfate 25% 50 mL IV</t>
        </is>
      </c>
      <c r="H1688" s="18" t="inlineStr">
        <is>
          <t>Calcium disodium EDTA 1 g IV</t>
        </is>
      </c>
      <c r="I1688" s="15" t="inlineStr">
        <is>
          <t>1</t>
        </is>
      </c>
      <c r="J16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8" s="18" t="inlineStr"/>
      <c r="L1688" s="18" t="inlineStr">
        <is>
          <t>General Therapeutics</t>
        </is>
      </c>
      <c r="M1688" s="18" t="inlineStr">
        <is>
          <t>Clinic</t>
        </is>
      </c>
      <c r="N1688" s="18" t="inlineStr">
        <is>
          <t>ข้อ 4 (PLE_CC1_Key_Rx20_UBU.md)</t>
        </is>
      </c>
      <c r="O1688" s="18" t="inlineStr">
        <is>
          <t>Mock</t>
        </is>
      </c>
      <c r="P1688" s="18" t="inlineStr">
        <is>
          <t>Mock Rx20 UBU</t>
        </is>
      </c>
    </row>
    <row r="1689">
      <c r="A1689" s="15" t="inlineStr">
        <is>
          <t>1710</t>
        </is>
      </c>
      <c r="B1689" s="18" t="inlineStr">
        <is>
          <t>ยาช่วยลดความเสี่ยงในการเกิดอาการไม่พึงประสงค์</t>
        </is>
      </c>
      <c r="C1689" s="18" t="inlineStr"/>
      <c r="D1689" s="18" t="inlineStr">
        <is>
          <t>Sodium thiosulfate 25% 50 mL IV</t>
        </is>
      </c>
      <c r="E1689" s="18" t="inlineStr">
        <is>
          <t>Calcium disodium EDTA 1 g IV</t>
        </is>
      </c>
      <c r="F1689" s="18" t="inlineStr">
        <is>
          <t>Desferrioxamine 1 g IM/IV</t>
        </is>
      </c>
      <c r="G1689" s="18" t="inlineStr">
        <is>
          <t>Dimercaprol (BAL) 3 mg/kg IM</t>
        </is>
      </c>
      <c r="H1689" s="18" t="inlineStr">
        <is>
          <t>Ethanol 10% IV infusion for Methanol poisoning</t>
        </is>
      </c>
      <c r="I1689" s="15" t="inlineStr">
        <is>
          <t>4</t>
        </is>
      </c>
      <c r="J1689" s="18"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9" s="18" t="inlineStr"/>
      <c r="L1689" s="18" t="inlineStr">
        <is>
          <t>General Therapeutics</t>
        </is>
      </c>
      <c r="M1689" s="18" t="inlineStr">
        <is>
          <t>Clinic</t>
        </is>
      </c>
      <c r="N1689" s="18" t="inlineStr">
        <is>
          <t>ข้อ 5 (PLE_CC1_Key_Rx20_UBU.md)</t>
        </is>
      </c>
      <c r="O1689" s="18" t="inlineStr">
        <is>
          <t>Mock</t>
        </is>
      </c>
      <c r="P1689" s="18" t="inlineStr">
        <is>
          <t>Mock Rx20 UBU</t>
        </is>
      </c>
    </row>
    <row r="1690">
      <c r="A1690" s="15" t="inlineStr">
        <is>
          <t>1711</t>
        </is>
      </c>
      <c r="B1690" s="18" t="inlineStr">
        <is>
          <t>ข้อใดคือสูตรโครงสร้างของ d4T</t>
        </is>
      </c>
      <c r="C1690" s="18" t="inlineStr"/>
      <c r="D1690" s="18" t="inlineStr">
        <is>
          <t>Dimercaprol (BAL) 3 mg/kg IM</t>
        </is>
      </c>
      <c r="E1690" s="18" t="inlineStr">
        <is>
          <t>Ethanol 10% IV infusion for Methanol poisoning</t>
        </is>
      </c>
      <c r="F1690" s="18" t="inlineStr">
        <is>
          <t>Fomepizole 15 mg/kg IV loading</t>
        </is>
      </c>
      <c r="G1690" s="18" t="inlineStr">
        <is>
          <t>N-acetylcysteine (NAC) IV infusion protocol</t>
        </is>
      </c>
      <c r="H1690" s="18" t="inlineStr">
        <is>
          <t>Atropine sulfate 2 mg IV Q5-10 min</t>
        </is>
      </c>
      <c r="I1690" s="15" t="inlineStr">
        <is>
          <t>1</t>
        </is>
      </c>
      <c r="J16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0" s="18" t="inlineStr"/>
      <c r="L1690" s="18" t="inlineStr">
        <is>
          <t>General Therapeutics</t>
        </is>
      </c>
      <c r="M1690" s="18" t="inlineStr">
        <is>
          <t>Clinic</t>
        </is>
      </c>
      <c r="N1690" s="18" t="inlineStr">
        <is>
          <t>ข้อ 7 (PLE_CC1_Key_Rx20_UBU.md)</t>
        </is>
      </c>
      <c r="O1690" s="18" t="inlineStr">
        <is>
          <t>Mock</t>
        </is>
      </c>
      <c r="P1690" s="18" t="inlineStr">
        <is>
          <t>Mock Rx20 UBU</t>
        </is>
      </c>
    </row>
    <row r="1691">
      <c r="A1691" s="15" t="inlineStr">
        <is>
          <t>1712</t>
        </is>
      </c>
      <c r="B1691" s="18" t="inlineStr">
        <is>
          <t>ข้อใดไม่ใช่ข้อดีของ DOT</t>
        </is>
      </c>
      <c r="C1691" s="18" t="inlineStr"/>
      <c r="D1691" s="18" t="inlineStr">
        <is>
          <t>N-acetylcysteine (NAC) IV infusion protocol</t>
        </is>
      </c>
      <c r="E1691" s="18" t="inlineStr">
        <is>
          <t>Atropine sulfate 2 mg IV Q5-10 min</t>
        </is>
      </c>
      <c r="F1691" s="18" t="inlineStr">
        <is>
          <t>Pralidoxime (2-PAM) 1-2 g IV over 30 min</t>
        </is>
      </c>
      <c r="G1691" s="18" t="inlineStr">
        <is>
          <t>Naloxone 0.4 mg IV stat</t>
        </is>
      </c>
      <c r="H1691" s="18" t="inlineStr">
        <is>
          <t>Flumazenil 0.2 mg IV stat</t>
        </is>
      </c>
      <c r="I1691" s="15" t="inlineStr">
        <is>
          <t>1</t>
        </is>
      </c>
      <c r="J16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91" s="18" t="inlineStr"/>
      <c r="L1691" s="18" t="inlineStr">
        <is>
          <t>General Therapeutics</t>
        </is>
      </c>
      <c r="M1691" s="18" t="inlineStr">
        <is>
          <t>Clinic</t>
        </is>
      </c>
      <c r="N1691" s="18" t="inlineStr">
        <is>
          <t>ข้อ 10 (PLE_CC1_Key_Rx20_UBU.md)</t>
        </is>
      </c>
      <c r="O1691" s="18" t="inlineStr">
        <is>
          <t>Mock</t>
        </is>
      </c>
      <c r="P1691" s="18" t="inlineStr">
        <is>
          <t>Mock Rx20 UBU</t>
        </is>
      </c>
    </row>
    <row r="1692">
      <c r="A1692" s="15" t="inlineStr">
        <is>
          <t>1713</t>
        </is>
      </c>
      <c r="B1692" s="18" t="inlineStr">
        <is>
          <t>เมื่อเด็กทารกคลอดออกมาจะได้รับการกระตุ้นให้สร้างแอนติบอดีใดเป็นตัวแรก</t>
        </is>
      </c>
      <c r="C1692" s="18" t="inlineStr"/>
      <c r="D1692" s="18" t="inlineStr">
        <is>
          <t>Naloxone 0.4 mg IV stat</t>
        </is>
      </c>
      <c r="E1692" s="18" t="inlineStr">
        <is>
          <t>Flumazenil 0.2 mg IV stat</t>
        </is>
      </c>
      <c r="F1692" s="18" t="inlineStr">
        <is>
          <t>Vitamin K1 (Phytomenadione) 10 mg IV slow</t>
        </is>
      </c>
      <c r="G1692" s="18" t="inlineStr">
        <is>
          <t>Sodium thiosulfate 25% 50 mL IV</t>
        </is>
      </c>
      <c r="H1692" s="18" t="inlineStr">
        <is>
          <t>Calcium disodium EDTA 1 g IV</t>
        </is>
      </c>
      <c r="I1692" s="15" t="inlineStr">
        <is>
          <t>1</t>
        </is>
      </c>
      <c r="J16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2" s="18" t="inlineStr"/>
      <c r="L1692" s="18" t="inlineStr">
        <is>
          <t>General Therapeutics</t>
        </is>
      </c>
      <c r="M1692" s="18" t="inlineStr">
        <is>
          <t>Clinic</t>
        </is>
      </c>
      <c r="N1692" s="18" t="inlineStr">
        <is>
          <t>ข้อ 2 (PLE_CC1_Key_Rx20_UBU.md)</t>
        </is>
      </c>
      <c r="O1692" s="18" t="inlineStr">
        <is>
          <t>Mock</t>
        </is>
      </c>
      <c r="P1692" s="18" t="inlineStr">
        <is>
          <t>Mock Rx20 UBU</t>
        </is>
      </c>
    </row>
    <row r="1693">
      <c r="A1693" s="15" t="inlineStr">
        <is>
          <t>1714</t>
        </is>
      </c>
      <c r="B1693" s="18" t="inlineStr">
        <is>
          <t>ข้อใดไม่อยู่ในโปรแกรมเสริมสร้างภูมิคุ้มกันพื้นฐาน</t>
        </is>
      </c>
      <c r="C1693" s="18" t="inlineStr"/>
      <c r="D1693" s="18" t="inlineStr">
        <is>
          <t>Sodium thiosulfate 25% 50 mL IV</t>
        </is>
      </c>
      <c r="E1693" s="18" t="inlineStr">
        <is>
          <t>Calcium disodium EDTA 1 g IV</t>
        </is>
      </c>
      <c r="F1693" s="18" t="inlineStr">
        <is>
          <t>Desferrioxamine 1 g IM/IV</t>
        </is>
      </c>
      <c r="G1693" s="18" t="inlineStr">
        <is>
          <t>Dimercaprol (BAL) 3 mg/kg IM</t>
        </is>
      </c>
      <c r="H1693" s="18" t="inlineStr">
        <is>
          <t>Ethanol 10% IV infusion for Methanol poisoning</t>
        </is>
      </c>
      <c r="I1693" s="15" t="inlineStr">
        <is>
          <t>1</t>
        </is>
      </c>
      <c r="J16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3" s="18" t="inlineStr"/>
      <c r="L1693" s="18" t="inlineStr">
        <is>
          <t>General Therapeutics</t>
        </is>
      </c>
      <c r="M1693" s="18" t="inlineStr">
        <is>
          <t>Clinic</t>
        </is>
      </c>
      <c r="N1693" s="18" t="inlineStr">
        <is>
          <t>ข้อ 3 (PLE_CC1_Key_Rx20_UBU.md)</t>
        </is>
      </c>
      <c r="O1693" s="18" t="inlineStr">
        <is>
          <t>Mock</t>
        </is>
      </c>
      <c r="P1693" s="18" t="inlineStr">
        <is>
          <t>Mock Rx20 UBU</t>
        </is>
      </c>
    </row>
    <row r="1694">
      <c r="A1694" s="15" t="inlineStr">
        <is>
          <t>1715</t>
        </is>
      </c>
      <c r="B1694" s="18" t="inlineStr">
        <is>
          <t>เด็กมาฉีด Hep B เข็มที่2 ตามนัด แพทย์นัดฉีดเข็มถัดไปอีก 4 เดือนข้างหน้า แต่อีก 2 เดือนเด็กต้องไปต่างประเทศและอยู่ที่นั่นนาน 3 เดือน ควรแนะนำอย่างไร</t>
        </is>
      </c>
      <c r="C1694" s="18" t="inlineStr"/>
      <c r="D1694" s="18" t="inlineStr">
        <is>
          <t>Dimercaprol (BAL) 3 mg/kg IM</t>
        </is>
      </c>
      <c r="E1694" s="18" t="inlineStr">
        <is>
          <t>Ethanol 10% IV infusion for Methanol poisoning</t>
        </is>
      </c>
      <c r="F1694" s="18" t="inlineStr">
        <is>
          <t>Fomepizole 15 mg/kg IV loading</t>
        </is>
      </c>
      <c r="G1694" s="18" t="inlineStr">
        <is>
          <t>N-acetylcysteine (NAC) IV infusion protocol</t>
        </is>
      </c>
      <c r="H1694" s="18" t="inlineStr">
        <is>
          <t>Atropine sulfate 2 mg IV Q5-10 min</t>
        </is>
      </c>
      <c r="I1694" s="15" t="inlineStr">
        <is>
          <t>1</t>
        </is>
      </c>
      <c r="J16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94" s="18" t="inlineStr"/>
      <c r="L1694" s="18" t="inlineStr">
        <is>
          <t>General Therapeutics</t>
        </is>
      </c>
      <c r="M1694" s="18" t="inlineStr">
        <is>
          <t>Clinic</t>
        </is>
      </c>
      <c r="N1694" s="18" t="inlineStr">
        <is>
          <t>ข้อ 5 (PLE_CC1_Key_Rx20_UBU.md)</t>
        </is>
      </c>
      <c r="O1694" s="18" t="inlineStr">
        <is>
          <t>Mock</t>
        </is>
      </c>
      <c r="P1694" s="18" t="inlineStr">
        <is>
          <t>Mock Rx20 UBU</t>
        </is>
      </c>
    </row>
    <row r="1695">
      <c r="A1695" s="15" t="inlineStr">
        <is>
          <t>1716</t>
        </is>
      </c>
      <c r="B1695" s="18" t="inlineStr">
        <is>
          <t>Purity test</t>
        </is>
      </c>
      <c r="C1695" s="18" t="inlineStr"/>
      <c r="D1695" s="18" t="inlineStr">
        <is>
          <t>N-acetylcysteine (NAC) IV infusion protocol</t>
        </is>
      </c>
      <c r="E1695" s="18" t="inlineStr">
        <is>
          <t>Atropine sulfate 2 mg IV Q5-10 min</t>
        </is>
      </c>
      <c r="F1695" s="18" t="inlineStr">
        <is>
          <t>Pralidoxime (2-PAM) 1-2 g IV over 30 min</t>
        </is>
      </c>
      <c r="G1695" s="18" t="inlineStr">
        <is>
          <t>Naloxone 0.4 mg IV stat</t>
        </is>
      </c>
      <c r="H1695" s="18" t="inlineStr">
        <is>
          <t>Flumazenil 0.2 mg IV stat</t>
        </is>
      </c>
      <c r="I1695" s="15" t="inlineStr">
        <is>
          <t>3</t>
        </is>
      </c>
      <c r="J1695" s="18"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695" s="18" t="inlineStr"/>
      <c r="L1695" s="18" t="inlineStr">
        <is>
          <t>General Therapeutics</t>
        </is>
      </c>
      <c r="M1695" s="18" t="inlineStr">
        <is>
          <t>Clinic</t>
        </is>
      </c>
      <c r="N1695" s="18" t="inlineStr">
        <is>
          <t>ข้อ 5 (PLE_CC1_Key_Rx20_UBU.md)</t>
        </is>
      </c>
      <c r="O1695" s="18" t="inlineStr">
        <is>
          <t>Mock</t>
        </is>
      </c>
      <c r="P1695" s="18" t="inlineStr">
        <is>
          <t>Mock Rx20 UBU</t>
        </is>
      </c>
    </row>
    <row r="1696">
      <c r="A1696" s="15" t="inlineStr">
        <is>
          <t>1717</t>
        </is>
      </c>
      <c r="B1696" s="18" t="inlineStr">
        <is>
          <t>หลักการบริหารยาแบบ FIFO หมายถึงอะไร</t>
        </is>
      </c>
      <c r="C1696" s="18" t="inlineStr"/>
      <c r="D1696" s="18" t="inlineStr">
        <is>
          <t>Naloxone 0.4 mg IV stat</t>
        </is>
      </c>
      <c r="E1696" s="18" t="inlineStr">
        <is>
          <t>Flumazenil 0.2 mg IV stat</t>
        </is>
      </c>
      <c r="F1696" s="18" t="inlineStr">
        <is>
          <t>Vitamin K1 (Phytomenadione) 10 mg IV slow</t>
        </is>
      </c>
      <c r="G1696" s="18" t="inlineStr">
        <is>
          <t>Sodium thiosulfate 25% 50 mL IV</t>
        </is>
      </c>
      <c r="H1696" s="18" t="inlineStr">
        <is>
          <t>Calcium disodium EDTA 1 g IV</t>
        </is>
      </c>
      <c r="I1696" s="15" t="inlineStr">
        <is>
          <t>1</t>
        </is>
      </c>
      <c r="J16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6" s="18" t="inlineStr"/>
      <c r="L1696" s="18" t="inlineStr">
        <is>
          <t>General Therapeutics</t>
        </is>
      </c>
      <c r="M1696" s="18" t="inlineStr">
        <is>
          <t>Clinic</t>
        </is>
      </c>
      <c r="N1696" s="18" t="inlineStr">
        <is>
          <t>ข้อ 10 (PLE_CC1_Key_Rx20_UBU.md)</t>
        </is>
      </c>
      <c r="O1696" s="18" t="inlineStr">
        <is>
          <t>Mock</t>
        </is>
      </c>
      <c r="P1696" s="18" t="inlineStr">
        <is>
          <t>Mock Rx20 UBU</t>
        </is>
      </c>
    </row>
    <row r="1697">
      <c r="A1697" s="15" t="inlineStr">
        <is>
          <t>1718</t>
        </is>
      </c>
      <c r="B1697" s="18" t="inlineStr">
        <is>
          <t>จัดซื้อ lot ยาที่ผลิตล่าสุด และจาหน่ายออกไปใช้ก่อน</t>
        </is>
      </c>
      <c r="C1697" s="18" t="inlineStr"/>
      <c r="D1697" s="18" t="inlineStr">
        <is>
          <t>Sodium thiosulfate 25% 50 mL IV</t>
        </is>
      </c>
      <c r="E1697" s="18" t="inlineStr">
        <is>
          <t>Calcium disodium EDTA 1 g IV</t>
        </is>
      </c>
      <c r="F1697" s="18" t="inlineStr">
        <is>
          <t>Desferrioxamine 1 g IM/IV</t>
        </is>
      </c>
      <c r="G1697" s="18" t="inlineStr">
        <is>
          <t>Dimercaprol (BAL) 3 mg/kg IM</t>
        </is>
      </c>
      <c r="H1697" s="18" t="inlineStr">
        <is>
          <t>Ethanol 10% IV infusion for Methanol poisoning</t>
        </is>
      </c>
      <c r="I1697" s="15" t="inlineStr">
        <is>
          <t>1</t>
        </is>
      </c>
      <c r="J16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7" s="18" t="inlineStr"/>
      <c r="L1697" s="18" t="inlineStr">
        <is>
          <t>General Therapeutics</t>
        </is>
      </c>
      <c r="M1697" s="18" t="inlineStr">
        <is>
          <t>Clinic</t>
        </is>
      </c>
      <c r="N1697" s="18" t="inlineStr">
        <is>
          <t>ข้อ 3 (PLE_CC1_Key_Rx20_UBU.md)</t>
        </is>
      </c>
      <c r="O1697" s="18" t="inlineStr">
        <is>
          <t>Mock</t>
        </is>
      </c>
      <c r="P1697" s="18" t="inlineStr">
        <is>
          <t>Mock Rx20 UBU</t>
        </is>
      </c>
    </row>
    <row r="1698">
      <c r="A1698" s="15" t="inlineStr">
        <is>
          <t>1719</t>
        </is>
      </c>
      <c r="B1698" s="18" t="inlineStr">
        <is>
          <t>ข้อมูลการซักประวัติใด จาเป็นน้อยที่สุด</t>
        </is>
      </c>
      <c r="C1698" s="18" t="inlineStr"/>
      <c r="D1698" s="18" t="inlineStr">
        <is>
          <t>Dimercaprol (BAL) 3 mg/kg IM</t>
        </is>
      </c>
      <c r="E1698" s="18" t="inlineStr">
        <is>
          <t>Ethanol 10% IV infusion for Methanol poisoning</t>
        </is>
      </c>
      <c r="F1698" s="18" t="inlineStr">
        <is>
          <t>Fomepizole 15 mg/kg IV loading</t>
        </is>
      </c>
      <c r="G1698" s="18" t="inlineStr">
        <is>
          <t>N-acetylcysteine (NAC) IV infusion protocol</t>
        </is>
      </c>
      <c r="H1698" s="18" t="inlineStr">
        <is>
          <t>Atropine sulfate 2 mg IV Q5-10 min</t>
        </is>
      </c>
      <c r="I1698" s="15" t="inlineStr">
        <is>
          <t>1</t>
        </is>
      </c>
      <c r="J169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8" s="18" t="inlineStr"/>
      <c r="L1698" s="18" t="inlineStr">
        <is>
          <t>General Therapeutics</t>
        </is>
      </c>
      <c r="M1698" s="18" t="inlineStr">
        <is>
          <t>Clinic</t>
        </is>
      </c>
      <c r="N1698" s="18" t="inlineStr">
        <is>
          <t>ข้อ 1 (PLE_CC1_Key_Rx20_UBU.md)</t>
        </is>
      </c>
      <c r="O1698" s="18" t="inlineStr">
        <is>
          <t>Mock</t>
        </is>
      </c>
      <c r="P1698" s="18" t="inlineStr">
        <is>
          <t>Mock Rx20 UBU</t>
        </is>
      </c>
    </row>
    <row r="1699">
      <c r="A1699" s="15" t="inlineStr">
        <is>
          <t>1720</t>
        </is>
      </c>
      <c r="B1699" s="18" t="inlineStr">
        <is>
          <t>ยาอื่นที่รับประทานร่วมด้วย delay</t>
        </is>
      </c>
      <c r="C1699" s="18" t="inlineStr"/>
      <c r="D1699" s="18" t="inlineStr">
        <is>
          <t>N-acetylcysteine (NAC) IV infusion protocol</t>
        </is>
      </c>
      <c r="E1699" s="18" t="inlineStr">
        <is>
          <t>Atropine sulfate 2 mg IV Q5-10 min</t>
        </is>
      </c>
      <c r="F1699" s="18" t="inlineStr">
        <is>
          <t>Pralidoxime (2-PAM) 1-2 g IV over 30 min</t>
        </is>
      </c>
      <c r="G1699" s="18" t="inlineStr">
        <is>
          <t>Naloxone 0.4 mg IV stat</t>
        </is>
      </c>
      <c r="H1699" s="18" t="inlineStr">
        <is>
          <t>Flumazenil 0.2 mg IV stat</t>
        </is>
      </c>
      <c r="I1699" s="15" t="inlineStr">
        <is>
          <t>2</t>
        </is>
      </c>
      <c r="J1699" s="18"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99" s="18" t="inlineStr"/>
      <c r="L1699" s="18" t="inlineStr">
        <is>
          <t>General Therapeutics</t>
        </is>
      </c>
      <c r="M1699" s="18" t="inlineStr">
        <is>
          <t>Clinic</t>
        </is>
      </c>
      <c r="N1699" s="18" t="inlineStr">
        <is>
          <t>ข้อ 5 (PLE_CC1_Key_Rx20_UBU.md)</t>
        </is>
      </c>
      <c r="O1699" s="18" t="inlineStr">
        <is>
          <t>Mock</t>
        </is>
      </c>
      <c r="P1699" s="18" t="inlineStr">
        <is>
          <t>Mock Rx20 UBU</t>
        </is>
      </c>
    </row>
    <row r="1700">
      <c r="A1700" s="15" t="inlineStr">
        <is>
          <t>1721</t>
        </is>
      </c>
      <c r="B1700" s="18" t="inlineStr">
        <is>
          <t>immediate hypersensitivity delayed hypersensitivity</t>
        </is>
      </c>
      <c r="C1700" s="18" t="inlineStr"/>
      <c r="D1700" s="18" t="inlineStr">
        <is>
          <t>Naloxone 0.4 mg IV stat</t>
        </is>
      </c>
      <c r="E1700" s="18" t="inlineStr">
        <is>
          <t>Flumazenil 0.2 mg IV stat</t>
        </is>
      </c>
      <c r="F1700" s="18" t="inlineStr">
        <is>
          <t>Vitamin K1 (Phytomenadione) 10 mg IV slow</t>
        </is>
      </c>
      <c r="G1700" s="18" t="inlineStr">
        <is>
          <t>Sodium thiosulfate 25% 50 mL IV</t>
        </is>
      </c>
      <c r="H1700" s="18" t="inlineStr">
        <is>
          <t>Calcium disodium EDTA 1 g IV</t>
        </is>
      </c>
      <c r="I1700" s="15" t="inlineStr">
        <is>
          <t>4</t>
        </is>
      </c>
      <c r="J1700" s="18"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0" s="18" t="inlineStr"/>
      <c r="L1700" s="18" t="inlineStr">
        <is>
          <t>General Therapeutics</t>
        </is>
      </c>
      <c r="M1700" s="18" t="inlineStr">
        <is>
          <t>Clinic</t>
        </is>
      </c>
      <c r="N1700" s="18" t="inlineStr">
        <is>
          <t>ข้อ 5 (PLE_CC1_Key_Rx20_UBU.md)</t>
        </is>
      </c>
      <c r="O1700" s="18" t="inlineStr">
        <is>
          <t>Mock</t>
        </is>
      </c>
      <c r="P1700" s="18" t="inlineStr">
        <is>
          <t>Mock Rx20 UBU</t>
        </is>
      </c>
    </row>
    <row r="1701">
      <c r="A1701" s="15" t="inlineStr">
        <is>
          <t>1722</t>
        </is>
      </c>
      <c r="B1701" s="18" t="inlineStr">
        <is>
          <t>หากแพ้ยา ibuprofen จะแพ้ยาใดได้อีก หากพิจารณาตามโครงสร้าง</t>
        </is>
      </c>
      <c r="C1701" s="18" t="inlineStr"/>
      <c r="D1701" s="18" t="inlineStr">
        <is>
          <t>Alendronate 70 mg weekly</t>
        </is>
      </c>
      <c r="E1701" s="18" t="inlineStr">
        <is>
          <t>Glucosamine sulfate 1500 mg OD</t>
        </is>
      </c>
      <c r="F1701" s="18" t="inlineStr">
        <is>
          <t>Hydroxychloroquine 200 mg OD</t>
        </is>
      </c>
      <c r="G1701" s="18" t="inlineStr">
        <is>
          <t>Prednisolone 5 mg OD</t>
        </is>
      </c>
      <c r="H1701" s="18" t="inlineStr">
        <is>
          <t>Zoledronic acid 5 mg IV annually</t>
        </is>
      </c>
      <c r="I1701" s="15" t="inlineStr">
        <is>
          <t>1</t>
        </is>
      </c>
      <c r="J1701" s="18"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01" s="18" t="inlineStr"/>
      <c r="L1701" s="18" t="inlineStr">
        <is>
          <t>Musculoskeletal &amp; Joint</t>
        </is>
      </c>
      <c r="M1701" s="18" t="inlineStr">
        <is>
          <t>Clinic</t>
        </is>
      </c>
      <c r="N1701" s="18" t="inlineStr">
        <is>
          <t>ข้อ 3 (PLE_CC1_Key_Rx20_UBU.md)</t>
        </is>
      </c>
      <c r="O1701" s="18" t="inlineStr">
        <is>
          <t>Mock</t>
        </is>
      </c>
      <c r="P1701" s="18" t="inlineStr">
        <is>
          <t>Mock Rx20 UBU</t>
        </is>
      </c>
    </row>
    <row r="1702">
      <c r="A1702" s="15" t="inlineStr">
        <is>
          <t>1723</t>
        </is>
      </c>
      <c r="B1702" s="18" t="inlineStr">
        <is>
          <t>จากอาการดังกล่าว เด็กหญิงรายนี้ป่วยเป็นโรคอะไร</t>
        </is>
      </c>
      <c r="C1702" s="18" t="inlineStr"/>
      <c r="D1702" s="18" t="inlineStr">
        <is>
          <t>Dimercaprol (BAL) 3 mg/kg IM</t>
        </is>
      </c>
      <c r="E1702" s="18" t="inlineStr">
        <is>
          <t>Ethanol 10% IV infusion for Methanol poisoning</t>
        </is>
      </c>
      <c r="F1702" s="18" t="inlineStr">
        <is>
          <t>Fomepizole 15 mg/kg IV loading</t>
        </is>
      </c>
      <c r="G1702" s="18" t="inlineStr">
        <is>
          <t>N-acetylcysteine (NAC) IV infusion protocol</t>
        </is>
      </c>
      <c r="H1702" s="18" t="inlineStr">
        <is>
          <t>Atropine sulfate 2 mg IV Q5-10 min</t>
        </is>
      </c>
      <c r="I1702" s="15" t="inlineStr">
        <is>
          <t>1</t>
        </is>
      </c>
      <c r="J17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2" s="18" t="inlineStr"/>
      <c r="L1702" s="18" t="inlineStr">
        <is>
          <t>General Therapeutics</t>
        </is>
      </c>
      <c r="M1702" s="18" t="inlineStr">
        <is>
          <t>Clinic</t>
        </is>
      </c>
      <c r="N1702" s="18" t="inlineStr">
        <is>
          <t>ข้อ 1 (PLE_CC1_Key_Rx20_UBU.md)</t>
        </is>
      </c>
      <c r="O1702" s="18" t="inlineStr">
        <is>
          <t>Mock</t>
        </is>
      </c>
      <c r="P1702" s="18" t="inlineStr">
        <is>
          <t>Mock Rx20 UBU</t>
        </is>
      </c>
    </row>
    <row r="1703">
      <c r="A1703" s="15" t="inlineStr">
        <is>
          <t>1724</t>
        </is>
      </c>
      <c r="B1703" s="18" t="inlineStr">
        <is>
          <t>เชื้อที่คาดว่าเป็นสาเหตุของโรคดังกล่าวคือเชื้อใด</t>
        </is>
      </c>
      <c r="C1703" s="18" t="inlineStr"/>
      <c r="D1703" s="18" t="inlineStr">
        <is>
          <t>N-acetylcysteine (NAC) IV infusion protocol</t>
        </is>
      </c>
      <c r="E1703" s="18" t="inlineStr">
        <is>
          <t>Atropine sulfate 2 mg IV Q5-10 min</t>
        </is>
      </c>
      <c r="F1703" s="18" t="inlineStr">
        <is>
          <t>Pralidoxime (2-PAM) 1-2 g IV over 30 min</t>
        </is>
      </c>
      <c r="G1703" s="18" t="inlineStr">
        <is>
          <t>Naloxone 0.4 mg IV stat</t>
        </is>
      </c>
      <c r="H1703" s="18" t="inlineStr">
        <is>
          <t>Flumazenil 0.2 mg IV stat</t>
        </is>
      </c>
      <c r="I1703" s="15" t="inlineStr">
        <is>
          <t>1</t>
        </is>
      </c>
      <c r="J170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3" s="18" t="inlineStr"/>
      <c r="L1703" s="18" t="inlineStr">
        <is>
          <t>General Therapeutics</t>
        </is>
      </c>
      <c r="M1703" s="18" t="inlineStr">
        <is>
          <t>Clinic</t>
        </is>
      </c>
      <c r="N1703" s="18" t="inlineStr">
        <is>
          <t>ข้อ 2 (PLE_CC1_Key_Rx20_UBU.md)</t>
        </is>
      </c>
      <c r="O1703" s="18" t="inlineStr">
        <is>
          <t>Mock</t>
        </is>
      </c>
      <c r="P1703" s="18" t="inlineStr">
        <is>
          <t>Mock Rx20 UBU</t>
        </is>
      </c>
    </row>
    <row r="1704">
      <c r="A1704" s="15" t="inlineStr">
        <is>
          <t>1725</t>
        </is>
      </c>
      <c r="B1704" s="18" t="inlineStr">
        <is>
          <t>ยาอะไรที่ใช้เป็นอันดับแรก</t>
        </is>
      </c>
      <c r="C1704" s="18" t="inlineStr"/>
      <c r="D1704" s="18" t="inlineStr">
        <is>
          <t>Naloxone 0.4 mg IV stat</t>
        </is>
      </c>
      <c r="E1704" s="18" t="inlineStr">
        <is>
          <t>Flumazenil 0.2 mg IV stat</t>
        </is>
      </c>
      <c r="F1704" s="18" t="inlineStr">
        <is>
          <t>Vitamin K1 (Phytomenadione) 10 mg IV slow</t>
        </is>
      </c>
      <c r="G1704" s="18" t="inlineStr">
        <is>
          <t>Sodium thiosulfate 25% 50 mL IV</t>
        </is>
      </c>
      <c r="H1704" s="18" t="inlineStr">
        <is>
          <t>Calcium disodium EDTA 1 g IV</t>
        </is>
      </c>
      <c r="I1704" s="15" t="inlineStr">
        <is>
          <t>1</t>
        </is>
      </c>
      <c r="J17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4" s="18" t="inlineStr"/>
      <c r="L1704" s="18" t="inlineStr">
        <is>
          <t>General Therapeutics</t>
        </is>
      </c>
      <c r="M1704" s="18" t="inlineStr">
        <is>
          <t>Clinic</t>
        </is>
      </c>
      <c r="N1704" s="18" t="inlineStr">
        <is>
          <t>ข้อ 3 (PLE_CC1_Key_Rx20_UBU.md)</t>
        </is>
      </c>
      <c r="O1704" s="18" t="inlineStr">
        <is>
          <t>Mock</t>
        </is>
      </c>
      <c r="P1704" s="18" t="inlineStr">
        <is>
          <t>Mock Rx20 UBU</t>
        </is>
      </c>
    </row>
    <row r="1705">
      <c r="A1705" s="15" t="inlineStr">
        <is>
          <t>1726</t>
        </is>
      </c>
      <c r="B1705" s="18" t="inlineStr">
        <is>
          <t>Amoxycillin-Clavulanic acid</t>
        </is>
      </c>
      <c r="C1705" s="18" t="inlineStr"/>
      <c r="D1705" s="18" t="inlineStr">
        <is>
          <t>Sodium thiosulfate 25% 50 mL IV</t>
        </is>
      </c>
      <c r="E1705" s="18" t="inlineStr">
        <is>
          <t>Calcium disodium EDTA 1 g IV</t>
        </is>
      </c>
      <c r="F1705" s="18" t="inlineStr">
        <is>
          <t>Desferrioxamine 1 g IM/IV</t>
        </is>
      </c>
      <c r="G1705" s="18" t="inlineStr">
        <is>
          <t>Dimercaprol (BAL) 3 mg/kg IM</t>
        </is>
      </c>
      <c r="H1705" s="18" t="inlineStr">
        <is>
          <t>Ethanol 10% IV infusion for Methanol poisoning</t>
        </is>
      </c>
      <c r="I1705" s="15" t="inlineStr">
        <is>
          <t>1</t>
        </is>
      </c>
      <c r="J17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5" s="18" t="inlineStr"/>
      <c r="L1705" s="18" t="inlineStr">
        <is>
          <t>General Therapeutics</t>
        </is>
      </c>
      <c r="M1705" s="18" t="inlineStr">
        <is>
          <t>Clinic</t>
        </is>
      </c>
      <c r="N1705" s="18" t="inlineStr">
        <is>
          <t>ข้อ 4 (PLE_CC1_Key_Rx20_UBU.md)</t>
        </is>
      </c>
      <c r="O1705" s="18" t="inlineStr">
        <is>
          <t>Mock</t>
        </is>
      </c>
      <c r="P1705" s="18" t="inlineStr">
        <is>
          <t>Mock Rx20 UBU</t>
        </is>
      </c>
    </row>
    <row r="1706">
      <c r="A1706" s="15" t="inlineStr">
        <is>
          <t>1727</t>
        </is>
      </c>
      <c r="B1706" s="18" t="inlineStr">
        <is>
          <t>Roxithromycin hypersensitivity จึงควรหลีกเลี่ยงการใช้ยากลุ่ม Penicillin โดยพิจารณาเลือกใช้ยากลุ่ม Macrolides แทน ได้แก่ Roxithromycin, Clarithromycin หรือ Axithromycin</t>
        </is>
      </c>
      <c r="C1706" s="18" t="inlineStr"/>
      <c r="D1706" s="18" t="inlineStr">
        <is>
          <t>Nitrofurantoin 100 mg BID</t>
        </is>
      </c>
      <c r="E1706" s="18" t="inlineStr">
        <is>
          <t>Tenofovir/Emtricitabine 300/200 mg OD</t>
        </is>
      </c>
      <c r="F1706" s="18" t="inlineStr">
        <is>
          <t>Dolutegravir 50 mg OD</t>
        </is>
      </c>
      <c r="G1706" s="18" t="inlineStr">
        <is>
          <t>Vancomycin 1 g IV Q12H</t>
        </is>
      </c>
      <c r="H1706" s="18" t="inlineStr">
        <is>
          <t>Meropenem 1 g IV Q8H</t>
        </is>
      </c>
      <c r="I1706" s="15" t="inlineStr">
        <is>
          <t>3</t>
        </is>
      </c>
      <c r="J1706" s="18" t="inlineStr">
        <is>
          <t>✅ คำตอบที่ถูกต้อง: ข้อ ค.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706" s="18" t="inlineStr"/>
      <c r="L1706" s="18" t="inlineStr">
        <is>
          <t>Infectious Diseases</t>
        </is>
      </c>
      <c r="M1706" s="18" t="inlineStr">
        <is>
          <t>Clinic</t>
        </is>
      </c>
      <c r="N1706" s="18" t="inlineStr">
        <is>
          <t>ข้อ 5 (PLE_CC1_Key_Rx20_UBU.md)</t>
        </is>
      </c>
      <c r="O1706" s="18" t="inlineStr">
        <is>
          <t>Mock</t>
        </is>
      </c>
      <c r="P1706" s="18" t="inlineStr">
        <is>
          <t>Mock Rx20 UBU</t>
        </is>
      </c>
    </row>
    <row r="1707">
      <c r="A1707" s="15" t="inlineStr">
        <is>
          <t>1728</t>
        </is>
      </c>
      <c r="B1707" s="18" t="inlineStr">
        <is>
          <t>จับกับ ribosome 30s</t>
        </is>
      </c>
      <c r="C1707" s="18" t="inlineStr"/>
      <c r="D1707" s="18" t="inlineStr">
        <is>
          <t>N-acetylcysteine (NAC) IV infusion protocol</t>
        </is>
      </c>
      <c r="E1707" s="18" t="inlineStr">
        <is>
          <t>Atropine sulfate 2 mg IV Q5-10 min</t>
        </is>
      </c>
      <c r="F1707" s="18" t="inlineStr">
        <is>
          <t>Pralidoxime (2-PAM) 1-2 g IV over 30 min</t>
        </is>
      </c>
      <c r="G1707" s="18" t="inlineStr">
        <is>
          <t>Naloxone 0.4 mg IV stat</t>
        </is>
      </c>
      <c r="H1707" s="18" t="inlineStr">
        <is>
          <t>Flumazenil 0.2 mg IV stat</t>
        </is>
      </c>
      <c r="I1707" s="15" t="inlineStr">
        <is>
          <t>1</t>
        </is>
      </c>
      <c r="J17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7" s="18" t="inlineStr"/>
      <c r="L1707" s="18" t="inlineStr">
        <is>
          <t>General Therapeutics</t>
        </is>
      </c>
      <c r="M1707" s="18" t="inlineStr">
        <is>
          <t>Clinic</t>
        </is>
      </c>
      <c r="N1707" s="18" t="inlineStr">
        <is>
          <t>ข้อ 1 (PLE_CC1_Key_Rx20_UBU.md)</t>
        </is>
      </c>
      <c r="O1707" s="18" t="inlineStr">
        <is>
          <t>Mock</t>
        </is>
      </c>
      <c r="P1707" s="18" t="inlineStr">
        <is>
          <t>Mock Rx20 UBU</t>
        </is>
      </c>
    </row>
    <row r="1708">
      <c r="A1708" s="15" t="inlineStr">
        <is>
          <t>1729</t>
        </is>
      </c>
      <c r="B1708" s="18" t="inlineStr">
        <is>
          <t>จับกับ ribosome 50s</t>
        </is>
      </c>
      <c r="C1708" s="18" t="inlineStr"/>
      <c r="D1708" s="18" t="inlineStr">
        <is>
          <t>Naloxone 0.4 mg IV stat</t>
        </is>
      </c>
      <c r="E1708" s="18" t="inlineStr">
        <is>
          <t>Flumazenil 0.2 mg IV stat</t>
        </is>
      </c>
      <c r="F1708" s="18" t="inlineStr">
        <is>
          <t>Vitamin K1 (Phytomenadione) 10 mg IV slow</t>
        </is>
      </c>
      <c r="G1708" s="18" t="inlineStr">
        <is>
          <t>Sodium thiosulfate 25% 50 mL IV</t>
        </is>
      </c>
      <c r="H1708" s="18" t="inlineStr">
        <is>
          <t>Calcium disodium EDTA 1 g IV</t>
        </is>
      </c>
      <c r="I1708" s="15" t="inlineStr">
        <is>
          <t>1</t>
        </is>
      </c>
      <c r="J17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8" s="18" t="inlineStr"/>
      <c r="L1708" s="18" t="inlineStr">
        <is>
          <t>General Therapeutics</t>
        </is>
      </c>
      <c r="M1708" s="18" t="inlineStr">
        <is>
          <t>Clinic</t>
        </is>
      </c>
      <c r="N1708" s="18" t="inlineStr">
        <is>
          <t>ข้อ 2 (PLE_CC1_Key_Rx20_UBU.md)</t>
        </is>
      </c>
      <c r="O1708" s="18" t="inlineStr">
        <is>
          <t>Mock</t>
        </is>
      </c>
      <c r="P1708" s="18" t="inlineStr">
        <is>
          <t>Mock Rx20 UBU</t>
        </is>
      </c>
    </row>
    <row r="1709">
      <c r="A1709" s="15" t="inlineStr">
        <is>
          <t>1730</t>
        </is>
      </c>
      <c r="B1709" s="18" t="inlineStr">
        <is>
          <t>ยับยั้งการสร้างผนังเซลล์</t>
        </is>
      </c>
      <c r="C1709" s="18" t="inlineStr"/>
      <c r="D1709" s="18" t="inlineStr">
        <is>
          <t>Sodium thiosulfate 25% 50 mL IV</t>
        </is>
      </c>
      <c r="E1709" s="18" t="inlineStr">
        <is>
          <t>Calcium disodium EDTA 1 g IV</t>
        </is>
      </c>
      <c r="F1709" s="18" t="inlineStr">
        <is>
          <t>Desferrioxamine 1 g IM/IV</t>
        </is>
      </c>
      <c r="G1709" s="18" t="inlineStr">
        <is>
          <t>Dimercaprol (BAL) 3 mg/kg IM</t>
        </is>
      </c>
      <c r="H1709" s="18" t="inlineStr">
        <is>
          <t>Ethanol 10% IV infusion for Methanol poisoning</t>
        </is>
      </c>
      <c r="I1709" s="15" t="inlineStr">
        <is>
          <t>1</t>
        </is>
      </c>
      <c r="J17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9" s="18" t="inlineStr"/>
      <c r="L1709" s="18" t="inlineStr">
        <is>
          <t>General Therapeutics</t>
        </is>
      </c>
      <c r="M1709" s="18" t="inlineStr">
        <is>
          <t>Clinic</t>
        </is>
      </c>
      <c r="N1709" s="18" t="inlineStr">
        <is>
          <t>ข้อ 3 (PLE_CC1_Key_Rx20_UBU.md)</t>
        </is>
      </c>
      <c r="O1709" s="18" t="inlineStr">
        <is>
          <t>Mock</t>
        </is>
      </c>
      <c r="P1709" s="18" t="inlineStr">
        <is>
          <t>Mock Rx20 UBU</t>
        </is>
      </c>
    </row>
    <row r="1710">
      <c r="A1710" s="15" t="inlineStr">
        <is>
          <t>1731</t>
        </is>
      </c>
      <c r="B1710" s="18" t="inlineStr">
        <is>
          <t>ยับยั้งการสร้าง DNA</t>
        </is>
      </c>
      <c r="C1710" s="18" t="inlineStr"/>
      <c r="D1710" s="18" t="inlineStr">
        <is>
          <t>Dimercaprol (BAL) 3 mg/kg IM</t>
        </is>
      </c>
      <c r="E1710" s="18" t="inlineStr">
        <is>
          <t>Ethanol 10% IV infusion for Methanol poisoning</t>
        </is>
      </c>
      <c r="F1710" s="18" t="inlineStr">
        <is>
          <t>Fomepizole 15 mg/kg IV loading</t>
        </is>
      </c>
      <c r="G1710" s="18" t="inlineStr">
        <is>
          <t>N-acetylcysteine (NAC) IV infusion protocol</t>
        </is>
      </c>
      <c r="H1710" s="18" t="inlineStr">
        <is>
          <t>Atropine sulfate 2 mg IV Q5-10 min</t>
        </is>
      </c>
      <c r="I1710" s="15" t="inlineStr">
        <is>
          <t>1</t>
        </is>
      </c>
      <c r="J17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0" s="18" t="inlineStr"/>
      <c r="L1710" s="18" t="inlineStr">
        <is>
          <t>General Therapeutics</t>
        </is>
      </c>
      <c r="M1710" s="18" t="inlineStr">
        <is>
          <t>Clinic</t>
        </is>
      </c>
      <c r="N1710" s="18" t="inlineStr">
        <is>
          <t>ข้อ 4 (PLE_CC1_Key_Rx20_UBU.md)</t>
        </is>
      </c>
      <c r="O1710" s="18" t="inlineStr">
        <is>
          <t>Mock</t>
        </is>
      </c>
      <c r="P1710" s="18" t="inlineStr">
        <is>
          <t>Mock Rx20 UBU</t>
        </is>
      </c>
    </row>
    <row r="1711">
      <c r="A1711" s="15" t="inlineStr">
        <is>
          <t>1732</t>
        </is>
      </c>
      <c r="B1711" s="18" t="inlineStr">
        <is>
          <t>Doxycycline</t>
        </is>
      </c>
      <c r="C1711" s="18" t="inlineStr"/>
      <c r="D1711" s="18" t="inlineStr">
        <is>
          <t>Dolutegravir 50 mg OD</t>
        </is>
      </c>
      <c r="E1711" s="18" t="inlineStr">
        <is>
          <t>Vancomycin 1 g IV Q12H</t>
        </is>
      </c>
      <c r="F1711" s="18" t="inlineStr">
        <is>
          <t>Meropenem 1 g IV Q8H</t>
        </is>
      </c>
      <c r="G1711" s="18" t="inlineStr">
        <is>
          <t>Cefazolin 1 g IV Q8H</t>
        </is>
      </c>
      <c r="H1711" s="18" t="inlineStr">
        <is>
          <t>Amoxicillin/Clavulanate 1 g BID</t>
        </is>
      </c>
      <c r="I1711" s="15" t="inlineStr">
        <is>
          <t>3</t>
        </is>
      </c>
      <c r="J1711" s="18" t="inlineStr">
        <is>
          <t>✅ คำตอบที่ถูกต้อง: ข้อ ค.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(Dolutegravir 50 mg OD): เป็น Integrase strand transfer inhibitor (INSTI) มี genetic barrier ต่อการดื้อยาสูงมาก และ efficacy สูงในการกด viral load ได้อย่างรวดเร็ว
• ข้อ ข. (Vancomycin 1 g IV Q12H): เป็น Glycopeptide antibiotic ยับยั้ง MRSA และ Enterococcus ต้อง monitoring trough level (target 15-20 mcg/mL ใน severe infections) เพื่อป้องกัน nephrotoxicity และ ototoxity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1" s="18" t="inlineStr"/>
      <c r="L1711" s="18" t="inlineStr">
        <is>
          <t>Infectious Diseases</t>
        </is>
      </c>
      <c r="M1711" s="18" t="inlineStr">
        <is>
          <t>Clinic</t>
        </is>
      </c>
      <c r="N1711" s="18" t="inlineStr">
        <is>
          <t>ข้อ 5 (PLE_CC1_Key_Rx20_UBU.md)</t>
        </is>
      </c>
      <c r="O1711" s="18" t="inlineStr">
        <is>
          <t>Mock</t>
        </is>
      </c>
      <c r="P1711" s="18" t="inlineStr">
        <is>
          <t>Mock Rx20 UBU</t>
        </is>
      </c>
    </row>
    <row r="1712">
      <c r="A1712" s="15" t="inlineStr">
        <is>
          <t>1733</t>
        </is>
      </c>
      <c r="B1712" s="18" t="inlineStr">
        <is>
          <t>ที่สร้างจากเชื้อแบคทีเรีย</t>
        </is>
      </c>
      <c r="C1712" s="18" t="inlineStr"/>
      <c r="D1712" s="18" t="inlineStr">
        <is>
          <t>Naloxone 0.4 mg IV stat</t>
        </is>
      </c>
      <c r="E1712" s="18" t="inlineStr">
        <is>
          <t>Flumazenil 0.2 mg IV stat</t>
        </is>
      </c>
      <c r="F1712" s="18" t="inlineStr">
        <is>
          <t>Vitamin K1 (Phytomenadione) 10 mg IV slow</t>
        </is>
      </c>
      <c r="G1712" s="18" t="inlineStr">
        <is>
          <t>Sodium thiosulfate 25% 50 mL IV</t>
        </is>
      </c>
      <c r="H1712" s="18" t="inlineStr">
        <is>
          <t>Calcium disodium EDTA 1 g IV</t>
        </is>
      </c>
      <c r="I1712" s="15" t="inlineStr">
        <is>
          <t>3</t>
        </is>
      </c>
      <c r="J1712" s="18"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2" s="18" t="inlineStr"/>
      <c r="L1712" s="18" t="inlineStr">
        <is>
          <t>General Therapeutics</t>
        </is>
      </c>
      <c r="M1712" s="18" t="inlineStr">
        <is>
          <t>Clinic</t>
        </is>
      </c>
      <c r="N1712" s="18" t="inlineStr">
        <is>
          <t>ข้อ 5 (PLE_CC1_Key_Rx20_UBU.md)</t>
        </is>
      </c>
      <c r="O1712" s="18" t="inlineStr">
        <is>
          <t>Mock</t>
        </is>
      </c>
      <c r="P1712" s="18" t="inlineStr">
        <is>
          <t>Mock Rx20 UBU</t>
        </is>
      </c>
    </row>
    <row r="1713">
      <c r="A1713" s="15" t="inlineStr">
        <is>
          <t>1734</t>
        </is>
      </c>
      <c r="B1713" s="18" t="inlineStr">
        <is>
          <t>Hypomellose หวานกว่าน้ำตาล</t>
        </is>
      </c>
      <c r="C1713" s="18" t="inlineStr"/>
      <c r="D1713" s="18" t="inlineStr">
        <is>
          <t>Sodium thiosulfate 25% 50 mL IV</t>
        </is>
      </c>
      <c r="E1713" s="18" t="inlineStr">
        <is>
          <t>Calcium disodium EDTA 1 g IV</t>
        </is>
      </c>
      <c r="F1713" s="18" t="inlineStr">
        <is>
          <t>Desferrioxamine 1 g IM/IV</t>
        </is>
      </c>
      <c r="G1713" s="18" t="inlineStr">
        <is>
          <t>Dimercaprol (BAL) 3 mg/kg IM</t>
        </is>
      </c>
      <c r="H1713" s="18" t="inlineStr">
        <is>
          <t>Ethanol 10% IV infusion for Methanol poisoning</t>
        </is>
      </c>
      <c r="I1713" s="15" t="inlineStr">
        <is>
          <t>1</t>
        </is>
      </c>
      <c r="J17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13" s="18" t="inlineStr"/>
      <c r="L1713" s="18" t="inlineStr">
        <is>
          <t>General Therapeutics</t>
        </is>
      </c>
      <c r="M1713" s="18" t="inlineStr">
        <is>
          <t>Clinic</t>
        </is>
      </c>
      <c r="N1713" s="18" t="inlineStr">
        <is>
          <t>ข้อ 1 (PLE_CC1_Key_Rx20_UBU.md)</t>
        </is>
      </c>
      <c r="O1713" s="18" t="inlineStr">
        <is>
          <t>Mock</t>
        </is>
      </c>
      <c r="P1713" s="18" t="inlineStr">
        <is>
          <t>Mock Rx20 UBU</t>
        </is>
      </c>
    </row>
    <row r="1714">
      <c r="A1714" s="15" t="inlineStr">
        <is>
          <t>1735</t>
        </is>
      </c>
      <c r="B1714" s="18" t="inlineStr">
        <is>
          <t>Aspartam เป็น preservative</t>
        </is>
      </c>
      <c r="C1714" s="18" t="inlineStr"/>
      <c r="D1714" s="18" t="inlineStr">
        <is>
          <t>Dimercaprol (BAL) 3 mg/kg IM</t>
        </is>
      </c>
      <c r="E1714" s="18" t="inlineStr">
        <is>
          <t>Ethanol 10% IV infusion for Methanol poisoning</t>
        </is>
      </c>
      <c r="F1714" s="18" t="inlineStr">
        <is>
          <t>Fomepizole 15 mg/kg IV loading</t>
        </is>
      </c>
      <c r="G1714" s="18" t="inlineStr">
        <is>
          <t>N-acetylcysteine (NAC) IV infusion protocol</t>
        </is>
      </c>
      <c r="H1714" s="18" t="inlineStr">
        <is>
          <t>Atropine sulfate 2 mg IV Q5-10 min</t>
        </is>
      </c>
      <c r="I1714" s="15" t="inlineStr">
        <is>
          <t>1</t>
        </is>
      </c>
      <c r="J17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4" s="18" t="inlineStr"/>
      <c r="L1714" s="18" t="inlineStr">
        <is>
          <t>General Therapeutics</t>
        </is>
      </c>
      <c r="M1714" s="18" t="inlineStr">
        <is>
          <t>Clinic</t>
        </is>
      </c>
      <c r="N1714" s="18" t="inlineStr">
        <is>
          <t>ข้อ 2 (PLE_CC1_Key_Rx20_UBU.md)</t>
        </is>
      </c>
      <c r="O1714" s="18" t="inlineStr">
        <is>
          <t>Mock</t>
        </is>
      </c>
      <c r="P1714" s="18" t="inlineStr">
        <is>
          <t>Mock Rx20 UBU</t>
        </is>
      </c>
    </row>
    <row r="1715">
      <c r="A1715" s="15" t="inlineStr">
        <is>
          <t>1736</t>
        </is>
      </c>
      <c r="B1715" s="18" t="inlineStr">
        <is>
          <t>Colloidol ช่วยไหล</t>
        </is>
      </c>
      <c r="C1715" s="18" t="inlineStr"/>
      <c r="D1715" s="18" t="inlineStr">
        <is>
          <t>N-acetylcysteine (NAC) IV infusion protocol</t>
        </is>
      </c>
      <c r="E1715" s="18" t="inlineStr">
        <is>
          <t>Atropine sulfate 2 mg IV Q5-10 min</t>
        </is>
      </c>
      <c r="F1715" s="18" t="inlineStr">
        <is>
          <t>Pralidoxime (2-PAM) 1-2 g IV over 30 min</t>
        </is>
      </c>
      <c r="G1715" s="18" t="inlineStr">
        <is>
          <t>Naloxone 0.4 mg IV stat</t>
        </is>
      </c>
      <c r="H1715" s="18" t="inlineStr">
        <is>
          <t>Flumazenil 0.2 mg IV stat</t>
        </is>
      </c>
      <c r="I1715" s="15" t="inlineStr">
        <is>
          <t>1</t>
        </is>
      </c>
      <c r="J17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5" s="18" t="inlineStr"/>
      <c r="L1715" s="18" t="inlineStr">
        <is>
          <t>General Therapeutics</t>
        </is>
      </c>
      <c r="M1715" s="18" t="inlineStr">
        <is>
          <t>Clinic</t>
        </is>
      </c>
      <c r="N1715" s="18" t="inlineStr">
        <is>
          <t>ข้อ 3 (PLE_CC1_Key_Rx20_UBU.md)</t>
        </is>
      </c>
      <c r="O1715" s="18" t="inlineStr">
        <is>
          <t>Mock</t>
        </is>
      </c>
      <c r="P1715" s="18" t="inlineStr">
        <is>
          <t>Mock Rx20 UBU</t>
        </is>
      </c>
    </row>
    <row r="1716">
      <c r="A1716" s="15" t="inlineStr">
        <is>
          <t>1737</t>
        </is>
      </c>
      <c r="B1716" s="18" t="inlineStr">
        <is>
          <t>เมื่อผสมแล้วได้น้ำเชื่อมใส</t>
        </is>
      </c>
      <c r="C1716" s="18" t="inlineStr"/>
      <c r="D1716" s="18" t="inlineStr">
        <is>
          <t>Naloxone 0.4 mg IV stat</t>
        </is>
      </c>
      <c r="E1716" s="18" t="inlineStr">
        <is>
          <t>Flumazenil 0.2 mg IV stat</t>
        </is>
      </c>
      <c r="F1716" s="18" t="inlineStr">
        <is>
          <t>Vitamin K1 (Phytomenadione) 10 mg IV slow</t>
        </is>
      </c>
      <c r="G1716" s="18" t="inlineStr">
        <is>
          <t>Sodium thiosulfate 25% 50 mL IV</t>
        </is>
      </c>
      <c r="H1716" s="18" t="inlineStr">
        <is>
          <t>Calcium disodium EDTA 1 g IV</t>
        </is>
      </c>
      <c r="I1716" s="15" t="inlineStr">
        <is>
          <t>3</t>
        </is>
      </c>
      <c r="J1716" s="18"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6" s="18" t="inlineStr"/>
      <c r="L1716" s="18" t="inlineStr">
        <is>
          <t>General Therapeutics</t>
        </is>
      </c>
      <c r="M1716" s="18" t="inlineStr">
        <is>
          <t>Clinic</t>
        </is>
      </c>
      <c r="N1716" s="18" t="inlineStr">
        <is>
          <t>ข้อ 4 (PLE_CC1_Key_Rx20_UBU.md)</t>
        </is>
      </c>
      <c r="O1716" s="18" t="inlineStr">
        <is>
          <t>Mock</t>
        </is>
      </c>
      <c r="P1716" s="18" t="inlineStr">
        <is>
          <t>Mock Rx20 UBU</t>
        </is>
      </c>
    </row>
    <row r="1717">
      <c r="A1717" s="15" t="inlineStr">
        <is>
          <t>1738</t>
        </is>
      </c>
      <c r="B1717" s="18" t="inlineStr">
        <is>
          <t>pseudoplastic flow</t>
        </is>
      </c>
      <c r="C1717" s="18" t="inlineStr"/>
      <c r="D1717" s="18" t="inlineStr">
        <is>
          <t>Sodium thiosulfate 25% 50 mL IV</t>
        </is>
      </c>
      <c r="E1717" s="18" t="inlineStr">
        <is>
          <t>Calcium disodium EDTA 1 g IV</t>
        </is>
      </c>
      <c r="F1717" s="18" t="inlineStr">
        <is>
          <t>Desferrioxamine 1 g IM/IV</t>
        </is>
      </c>
      <c r="G1717" s="18" t="inlineStr">
        <is>
          <t>Dimercaprol (BAL) 3 mg/kg IM</t>
        </is>
      </c>
      <c r="H1717" s="18" t="inlineStr">
        <is>
          <t>Ethanol 10% IV infusion for Methanol poisoning</t>
        </is>
      </c>
      <c r="I1717" s="15" t="inlineStr">
        <is>
          <t>1</t>
        </is>
      </c>
      <c r="J17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7" s="18" t="inlineStr"/>
      <c r="L1717" s="18" t="inlineStr">
        <is>
          <t>General Therapeutics</t>
        </is>
      </c>
      <c r="M1717" s="18" t="inlineStr">
        <is>
          <t>Clinic</t>
        </is>
      </c>
      <c r="N1717" s="18" t="inlineStr">
        <is>
          <t>ข้อ 2 (PLE_CC1_Key_Rx20_UBU.md)</t>
        </is>
      </c>
      <c r="O1717" s="18" t="inlineStr">
        <is>
          <t>Mock</t>
        </is>
      </c>
      <c r="P1717" s="18" t="inlineStr">
        <is>
          <t>Mock Rx20 UBU</t>
        </is>
      </c>
    </row>
    <row r="1718">
      <c r="A1718" s="15" t="inlineStr">
        <is>
          <t>1739</t>
        </is>
      </c>
      <c r="B1718" s="18" t="inlineStr">
        <is>
          <t>brownian ลักษณะการไหลของของไหลโดยทั่วไปสามารถแบ่งได้ 2 แบบ /✓</t>
        </is>
      </c>
      <c r="C1718" s="18" t="inlineStr"/>
      <c r="D1718" s="18" t="inlineStr">
        <is>
          <t>Dimercaprol (BAL) 3 mg/kg IM</t>
        </is>
      </c>
      <c r="E1718" s="18" t="inlineStr">
        <is>
          <t>Ethanol 10% IV infusion for Methanol poisoning</t>
        </is>
      </c>
      <c r="F1718" s="18" t="inlineStr">
        <is>
          <t>Fomepizole 15 mg/kg IV loading</t>
        </is>
      </c>
      <c r="G1718" s="18" t="inlineStr">
        <is>
          <t>N-acetylcysteine (NAC) IV infusion protocol</t>
        </is>
      </c>
      <c r="H1718" s="18" t="inlineStr">
        <is>
          <t>Atropine sulfate 2 mg IV Q5-10 min</t>
        </is>
      </c>
      <c r="I1718" s="15" t="inlineStr">
        <is>
          <t>5</t>
        </is>
      </c>
      <c r="J1718" s="18"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18" s="18" t="inlineStr"/>
      <c r="L1718" s="18" t="inlineStr">
        <is>
          <t>General Therapeutics</t>
        </is>
      </c>
      <c r="M1718" s="18" t="inlineStr">
        <is>
          <t>Clinic</t>
        </is>
      </c>
      <c r="N1718" s="18" t="inlineStr">
        <is>
          <t>ข้อ 5 (PLE_CC1_Key_Rx20_UBU.md)</t>
        </is>
      </c>
      <c r="O1718" s="18" t="inlineStr">
        <is>
          <t>Mock</t>
        </is>
      </c>
      <c r="P1718" s="18" t="inlineStr">
        <is>
          <t>Mock Rx20 UBU</t>
        </is>
      </c>
    </row>
    <row r="1719">
      <c r="A1719" s="15" t="inlineStr">
        <is>
          <t>1740</t>
        </is>
      </c>
      <c r="B1719" s="18" t="inlineStr">
        <is>
          <t>Newtonian Fluid : เป็นลักษณะการไหลของของไหลที่เป็นไปตามการสันนิษฐานของนิวตัน คือ ที่ อุณหภูมิหนึ่งๆของไหลจะมีค่าความหนืดเป็นค่าคงที่ ไม่เปลี่ยนแปลงขึ้นกับอัตราเฉือน หรือ ความเร็วในการกวน ไม่วาจะกวนเร็วหรือกวนช้า ตัวอยางเช่น น้ำ น้ำมัน น้ำเชื่อม น้ำผลไม กลีเซอรีน แอลกอฮอล เป็นต้น</t>
        </is>
      </c>
      <c r="C1719" s="18" t="inlineStr"/>
      <c r="D1719" s="18" t="inlineStr">
        <is>
          <t>N-acetylcysteine (NAC) IV infusion protocol</t>
        </is>
      </c>
      <c r="E1719" s="18" t="inlineStr">
        <is>
          <t>Atropine sulfate 2 mg IV Q5-10 min</t>
        </is>
      </c>
      <c r="F1719" s="18" t="inlineStr">
        <is>
          <t>Pralidoxime (2-PAM) 1-2 g IV over 30 min</t>
        </is>
      </c>
      <c r="G1719" s="18" t="inlineStr">
        <is>
          <t>Naloxone 0.4 mg IV stat</t>
        </is>
      </c>
      <c r="H1719" s="18" t="inlineStr">
        <is>
          <t>Flumazenil 0.2 mg IV stat</t>
        </is>
      </c>
      <c r="I1719" s="15" t="inlineStr">
        <is>
          <t>1</t>
        </is>
      </c>
      <c r="J171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9" s="18" t="inlineStr"/>
      <c r="L1719" s="18" t="inlineStr">
        <is>
          <t>General Therapeutics</t>
        </is>
      </c>
      <c r="M1719" s="18" t="inlineStr">
        <is>
          <t>Clinic</t>
        </is>
      </c>
      <c r="N1719" s="18" t="inlineStr">
        <is>
          <t>ข้อ 1 (PLE_CC1_Key_Rx20_UBU.md)</t>
        </is>
      </c>
      <c r="O1719" s="18" t="inlineStr">
        <is>
          <t>Mock</t>
        </is>
      </c>
      <c r="P1719" s="18" t="inlineStr">
        <is>
          <t>Mock Rx20 UBU</t>
        </is>
      </c>
    </row>
    <row r="1720">
      <c r="A1720" s="15" t="inlineStr">
        <is>
          <t>1741</t>
        </is>
      </c>
      <c r="B1720" s="18" t="inlineStr">
        <is>
          <t>Non Newtonian Fluid : เป็นลักษณะการไหลของของไหลที่ไม่เป็นไปตามการสันนิษฐานของนิวตัน คือ ที่ อุณหภูมิหนึ่งๆ ของไหลมีค่าความหนืดเป็นค่าไมคงที่ การเปลี่ยนแปลงขึ้นอยู่กับอัตราเฉือน หรือ ความเร็วในการกวน ลักษณะการไหลแบบนี้แบ่งเปน 4 แบบ</t>
        </is>
      </c>
      <c r="C1720" s="18" t="inlineStr"/>
      <c r="D1720" s="18" t="inlineStr">
        <is>
          <t>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t>
        </is>
      </c>
      <c r="E1720" s="18" t="inlineStr">
        <is>
          <t>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t>
        </is>
      </c>
      <c r="F1720" s="18" t="inlineStr">
        <is>
          <t>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t>
        </is>
      </c>
      <c r="G1720" s="18" t="inlineStr">
        <is>
          <t>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t>
        </is>
      </c>
      <c r="H1720" s="18" t="inlineStr">
        <is>
          <t>Calcium disodium EDTA 1 g IV</t>
        </is>
      </c>
      <c r="I1720" s="15" t="inlineStr">
        <is>
          <t>1</t>
        </is>
      </c>
      <c r="J1720" s="18" t="inlineStr">
        <is>
          <t>✅ คำตอบที่ถูกต้อง: ข้อ 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การเลือก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 ข้อนี้ไม่ใช่คำตอบที่ถูกต้องสำหรับภาวะ General Therapeutics เนื่องจากกลไกการออกฤทธิ์, efficacy หรือข้อบ่งใช้ไม่ตรงกับโจทย์ที่กำหนด
• ข้อ ค. (3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20" s="18" t="inlineStr"/>
      <c r="L1720" s="18" t="inlineStr">
        <is>
          <t>General Therapeutics</t>
        </is>
      </c>
      <c r="M1720" s="18" t="inlineStr">
        <is>
          <t>Clinic</t>
        </is>
      </c>
      <c r="N1720" s="18" t="inlineStr">
        <is>
          <t>ข้อ 2 (PLE_CC1_Key_Rx20_UBU.md)</t>
        </is>
      </c>
      <c r="O1720" s="18" t="inlineStr">
        <is>
          <t>Mock</t>
        </is>
      </c>
      <c r="P1720" s="18" t="inlineStr">
        <is>
          <t>Mock Rx20 UBU</t>
        </is>
      </c>
    </row>
    <row r="1721">
      <c r="A1721" s="15" t="inlineStr">
        <is>
          <t>1742</t>
        </is>
      </c>
      <c r="B1721" s="18" t="inlineStr">
        <is>
          <t>ยาเสื่อมคุณภาพ</t>
        </is>
      </c>
      <c r="C1721" s="18" t="inlineStr"/>
      <c r="D1721" s="18" t="inlineStr">
        <is>
          <t>Sodium thiosulfate 25% 50 mL IV</t>
        </is>
      </c>
      <c r="E1721" s="18" t="inlineStr">
        <is>
          <t>Calcium disodium EDTA 1 g IV</t>
        </is>
      </c>
      <c r="F1721" s="18" t="inlineStr">
        <is>
          <t>Desferrioxamine 1 g IM/IV</t>
        </is>
      </c>
      <c r="G1721" s="18" t="inlineStr">
        <is>
          <t>Dimercaprol (BAL) 3 mg/kg IM</t>
        </is>
      </c>
      <c r="H1721" s="18" t="inlineStr">
        <is>
          <t>Ethanol 10% IV infusion for Methanol poisoning</t>
        </is>
      </c>
      <c r="I1721" s="15" t="inlineStr">
        <is>
          <t>1</t>
        </is>
      </c>
      <c r="J17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1" s="18" t="inlineStr"/>
      <c r="L1721" s="18" t="inlineStr">
        <is>
          <t>General Therapeutics</t>
        </is>
      </c>
      <c r="M1721" s="18" t="inlineStr">
        <is>
          <t>Clinic</t>
        </is>
      </c>
      <c r="N1721" s="18" t="inlineStr">
        <is>
          <t>ข้อ 4 (PLE_CC1_Key_Rx20_UBU.md)</t>
        </is>
      </c>
      <c r="O1721" s="18" t="inlineStr">
        <is>
          <t>Mock</t>
        </is>
      </c>
      <c r="P1721" s="18" t="inlineStr">
        <is>
          <t>Mock Rx20 UBU</t>
        </is>
      </c>
    </row>
    <row r="1722">
      <c r="A1722" s="15" t="inlineStr">
        <is>
          <t>1743</t>
        </is>
      </c>
      <c r="B1722" s="18" t="inlineStr">
        <is>
          <t>ยาใดเหมาะสมที่สุดในการเริ่มให้ยารักษาแก่ผู้ป่วยรายนี้</t>
        </is>
      </c>
      <c r="C1722" s="18" t="inlineStr"/>
      <c r="D1722" s="18" t="inlineStr">
        <is>
          <t>Dimercaprol (BAL) 3 mg/kg IM</t>
        </is>
      </c>
      <c r="E1722" s="18" t="inlineStr">
        <is>
          <t>Ethanol 10% IV infusion for Methanol poisoning</t>
        </is>
      </c>
      <c r="F1722" s="18" t="inlineStr">
        <is>
          <t>Fomepizole 15 mg/kg IV loading</t>
        </is>
      </c>
      <c r="G1722" s="18" t="inlineStr">
        <is>
          <t>N-acetylcysteine (NAC) IV infusion protocol</t>
        </is>
      </c>
      <c r="H1722" s="18" t="inlineStr">
        <is>
          <t>Atropine sulfate 2 mg IV Q5-10 min</t>
        </is>
      </c>
      <c r="I1722" s="15" t="inlineStr">
        <is>
          <t>1</t>
        </is>
      </c>
      <c r="J17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2" s="18" t="inlineStr"/>
      <c r="L1722" s="18" t="inlineStr">
        <is>
          <t>General Therapeutics</t>
        </is>
      </c>
      <c r="M1722" s="18" t="inlineStr">
        <is>
          <t>Clinic</t>
        </is>
      </c>
      <c r="N1722" s="18" t="inlineStr">
        <is>
          <t>ข้อ 1 (PLE_CC1_Key_Rx20_UBU.md)</t>
        </is>
      </c>
      <c r="O1722" s="18" t="inlineStr">
        <is>
          <t>Mock</t>
        </is>
      </c>
      <c r="P1722" s="18" t="inlineStr">
        <is>
          <t>Mock Rx20 UBU</t>
        </is>
      </c>
    </row>
    <row r="1723">
      <c r="A1723" s="15" t="inlineStr">
        <is>
          <t>1744</t>
        </is>
      </c>
      <c r="B1723" s="18" t="inlineStr">
        <is>
          <t>เพิ่มยา Atenolol</t>
        </is>
      </c>
      <c r="C1723" s="18" t="inlineStr"/>
      <c r="D1723" s="18" t="inlineStr">
        <is>
          <t>N-acetylcysteine (NAC) IV infusion protocol</t>
        </is>
      </c>
      <c r="E1723" s="18" t="inlineStr">
        <is>
          <t>Atropine sulfate 2 mg IV Q5-10 min</t>
        </is>
      </c>
      <c r="F1723" s="18" t="inlineStr">
        <is>
          <t>Pralidoxime (2-PAM) 1-2 g IV over 30 min</t>
        </is>
      </c>
      <c r="G1723" s="18" t="inlineStr">
        <is>
          <t>Naloxone 0.4 mg IV stat</t>
        </is>
      </c>
      <c r="H1723" s="18" t="inlineStr">
        <is>
          <t>Flumazenil 0.2 mg IV stat</t>
        </is>
      </c>
      <c r="I1723" s="15" t="inlineStr">
        <is>
          <t>1</t>
        </is>
      </c>
      <c r="J17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3" s="18" t="inlineStr"/>
      <c r="L1723" s="18" t="inlineStr">
        <is>
          <t>General Therapeutics</t>
        </is>
      </c>
      <c r="M1723" s="18" t="inlineStr">
        <is>
          <t>Clinic</t>
        </is>
      </c>
      <c r="N1723" s="18" t="inlineStr">
        <is>
          <t>ข้อ 1 (PLE_CC1_Key_Rx20_UBU.md)</t>
        </is>
      </c>
      <c r="O1723" s="18" t="inlineStr">
        <is>
          <t>Mock</t>
        </is>
      </c>
      <c r="P1723" s="18" t="inlineStr">
        <is>
          <t>Mock Rx20 UBU</t>
        </is>
      </c>
    </row>
    <row r="1724">
      <c r="A1724" s="15" t="inlineStr">
        <is>
          <t>1745</t>
        </is>
      </c>
      <c r="B1724" s="18" t="inlineStr">
        <is>
          <t>เพิ่มยา Acarbose</t>
        </is>
      </c>
      <c r="C1724" s="18" t="inlineStr"/>
      <c r="D1724" s="18" t="inlineStr">
        <is>
          <t>Naloxone 0.4 mg IV stat</t>
        </is>
      </c>
      <c r="E1724" s="18" t="inlineStr">
        <is>
          <t>Flumazenil 0.2 mg IV stat</t>
        </is>
      </c>
      <c r="F1724" s="18" t="inlineStr">
        <is>
          <t>Vitamin K1 (Phytomenadione) 10 mg IV slow</t>
        </is>
      </c>
      <c r="G1724" s="18" t="inlineStr">
        <is>
          <t>Sodium thiosulfate 25% 50 mL IV</t>
        </is>
      </c>
      <c r="H1724" s="18" t="inlineStr">
        <is>
          <t>Calcium disodium EDTA 1 g IV</t>
        </is>
      </c>
      <c r="I1724" s="15" t="inlineStr">
        <is>
          <t>1</t>
        </is>
      </c>
      <c r="J172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4" s="18" t="inlineStr"/>
      <c r="L1724" s="18" t="inlineStr">
        <is>
          <t>General Therapeutics</t>
        </is>
      </c>
      <c r="M1724" s="18" t="inlineStr">
        <is>
          <t>Clinic</t>
        </is>
      </c>
      <c r="N1724" s="18" t="inlineStr">
        <is>
          <t>ข้อ 3 (PLE_CC1_Key_Rx20_UBU.md)</t>
        </is>
      </c>
      <c r="O1724" s="18" t="inlineStr">
        <is>
          <t>Mock</t>
        </is>
      </c>
      <c r="P1724" s="18" t="inlineStr">
        <is>
          <t>Mock Rx20 UBU</t>
        </is>
      </c>
    </row>
    <row r="1725">
      <c r="A1725" s="15" t="inlineStr">
        <is>
          <t>1746</t>
        </is>
      </c>
      <c r="B1725" s="18" t="inlineStr">
        <is>
          <t>ไม่จำเป็นต้องได้รับ</t>
        </is>
      </c>
      <c r="C1725" s="18" t="inlineStr"/>
      <c r="D1725" s="18" t="inlineStr">
        <is>
          <t>Sodium thiosulfate 25% 50 mL IV</t>
        </is>
      </c>
      <c r="E1725" s="18" t="inlineStr">
        <is>
          <t>Calcium disodium EDTA 1 g IV</t>
        </is>
      </c>
      <c r="F1725" s="18" t="inlineStr">
        <is>
          <t>Desferrioxamine 1 g IM/IV</t>
        </is>
      </c>
      <c r="G1725" s="18" t="inlineStr">
        <is>
          <t>Dimercaprol (BAL) 3 mg/kg IM</t>
        </is>
      </c>
      <c r="H1725" s="18" t="inlineStr">
        <is>
          <t>Ethanol 10% IV infusion for Methanol poisoning</t>
        </is>
      </c>
      <c r="I1725" s="15" t="inlineStr">
        <is>
          <t>1</t>
        </is>
      </c>
      <c r="J172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5" s="18" t="inlineStr"/>
      <c r="L1725" s="18" t="inlineStr">
        <is>
          <t>General Therapeutics</t>
        </is>
      </c>
      <c r="M1725" s="18" t="inlineStr">
        <is>
          <t>Clinic</t>
        </is>
      </c>
      <c r="N1725" s="18" t="inlineStr">
        <is>
          <t>ข้อ 1 (PLE_CC1_Key_Rx20_UBU.md)</t>
        </is>
      </c>
      <c r="O1725" s="18" t="inlineStr">
        <is>
          <t>Mock</t>
        </is>
      </c>
      <c r="P1725" s="18" t="inlineStr">
        <is>
          <t>Mock Rx20 UBU</t>
        </is>
      </c>
    </row>
    <row r="1726">
      <c r="A1726" s="15" t="inlineStr">
        <is>
          <t>1747</t>
        </is>
      </c>
      <c r="B1726" s="18" t="inlineStr">
        <is>
          <t>กลไกของยาใดที่ไม่ได้เกี่ยวข้องกับการหลั่งอินซูลิน หรือ การดื้อต่ออินซูลิน</t>
        </is>
      </c>
      <c r="C1726" s="18" t="inlineStr"/>
      <c r="D1726" s="18" t="inlineStr">
        <is>
          <t>Dimercaprol (BAL) 3 mg/kg IM</t>
        </is>
      </c>
      <c r="E1726" s="18" t="inlineStr">
        <is>
          <t>Ethanol 10% IV infusion for Methanol poisoning</t>
        </is>
      </c>
      <c r="F1726" s="18" t="inlineStr">
        <is>
          <t>Fomepizole 15 mg/kg IV loading</t>
        </is>
      </c>
      <c r="G1726" s="18" t="inlineStr">
        <is>
          <t>N-acetylcysteine (NAC) IV infusion protocol</t>
        </is>
      </c>
      <c r="H1726" s="18" t="inlineStr">
        <is>
          <t>Atropine sulfate 2 mg IV Q5-10 min</t>
        </is>
      </c>
      <c r="I1726" s="15" t="inlineStr">
        <is>
          <t>1</t>
        </is>
      </c>
      <c r="J17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6" s="18" t="inlineStr"/>
      <c r="L1726" s="18" t="inlineStr">
        <is>
          <t>General Therapeutics</t>
        </is>
      </c>
      <c r="M1726" s="18" t="inlineStr">
        <is>
          <t>Clinic</t>
        </is>
      </c>
      <c r="N1726" s="18" t="inlineStr">
        <is>
          <t>ข้อ 4 (PLE_CC1_Key_Rx20_UBU.md)</t>
        </is>
      </c>
      <c r="O1726" s="18" t="inlineStr">
        <is>
          <t>Mock</t>
        </is>
      </c>
      <c r="P1726" s="18" t="inlineStr">
        <is>
          <t>Mock Rx20 UBU</t>
        </is>
      </c>
    </row>
    <row r="1727">
      <c r="A1727" s="15" t="inlineStr">
        <is>
          <t>1748</t>
        </is>
      </c>
      <c r="B1727" s="18" t="inlineStr">
        <is>
          <t>ดื่มน้ำมะระขี้นก 100 ml ก่อนอาหารกลางวัน</t>
        </is>
      </c>
      <c r="C1727" s="18" t="inlineStr"/>
      <c r="D1727" s="18" t="inlineStr">
        <is>
          <t>N-acetylcysteine (NAC) IV infusion protocol</t>
        </is>
      </c>
      <c r="E1727" s="18" t="inlineStr">
        <is>
          <t>Atropine sulfate 2 mg IV Q5-10 min</t>
        </is>
      </c>
      <c r="F1727" s="18" t="inlineStr">
        <is>
          <t>Pralidoxime (2-PAM) 1-2 g IV over 30 min</t>
        </is>
      </c>
      <c r="G1727" s="18" t="inlineStr">
        <is>
          <t>Naloxone 0.4 mg IV stat</t>
        </is>
      </c>
      <c r="H1727" s="18" t="inlineStr">
        <is>
          <t>Flumazenil 0.2 mg IV stat</t>
        </is>
      </c>
      <c r="I1727" s="15" t="inlineStr">
        <is>
          <t>1</t>
        </is>
      </c>
      <c r="J17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7" s="18" t="inlineStr"/>
      <c r="L1727" s="18" t="inlineStr">
        <is>
          <t>General Therapeutics</t>
        </is>
      </c>
      <c r="M1727" s="18" t="inlineStr">
        <is>
          <t>Clinic</t>
        </is>
      </c>
      <c r="N1727" s="18" t="inlineStr">
        <is>
          <t>ข้อ 1 (PLE_CC1_Key_Rx20_UBU.md)</t>
        </is>
      </c>
      <c r="O1727" s="18" t="inlineStr">
        <is>
          <t>Mock</t>
        </is>
      </c>
      <c r="P1727" s="18" t="inlineStr">
        <is>
          <t>Mock Rx20 UBU</t>
        </is>
      </c>
    </row>
    <row r="1728">
      <c r="A1728" s="15" t="inlineStr">
        <is>
          <t>1749</t>
        </is>
      </c>
      <c r="B1728" s="18" t="inlineStr">
        <is>
          <t>ดื่มชาชงชุมเห็ดเทศ</t>
        </is>
      </c>
      <c r="C1728" s="18" t="inlineStr"/>
      <c r="D1728" s="18" t="inlineStr">
        <is>
          <t>Naloxone 0.4 mg IV stat</t>
        </is>
      </c>
      <c r="E1728" s="18" t="inlineStr">
        <is>
          <t>Flumazenil 0.2 mg IV stat</t>
        </is>
      </c>
      <c r="F1728" s="18" t="inlineStr">
        <is>
          <t>Vitamin K1 (Phytomenadione) 10 mg IV slow</t>
        </is>
      </c>
      <c r="G1728" s="18" t="inlineStr">
        <is>
          <t>Sodium thiosulfate 25% 50 mL IV</t>
        </is>
      </c>
      <c r="H1728" s="18" t="inlineStr">
        <is>
          <t>Calcium disodium EDTA 1 g IV</t>
        </is>
      </c>
      <c r="I1728" s="15" t="inlineStr">
        <is>
          <t>1</t>
        </is>
      </c>
      <c r="J17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8" s="18" t="inlineStr"/>
      <c r="L1728" s="18" t="inlineStr">
        <is>
          <t>General Therapeutics</t>
        </is>
      </c>
      <c r="M1728" s="18" t="inlineStr">
        <is>
          <t>Clinic</t>
        </is>
      </c>
      <c r="N1728" s="18" t="inlineStr">
        <is>
          <t>ข้อ 2 (PLE_CC1_Key_Rx20_UBU.md)</t>
        </is>
      </c>
      <c r="O1728" s="18" t="inlineStr">
        <is>
          <t>Mock</t>
        </is>
      </c>
      <c r="P1728" s="18" t="inlineStr">
        <is>
          <t>Mock Rx20 UBU</t>
        </is>
      </c>
    </row>
    <row r="1729">
      <c r="A1729" s="15" t="inlineStr">
        <is>
          <t>1750</t>
        </is>
      </c>
      <c r="B1729" s="18" t="inlineStr">
        <is>
          <t>Pioglitazone</t>
        </is>
      </c>
      <c r="C1729" s="18" t="inlineStr"/>
      <c r="D1729" s="18" t="inlineStr">
        <is>
          <t>Dapagliflozin 10 mg OD</t>
        </is>
      </c>
      <c r="E1729" s="18" t="inlineStr">
        <is>
          <t>Semaglutide 0.5 mg SC weekly</t>
        </is>
      </c>
      <c r="F1729" s="18" t="inlineStr">
        <is>
          <t>Metformin 500 mg BID</t>
        </is>
      </c>
      <c r="G1729" s="18" t="inlineStr">
        <is>
          <t>Glipizide 5 mg OD</t>
        </is>
      </c>
      <c r="H1729" s="18" t="inlineStr">
        <is>
          <t>Empagliflozin 10 mg OD</t>
        </is>
      </c>
      <c r="I1729" s="15" t="inlineStr">
        <is>
          <t>1</t>
        </is>
      </c>
      <c r="J1729" s="1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729" s="18" t="inlineStr"/>
      <c r="L1729" s="18" t="inlineStr">
        <is>
          <t>Diabetes &amp; Endocrine</t>
        </is>
      </c>
      <c r="M1729" s="18" t="inlineStr">
        <is>
          <t>Clinic</t>
        </is>
      </c>
      <c r="N1729" s="18" t="inlineStr">
        <is>
          <t>ข้อ 5 (PLE_CC1_Key_Rx20_UBU.md)</t>
        </is>
      </c>
      <c r="O1729" s="18" t="inlineStr">
        <is>
          <t>Mock</t>
        </is>
      </c>
      <c r="P1729" s="18" t="inlineStr">
        <is>
          <t>Mock Rx20 UBU</t>
        </is>
      </c>
    </row>
    <row r="1730">
      <c r="A1730" s="15" t="inlineStr">
        <is>
          <t>1751</t>
        </is>
      </c>
      <c r="B1730" s="18" t="inlineStr">
        <is>
          <t>จงหาอัตราการปลดปล่อยตาม Kinetic Y คือ % cumulative drug release Y คือ % drug remaining X คือ time X คือ time Y = 0.200x + 9.606 Y = 9.753x + 9.983 R2 = 0.100 R2 = 0.952 - T</t>
        </is>
      </c>
      <c r="C1730" s="18" t="inlineStr"/>
      <c r="D1730" s="18" t="inlineStr">
        <is>
          <t>Dimercaprol (BAL) 3 mg/kg IM</t>
        </is>
      </c>
      <c r="E1730" s="18" t="inlineStr">
        <is>
          <t>Ethanol 10% IV infusion for Methanol poisoning</t>
        </is>
      </c>
      <c r="F1730" s="18" t="inlineStr">
        <is>
          <t>Fomepizole 15 mg/kg IV loading</t>
        </is>
      </c>
      <c r="G1730" s="18" t="inlineStr">
        <is>
          <t>N-acetylcysteine (NAC) IV infusion protocol</t>
        </is>
      </c>
      <c r="H1730" s="18" t="inlineStr">
        <is>
          <t>Atropine sulfate 2 mg IV Q5-10 min</t>
        </is>
      </c>
      <c r="I1730" s="15" t="inlineStr">
        <is>
          <t>1</t>
        </is>
      </c>
      <c r="J17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30" s="18" t="inlineStr"/>
      <c r="L1730" s="18" t="inlineStr">
        <is>
          <t>General Therapeutics</t>
        </is>
      </c>
      <c r="M1730" s="18" t="inlineStr">
        <is>
          <t>Clinic</t>
        </is>
      </c>
      <c r="N1730" s="18" t="inlineStr">
        <is>
          <t>ข้อ 7 (PLE_CC1_Key_Rx20_UBU.md)</t>
        </is>
      </c>
      <c r="O1730" s="18" t="inlineStr">
        <is>
          <t>Mock</t>
        </is>
      </c>
      <c r="P1730" s="18" t="inlineStr">
        <is>
          <t>Mock Rx20 UBU</t>
        </is>
      </c>
    </row>
    <row r="1731">
      <c r="A1731" s="15" t="inlineStr">
        <is>
          <t>1752</t>
        </is>
      </c>
      <c r="B1731" s="18" t="inlineStr">
        <is>
          <t>0.100 h-1 จากกราฟ แสดงความเข้มข้นของยา และ เวลา แสดงให้เห็นถึง การสลายตัวของยาเป็นแบบ zero order reaction ซึ่งเป็นปฏิกิริยาที่ไม่ขึ้นกับความเข้มข้นของสารตั้งต้น โดย ค่าความชัน = - K = - จากสมการเส้นตรง y = ax + b โดยที่ a และ b เป็นค่าคงตัว และ a เป็นค่าของความชันของเส้นตรง b เป็นระยะที่เส้นตรงตัดแกน Y จากโจทย์ข้งต้น Y = 9.753x + 9.983 ดังนั้น ความชัน จึงเท่ากับ 9.753 แอ๋ม ส่วนที่ 2 (18-34)</t>
        </is>
      </c>
      <c r="C1731" s="18" t="inlineStr"/>
      <c r="D1731" s="18" t="inlineStr">
        <is>
          <t>N-acetylcysteine (NAC) IV infusion protocol</t>
        </is>
      </c>
      <c r="E1731" s="18" t="inlineStr">
        <is>
          <t>Atropine sulfate 2 mg IV Q5-10 min</t>
        </is>
      </c>
      <c r="F1731" s="18" t="inlineStr">
        <is>
          <t>Pralidoxime (2-PAM) 1-2 g IV over 30 min</t>
        </is>
      </c>
      <c r="G1731" s="18" t="inlineStr">
        <is>
          <t>Naloxone 0.4 mg IV stat</t>
        </is>
      </c>
      <c r="H1731" s="18" t="inlineStr">
        <is>
          <t>Flumazenil 0.2 mg IV stat</t>
        </is>
      </c>
      <c r="I1731" s="15" t="inlineStr">
        <is>
          <t>1</t>
        </is>
      </c>
      <c r="J17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1" s="18" t="inlineStr"/>
      <c r="L1731" s="18" t="inlineStr">
        <is>
          <t>General Therapeutics</t>
        </is>
      </c>
      <c r="M1731" s="18" t="inlineStr">
        <is>
          <t>Clinic</t>
        </is>
      </c>
      <c r="N1731" s="18" t="inlineStr">
        <is>
          <t>ข้อ 5 (PLE_CC1_Key_Rx20_UBU.md)</t>
        </is>
      </c>
      <c r="O1731" s="18" t="inlineStr">
        <is>
          <t>Mock</t>
        </is>
      </c>
      <c r="P1731" s="18" t="inlineStr">
        <is>
          <t>Mock Rx20 UBU</t>
        </is>
      </c>
    </row>
    <row r="1732">
      <c r="A1732" s="15" t="inlineStr">
        <is>
          <t>1753</t>
        </is>
      </c>
      <c r="B1732" s="18" t="inlineStr">
        <is>
          <t>sweating อ Logo bridging</t>
        </is>
      </c>
      <c r="C1732" s="18" t="inlineStr"/>
      <c r="D1732" s="18" t="inlineStr">
        <is>
          <t>Naloxone 0.4 mg IV stat</t>
        </is>
      </c>
      <c r="E1732" s="18" t="inlineStr">
        <is>
          <t>Flumazenil 0.2 mg IV stat</t>
        </is>
      </c>
      <c r="F1732" s="18" t="inlineStr">
        <is>
          <t>Vitamin K1 (Phytomenadione) 10 mg IV slow</t>
        </is>
      </c>
      <c r="G1732" s="18" t="inlineStr">
        <is>
          <t>Sodium thiosulfate 25% 50 mL IV</t>
        </is>
      </c>
      <c r="H1732" s="18" t="inlineStr">
        <is>
          <t>Calcium disodium EDTA 1 g IV</t>
        </is>
      </c>
      <c r="I1732" s="15" t="inlineStr">
        <is>
          <t>2</t>
        </is>
      </c>
      <c r="J1732" s="18"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732" s="18" t="inlineStr"/>
      <c r="L1732" s="18" t="inlineStr">
        <is>
          <t>General Therapeutics</t>
        </is>
      </c>
      <c r="M1732" s="18" t="inlineStr">
        <is>
          <t>Clinic</t>
        </is>
      </c>
      <c r="N1732" s="18" t="inlineStr">
        <is>
          <t>ข้อ 5 (PLE_CC1_Key_Rx20_UBU.md)</t>
        </is>
      </c>
      <c r="O1732" s="18" t="inlineStr">
        <is>
          <t>Mock</t>
        </is>
      </c>
      <c r="P1732" s="18" t="inlineStr">
        <is>
          <t>Mock Rx20 UBU</t>
        </is>
      </c>
    </row>
    <row r="1733">
      <c r="A1733" s="15" t="inlineStr">
        <is>
          <t>1754</t>
        </is>
      </c>
      <c r="B1733" s="18" t="inlineStr">
        <is>
          <t>โครงสร้างอยู่ในรูป dextro from</t>
        </is>
      </c>
      <c r="C1733" s="18" t="inlineStr"/>
      <c r="D1733" s="18" t="inlineStr">
        <is>
          <t>Sodium thiosulfate 25% 50 mL IV</t>
        </is>
      </c>
      <c r="E1733" s="18" t="inlineStr">
        <is>
          <t>Calcium disodium EDTA 1 g IV</t>
        </is>
      </c>
      <c r="F1733" s="18" t="inlineStr">
        <is>
          <t>Desferrioxamine 1 g IM/IV</t>
        </is>
      </c>
      <c r="G1733" s="18" t="inlineStr">
        <is>
          <t>Dimercaprol (BAL) 3 mg/kg IM</t>
        </is>
      </c>
      <c r="H1733" s="18" t="inlineStr">
        <is>
          <t>Ethanol 10% IV infusion for Methanol poisoning</t>
        </is>
      </c>
      <c r="I1733" s="15" t="inlineStr">
        <is>
          <t>1</t>
        </is>
      </c>
      <c r="J17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3" s="18" t="inlineStr"/>
      <c r="L1733" s="18" t="inlineStr">
        <is>
          <t>General Therapeutics</t>
        </is>
      </c>
      <c r="M1733" s="18" t="inlineStr">
        <is>
          <t>Clinic</t>
        </is>
      </c>
      <c r="N1733" s="18" t="inlineStr">
        <is>
          <t>ข้อ 2 (PLE_CC1_Key_Rx20_UBU.md)</t>
        </is>
      </c>
      <c r="O1733" s="18" t="inlineStr">
        <is>
          <t>Mock</t>
        </is>
      </c>
      <c r="P1733" s="18" t="inlineStr">
        <is>
          <t>Mock Rx20 UBU</t>
        </is>
      </c>
    </row>
    <row r="1734">
      <c r="A1734" s="15" t="inlineStr">
        <is>
          <t>1755</t>
        </is>
      </c>
      <c r="B1734" s="18" t="inlineStr">
        <is>
          <t>มีโครงสร้างเป็นส่วน butyric acid อยู่ใน molecule</t>
        </is>
      </c>
      <c r="C1734" s="18" t="inlineStr"/>
      <c r="D1734" s="18" t="inlineStr">
        <is>
          <t>Dimercaprol (BAL) 3 mg/kg IM</t>
        </is>
      </c>
      <c r="E1734" s="18" t="inlineStr">
        <is>
          <t>Ethanol 10% IV infusion for Methanol poisoning</t>
        </is>
      </c>
      <c r="F1734" s="18" t="inlineStr">
        <is>
          <t>Fomepizole 15 mg/kg IV loading</t>
        </is>
      </c>
      <c r="G1734" s="18" t="inlineStr">
        <is>
          <t>N-acetylcysteine (NAC) IV infusion protocol</t>
        </is>
      </c>
      <c r="H1734" s="18" t="inlineStr">
        <is>
          <t>Atropine sulfate 2 mg IV Q5-10 min</t>
        </is>
      </c>
      <c r="I1734" s="15" t="inlineStr">
        <is>
          <t>1</t>
        </is>
      </c>
      <c r="J17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4" s="18" t="inlineStr"/>
      <c r="L1734" s="18" t="inlineStr">
        <is>
          <t>General Therapeutics</t>
        </is>
      </c>
      <c r="M1734" s="18" t="inlineStr">
        <is>
          <t>Clinic</t>
        </is>
      </c>
      <c r="N1734" s="18" t="inlineStr">
        <is>
          <t>ข้อ 3 (PLE_CC1_Key_Rx20_UBU.md)</t>
        </is>
      </c>
      <c r="O1734" s="18" t="inlineStr">
        <is>
          <t>Mock</t>
        </is>
      </c>
      <c r="P1734" s="18" t="inlineStr">
        <is>
          <t>Mock Rx20 UBU</t>
        </is>
      </c>
    </row>
    <row r="1735">
      <c r="A1735" s="15" t="inlineStr">
        <is>
          <t>1756</t>
        </is>
      </c>
      <c r="B1735" s="18" t="inlineStr">
        <is>
          <t>ทำให้เกิดการนำ Cl- ออกจากเซลล์</t>
        </is>
      </c>
      <c r="C1735" s="18" t="inlineStr"/>
      <c r="D1735" s="18" t="inlineStr">
        <is>
          <t>N-acetylcysteine (NAC) IV infusion protocol</t>
        </is>
      </c>
      <c r="E1735" s="18" t="inlineStr">
        <is>
          <t>Atropine sulfate 2 mg IV Q5-10 min</t>
        </is>
      </c>
      <c r="F1735" s="18" t="inlineStr">
        <is>
          <t>Pralidoxime (2-PAM) 1-2 g IV over 30 min</t>
        </is>
      </c>
      <c r="G1735" s="18" t="inlineStr">
        <is>
          <t>Naloxone 0.4 mg IV stat</t>
        </is>
      </c>
      <c r="H1735" s="18" t="inlineStr">
        <is>
          <t>Flumazenil 0.2 mg IV stat</t>
        </is>
      </c>
      <c r="I1735" s="15" t="inlineStr">
        <is>
          <t>1</t>
        </is>
      </c>
      <c r="J17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5" s="18" t="inlineStr"/>
      <c r="L1735" s="18" t="inlineStr">
        <is>
          <t>General Therapeutics</t>
        </is>
      </c>
      <c r="M1735" s="18" t="inlineStr">
        <is>
          <t>Clinic</t>
        </is>
      </c>
      <c r="N1735" s="18" t="inlineStr">
        <is>
          <t>ข้อ 1 (PLE_CC1_Key_Rx20_UBU.md)</t>
        </is>
      </c>
      <c r="O1735" s="18" t="inlineStr">
        <is>
          <t>Mock</t>
        </is>
      </c>
      <c r="P1735" s="18" t="inlineStr">
        <is>
          <t>Mock Rx20 UBU</t>
        </is>
      </c>
    </row>
    <row r="1736">
      <c r="A1736" s="15" t="inlineStr">
        <is>
          <t>1757</t>
        </is>
      </c>
      <c r="B1736" s="18" t="inlineStr">
        <is>
          <t>ทำให้เกิดการนำ Na+ ออกจากเซลล์</t>
        </is>
      </c>
      <c r="C1736" s="18" t="inlineStr"/>
      <c r="D1736" s="18" t="inlineStr">
        <is>
          <t>Naloxone 0.4 mg IV stat</t>
        </is>
      </c>
      <c r="E1736" s="18" t="inlineStr">
        <is>
          <t>Flumazenil 0.2 mg IV stat</t>
        </is>
      </c>
      <c r="F1736" s="18" t="inlineStr">
        <is>
          <t>Vitamin K1 (Phytomenadione) 10 mg IV slow</t>
        </is>
      </c>
      <c r="G1736" s="18" t="inlineStr">
        <is>
          <t>Sodium thiosulfate 25% 50 mL IV</t>
        </is>
      </c>
      <c r="H1736" s="18" t="inlineStr">
        <is>
          <t>Calcium disodium EDTA 1 g IV</t>
        </is>
      </c>
      <c r="I1736" s="15" t="inlineStr">
        <is>
          <t>1</t>
        </is>
      </c>
      <c r="J17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36" s="18" t="inlineStr"/>
      <c r="L1736" s="18" t="inlineStr">
        <is>
          <t>General Therapeutics</t>
        </is>
      </c>
      <c r="M1736" s="18" t="inlineStr">
        <is>
          <t>Clinic</t>
        </is>
      </c>
      <c r="N1736" s="18" t="inlineStr">
        <is>
          <t>ข้อ 2 (PLE_CC1_Key_Rx20_UBU.md)</t>
        </is>
      </c>
      <c r="O1736" s="18" t="inlineStr">
        <is>
          <t>Mock</t>
        </is>
      </c>
      <c r="P1736" s="18" t="inlineStr">
        <is>
          <t>Mock Rx20 UBU</t>
        </is>
      </c>
    </row>
    <row r="1737">
      <c r="A1737" s="15" t="inlineStr">
        <is>
          <t>1758</t>
        </is>
      </c>
      <c r="B1737" s="18" t="inlineStr">
        <is>
          <t>เสริมการออกฤทธิ์ของ GABA</t>
        </is>
      </c>
      <c r="C1737" s="18" t="inlineStr"/>
      <c r="D1737" s="18" t="inlineStr">
        <is>
          <t>Sodium thiosulfate 25% 50 mL IV</t>
        </is>
      </c>
      <c r="E1737" s="18" t="inlineStr">
        <is>
          <t>Calcium disodium EDTA 1 g IV</t>
        </is>
      </c>
      <c r="F1737" s="18" t="inlineStr">
        <is>
          <t>Desferrioxamine 1 g IM/IV</t>
        </is>
      </c>
      <c r="G1737" s="18" t="inlineStr">
        <is>
          <t>Dimercaprol (BAL) 3 mg/kg IM</t>
        </is>
      </c>
      <c r="H1737" s="18" t="inlineStr">
        <is>
          <t>Ethanol 10% IV infusion for Methanol poisoning</t>
        </is>
      </c>
      <c r="I1737" s="15" t="inlineStr">
        <is>
          <t>1</t>
        </is>
      </c>
      <c r="J17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7" s="18" t="inlineStr"/>
      <c r="L1737" s="18" t="inlineStr">
        <is>
          <t>General Therapeutics</t>
        </is>
      </c>
      <c r="M1737" s="18" t="inlineStr">
        <is>
          <t>Clinic</t>
        </is>
      </c>
      <c r="N1737" s="18" t="inlineStr">
        <is>
          <t>ข้อ 3 (PLE_CC1_Key_Rx20_UBU.md)</t>
        </is>
      </c>
      <c r="O1737" s="18" t="inlineStr">
        <is>
          <t>Mock</t>
        </is>
      </c>
      <c r="P1737" s="18" t="inlineStr">
        <is>
          <t>Mock Rx20 UBU</t>
        </is>
      </c>
    </row>
    <row r="1738">
      <c r="A1738" s="15" t="inlineStr">
        <is>
          <t>1759</t>
        </is>
      </c>
      <c r="B1738" s="18" t="inlineStr">
        <is>
          <t>ทำให้เกิด Depolarization ของผนังเซลล์ประสาท</t>
        </is>
      </c>
      <c r="C1738" s="18" t="inlineStr"/>
      <c r="D1738" s="18" t="inlineStr">
        <is>
          <t>Dimercaprol (BAL) 3 mg/kg IM</t>
        </is>
      </c>
      <c r="E1738" s="18" t="inlineStr">
        <is>
          <t>Ethanol 10% IV infusion for Methanol poisoning</t>
        </is>
      </c>
      <c r="F1738" s="18" t="inlineStr">
        <is>
          <t>Fomepizole 15 mg/kg IV loading</t>
        </is>
      </c>
      <c r="G1738" s="18" t="inlineStr">
        <is>
          <t>N-acetylcysteine (NAC) IV infusion protocol</t>
        </is>
      </c>
      <c r="H1738" s="18" t="inlineStr">
        <is>
          <t>Atropine sulfate 2 mg IV Q5-10 min</t>
        </is>
      </c>
      <c r="I1738" s="15" t="inlineStr">
        <is>
          <t>1</t>
        </is>
      </c>
      <c r="J17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8" s="18" t="inlineStr"/>
      <c r="L1738" s="18" t="inlineStr">
        <is>
          <t>General Therapeutics</t>
        </is>
      </c>
      <c r="M1738" s="18" t="inlineStr">
        <is>
          <t>Clinic</t>
        </is>
      </c>
      <c r="N1738" s="18" t="inlineStr">
        <is>
          <t>ข้อ 4 (PLE_CC1_Key_Rx20_UBU.md)</t>
        </is>
      </c>
      <c r="O1738" s="18" t="inlineStr">
        <is>
          <t>Mock</t>
        </is>
      </c>
      <c r="P1738" s="18" t="inlineStr">
        <is>
          <t>Mock Rx20 UBU</t>
        </is>
      </c>
    </row>
    <row r="1739">
      <c r="A1739" s="15" t="inlineStr">
        <is>
          <t>1760</t>
        </is>
      </c>
      <c r="B1739" s="18" t="inlineStr">
        <is>
          <t>ได้ เพราะเป็นการมาเติมยาที่ได้รับมาจากแพทย์</t>
        </is>
      </c>
      <c r="C1739" s="18" t="inlineStr"/>
      <c r="D1739" s="18" t="inlineStr">
        <is>
          <t>N-acetylcysteine (NAC) IV infusion protocol</t>
        </is>
      </c>
      <c r="E1739" s="18" t="inlineStr">
        <is>
          <t>Atropine sulfate 2 mg IV Q5-10 min</t>
        </is>
      </c>
      <c r="F1739" s="18" t="inlineStr">
        <is>
          <t>Pralidoxime (2-PAM) 1-2 g IV over 30 min</t>
        </is>
      </c>
      <c r="G1739" s="18" t="inlineStr">
        <is>
          <t>Naloxone 0.4 mg IV stat</t>
        </is>
      </c>
      <c r="H1739" s="18" t="inlineStr">
        <is>
          <t>Flumazenil 0.2 mg IV stat</t>
        </is>
      </c>
      <c r="I1739" s="15" t="inlineStr">
        <is>
          <t>1</t>
        </is>
      </c>
      <c r="J17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9" s="18" t="inlineStr"/>
      <c r="L1739" s="18" t="inlineStr">
        <is>
          <t>General Therapeutics</t>
        </is>
      </c>
      <c r="M1739" s="18" t="inlineStr">
        <is>
          <t>Clinic</t>
        </is>
      </c>
      <c r="N1739" s="18" t="inlineStr">
        <is>
          <t>ข้อ 1 (PLE_CC1_Key_Rx20_UBU.md)</t>
        </is>
      </c>
      <c r="O1739" s="18" t="inlineStr">
        <is>
          <t>Mock</t>
        </is>
      </c>
      <c r="P1739" s="18" t="inlineStr">
        <is>
          <t>Mock Rx20 UBU</t>
        </is>
      </c>
    </row>
    <row r="1740">
      <c r="A1740" s="15" t="inlineStr">
        <is>
          <t>1761</t>
        </is>
      </c>
      <c r="B1740" s="18" t="inlineStr">
        <is>
          <t>ได้ เพราะบ้านอยู่ห่างจากสถานพยาบาลไม่เกิน 10 กิโลเมตร</t>
        </is>
      </c>
      <c r="C1740" s="18" t="inlineStr"/>
      <c r="D1740" s="18" t="inlineStr">
        <is>
          <t>Naloxone 0.4 mg IV stat</t>
        </is>
      </c>
      <c r="E1740" s="18" t="inlineStr">
        <is>
          <t>Flumazenil 0.2 mg IV stat</t>
        </is>
      </c>
      <c r="F1740" s="18" t="inlineStr">
        <is>
          <t>Vitamin K1 (Phytomenadione) 10 mg IV slow</t>
        </is>
      </c>
      <c r="G1740" s="18" t="inlineStr">
        <is>
          <t>Sodium thiosulfate 25% 50 mL IV</t>
        </is>
      </c>
      <c r="H1740" s="18" t="inlineStr">
        <is>
          <t>Calcium disodium EDTA 1 g IV</t>
        </is>
      </c>
      <c r="I1740" s="15" t="inlineStr">
        <is>
          <t>1</t>
        </is>
      </c>
      <c r="J17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0" s="18" t="inlineStr"/>
      <c r="L1740" s="18" t="inlineStr">
        <is>
          <t>General Therapeutics</t>
        </is>
      </c>
      <c r="M1740" s="18" t="inlineStr">
        <is>
          <t>Clinic</t>
        </is>
      </c>
      <c r="N1740" s="18" t="inlineStr">
        <is>
          <t>ข้อ 2 (PLE_CC1_Key_Rx20_UBU.md)</t>
        </is>
      </c>
      <c r="O1740" s="18" t="inlineStr">
        <is>
          <t>Mock</t>
        </is>
      </c>
      <c r="P1740" s="18" t="inlineStr">
        <is>
          <t>Mock Rx20 UBU</t>
        </is>
      </c>
    </row>
    <row r="1741">
      <c r="A1741" s="15" t="inlineStr">
        <is>
          <t>1762</t>
        </is>
      </c>
      <c r="B1741" s="18" t="inlineStr">
        <is>
          <t>ไม่ได้ เพราะเป็นยาที่ห้ามขายในร้านยา</t>
        </is>
      </c>
      <c r="C1741" s="18" t="inlineStr"/>
      <c r="D1741" s="18" t="inlineStr">
        <is>
          <t>พ.ร.บ. หลักประกันสุขภาพแห่งชาติ พ.ศ. 2545</t>
        </is>
      </c>
      <c r="E1741" s="18" t="inlineStr">
        <is>
          <t>การปฏิบัติทางเภสัชกรรมชุมชน (Good Pharmacy Practice: GPP)</t>
        </is>
      </c>
      <c r="F1741" s="18" t="inlineStr">
        <is>
          <t>บัญชียาหลักแห่งชาติ (National List of Essential Medicines: NLEM)</t>
        </is>
      </c>
      <c r="G1741" s="18" t="inlineStr">
        <is>
          <t>เกณฑ์จริยธรรมว่าด้วยการส่งเสริมการขายยาของกระทรวงสาธารณสุข</t>
        </is>
      </c>
      <c r="H1741" s="18" t="inlineStr">
        <is>
          <t>พ.ร.บ. ยา พ.ศ. 2510 (การจำหน่ายยาอันตรายและยาควบคุมพิเศษ)</t>
        </is>
      </c>
      <c r="I1741" s="15" t="inlineStr">
        <is>
          <t>1</t>
        </is>
      </c>
      <c r="J174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1" s="18" t="inlineStr"/>
      <c r="L1741" s="18" t="inlineStr">
        <is>
          <t>Pharmacy Laws &amp; Ethics</t>
        </is>
      </c>
      <c r="M1741" s="18" t="inlineStr">
        <is>
          <t>SAP</t>
        </is>
      </c>
      <c r="N1741" s="18" t="inlineStr">
        <is>
          <t>ข้อ 3 (PLE_CC1_Key_Rx20_UBU.md)</t>
        </is>
      </c>
      <c r="O1741" s="18" t="inlineStr">
        <is>
          <t>Mock</t>
        </is>
      </c>
      <c r="P1741" s="18" t="inlineStr">
        <is>
          <t>Mock Rx20 UBU</t>
        </is>
      </c>
    </row>
    <row r="1742">
      <c r="A1742" s="15" t="inlineStr">
        <is>
          <t>1763</t>
        </is>
      </c>
      <c r="B1742" s="18" t="inlineStr">
        <is>
          <t>ไม่ได้ เพราะไม่มีใบสั่งแพทย์</t>
        </is>
      </c>
      <c r="C1742" s="18" t="inlineStr"/>
      <c r="D1742" s="18" t="inlineStr">
        <is>
          <t>Dimercaprol (BAL) 3 mg/kg IM</t>
        </is>
      </c>
      <c r="E1742" s="18" t="inlineStr">
        <is>
          <t>Ethanol 10% IV infusion for Methanol poisoning</t>
        </is>
      </c>
      <c r="F1742" s="18" t="inlineStr">
        <is>
          <t>Fomepizole 15 mg/kg IV loading</t>
        </is>
      </c>
      <c r="G1742" s="18" t="inlineStr">
        <is>
          <t>N-acetylcysteine (NAC) IV infusion protocol</t>
        </is>
      </c>
      <c r="H1742" s="18" t="inlineStr">
        <is>
          <t>Atropine sulfate 2 mg IV Q5-10 min</t>
        </is>
      </c>
      <c r="I1742" s="15" t="inlineStr">
        <is>
          <t>1</t>
        </is>
      </c>
      <c r="J17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2" s="18" t="inlineStr"/>
      <c r="L1742" s="18" t="inlineStr">
        <is>
          <t>General Therapeutics</t>
        </is>
      </c>
      <c r="M1742" s="18" t="inlineStr">
        <is>
          <t>Clinic</t>
        </is>
      </c>
      <c r="N1742" s="18" t="inlineStr">
        <is>
          <t>ข้อ 4 (PLE_CC1_Key_Rx20_UBU.md)</t>
        </is>
      </c>
      <c r="O1742" s="18" t="inlineStr">
        <is>
          <t>Mock</t>
        </is>
      </c>
      <c r="P1742" s="18" t="inlineStr">
        <is>
          <t>Mock Rx20 UBU</t>
        </is>
      </c>
    </row>
    <row r="1743">
      <c r="A1743" s="15" t="inlineStr">
        <is>
          <t>1764</t>
        </is>
      </c>
      <c r="B1743" s="18" t="inlineStr">
        <is>
          <t>นอกจากยาข้างต้น สามารถจ่ายยาใดได้ในร้านยา -</t>
        </is>
      </c>
      <c r="C1743" s="18" t="inlineStr"/>
      <c r="D1743" s="18" t="inlineStr">
        <is>
          <t>พ.ร.บ. วัตถุที่ออกฤทธิ์ต่อจิตและประสาท พ.ศ. 2559 (ประเภท 2 และ 4)</t>
        </is>
      </c>
      <c r="E1743" s="18" t="inlineStr">
        <is>
          <t>พ.ร.บ. วิชาชีพเภสัชกรรม พ.ศ. 2537 และข้อบังคับจรรยาบรรณวิชาชีพ</t>
        </is>
      </c>
      <c r="F1743" s="18" t="inlineStr">
        <is>
          <t>พ.ร.บ. ผลิตภัณฑ์สมุนไพร พ.ศ. 2562</t>
        </is>
      </c>
      <c r="G1743" s="18" t="inlineStr">
        <is>
          <t>พ.ร.บ. เครื่องสำอาง พ.ศ. 2558</t>
        </is>
      </c>
      <c r="H1743" s="18" t="inlineStr">
        <is>
          <t>พ.ร.บ. หลักประกันสุขภาพแห่งชาติ พ.ศ. 2545</t>
        </is>
      </c>
      <c r="I1743" s="15" t="inlineStr">
        <is>
          <t>1</t>
        </is>
      </c>
      <c r="J1743"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3" s="18" t="inlineStr"/>
      <c r="L1743" s="18" t="inlineStr">
        <is>
          <t>Pharmacy Laws &amp; Ethics</t>
        </is>
      </c>
      <c r="M1743" s="18" t="inlineStr">
        <is>
          <t>SAP</t>
        </is>
      </c>
      <c r="N1743" s="18" t="inlineStr">
        <is>
          <t>ข้อ 3 (PLE_CC1_Key_Rx20_UBU.md)</t>
        </is>
      </c>
      <c r="O1743" s="18" t="inlineStr">
        <is>
          <t>Mock</t>
        </is>
      </c>
      <c r="P1743" s="18" t="inlineStr">
        <is>
          <t>Mock Rx20 UBU</t>
        </is>
      </c>
    </row>
    <row r="1744">
      <c r="A1744" s="15" t="inlineStr">
        <is>
          <t>1765</t>
        </is>
      </c>
      <c r="B1744" s="18" t="inlineStr">
        <is>
          <t>ข้อใดต่อไปนี้ถูกต้อง</t>
        </is>
      </c>
      <c r="C1744" s="18" t="inlineStr"/>
      <c r="D1744" s="18" t="inlineStr">
        <is>
          <t>Naloxone 0.4 mg IV stat</t>
        </is>
      </c>
      <c r="E1744" s="18" t="inlineStr">
        <is>
          <t>Flumazenil 0.2 mg IV stat</t>
        </is>
      </c>
      <c r="F1744" s="18" t="inlineStr">
        <is>
          <t>Vitamin K1 (Phytomenadione) 10 mg IV slow</t>
        </is>
      </c>
      <c r="G1744" s="18" t="inlineStr">
        <is>
          <t>Sodium thiosulfate 25% 50 mL IV</t>
        </is>
      </c>
      <c r="H1744" s="18" t="inlineStr">
        <is>
          <t>Calcium disodium EDTA 1 g IV</t>
        </is>
      </c>
      <c r="I1744" s="15" t="inlineStr">
        <is>
          <t>1</t>
        </is>
      </c>
      <c r="J17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4" s="18" t="inlineStr"/>
      <c r="L1744" s="18" t="inlineStr">
        <is>
          <t>General Therapeutics</t>
        </is>
      </c>
      <c r="M1744" s="18" t="inlineStr">
        <is>
          <t>Clinic</t>
        </is>
      </c>
      <c r="N1744" s="18" t="inlineStr">
        <is>
          <t>ข้อ 5 (PLE_CC1_Key_Rx20_UBU.md)</t>
        </is>
      </c>
      <c r="O1744" s="18" t="inlineStr">
        <is>
          <t>Mock</t>
        </is>
      </c>
      <c r="P1744" s="18" t="inlineStr">
        <is>
          <t>Mock Rx20 UBU</t>
        </is>
      </c>
    </row>
    <row r="1745">
      <c r="A1745" s="15" t="inlineStr">
        <is>
          <t>1766</t>
        </is>
      </c>
      <c r="B1745" s="18" t="inlineStr">
        <is>
          <t>เป็นการผสมแบบ cosolvent system ละลายได้ดี ใน D5W IV infusion 100 ml</t>
        </is>
      </c>
      <c r="C1745" s="18" t="inlineStr"/>
      <c r="D1745" s="18" t="inlineStr">
        <is>
          <t>Sodium thiosulfate 25% 50 mL IV</t>
        </is>
      </c>
      <c r="E1745" s="18" t="inlineStr">
        <is>
          <t>Calcium disodium EDTA 1 g IV</t>
        </is>
      </c>
      <c r="F1745" s="18" t="inlineStr">
        <is>
          <t>Desferrioxamine 1 g IM/IV</t>
        </is>
      </c>
      <c r="G1745" s="18" t="inlineStr">
        <is>
          <t>Dimercaprol (BAL) 3 mg/kg IM</t>
        </is>
      </c>
      <c r="H1745" s="18" t="inlineStr">
        <is>
          <t>Ethanol 10% IV infusion for Methanol poisoning</t>
        </is>
      </c>
      <c r="I1745" s="15" t="inlineStr">
        <is>
          <t>1</t>
        </is>
      </c>
      <c r="J174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5" s="18" t="inlineStr"/>
      <c r="L1745" s="18" t="inlineStr">
        <is>
          <t>General Therapeutics</t>
        </is>
      </c>
      <c r="M1745" s="18" t="inlineStr">
        <is>
          <t>Clinic</t>
        </is>
      </c>
      <c r="N1745" s="18" t="inlineStr">
        <is>
          <t>ข้อ 1 (PLE_CC1_Key_Rx20_UBU.md)</t>
        </is>
      </c>
      <c r="O1745" s="18" t="inlineStr">
        <is>
          <t>Mock</t>
        </is>
      </c>
      <c r="P1745" s="18" t="inlineStr">
        <is>
          <t>Mock Rx20 UBU</t>
        </is>
      </c>
    </row>
    <row r="1746">
      <c r="A1746" s="15" t="inlineStr">
        <is>
          <t>1767</t>
        </is>
      </c>
      <c r="B1746" s="18" t="inlineStr">
        <is>
          <t>pH ยาจะตกตะกอนที่ psychologic pH</t>
        </is>
      </c>
      <c r="C1746" s="18" t="inlineStr"/>
      <c r="D1746" s="18" t="inlineStr">
        <is>
          <t>Dimercaprol (BAL) 3 mg/kg IM</t>
        </is>
      </c>
      <c r="E1746" s="18" t="inlineStr">
        <is>
          <t>Ethanol 10% IV infusion for Methanol poisoning</t>
        </is>
      </c>
      <c r="F1746" s="18" t="inlineStr">
        <is>
          <t>Fomepizole 15 mg/kg IV loading</t>
        </is>
      </c>
      <c r="G1746" s="18" t="inlineStr">
        <is>
          <t>N-acetylcysteine (NAC) IV infusion protocol</t>
        </is>
      </c>
      <c r="H1746" s="18" t="inlineStr">
        <is>
          <t>Atropine sulfate 2 mg IV Q5-10 min</t>
        </is>
      </c>
      <c r="I1746" s="15" t="inlineStr">
        <is>
          <t>1</t>
        </is>
      </c>
      <c r="J174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6" s="18" t="inlineStr"/>
      <c r="L1746" s="18" t="inlineStr">
        <is>
          <t>General Therapeutics</t>
        </is>
      </c>
      <c r="M1746" s="18" t="inlineStr">
        <is>
          <t>Clinic</t>
        </is>
      </c>
      <c r="N1746" s="18" t="inlineStr">
        <is>
          <t>ข้อ 2 (PLE_CC1_Key_Rx20_UBU.md)</t>
        </is>
      </c>
      <c r="O1746" s="18" t="inlineStr">
        <is>
          <t>Mock</t>
        </is>
      </c>
      <c r="P1746" s="18" t="inlineStr">
        <is>
          <t>Mock Rx20 UBU</t>
        </is>
      </c>
    </row>
    <row r="1747">
      <c r="A1747" s="15" t="inlineStr">
        <is>
          <t>1768</t>
        </is>
      </c>
      <c r="B1747" s="18" t="inlineStr">
        <is>
          <t>ให้ก่อนการให้นำสลบก่อนผ่าตัด</t>
        </is>
      </c>
      <c r="C1747" s="18" t="inlineStr"/>
      <c r="D1747" s="18" t="inlineStr">
        <is>
          <t>N-acetylcysteine (NAC) IV infusion protocol</t>
        </is>
      </c>
      <c r="E1747" s="18" t="inlineStr">
        <is>
          <t>Atropine sulfate 2 mg IV Q5-10 min</t>
        </is>
      </c>
      <c r="F1747" s="18" t="inlineStr">
        <is>
          <t>Pralidoxime (2-PAM) 1-2 g IV over 30 min</t>
        </is>
      </c>
      <c r="G1747" s="18" t="inlineStr">
        <is>
          <t>Naloxone 0.4 mg IV stat</t>
        </is>
      </c>
      <c r="H1747" s="18" t="inlineStr">
        <is>
          <t>Flumazenil 0.2 mg IV stat</t>
        </is>
      </c>
      <c r="I1747" s="15" t="inlineStr">
        <is>
          <t>1</t>
        </is>
      </c>
      <c r="J17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47" s="18" t="inlineStr"/>
      <c r="L1747" s="18" t="inlineStr">
        <is>
          <t>General Therapeutics</t>
        </is>
      </c>
      <c r="M1747" s="18" t="inlineStr">
        <is>
          <t>Clinic</t>
        </is>
      </c>
      <c r="N1747" s="18" t="inlineStr">
        <is>
          <t>ข้อ 1 (PLE_CC1_Key_Rx20_UBU.md)</t>
        </is>
      </c>
      <c r="O1747" s="18" t="inlineStr">
        <is>
          <t>Mock</t>
        </is>
      </c>
      <c r="P1747" s="18" t="inlineStr">
        <is>
          <t>Mock Rx20 UBU</t>
        </is>
      </c>
    </row>
    <row r="1748">
      <c r="A1748" s="15" t="inlineStr">
        <is>
          <t>1769</t>
        </is>
      </c>
      <c r="B1748" s="18" t="inlineStr">
        <is>
          <t>ให้life style modification อย่างเดียว</t>
        </is>
      </c>
      <c r="C1748" s="18" t="inlineStr"/>
      <c r="D1748" s="18" t="inlineStr">
        <is>
          <t>Naloxone 0.4 mg IV stat</t>
        </is>
      </c>
      <c r="E1748" s="18" t="inlineStr">
        <is>
          <t>Flumazenil 0.2 mg IV stat</t>
        </is>
      </c>
      <c r="F1748" s="18" t="inlineStr">
        <is>
          <t>Vitamin K1 (Phytomenadione) 10 mg IV slow</t>
        </is>
      </c>
      <c r="G1748" s="18" t="inlineStr">
        <is>
          <t>Sodium thiosulfate 25% 50 mL IV</t>
        </is>
      </c>
      <c r="H1748" s="18" t="inlineStr">
        <is>
          <t>Calcium disodium EDTA 1 g IV</t>
        </is>
      </c>
      <c r="I1748" s="15" t="inlineStr">
        <is>
          <t>1</t>
        </is>
      </c>
      <c r="J17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8" s="18" t="inlineStr"/>
      <c r="L1748" s="18" t="inlineStr">
        <is>
          <t>General Therapeutics</t>
        </is>
      </c>
      <c r="M1748" s="18" t="inlineStr">
        <is>
          <t>Clinic</t>
        </is>
      </c>
      <c r="N1748" s="18" t="inlineStr">
        <is>
          <t>ข้อ 1 (PLE_CC1_Key_Rx20_UBU.md)</t>
        </is>
      </c>
      <c r="O1748" s="18" t="inlineStr">
        <is>
          <t>Mock</t>
        </is>
      </c>
      <c r="P1748" s="18" t="inlineStr">
        <is>
          <t>Mock Rx20 UBU</t>
        </is>
      </c>
    </row>
    <row r="1749">
      <c r="A1749" s="15" t="inlineStr">
        <is>
          <t>1770</t>
        </is>
      </c>
      <c r="B1749" s="18" t="inlineStr">
        <is>
          <t>ให้การรักษาด้วยยาอย่างเดียว</t>
        </is>
      </c>
      <c r="C1749" s="18" t="inlineStr"/>
      <c r="D1749" s="18" t="inlineStr">
        <is>
          <t>Sodium thiosulfate 25% 50 mL IV</t>
        </is>
      </c>
      <c r="E1749" s="18" t="inlineStr">
        <is>
          <t>Calcium disodium EDTA 1 g IV</t>
        </is>
      </c>
      <c r="F1749" s="18" t="inlineStr">
        <is>
          <t>Desferrioxamine 1 g IM/IV</t>
        </is>
      </c>
      <c r="G1749" s="18" t="inlineStr">
        <is>
          <t>Dimercaprol (BAL) 3 mg/kg IM</t>
        </is>
      </c>
      <c r="H1749" s="18" t="inlineStr">
        <is>
          <t>Ethanol 10% IV infusion for Methanol poisoning</t>
        </is>
      </c>
      <c r="I1749" s="15" t="inlineStr">
        <is>
          <t>1</t>
        </is>
      </c>
      <c r="J17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9" s="18" t="inlineStr"/>
      <c r="L1749" s="18" t="inlineStr">
        <is>
          <t>General Therapeutics</t>
        </is>
      </c>
      <c r="M1749" s="18" t="inlineStr">
        <is>
          <t>Clinic</t>
        </is>
      </c>
      <c r="N1749" s="18" t="inlineStr">
        <is>
          <t>ข้อ 2 (PLE_CC1_Key_Rx20_UBU.md)</t>
        </is>
      </c>
      <c r="O1749" s="18" t="inlineStr">
        <is>
          <t>Mock</t>
        </is>
      </c>
      <c r="P1749" s="18" t="inlineStr">
        <is>
          <t>Mock Rx20 UBU</t>
        </is>
      </c>
    </row>
    <row r="1750">
      <c r="A1750" s="15" t="inlineStr">
        <is>
          <t>1771</t>
        </is>
      </c>
      <c r="B1750" s="18" t="inlineStr">
        <is>
          <t>ให้ปรับ life style modification ร่วมกับให้ยา</t>
        </is>
      </c>
      <c r="C1750" s="18" t="inlineStr"/>
      <c r="D1750" s="18" t="inlineStr">
        <is>
          <t>พ.ร.บ. วิชาชีพเภสัชกรรม พ.ศ. 2537 และข้อบังคับจรรยาบรรณวิชาชีพ</t>
        </is>
      </c>
      <c r="E1750" s="18" t="inlineStr">
        <is>
          <t>พ.ร.บ. ผลิตภัณฑ์สมุนไพร พ.ศ. 2562</t>
        </is>
      </c>
      <c r="F1750" s="18" t="inlineStr">
        <is>
          <t>พ.ร.บ. เครื่องสำอาง พ.ศ. 2558</t>
        </is>
      </c>
      <c r="G1750" s="18" t="inlineStr">
        <is>
          <t>พ.ร.บ. หลักประกันสุขภาพแห่งชาติ พ.ศ. 2545</t>
        </is>
      </c>
      <c r="H1750" s="18" t="inlineStr">
        <is>
          <t>การปฏิบัติทางเภสัชกรรมชุมชน (Good Pharmacy Practice: GPP)</t>
        </is>
      </c>
      <c r="I1750" s="15" t="inlineStr">
        <is>
          <t>1</t>
        </is>
      </c>
      <c r="J1750"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0" s="18" t="inlineStr"/>
      <c r="L1750" s="18" t="inlineStr">
        <is>
          <t>Pharmacy Laws &amp; Ethics</t>
        </is>
      </c>
      <c r="M1750" s="18" t="inlineStr">
        <is>
          <t>SAP</t>
        </is>
      </c>
      <c r="N1750" s="18" t="inlineStr">
        <is>
          <t>ข้อ 3 (PLE_CC1_Key_Rx20_UBU.md)</t>
        </is>
      </c>
      <c r="O1750" s="18" t="inlineStr">
        <is>
          <t>Mock</t>
        </is>
      </c>
      <c r="P1750" s="18" t="inlineStr">
        <is>
          <t>Mock Rx20 UBU</t>
        </is>
      </c>
    </row>
    <row r="1751">
      <c r="A1751" s="15" t="inlineStr">
        <is>
          <t>1772</t>
        </is>
      </c>
      <c r="B1751" s="18" t="inlineStr">
        <is>
          <t>ให้ปรับ life style modificationก่อน6เดือนและรักษาด้วยยา</t>
        </is>
      </c>
      <c r="C1751" s="18" t="inlineStr"/>
      <c r="D1751" s="18" t="inlineStr">
        <is>
          <t>พ.ร.บ. หลักประกันสุขภาพแห่งชาติ พ.ศ. 2545</t>
        </is>
      </c>
      <c r="E1751" s="18" t="inlineStr">
        <is>
          <t>การปฏิบัติทางเภสัชกรรมชุมชน (Good Pharmacy Practice: GPP)</t>
        </is>
      </c>
      <c r="F1751" s="18" t="inlineStr">
        <is>
          <t>บัญชียาหลักแห่งชาติ (National List of Essential Medicines: NLEM)</t>
        </is>
      </c>
      <c r="G1751" s="18" t="inlineStr">
        <is>
          <t>เกณฑ์จริยธรรมว่าด้วยการส่งเสริมการขายยาของกระทรวงสาธารณสุข</t>
        </is>
      </c>
      <c r="H1751" s="18" t="inlineStr">
        <is>
          <t>พ.ร.บ. ยา พ.ศ. 2510 (การจำหน่ายยาอันตรายและยาควบคุมพิเศษ)</t>
        </is>
      </c>
      <c r="I1751" s="15" t="inlineStr">
        <is>
          <t>1</t>
        </is>
      </c>
      <c r="J175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1" s="18" t="inlineStr"/>
      <c r="L1751" s="18" t="inlineStr">
        <is>
          <t>Pharmacy Laws &amp; Ethics</t>
        </is>
      </c>
      <c r="M1751" s="18" t="inlineStr">
        <is>
          <t>SAP</t>
        </is>
      </c>
      <c r="N1751" s="18" t="inlineStr">
        <is>
          <t>ข้อ 4 (PLE_CC1_Key_Rx20_UBU.md)</t>
        </is>
      </c>
      <c r="O1751" s="18" t="inlineStr">
        <is>
          <t>Mock</t>
        </is>
      </c>
      <c r="P1751" s="18" t="inlineStr">
        <is>
          <t>Mock Rx20 UBU</t>
        </is>
      </c>
    </row>
    <row r="1752">
      <c r="A1752" s="15" t="inlineStr">
        <is>
          <t>1773</t>
        </is>
      </c>
      <c r="B1752" s="18" t="inlineStr">
        <is>
          <t>ให้ปรับ life style modification ก่อน12เดือนแล้วรักษาด้วยยา</t>
        </is>
      </c>
      <c r="C1752" s="18" t="inlineStr"/>
      <c r="D1752" s="18" t="inlineStr">
        <is>
          <t>เกณฑ์จริยธรรมว่าด้วยการส่งเสริมการขายยาของกระทรวงสาธารณสุข</t>
        </is>
      </c>
      <c r="E1752" s="18" t="inlineStr">
        <is>
          <t>พ.ร.บ. ยา พ.ศ. 2510 (การจำหน่ายยาอันตรายและยาควบคุมพิเศษ)</t>
        </is>
      </c>
      <c r="F1752" s="18" t="inlineStr">
        <is>
          <t>พ.ร.บ. ยาเสพติดให้โทษ พ.ศ. 2522 (ยาเสพติดให้โทษประเภท 2 และ 3)</t>
        </is>
      </c>
      <c r="G1752" s="18" t="inlineStr">
        <is>
          <t>พ.ร.บ. วัตถุที่ออกฤทธิ์ต่อจิตและประสาท พ.ศ. 2559 (ประเภท 2 และ 4)</t>
        </is>
      </c>
      <c r="H1752" s="18" t="inlineStr">
        <is>
          <t>พ.ร.บ. วิชาชีพเภสัชกรรม พ.ศ. 2537 และข้อบังคับจรรยาบรรณวิชาชีพ</t>
        </is>
      </c>
      <c r="I1752" s="15" t="inlineStr">
        <is>
          <t>1</t>
        </is>
      </c>
      <c r="J175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2" s="18" t="inlineStr"/>
      <c r="L1752" s="18" t="inlineStr">
        <is>
          <t>Pharmacy Laws &amp; Ethics</t>
        </is>
      </c>
      <c r="M1752" s="18" t="inlineStr">
        <is>
          <t>SAP</t>
        </is>
      </c>
      <c r="N1752" s="18" t="inlineStr">
        <is>
          <t>ข้อ 5 (PLE_CC1_Key_Rx20_UBU.md)</t>
        </is>
      </c>
      <c r="O1752" s="18" t="inlineStr">
        <is>
          <t>Mock</t>
        </is>
      </c>
      <c r="P1752" s="18" t="inlineStr">
        <is>
          <t>Mock Rx20 UBU</t>
        </is>
      </c>
    </row>
    <row r="1753">
      <c r="A1753" s="15" t="inlineStr">
        <is>
          <t>1774</t>
        </is>
      </c>
      <c r="B1753" s="18" t="inlineStr">
        <is>
          <t>Serum magnesium</t>
        </is>
      </c>
      <c r="C1753" s="18" t="inlineStr"/>
      <c r="D1753" s="18" t="inlineStr">
        <is>
          <t>Sodium thiosulfate 25% 50 mL IV</t>
        </is>
      </c>
      <c r="E1753" s="18" t="inlineStr">
        <is>
          <t>Calcium disodium EDTA 1 g IV</t>
        </is>
      </c>
      <c r="F1753" s="18" t="inlineStr">
        <is>
          <t>Desferrioxamine 1 g IM/IV</t>
        </is>
      </c>
      <c r="G1753" s="18" t="inlineStr">
        <is>
          <t>Dimercaprol (BAL) 3 mg/kg IM</t>
        </is>
      </c>
      <c r="H1753" s="18" t="inlineStr">
        <is>
          <t>Ethanol 10% IV infusion for Methanol poisoning</t>
        </is>
      </c>
      <c r="I1753" s="15" t="inlineStr">
        <is>
          <t>1</t>
        </is>
      </c>
      <c r="J17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3" s="18" t="inlineStr"/>
      <c r="L1753" s="18" t="inlineStr">
        <is>
          <t>General Therapeutics</t>
        </is>
      </c>
      <c r="M1753" s="18" t="inlineStr">
        <is>
          <t>Clinic</t>
        </is>
      </c>
      <c r="N1753" s="18" t="inlineStr">
        <is>
          <t>ข้อ 4 (PLE_CC1_Key_Rx20_UBU.md)</t>
        </is>
      </c>
      <c r="O1753" s="18" t="inlineStr">
        <is>
          <t>Mock</t>
        </is>
      </c>
      <c r="P1753" s="18" t="inlineStr">
        <is>
          <t>Mock Rx20 UBU</t>
        </is>
      </c>
    </row>
    <row r="1754">
      <c r="A1754" s="15" t="inlineStr">
        <is>
          <t>1775</t>
        </is>
      </c>
      <c r="B1754" s="18" t="inlineStr">
        <is>
          <t>Serum potassium วิรุฬห์ (35-51)</t>
        </is>
      </c>
      <c r="C1754" s="18" t="inlineStr"/>
      <c r="D1754" s="18" t="inlineStr">
        <is>
          <t>ข้อใดคือกลไกของยา HCTZ</t>
        </is>
      </c>
      <c r="E1754" s="18" t="inlineStr">
        <is>
          <t>Ethanol 10% IV infusion for Methanol poisoning</t>
        </is>
      </c>
      <c r="F1754" s="18" t="inlineStr">
        <is>
          <t>Fomepizole 15 mg/kg IV loading</t>
        </is>
      </c>
      <c r="G1754" s="18" t="inlineStr">
        <is>
          <t>N-acetylcysteine (NAC) IV infusion protocol</t>
        </is>
      </c>
      <c r="H1754" s="18" t="inlineStr">
        <is>
          <t>Atropine sulfate 2 mg IV Q5-10 min</t>
        </is>
      </c>
      <c r="I1754" s="15" t="inlineStr">
        <is>
          <t>5</t>
        </is>
      </c>
      <c r="J1754" s="18"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(ข้อใดคือกลไกของยา HCTZ):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54" s="18" t="inlineStr"/>
      <c r="L1754" s="18" t="inlineStr">
        <is>
          <t>General Therapeutics</t>
        </is>
      </c>
      <c r="M1754" s="18" t="inlineStr">
        <is>
          <t>Clinic</t>
        </is>
      </c>
      <c r="N1754" s="18" t="inlineStr">
        <is>
          <t>ข้อ 5 (PLE_CC1_Key_Rx20_UBU.md)</t>
        </is>
      </c>
      <c r="O1754" s="18" t="inlineStr">
        <is>
          <t>Mock</t>
        </is>
      </c>
      <c r="P1754" s="18" t="inlineStr">
        <is>
          <t>Mock Rx20 UBU</t>
        </is>
      </c>
    </row>
    <row r="1755">
      <c r="A1755" s="15" t="inlineStr">
        <is>
          <t>1776</t>
        </is>
      </c>
      <c r="B1755" s="18" t="inlineStr">
        <is>
          <t>ยับยั้ง Na/K/Cl</t>
        </is>
      </c>
      <c r="C1755" s="18" t="inlineStr"/>
      <c r="D1755" s="18" t="inlineStr">
        <is>
          <t>N-acetylcysteine (NAC) IV infusion protocol</t>
        </is>
      </c>
      <c r="E1755" s="18" t="inlineStr">
        <is>
          <t>Atropine sulfate 2 mg IV Q5-10 min</t>
        </is>
      </c>
      <c r="F1755" s="18" t="inlineStr">
        <is>
          <t>Pralidoxime (2-PAM) 1-2 g IV over 30 min</t>
        </is>
      </c>
      <c r="G1755" s="18" t="inlineStr">
        <is>
          <t>Naloxone 0.4 mg IV stat</t>
        </is>
      </c>
      <c r="H1755" s="18" t="inlineStr">
        <is>
          <t>Flumazenil 0.2 mg IV stat</t>
        </is>
      </c>
      <c r="I1755" s="15" t="inlineStr">
        <is>
          <t>1</t>
        </is>
      </c>
      <c r="J175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5" s="18" t="inlineStr"/>
      <c r="L1755" s="18" t="inlineStr">
        <is>
          <t>General Therapeutics</t>
        </is>
      </c>
      <c r="M1755" s="18" t="inlineStr">
        <is>
          <t>Clinic</t>
        </is>
      </c>
      <c r="N1755" s="18" t="inlineStr">
        <is>
          <t>ข้อ 2 (PLE_CC1_Key_Rx20_UBU.md)</t>
        </is>
      </c>
      <c r="O1755" s="18" t="inlineStr">
        <is>
          <t>Mock</t>
        </is>
      </c>
      <c r="P1755" s="18" t="inlineStr">
        <is>
          <t>Mock Rx20 UBU</t>
        </is>
      </c>
    </row>
    <row r="1756">
      <c r="A1756" s="15" t="inlineStr">
        <is>
          <t>1777</t>
        </is>
      </c>
      <c r="B1756" s="18" t="inlineStr">
        <is>
          <t>HUI !การHypokt ศdistal 6.จงเรียงลำดับความแรงของยาขับปัสสาวะดังต่อไปนี้ โดยให้เรียงจากมากไปหาน้อย</t>
        </is>
      </c>
      <c r="C1756" s="18" t="inlineStr"/>
      <c r="D1756" s="18" t="inlineStr">
        <is>
          <t>Naloxone 0.4 mg IV stat</t>
        </is>
      </c>
      <c r="E1756" s="18" t="inlineStr">
        <is>
          <t>Flumazenil 0.2 mg IV stat</t>
        </is>
      </c>
      <c r="F1756" s="18" t="inlineStr">
        <is>
          <t>Vitamin K1 (Phytomenadione) 10 mg IV slow</t>
        </is>
      </c>
      <c r="G1756" s="18" t="inlineStr">
        <is>
          <t>Sodium thiosulfate 25% 50 mL IV</t>
        </is>
      </c>
      <c r="H1756" s="18" t="inlineStr">
        <is>
          <t>Calcium disodium EDTA 1 g IV</t>
        </is>
      </c>
      <c r="I1756" s="15" t="inlineStr">
        <is>
          <t>1</t>
        </is>
      </c>
      <c r="J17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56" s="18" t="inlineStr"/>
      <c r="L1756" s="18" t="inlineStr">
        <is>
          <t>General Therapeutics</t>
        </is>
      </c>
      <c r="M1756" s="18" t="inlineStr">
        <is>
          <t>Clinic</t>
        </is>
      </c>
      <c r="N1756" s="18" t="inlineStr">
        <is>
          <t>ข้อ 5 (PLE_CC1_Key_Rx20_UBU.md)</t>
        </is>
      </c>
      <c r="O1756" s="18" t="inlineStr">
        <is>
          <t>Mock</t>
        </is>
      </c>
      <c r="P1756" s="18" t="inlineStr">
        <is>
          <t>Mock Rx20 UBU</t>
        </is>
      </c>
    </row>
    <row r="1757">
      <c r="A1757" s="15" t="inlineStr">
        <is>
          <t>1778</t>
        </is>
      </c>
      <c r="B1757" s="18" t="inlineStr">
        <is>
          <t>high solubility and low permeability</t>
        </is>
      </c>
      <c r="C1757" s="18" t="inlineStr"/>
      <c r="D1757" s="18" t="inlineStr">
        <is>
          <t>Sodium thiosulfate 25% 50 mL IV</t>
        </is>
      </c>
      <c r="E1757" s="18" t="inlineStr">
        <is>
          <t>Calcium disodium EDTA 1 g IV</t>
        </is>
      </c>
      <c r="F1757" s="18" t="inlineStr">
        <is>
          <t>Desferrioxamine 1 g IM/IV</t>
        </is>
      </c>
      <c r="G1757" s="18" t="inlineStr">
        <is>
          <t>Dimercaprol (BAL) 3 mg/kg IM</t>
        </is>
      </c>
      <c r="H1757" s="18" t="inlineStr">
        <is>
          <t>Ethanol 10% IV infusion for Methanol poisoning</t>
        </is>
      </c>
      <c r="I1757" s="15" t="inlineStr">
        <is>
          <t>1</t>
        </is>
      </c>
      <c r="J17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7" s="18" t="inlineStr"/>
      <c r="L1757" s="18" t="inlineStr">
        <is>
          <t>General Therapeutics</t>
        </is>
      </c>
      <c r="M1757" s="18" t="inlineStr">
        <is>
          <t>Clinic</t>
        </is>
      </c>
      <c r="N1757" s="18" t="inlineStr">
        <is>
          <t>ข้อ 3 (PLE_CC1_Key_Rx20_UBU.md)</t>
        </is>
      </c>
      <c r="O1757" s="18" t="inlineStr">
        <is>
          <t>Mock</t>
        </is>
      </c>
      <c r="P1757" s="18" t="inlineStr">
        <is>
          <t>Mock Rx20 UBU</t>
        </is>
      </c>
    </row>
    <row r="1758">
      <c r="A1758" s="15" t="inlineStr">
        <is>
          <t>1779</t>
        </is>
      </c>
      <c r="B1758" s="18" t="inlineStr">
        <is>
          <t>Hardness (ความแข็ง)</t>
        </is>
      </c>
      <c r="C1758" s="18" t="inlineStr"/>
      <c r="D1758" s="18" t="inlineStr">
        <is>
          <t>Dimercaprol (BAL) 3 mg/kg IM</t>
        </is>
      </c>
      <c r="E1758" s="18" t="inlineStr">
        <is>
          <t>Ethanol 10% IV infusion for Methanol poisoning</t>
        </is>
      </c>
      <c r="F1758" s="18" t="inlineStr">
        <is>
          <t>Fomepizole 15 mg/kg IV loading</t>
        </is>
      </c>
      <c r="G1758" s="18" t="inlineStr">
        <is>
          <t>N-acetylcysteine (NAC) IV infusion protocol</t>
        </is>
      </c>
      <c r="H1758" s="18" t="inlineStr">
        <is>
          <t>Atropine sulfate 2 mg IV Q5-10 min</t>
        </is>
      </c>
      <c r="I1758" s="15" t="inlineStr">
        <is>
          <t>1</t>
        </is>
      </c>
      <c r="J17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8" s="18" t="inlineStr"/>
      <c r="L1758" s="18" t="inlineStr">
        <is>
          <t>General Therapeutics</t>
        </is>
      </c>
      <c r="M1758" s="18" t="inlineStr">
        <is>
          <t>Clinic</t>
        </is>
      </c>
      <c r="N1758" s="18" t="inlineStr">
        <is>
          <t>ข้อ 3 (PLE_CC1_Key_Rx20_UBU.md)</t>
        </is>
      </c>
      <c r="O1758" s="18" t="inlineStr">
        <is>
          <t>Mock</t>
        </is>
      </c>
      <c r="P1758" s="18" t="inlineStr">
        <is>
          <t>Mock Rx20 UBU</t>
        </is>
      </c>
    </row>
    <row r="1759">
      <c r="A1759" s="15" t="inlineStr">
        <is>
          <t>1780</t>
        </is>
      </c>
      <c r="B1759" s="18" t="inlineStr">
        <is>
          <t>เก็บไว้ในตู้เย็น</t>
        </is>
      </c>
      <c r="C1759" s="18" t="inlineStr"/>
      <c r="D1759" s="18" t="inlineStr">
        <is>
          <t>N-acetylcysteine (NAC) IV infusion protocol</t>
        </is>
      </c>
      <c r="E1759" s="18" t="inlineStr">
        <is>
          <t>Atropine sulfate 2 mg IV Q5-10 min</t>
        </is>
      </c>
      <c r="F1759" s="18" t="inlineStr">
        <is>
          <t>Pralidoxime (2-PAM) 1-2 g IV over 30 min</t>
        </is>
      </c>
      <c r="G1759" s="18" t="inlineStr">
        <is>
          <t>Naloxone 0.4 mg IV stat</t>
        </is>
      </c>
      <c r="H1759" s="18" t="inlineStr">
        <is>
          <t>Flumazenil 0.2 mg IV stat</t>
        </is>
      </c>
      <c r="I1759" s="15" t="inlineStr">
        <is>
          <t>1</t>
        </is>
      </c>
      <c r="J17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9" s="18" t="inlineStr"/>
      <c r="L1759" s="18" t="inlineStr">
        <is>
          <t>General Therapeutics</t>
        </is>
      </c>
      <c r="M1759" s="18" t="inlineStr">
        <is>
          <t>Clinic</t>
        </is>
      </c>
      <c r="N1759" s="18" t="inlineStr">
        <is>
          <t>ข้อ 1 (PLE_CC1_Key_Rx20_UBU.md)</t>
        </is>
      </c>
      <c r="O1759" s="18" t="inlineStr">
        <is>
          <t>Mock</t>
        </is>
      </c>
      <c r="P1759" s="18" t="inlineStr">
        <is>
          <t>Mock Rx20 UBU</t>
        </is>
      </c>
    </row>
    <row r="1760">
      <c r="A1760" s="15" t="inlineStr">
        <is>
          <t>1781</t>
        </is>
      </c>
      <c r="B1760" s="18" t="inlineStr">
        <is>
          <t>ควรหลีกเลี่ยงแสงและการแช่แข็ง</t>
        </is>
      </c>
      <c r="C1760" s="18" t="inlineStr"/>
      <c r="D1760" s="18" t="inlineStr">
        <is>
          <t>Naloxone 0.4 mg IV stat</t>
        </is>
      </c>
      <c r="E1760" s="18" t="inlineStr">
        <is>
          <t>Flumazenil 0.2 mg IV stat</t>
        </is>
      </c>
      <c r="F1760" s="18" t="inlineStr">
        <is>
          <t>Vitamin K1 (Phytomenadione) 10 mg IV slow</t>
        </is>
      </c>
      <c r="G1760" s="18" t="inlineStr">
        <is>
          <t>Sodium thiosulfate 25% 50 mL IV</t>
        </is>
      </c>
      <c r="H1760" s="18" t="inlineStr">
        <is>
          <t>Calcium disodium EDTA 1 g IV</t>
        </is>
      </c>
      <c r="I1760" s="15" t="inlineStr">
        <is>
          <t>1</t>
        </is>
      </c>
      <c r="J17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0" s="18" t="inlineStr"/>
      <c r="L1760" s="18" t="inlineStr">
        <is>
          <t>General Therapeutics</t>
        </is>
      </c>
      <c r="M1760" s="18" t="inlineStr">
        <is>
          <t>Clinic</t>
        </is>
      </c>
      <c r="N1760" s="18" t="inlineStr">
        <is>
          <t>ข้อ 2 (PLE_CC1_Key_Rx20_UBU.md)</t>
        </is>
      </c>
      <c r="O1760" s="18" t="inlineStr">
        <is>
          <t>Mock</t>
        </is>
      </c>
      <c r="P1760" s="18" t="inlineStr">
        <is>
          <t>Mock Rx20 UBU</t>
        </is>
      </c>
    </row>
    <row r="1761">
      <c r="A1761" s="15" t="inlineStr">
        <is>
          <t>1782</t>
        </is>
      </c>
      <c r="B1761" s="18" t="inlineStr">
        <is>
          <t>ปรับขนาด CCB ขึ้น</t>
        </is>
      </c>
      <c r="C1761" s="18" t="inlineStr"/>
      <c r="D1761" s="18" t="inlineStr">
        <is>
          <t>พ.ร.บ. หลักประกันสุขภาพแห่งชาติ พ.ศ. 2545</t>
        </is>
      </c>
      <c r="E1761" s="18" t="inlineStr">
        <is>
          <t>การปฏิบัติทางเภสัชกรรมชุมชน (Good Pharmacy Practice: GPP)</t>
        </is>
      </c>
      <c r="F1761" s="18" t="inlineStr">
        <is>
          <t>บัญชียาหลักแห่งชาติ (National List of Essential Medicines: NLEM)</t>
        </is>
      </c>
      <c r="G1761" s="18" t="inlineStr">
        <is>
          <t>เกณฑ์จริยธรรมว่าด้วยการส่งเสริมการขายยาของกระทรวงสาธารณสุข</t>
        </is>
      </c>
      <c r="H1761" s="18" t="inlineStr">
        <is>
          <t>พ.ร.บ. ยา พ.ศ. 2510 (การจำหน่ายยาอันตรายและยาควบคุมพิเศษ)</t>
        </is>
      </c>
      <c r="I1761" s="15" t="inlineStr">
        <is>
          <t>1</t>
        </is>
      </c>
      <c r="J176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1" s="18" t="inlineStr"/>
      <c r="L1761" s="18" t="inlineStr">
        <is>
          <t>Pharmacy Laws &amp; Ethics</t>
        </is>
      </c>
      <c r="M1761" s="18" t="inlineStr">
        <is>
          <t>SAP</t>
        </is>
      </c>
      <c r="N1761" s="18" t="inlineStr">
        <is>
          <t>ข้อ 2 (PLE_CC1_Key_Rx20_UBU.md)</t>
        </is>
      </c>
      <c r="O1761" s="18" t="inlineStr">
        <is>
          <t>Mock</t>
        </is>
      </c>
      <c r="P1761" s="18" t="inlineStr">
        <is>
          <t>Mock Rx20 UBU</t>
        </is>
      </c>
    </row>
    <row r="1762">
      <c r="A1762" s="15" t="inlineStr">
        <is>
          <t>1783</t>
        </is>
      </c>
      <c r="B1762" s="18" t="inlineStr">
        <is>
          <t>คำแนะนำที่เหมาะสมสำหรับผู้ป่วยรายนี้ คือ</t>
        </is>
      </c>
      <c r="C1762" s="18" t="inlineStr"/>
      <c r="D1762" s="18" t="inlineStr">
        <is>
          <t>Dimercaprol (BAL) 3 mg/kg IM</t>
        </is>
      </c>
      <c r="E1762" s="18" t="inlineStr">
        <is>
          <t>Ethanol 10% IV infusion for Methanol poisoning</t>
        </is>
      </c>
      <c r="F1762" s="18" t="inlineStr">
        <is>
          <t>Fomepizole 15 mg/kg IV loading</t>
        </is>
      </c>
      <c r="G1762" s="18" t="inlineStr">
        <is>
          <t>N-acetylcysteine (NAC) IV infusion protocol</t>
        </is>
      </c>
      <c r="H1762" s="18" t="inlineStr">
        <is>
          <t>Atropine sulfate 2 mg IV Q5-10 min</t>
        </is>
      </c>
      <c r="I1762" s="15" t="inlineStr">
        <is>
          <t>1</t>
        </is>
      </c>
      <c r="J17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2" s="18" t="inlineStr"/>
      <c r="L1762" s="18" t="inlineStr">
        <is>
          <t>General Therapeutics</t>
        </is>
      </c>
      <c r="M1762" s="18" t="inlineStr">
        <is>
          <t>Clinic</t>
        </is>
      </c>
      <c r="N1762" s="18" t="inlineStr">
        <is>
          <t>ข้อ 4 (PLE_CC1_Key_Rx20_UBU.md)</t>
        </is>
      </c>
      <c r="O1762" s="18" t="inlineStr">
        <is>
          <t>Mock</t>
        </is>
      </c>
      <c r="P1762" s="18" t="inlineStr">
        <is>
          <t>Mock Rx20 UBU</t>
        </is>
      </c>
    </row>
    <row r="1763">
      <c r="A1763" s="15" t="inlineStr">
        <is>
          <t>1784</t>
        </is>
      </c>
      <c r="B1763" s="18" t="inlineStr">
        <is>
          <t>แนะนำให้กินไข่ขาวเพิ่มเติม</t>
        </is>
      </c>
      <c r="C1763" s="18" t="inlineStr"/>
      <c r="D1763" s="18" t="inlineStr">
        <is>
          <t>N-acetylcysteine (NAC) IV infusion protocol</t>
        </is>
      </c>
      <c r="E1763" s="18" t="inlineStr">
        <is>
          <t>Atropine sulfate 2 mg IV Q5-10 min</t>
        </is>
      </c>
      <c r="F1763" s="18" t="inlineStr">
        <is>
          <t>Pralidoxime (2-PAM) 1-2 g IV over 30 min</t>
        </is>
      </c>
      <c r="G1763" s="18" t="inlineStr">
        <is>
          <t>Naloxone 0.4 mg IV stat</t>
        </is>
      </c>
      <c r="H1763" s="18" t="inlineStr">
        <is>
          <t>Flumazenil 0.2 mg IV stat</t>
        </is>
      </c>
      <c r="I1763" s="15" t="inlineStr">
        <is>
          <t>1</t>
        </is>
      </c>
      <c r="J17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3" s="18" t="inlineStr"/>
      <c r="L1763" s="18" t="inlineStr">
        <is>
          <t>General Therapeutics</t>
        </is>
      </c>
      <c r="M1763" s="18" t="inlineStr">
        <is>
          <t>Clinic</t>
        </is>
      </c>
      <c r="N1763" s="18" t="inlineStr">
        <is>
          <t>ข้อ 1 (PLE_CC1_Key_Rx20_UBU.md)</t>
        </is>
      </c>
      <c r="O1763" s="18" t="inlineStr">
        <is>
          <t>Mock</t>
        </is>
      </c>
      <c r="P1763" s="18" t="inlineStr">
        <is>
          <t>Mock Rx20 UBU</t>
        </is>
      </c>
    </row>
    <row r="1764">
      <c r="A1764" s="15" t="inlineStr">
        <is>
          <t>1785</t>
        </is>
      </c>
      <c r="B1764" s="18" t="inlineStr">
        <is>
          <t>แนะนำให้กินผลไม้ประเภทกล้วย ส้มมากๆ</t>
        </is>
      </c>
      <c r="C1764" s="18" t="inlineStr"/>
      <c r="D1764" s="18" t="inlineStr">
        <is>
          <t>Naloxone 0.4 mg IV stat</t>
        </is>
      </c>
      <c r="E1764" s="18" t="inlineStr">
        <is>
          <t>Flumazenil 0.2 mg IV stat</t>
        </is>
      </c>
      <c r="F1764" s="18" t="inlineStr">
        <is>
          <t>Vitamin K1 (Phytomenadione) 10 mg IV slow</t>
        </is>
      </c>
      <c r="G1764" s="18" t="inlineStr">
        <is>
          <t>Sodium thiosulfate 25% 50 mL IV</t>
        </is>
      </c>
      <c r="H1764" s="18" t="inlineStr">
        <is>
          <t>Calcium disodium EDTA 1 g IV</t>
        </is>
      </c>
      <c r="I1764" s="15" t="inlineStr">
        <is>
          <t>1</t>
        </is>
      </c>
      <c r="J17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4" s="18" t="inlineStr"/>
      <c r="L1764" s="18" t="inlineStr">
        <is>
          <t>General Therapeutics</t>
        </is>
      </c>
      <c r="M1764" s="18" t="inlineStr">
        <is>
          <t>Clinic</t>
        </is>
      </c>
      <c r="N1764" s="18" t="inlineStr">
        <is>
          <t>ข้อ 2 (PLE_CC1_Key_Rx20_UBU.md)</t>
        </is>
      </c>
      <c r="O1764" s="18" t="inlineStr">
        <is>
          <t>Mock</t>
        </is>
      </c>
      <c r="P1764" s="18" t="inlineStr">
        <is>
          <t>Mock Rx20 UBU</t>
        </is>
      </c>
    </row>
    <row r="1765">
      <c r="A1765" s="15" t="inlineStr">
        <is>
          <t>1786</t>
        </is>
      </c>
      <c r="B1765" s="18" t="inlineStr">
        <is>
          <t>กินอาหารประเภทปลาเล็กปลาน้อยทั้งตัว</t>
        </is>
      </c>
      <c r="C1765" s="18" t="inlineStr"/>
      <c r="D1765" s="18" t="inlineStr">
        <is>
          <t>Sodium thiosulfate 25% 50 mL IV</t>
        </is>
      </c>
      <c r="E1765" s="18" t="inlineStr">
        <is>
          <t>Calcium disodium EDTA 1 g IV</t>
        </is>
      </c>
      <c r="F1765" s="18" t="inlineStr">
        <is>
          <t>Desferrioxamine 1 g IM/IV</t>
        </is>
      </c>
      <c r="G1765" s="18" t="inlineStr">
        <is>
          <t>Dimercaprol (BAL) 3 mg/kg IM</t>
        </is>
      </c>
      <c r="H1765" s="18" t="inlineStr">
        <is>
          <t>Ethanol 10% IV infusion for Methanol poisoning</t>
        </is>
      </c>
      <c r="I1765" s="15" t="inlineStr">
        <is>
          <t>1</t>
        </is>
      </c>
      <c r="J17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5" s="18" t="inlineStr"/>
      <c r="L1765" s="18" t="inlineStr">
        <is>
          <t>General Therapeutics</t>
        </is>
      </c>
      <c r="M1765" s="18" t="inlineStr">
        <is>
          <t>Clinic</t>
        </is>
      </c>
      <c r="N1765" s="18" t="inlineStr">
        <is>
          <t>ข้อ 3 (PLE_CC1_Key_Rx20_UBU.md)</t>
        </is>
      </c>
      <c r="O1765" s="18" t="inlineStr">
        <is>
          <t>Mock</t>
        </is>
      </c>
      <c r="P1765" s="18" t="inlineStr">
        <is>
          <t>Mock Rx20 UBU</t>
        </is>
      </c>
    </row>
    <row r="1766">
      <c r="A1766" s="15" t="inlineStr">
        <is>
          <t>1787</t>
        </is>
      </c>
      <c r="B1766" s="18" t="inlineStr">
        <is>
          <t>กินCalcium เสริม</t>
        </is>
      </c>
      <c r="C1766" s="18" t="inlineStr"/>
      <c r="D1766" s="18" t="inlineStr">
        <is>
          <t>Dimercaprol (BAL) 3 mg/kg IM</t>
        </is>
      </c>
      <c r="E1766" s="18" t="inlineStr">
        <is>
          <t>Ethanol 10% IV infusion for Methanol poisoning</t>
        </is>
      </c>
      <c r="F1766" s="18" t="inlineStr">
        <is>
          <t>Fomepizole 15 mg/kg IV loading</t>
        </is>
      </c>
      <c r="G1766" s="18" t="inlineStr">
        <is>
          <t>N-acetylcysteine (NAC) IV infusion protocol</t>
        </is>
      </c>
      <c r="H1766" s="18" t="inlineStr">
        <is>
          <t>Atropine sulfate 2 mg IV Q5-10 min</t>
        </is>
      </c>
      <c r="I1766" s="15" t="inlineStr">
        <is>
          <t>1</t>
        </is>
      </c>
      <c r="J17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6" s="18" t="inlineStr"/>
      <c r="L1766" s="18" t="inlineStr">
        <is>
          <t>General Therapeutics</t>
        </is>
      </c>
      <c r="M1766" s="18" t="inlineStr">
        <is>
          <t>Clinic</t>
        </is>
      </c>
      <c r="N1766" s="18" t="inlineStr">
        <is>
          <t>ข้อ 4 (PLE_CC1_Key_Rx20_UBU.md)</t>
        </is>
      </c>
      <c r="O1766" s="18" t="inlineStr">
        <is>
          <t>Mock</t>
        </is>
      </c>
      <c r="P1766" s="18" t="inlineStr">
        <is>
          <t>Mock Rx20 UBU</t>
        </is>
      </c>
    </row>
    <row r="1767">
      <c r="A1767" s="15" t="inlineStr">
        <is>
          <t>1788</t>
        </is>
      </c>
      <c r="B1767" s="18" t="inlineStr">
        <is>
          <t>ข้อใดคือ Indication ในการได้รับ Chlak tab ของผู้ป่วยรายนี้</t>
        </is>
      </c>
      <c r="C1767" s="18" t="inlineStr"/>
      <c r="D1767" s="18" t="inlineStr">
        <is>
          <t>N-acetylcysteine (NAC) IV infusion protocol</t>
        </is>
      </c>
      <c r="E1767" s="18" t="inlineStr">
        <is>
          <t>Atropine sulfate 2 mg IV Q5-10 min</t>
        </is>
      </c>
      <c r="F1767" s="18" t="inlineStr">
        <is>
          <t>Pralidoxime (2-PAM) 1-2 g IV over 30 min</t>
        </is>
      </c>
      <c r="G1767" s="18" t="inlineStr">
        <is>
          <t>Naloxone 0.4 mg IV stat</t>
        </is>
      </c>
      <c r="H1767" s="18" t="inlineStr">
        <is>
          <t>Flumazenil 0.2 mg IV stat</t>
        </is>
      </c>
      <c r="I1767" s="15" t="inlineStr">
        <is>
          <t>1</t>
        </is>
      </c>
      <c r="J17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7" s="18" t="inlineStr"/>
      <c r="L1767" s="18" t="inlineStr">
        <is>
          <t>General Therapeutics</t>
        </is>
      </c>
      <c r="M1767" s="18" t="inlineStr">
        <is>
          <t>Clinic</t>
        </is>
      </c>
      <c r="N1767" s="18" t="inlineStr">
        <is>
          <t>ข้อ 5 (PLE_CC1_Key_Rx20_UBU.md)</t>
        </is>
      </c>
      <c r="O1767" s="18" t="inlineStr">
        <is>
          <t>Mock</t>
        </is>
      </c>
      <c r="P1767" s="18" t="inlineStr">
        <is>
          <t>Mock Rx20 UBU</t>
        </is>
      </c>
    </row>
    <row r="1768">
      <c r="A1768" s="15" t="inlineStr">
        <is>
          <t>1789</t>
        </is>
      </c>
      <c r="B1768" s="18" t="inlineStr">
        <is>
          <t>metabolic acidosis</t>
        </is>
      </c>
      <c r="C1768" s="18" t="inlineStr"/>
      <c r="D1768" s="18" t="inlineStr">
        <is>
          <t>Naloxone 0.4 mg IV stat</t>
        </is>
      </c>
      <c r="E1768" s="18" t="inlineStr">
        <is>
          <t>Flumazenil 0.2 mg IV stat</t>
        </is>
      </c>
      <c r="F1768" s="18" t="inlineStr">
        <is>
          <t>Vitamin K1 (Phytomenadione) 10 mg IV slow</t>
        </is>
      </c>
      <c r="G1768" s="18" t="inlineStr">
        <is>
          <t>Sodium thiosulfate 25% 50 mL IV</t>
        </is>
      </c>
      <c r="H1768" s="18" t="inlineStr">
        <is>
          <t>Calcium disodium EDTA 1 g IV</t>
        </is>
      </c>
      <c r="I1768" s="15" t="inlineStr">
        <is>
          <t>1</t>
        </is>
      </c>
      <c r="J17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8" s="18" t="inlineStr"/>
      <c r="L1768" s="18" t="inlineStr">
        <is>
          <t>General Therapeutics</t>
        </is>
      </c>
      <c r="M1768" s="18" t="inlineStr">
        <is>
          <t>Clinic</t>
        </is>
      </c>
      <c r="N1768" s="18" t="inlineStr">
        <is>
          <t>ข้อ 4 (PLE_CC1_Key_Rx20_UBU.md)</t>
        </is>
      </c>
      <c r="O1768" s="18" t="inlineStr">
        <is>
          <t>Mock</t>
        </is>
      </c>
      <c r="P1768" s="18" t="inlineStr">
        <is>
          <t>Mock Rx20 UBU</t>
        </is>
      </c>
    </row>
    <row r="1769">
      <c r="A1769" s="15" t="inlineStr">
        <is>
          <t>1790</t>
        </is>
      </c>
      <c r="B1769" s="18" t="inlineStr">
        <is>
          <t>ควรรักษาภาวะน้ำตาลในเลือดสูงของผู้ป่วยรายนี้อย่างไรเมื่ออยู่ในโรงพยาบาล</t>
        </is>
      </c>
      <c r="C1769" s="18" t="inlineStr"/>
      <c r="D1769" s="18" t="inlineStr">
        <is>
          <t>Glipizide 5 mg OD</t>
        </is>
      </c>
      <c r="E1769" s="18" t="inlineStr">
        <is>
          <t>Empagliflozin 10 mg OD</t>
        </is>
      </c>
      <c r="F1769" s="18" t="inlineStr">
        <is>
          <t>Sitagliptin 100 mg OD</t>
        </is>
      </c>
      <c r="G1769" s="18" t="inlineStr">
        <is>
          <t>Liraglutide 1.2 mg SC OD</t>
        </is>
      </c>
      <c r="H1769" s="18" t="inlineStr">
        <is>
          <t>Levothyroxine 50 mcg OD</t>
        </is>
      </c>
      <c r="I1769" s="15" t="inlineStr">
        <is>
          <t>1</t>
        </is>
      </c>
      <c r="J1769" s="1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769" s="18" t="inlineStr"/>
      <c r="L1769" s="18" t="inlineStr">
        <is>
          <t>Diabetes &amp; Endocrine</t>
        </is>
      </c>
      <c r="M1769" s="18" t="inlineStr">
        <is>
          <t>Clinic</t>
        </is>
      </c>
      <c r="N1769" s="18" t="inlineStr">
        <is>
          <t>ข้อ 6 (PLE_CC1_Key_Rx20_UBU.md)</t>
        </is>
      </c>
      <c r="O1769" s="18" t="inlineStr">
        <is>
          <t>Mock</t>
        </is>
      </c>
      <c r="P1769" s="18" t="inlineStr">
        <is>
          <t>Mock Rx20 UBU</t>
        </is>
      </c>
    </row>
    <row r="1770">
      <c r="A1770" s="15" t="inlineStr">
        <is>
          <t>1791</t>
        </is>
      </c>
      <c r="B1770" s="18" t="inlineStr">
        <is>
          <t>เพิ่มยา Valgibose</t>
        </is>
      </c>
      <c r="C1770" s="18" t="inlineStr"/>
      <c r="D1770" s="18" t="inlineStr">
        <is>
          <t>Dimercaprol (BAL) 3 mg/kg IM</t>
        </is>
      </c>
      <c r="E1770" s="18" t="inlineStr">
        <is>
          <t>Ethanol 10% IV infusion for Methanol poisoning</t>
        </is>
      </c>
      <c r="F1770" s="18" t="inlineStr">
        <is>
          <t>Fomepizole 15 mg/kg IV loading</t>
        </is>
      </c>
      <c r="G1770" s="18" t="inlineStr">
        <is>
          <t>N-acetylcysteine (NAC) IV infusion protocol</t>
        </is>
      </c>
      <c r="H1770" s="18" t="inlineStr">
        <is>
          <t>Atropine sulfate 2 mg IV Q5-10 min</t>
        </is>
      </c>
      <c r="I1770" s="15" t="inlineStr">
        <is>
          <t>1</t>
        </is>
      </c>
      <c r="J17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0" s="18" t="inlineStr"/>
      <c r="L1770" s="18" t="inlineStr">
        <is>
          <t>General Therapeutics</t>
        </is>
      </c>
      <c r="M1770" s="18" t="inlineStr">
        <is>
          <t>Clinic</t>
        </is>
      </c>
      <c r="N1770" s="18" t="inlineStr">
        <is>
          <t>ข้อ 4 (PLE_CC1_Key_Rx20_UBU.md)</t>
        </is>
      </c>
      <c r="O1770" s="18" t="inlineStr">
        <is>
          <t>Mock</t>
        </is>
      </c>
      <c r="P1770" s="18" t="inlineStr">
        <is>
          <t>Mock Rx20 UBU</t>
        </is>
      </c>
    </row>
    <row r="1771">
      <c r="A1771" s="15" t="inlineStr">
        <is>
          <t>1792</t>
        </is>
      </c>
      <c r="B1771" s="18" t="inlineStr">
        <is>
          <t>Furrous sulphate</t>
        </is>
      </c>
      <c r="C1771" s="18" t="inlineStr"/>
      <c r="D1771" s="18" t="inlineStr">
        <is>
          <t>N-acetylcysteine (NAC) IV infusion protocol</t>
        </is>
      </c>
      <c r="E1771" s="18" t="inlineStr">
        <is>
          <t>Atropine sulfate 2 mg IV Q5-10 min</t>
        </is>
      </c>
      <c r="F1771" s="18" t="inlineStr">
        <is>
          <t>Pralidoxime (2-PAM) 1-2 g IV over 30 min</t>
        </is>
      </c>
      <c r="G1771" s="18" t="inlineStr">
        <is>
          <t>Naloxone 0.4 mg IV stat</t>
        </is>
      </c>
      <c r="H1771" s="18" t="inlineStr">
        <is>
          <t>Flumazenil 0.2 mg IV stat</t>
        </is>
      </c>
      <c r="I1771" s="15" t="inlineStr">
        <is>
          <t>1</t>
        </is>
      </c>
      <c r="J17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1" s="18" t="inlineStr"/>
      <c r="L1771" s="18" t="inlineStr">
        <is>
          <t>General Therapeutics</t>
        </is>
      </c>
      <c r="M1771" s="18" t="inlineStr">
        <is>
          <t>Clinic</t>
        </is>
      </c>
      <c r="N1771" s="18" t="inlineStr">
        <is>
          <t>ข้อ 3 (PLE_CC1_Key_Rx20_UBU.md)</t>
        </is>
      </c>
      <c r="O1771" s="18" t="inlineStr">
        <is>
          <t>Mock</t>
        </is>
      </c>
      <c r="P1771" s="18" t="inlineStr">
        <is>
          <t>Mock Rx20 UBU</t>
        </is>
      </c>
    </row>
    <row r="1772">
      <c r="A1772" s="15" t="inlineStr">
        <is>
          <t>1793</t>
        </is>
      </c>
      <c r="B1772" s="18" t="inlineStr">
        <is>
          <t>ฝ่าฝืน เพราะถือเป็นการโฆษณาที่โอ้อวดสรรพคุณ</t>
        </is>
      </c>
      <c r="C1772" s="18" t="inlineStr"/>
      <c r="D1772" s="18" t="inlineStr">
        <is>
          <t>Naloxone 0.4 mg IV stat</t>
        </is>
      </c>
      <c r="E1772" s="18" t="inlineStr">
        <is>
          <t>Flumazenil 0.2 mg IV stat</t>
        </is>
      </c>
      <c r="F1772" s="18" t="inlineStr">
        <is>
          <t>Vitamin K1 (Phytomenadione) 10 mg IV slow</t>
        </is>
      </c>
      <c r="G1772" s="18" t="inlineStr">
        <is>
          <t>Sodium thiosulfate 25% 50 mL IV</t>
        </is>
      </c>
      <c r="H1772" s="18" t="inlineStr">
        <is>
          <t>Calcium disodium EDTA 1 g IV</t>
        </is>
      </c>
      <c r="I1772" s="15" t="inlineStr">
        <is>
          <t>1</t>
        </is>
      </c>
      <c r="J17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72" s="18" t="inlineStr"/>
      <c r="L1772" s="18" t="inlineStr">
        <is>
          <t>General Therapeutics</t>
        </is>
      </c>
      <c r="M1772" s="18" t="inlineStr">
        <is>
          <t>Clinic</t>
        </is>
      </c>
      <c r="N1772" s="18" t="inlineStr">
        <is>
          <t>ข้อ 1 (PLE_CC1_Key_Rx20_UBU.md)</t>
        </is>
      </c>
      <c r="O1772" s="18" t="inlineStr">
        <is>
          <t>Mock</t>
        </is>
      </c>
      <c r="P1772" s="18" t="inlineStr">
        <is>
          <t>Mock Rx20 UBU</t>
        </is>
      </c>
    </row>
    <row r="1773">
      <c r="A1773" s="15" t="inlineStr">
        <is>
          <t>1794</t>
        </is>
      </c>
      <c r="B1773" s="18" t="inlineStr">
        <is>
          <t>ไม่ฝ่าฝืน เพราะได้รับอนุญาตแล้ว</t>
        </is>
      </c>
      <c r="C1773" s="18" t="inlineStr"/>
      <c r="D1773" s="18" t="inlineStr">
        <is>
          <t>Sodium thiosulfate 25% 50 mL IV</t>
        </is>
      </c>
      <c r="E1773" s="18" t="inlineStr">
        <is>
          <t>Calcium disodium EDTA 1 g IV</t>
        </is>
      </c>
      <c r="F1773" s="18" t="inlineStr">
        <is>
          <t>Desferrioxamine 1 g IM/IV</t>
        </is>
      </c>
      <c r="G1773" s="18" t="inlineStr">
        <is>
          <t>Dimercaprol (BAL) 3 mg/kg IM</t>
        </is>
      </c>
      <c r="H1773" s="18" t="inlineStr">
        <is>
          <t>Ethanol 10% IV infusion for Methanol poisoning</t>
        </is>
      </c>
      <c r="I1773" s="15" t="inlineStr">
        <is>
          <t>1</t>
        </is>
      </c>
      <c r="J17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3" s="18" t="inlineStr"/>
      <c r="L1773" s="18" t="inlineStr">
        <is>
          <t>General Therapeutics</t>
        </is>
      </c>
      <c r="M1773" s="18" t="inlineStr">
        <is>
          <t>Clinic</t>
        </is>
      </c>
      <c r="N1773" s="18" t="inlineStr">
        <is>
          <t>ข้อ 3 (PLE_CC1_Key_Rx20_UBU.md)</t>
        </is>
      </c>
      <c r="O1773" s="18" t="inlineStr">
        <is>
          <t>Mock</t>
        </is>
      </c>
      <c r="P1773" s="18" t="inlineStr">
        <is>
          <t>Mock Rx20 UBU</t>
        </is>
      </c>
    </row>
    <row r="1774">
      <c r="A1774" s="15" t="inlineStr">
        <is>
          <t>1795</t>
        </is>
      </c>
      <c r="B1774" s="18" t="inlineStr">
        <is>
          <t>ไม่ฝ่าฝืน เพราะจัดเป็นยาแผนโบราณ</t>
        </is>
      </c>
      <c r="C1774" s="18" t="inlineStr"/>
      <c r="D1774" s="18" t="inlineStr">
        <is>
          <t>Soxhlet Extraction for heat-stable phytochemicals</t>
        </is>
      </c>
      <c r="E1774" s="18" t="inlineStr">
        <is>
          <t>Supercritical Fluid Extraction (SFE-CO2)</t>
        </is>
      </c>
      <c r="F1774" s="18" t="inlineStr">
        <is>
          <t>Standardized Curcuminoids in Curcuma longa</t>
        </is>
      </c>
      <c r="G1774" s="18" t="inlineStr">
        <is>
          <t>Standardized Andrographolide in Andrographis paniculata</t>
        </is>
      </c>
      <c r="H1774" s="18" t="inlineStr">
        <is>
          <t>Senna glycosides (Sennosides A &amp; B) Extraction</t>
        </is>
      </c>
      <c r="I1774" s="15" t="inlineStr">
        <is>
          <t>1</t>
        </is>
      </c>
      <c r="J1774" s="18"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USP/NF, British Pharmacopoeia (BP) &amp; Remington: The Science and Practice of Pharmacy (หัวข้อ Herbal Medicine)
Herbal Medicine: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Herbal Medicine)
🔍 ข้ออื่นผิดเพราะอะไร:
• ข้อ ข.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Medicine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4" s="18" t="inlineStr"/>
      <c r="L1774" s="18" t="inlineStr">
        <is>
          <t>Herbal Medicine</t>
        </is>
      </c>
      <c r="M1774" s="18" t="inlineStr">
        <is>
          <t>Product</t>
        </is>
      </c>
      <c r="N1774" s="18" t="inlineStr">
        <is>
          <t>ข้อ 4 (PLE_CC1_Key_Rx20_UBU.md)</t>
        </is>
      </c>
      <c r="O1774" s="18" t="inlineStr">
        <is>
          <t>Mock</t>
        </is>
      </c>
      <c r="P1774" s="18" t="inlineStr">
        <is>
          <t>Mock Rx20 UBU</t>
        </is>
      </c>
    </row>
    <row r="1775">
      <c r="A1775" s="15" t="inlineStr">
        <is>
          <t>1796</t>
        </is>
      </c>
      <c r="B1775" s="18" t="inlineStr">
        <is>
          <t>ยาสามัญประจำบ้าน</t>
        </is>
      </c>
      <c r="C1775" s="18" t="inlineStr"/>
      <c r="D1775" s="18" t="inlineStr">
        <is>
          <t>บัญชียาหลักแห่งชาติ (National List of Essential Medicines: NLEM)</t>
        </is>
      </c>
      <c r="E1775" s="18" t="inlineStr">
        <is>
          <t>เกณฑ์จริยธรรมว่าด้วยการส่งเสริมการขายยาของกระทรวงสาธารณสุข</t>
        </is>
      </c>
      <c r="F1775" s="18" t="inlineStr">
        <is>
          <t>พ.ร.บ. ยา พ.ศ. 2510 (การจำหน่ายยาอันตรายและยาควบคุมพิเศษ)</t>
        </is>
      </c>
      <c r="G1775" s="18" t="inlineStr">
        <is>
          <t>พ.ร.บ. ยาเสพติดให้โทษ พ.ศ. 2522 (ยาเสพติดให้โทษประเภท 2 และ 3)</t>
        </is>
      </c>
      <c r="H1775" s="18" t="inlineStr">
        <is>
          <t>พ.ร.บ. วัตถุที่ออกฤทธิ์ต่อจิตและประสาท พ.ศ. 2559 (ประเภท 2 และ 4)</t>
        </is>
      </c>
      <c r="I1775" s="15" t="inlineStr">
        <is>
          <t>1</t>
        </is>
      </c>
      <c r="J1775"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5" s="18" t="inlineStr"/>
      <c r="L1775" s="18" t="inlineStr">
        <is>
          <t>Pharmacy Laws &amp; Ethics</t>
        </is>
      </c>
      <c r="M1775" s="18" t="inlineStr">
        <is>
          <t>SAP</t>
        </is>
      </c>
      <c r="N1775" s="18" t="inlineStr">
        <is>
          <t>ข้อ 4 (PLE_CC1_Key_Rx20_UBU.md)</t>
        </is>
      </c>
      <c r="O1775" s="18" t="inlineStr">
        <is>
          <t>Mock</t>
        </is>
      </c>
      <c r="P1775" s="18" t="inlineStr">
        <is>
          <t>Mock Rx20 UBU</t>
        </is>
      </c>
    </row>
    <row r="1776">
      <c r="A1776" s="15" t="inlineStr">
        <is>
          <t>1797</t>
        </is>
      </c>
      <c r="B1776" s="18" t="inlineStr">
        <is>
          <t>คนไข้เป็นโรคกรดไหลย้อน เลือกใช้ยาใดต่อไป</t>
        </is>
      </c>
      <c r="C1776" s="18" t="inlineStr"/>
      <c r="D1776" s="18" t="inlineStr">
        <is>
          <t>Clarithromycin 500 mg BID</t>
        </is>
      </c>
      <c r="E1776" s="18" t="inlineStr">
        <is>
          <t>Hyoscine butylbromide 10 mg TID</t>
        </is>
      </c>
      <c r="F1776" s="18" t="inlineStr">
        <is>
          <t>Aluminium hydroxide/Magnesium hydroxide suspension</t>
        </is>
      </c>
      <c r="G1776" s="18" t="inlineStr">
        <is>
          <t>Metoclopramide 10 mg TID before meals</t>
        </is>
      </c>
      <c r="H1776" s="18" t="inlineStr">
        <is>
          <t>Omeprazole 20 mg OD</t>
        </is>
      </c>
      <c r="I1776" s="15" t="inlineStr">
        <is>
          <t>1</t>
        </is>
      </c>
      <c r="J1776" s="18"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6" s="18" t="inlineStr"/>
      <c r="L1776" s="18" t="inlineStr">
        <is>
          <t>GI Disorders</t>
        </is>
      </c>
      <c r="M1776" s="18" t="inlineStr">
        <is>
          <t>Clinic</t>
        </is>
      </c>
      <c r="N1776" s="18" t="inlineStr">
        <is>
          <t>ข้อ 1 (PLE_CC1_Key_Rx20_UBU.md)</t>
        </is>
      </c>
      <c r="O1776" s="18" t="inlineStr">
        <is>
          <t>Mock</t>
        </is>
      </c>
      <c r="P1776" s="18" t="inlineStr">
        <is>
          <t>Mock Rx20 UBU</t>
        </is>
      </c>
    </row>
    <row r="1777">
      <c r="A1777" s="15" t="inlineStr">
        <is>
          <t>1798</t>
        </is>
      </c>
      <c r="B1777" s="18" t="inlineStr">
        <is>
          <t>Bismuth subsalicylate</t>
        </is>
      </c>
      <c r="C1777" s="18" t="inlineStr"/>
      <c r="D1777" s="18" t="inlineStr">
        <is>
          <t>Sodium thiosulfate 25% 50 mL IV</t>
        </is>
      </c>
      <c r="E1777" s="18" t="inlineStr">
        <is>
          <t>Calcium disodium EDTA 1 g IV</t>
        </is>
      </c>
      <c r="F1777" s="18" t="inlineStr">
        <is>
          <t>Desferrioxamine 1 g IM/IV</t>
        </is>
      </c>
      <c r="G1777" s="18" t="inlineStr">
        <is>
          <t>Dimercaprol (BAL) 3 mg/kg IM</t>
        </is>
      </c>
      <c r="H1777" s="18" t="inlineStr">
        <is>
          <t>Ethanol 10% IV infusion for Methanol poisoning</t>
        </is>
      </c>
      <c r="I1777" s="15" t="inlineStr">
        <is>
          <t>1</t>
        </is>
      </c>
      <c r="J17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7" s="18" t="inlineStr"/>
      <c r="L1777" s="18" t="inlineStr">
        <is>
          <t>General Therapeutics</t>
        </is>
      </c>
      <c r="M1777" s="18" t="inlineStr">
        <is>
          <t>Clinic</t>
        </is>
      </c>
      <c r="N1777" s="18" t="inlineStr">
        <is>
          <t>ข้อ 2 (PLE_CC1_Key_Rx20_UBU.md)</t>
        </is>
      </c>
      <c r="O1777" s="18" t="inlineStr">
        <is>
          <t>Mock</t>
        </is>
      </c>
      <c r="P1777" s="18" t="inlineStr">
        <is>
          <t>Mock Rx20 UBU</t>
        </is>
      </c>
    </row>
    <row r="1778">
      <c r="A1778" s="15" t="inlineStr">
        <is>
          <t>1799</t>
        </is>
      </c>
      <c r="B1778" s="18" t="inlineStr">
        <is>
          <t>Non-touch Technique</t>
        </is>
      </c>
      <c r="C1778" s="18" t="inlineStr"/>
      <c r="D1778" s="18" t="inlineStr">
        <is>
          <t>Dimercaprol (BAL) 3 mg/kg IM</t>
        </is>
      </c>
      <c r="E1778" s="18" t="inlineStr">
        <is>
          <t>Ethanol 10% IV infusion for Methanol poisoning</t>
        </is>
      </c>
      <c r="F1778" s="18" t="inlineStr">
        <is>
          <t>Fomepizole 15 mg/kg IV loading</t>
        </is>
      </c>
      <c r="G1778" s="18" t="inlineStr">
        <is>
          <t>N-acetylcysteine (NAC) IV infusion protocol</t>
        </is>
      </c>
      <c r="H1778" s="18" t="inlineStr">
        <is>
          <t>Atropine sulfate 2 mg IV Q5-10 min</t>
        </is>
      </c>
      <c r="I1778" s="15" t="inlineStr">
        <is>
          <t>1</t>
        </is>
      </c>
      <c r="J17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8" s="18" t="inlineStr"/>
      <c r="L1778" s="18" t="inlineStr">
        <is>
          <t>General Therapeutics</t>
        </is>
      </c>
      <c r="M1778" s="18" t="inlineStr">
        <is>
          <t>Clinic</t>
        </is>
      </c>
      <c r="N1778" s="18" t="inlineStr">
        <is>
          <t>ข้อ 1 (PLE_CC1_Key_Rx20_UBU.md)</t>
        </is>
      </c>
      <c r="O1778" s="18" t="inlineStr">
        <is>
          <t>Mock</t>
        </is>
      </c>
      <c r="P1778" s="18" t="inlineStr">
        <is>
          <t>Mock Rx20 UBU</t>
        </is>
      </c>
    </row>
    <row r="1779">
      <c r="A1779" s="15" t="inlineStr">
        <is>
          <t>1800</t>
        </is>
      </c>
      <c r="B1779" s="18" t="inlineStr">
        <is>
          <t>Open window Technique</t>
        </is>
      </c>
      <c r="C1779" s="18" t="inlineStr"/>
      <c r="D1779" s="18" t="inlineStr">
        <is>
          <t>N-acetylcysteine (NAC) IV infusion protocol</t>
        </is>
      </c>
      <c r="E1779" s="18" t="inlineStr">
        <is>
          <t>Atropine sulfate 2 mg IV Q5-10 min</t>
        </is>
      </c>
      <c r="F1779" s="18" t="inlineStr">
        <is>
          <t>Pralidoxime (2-PAM) 1-2 g IV over 30 min</t>
        </is>
      </c>
      <c r="G1779" s="18" t="inlineStr">
        <is>
          <t>Naloxone 0.4 mg IV stat</t>
        </is>
      </c>
      <c r="H1779" s="18" t="inlineStr">
        <is>
          <t>Flumazenil 0.2 mg IV stat</t>
        </is>
      </c>
      <c r="I1779" s="15" t="inlineStr">
        <is>
          <t>1</t>
        </is>
      </c>
      <c r="J17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9" s="18" t="inlineStr"/>
      <c r="L1779" s="18" t="inlineStr">
        <is>
          <t>General Therapeutics</t>
        </is>
      </c>
      <c r="M1779" s="18" t="inlineStr">
        <is>
          <t>Clinic</t>
        </is>
      </c>
      <c r="N1779" s="18" t="inlineStr">
        <is>
          <t>ข้อ 2 (PLE_CC1_Key_Rx20_UBU.md)</t>
        </is>
      </c>
      <c r="O1779" s="18" t="inlineStr">
        <is>
          <t>Mock</t>
        </is>
      </c>
      <c r="P1779" s="18" t="inlineStr">
        <is>
          <t>Mock Rx20 UBU</t>
        </is>
      </c>
    </row>
    <row r="1780">
      <c r="A1780" s="15" t="inlineStr">
        <is>
          <t>1801</t>
        </is>
      </c>
      <c r="B1780" s="18" t="inlineStr">
        <is>
          <t>Core prevention Technique</t>
        </is>
      </c>
      <c r="C1780" s="18" t="inlineStr"/>
      <c r="D1780" s="18" t="inlineStr">
        <is>
          <t>Naloxone 0.4 mg IV stat</t>
        </is>
      </c>
      <c r="E1780" s="18" t="inlineStr">
        <is>
          <t>Flumazenil 0.2 mg IV stat</t>
        </is>
      </c>
      <c r="F1780" s="18" t="inlineStr">
        <is>
          <t>Vitamin K1 (Phytomenadione) 10 mg IV slow</t>
        </is>
      </c>
      <c r="G1780" s="18" t="inlineStr">
        <is>
          <t>Sodium thiosulfate 25% 50 mL IV</t>
        </is>
      </c>
      <c r="H1780" s="18" t="inlineStr">
        <is>
          <t>Calcium disodium EDTA 1 g IV</t>
        </is>
      </c>
      <c r="I1780" s="15" t="inlineStr">
        <is>
          <t>1</t>
        </is>
      </c>
      <c r="J17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80" s="18" t="inlineStr"/>
      <c r="L1780" s="18" t="inlineStr">
        <is>
          <t>General Therapeutics</t>
        </is>
      </c>
      <c r="M1780" s="18" t="inlineStr">
        <is>
          <t>Clinic</t>
        </is>
      </c>
      <c r="N1780" s="18" t="inlineStr">
        <is>
          <t>ข้อ 4 (PLE_CC1_Key_Rx20_UBU.md)</t>
        </is>
      </c>
      <c r="O1780" s="18" t="inlineStr">
        <is>
          <t>Mock</t>
        </is>
      </c>
      <c r="P1780" s="18" t="inlineStr">
        <is>
          <t>Mock Rx20 UBU</t>
        </is>
      </c>
    </row>
    <row r="1781">
      <c r="A1781" s="15" t="inlineStr">
        <is>
          <t>1802</t>
        </is>
      </c>
      <c r="B1781" s="18" t="inlineStr">
        <is>
          <t>D-10-W 115 ml และ D-10-NSS 135 ml ปรับปริมาตรให้ครบ 500 ml</t>
        </is>
      </c>
      <c r="C1781" s="18" t="inlineStr"/>
      <c r="D1781" s="18" t="inlineStr">
        <is>
          <t>พ.ร.บ. หลักประกันสุขภาพแห่งชาติ พ.ศ. 2545</t>
        </is>
      </c>
      <c r="E1781" s="18" t="inlineStr">
        <is>
          <t>การปฏิบัติทางเภสัชกรรมชุมชน (Good Pharmacy Practice: GPP)</t>
        </is>
      </c>
      <c r="F1781" s="18" t="inlineStr">
        <is>
          <t>บัญชียาหลักแห่งชาติ (National List of Essential Medicines: NLEM)</t>
        </is>
      </c>
      <c r="G1781" s="18" t="inlineStr">
        <is>
          <t>เกณฑ์จริยธรรมว่าด้วยการส่งเสริมการขายยาของกระทรวงสาธารณสุข</t>
        </is>
      </c>
      <c r="H1781" s="18" t="inlineStr">
        <is>
          <t>พ.ร.บ. ยา พ.ศ. 2510 (การจำหน่ายยาอันตรายและยาควบคุมพิเศษ)</t>
        </is>
      </c>
      <c r="I1781" s="15" t="inlineStr">
        <is>
          <t>1</t>
        </is>
      </c>
      <c r="J178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1" s="18" t="inlineStr"/>
      <c r="L1781" s="18" t="inlineStr">
        <is>
          <t>Pharmacy Laws &amp; Ethics</t>
        </is>
      </c>
      <c r="M1781" s="18" t="inlineStr">
        <is>
          <t>SAP</t>
        </is>
      </c>
      <c r="N1781" s="18" t="inlineStr">
        <is>
          <t>ข้อ 1 (PLE_CC1_Key_Rx20_UBU.md)</t>
        </is>
      </c>
      <c r="O1781" s="18" t="inlineStr">
        <is>
          <t>Mock</t>
        </is>
      </c>
      <c r="P1781" s="18" t="inlineStr">
        <is>
          <t>Mock Rx20 UBU</t>
        </is>
      </c>
    </row>
    <row r="1782">
      <c r="A1782" s="15" t="inlineStr">
        <is>
          <t>1803</t>
        </is>
      </c>
      <c r="B1782" s="18" t="inlineStr">
        <is>
          <t>D-10-W 125 ml และ D-10-NSS 125 ml ปรับปริมาตรให้ครบ 500 ml</t>
        </is>
      </c>
      <c r="C1782" s="18" t="inlineStr"/>
      <c r="D1782" s="18" t="inlineStr">
        <is>
          <t>เกณฑ์จริยธรรมว่าด้วยการส่งเสริมการขายยาของกระทรวงสาธารณสุข</t>
        </is>
      </c>
      <c r="E1782" s="18" t="inlineStr">
        <is>
          <t>พ.ร.บ. ยา พ.ศ. 2510 (การจำหน่ายยาอันตรายและยาควบคุมพิเศษ)</t>
        </is>
      </c>
      <c r="F1782" s="18" t="inlineStr">
        <is>
          <t>พ.ร.บ. ยาเสพติดให้โทษ พ.ศ. 2522 (ยาเสพติดให้โทษประเภท 2 และ 3)</t>
        </is>
      </c>
      <c r="G1782" s="18" t="inlineStr">
        <is>
          <t>พ.ร.บ. วัตถุที่ออกฤทธิ์ต่อจิตและประสาท พ.ศ. 2559 (ประเภท 2 และ 4)</t>
        </is>
      </c>
      <c r="H1782" s="18" t="inlineStr">
        <is>
          <t>พ.ร.บ. วิชาชีพเภสัชกรรม พ.ศ. 2537 และข้อบังคับจรรยาบรรณวิชาชีพ</t>
        </is>
      </c>
      <c r="I1782" s="15" t="inlineStr">
        <is>
          <t>1</t>
        </is>
      </c>
      <c r="J178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2" s="18" t="inlineStr"/>
      <c r="L1782" s="18" t="inlineStr">
        <is>
          <t>Pharmacy Laws &amp; Ethics</t>
        </is>
      </c>
      <c r="M1782" s="18" t="inlineStr">
        <is>
          <t>SAP</t>
        </is>
      </c>
      <c r="N1782" s="18" t="inlineStr">
        <is>
          <t>ข้อ 2 (PLE_CC1_Key_Rx20_UBU.md)</t>
        </is>
      </c>
      <c r="O1782" s="18" t="inlineStr">
        <is>
          <t>Mock</t>
        </is>
      </c>
      <c r="P1782" s="18" t="inlineStr">
        <is>
          <t>Mock Rx20 UBU</t>
        </is>
      </c>
    </row>
    <row r="1783">
      <c r="A1783" s="15" t="inlineStr">
        <is>
          <t>1804</t>
        </is>
      </c>
      <c r="B1783" s="18" t="inlineStr">
        <is>
          <t>D-10-W 135 ml และ D-10-NSS 115 ml ปรับปริมาตรให้ครบ 500 ml</t>
        </is>
      </c>
      <c r="C1783" s="18" t="inlineStr"/>
      <c r="D1783" s="18" t="inlineStr">
        <is>
          <t>พ.ร.บ. วัตถุที่ออกฤทธิ์ต่อจิตและประสาท พ.ศ. 2559 (ประเภท 2 และ 4)</t>
        </is>
      </c>
      <c r="E1783" s="18" t="inlineStr">
        <is>
          <t>พ.ร.บ. วิชาชีพเภสัชกรรม พ.ศ. 2537 และข้อบังคับจรรยาบรรณวิชาชีพ</t>
        </is>
      </c>
      <c r="F1783" s="18" t="inlineStr">
        <is>
          <t>พ.ร.บ. ผลิตภัณฑ์สมุนไพร พ.ศ. 2562</t>
        </is>
      </c>
      <c r="G1783" s="18" t="inlineStr">
        <is>
          <t>พ.ร.บ. เครื่องสำอาง พ.ศ. 2558</t>
        </is>
      </c>
      <c r="H1783" s="18" t="inlineStr">
        <is>
          <t>พ.ร.บ. หลักประกันสุขภาพแห่งชาติ พ.ศ. 2545</t>
        </is>
      </c>
      <c r="I1783" s="15" t="inlineStr">
        <is>
          <t>1</t>
        </is>
      </c>
      <c r="J1783"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3" s="18" t="inlineStr"/>
      <c r="L1783" s="18" t="inlineStr">
        <is>
          <t>Pharmacy Laws &amp; Ethics</t>
        </is>
      </c>
      <c r="M1783" s="18" t="inlineStr">
        <is>
          <t>SAP</t>
        </is>
      </c>
      <c r="N1783" s="18" t="inlineStr">
        <is>
          <t>ข้อ 3 (PLE_CC1_Key_Rx20_UBU.md)</t>
        </is>
      </c>
      <c r="O1783" s="18" t="inlineStr">
        <is>
          <t>Mock</t>
        </is>
      </c>
      <c r="P1783" s="18" t="inlineStr">
        <is>
          <t>Mock Rx20 UBU</t>
        </is>
      </c>
    </row>
    <row r="1784">
      <c r="A1784" s="15" t="inlineStr">
        <is>
          <t>1805</t>
        </is>
      </c>
      <c r="B1784" s="18" t="inlineStr">
        <is>
          <t>D-10-W 175 ml และ D-10-NSS 125 ml ปรับปริมาตรให้ครบ 500 ml</t>
        </is>
      </c>
      <c r="C1784" s="18" t="inlineStr"/>
      <c r="D1784" s="18" t="inlineStr">
        <is>
          <t>พ.ร.บ. เครื่องสำอาง พ.ศ. 2558</t>
        </is>
      </c>
      <c r="E1784" s="18" t="inlineStr">
        <is>
          <t>พ.ร.บ. หลักประกันสุขภาพแห่งชาติ พ.ศ. 2545</t>
        </is>
      </c>
      <c r="F1784" s="18" t="inlineStr">
        <is>
          <t>การปฏิบัติทางเภสัชกรรมชุมชน (Good Pharmacy Practice: GPP)</t>
        </is>
      </c>
      <c r="G1784" s="18" t="inlineStr">
        <is>
          <t>บัญชียาหลักแห่งชาติ (National List of Essential Medicines: NLEM)</t>
        </is>
      </c>
      <c r="H1784" s="18" t="inlineStr">
        <is>
          <t>เกณฑ์จริยธรรมว่าด้วยการส่งเสริมการขายยาของกระทรวงสาธารณสุข</t>
        </is>
      </c>
      <c r="I1784" s="15" t="inlineStr">
        <is>
          <t>1</t>
        </is>
      </c>
      <c r="J1784"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4" s="18" t="inlineStr"/>
      <c r="L1784" s="18" t="inlineStr">
        <is>
          <t>Pharmacy Laws &amp; Ethics</t>
        </is>
      </c>
      <c r="M1784" s="18" t="inlineStr">
        <is>
          <t>SAP</t>
        </is>
      </c>
      <c r="N1784" s="18" t="inlineStr">
        <is>
          <t>ข้อ 4 (PLE_CC1_Key_Rx20_UBU.md)</t>
        </is>
      </c>
      <c r="O1784" s="18" t="inlineStr">
        <is>
          <t>Mock</t>
        </is>
      </c>
      <c r="P1784" s="18" t="inlineStr">
        <is>
          <t>Mock Rx20 UBU</t>
        </is>
      </c>
    </row>
    <row r="1785">
      <c r="A1785" s="15" t="inlineStr">
        <is>
          <t>1806</t>
        </is>
      </c>
      <c r="B1785" s="18" t="inlineStr">
        <is>
          <t>เป็นการโฆษณาที่อวดอ้างเกินจริง</t>
        </is>
      </c>
      <c r="C1785" s="18" t="inlineStr"/>
      <c r="D1785" s="18" t="inlineStr">
        <is>
          <t>Sodium thiosulfate 25% 50 mL IV</t>
        </is>
      </c>
      <c r="E1785" s="18" t="inlineStr">
        <is>
          <t>Calcium disodium EDTA 1 g IV</t>
        </is>
      </c>
      <c r="F1785" s="18" t="inlineStr">
        <is>
          <t>Desferrioxamine 1 g IM/IV</t>
        </is>
      </c>
      <c r="G1785" s="18" t="inlineStr">
        <is>
          <t>Dimercaprol (BAL) 3 mg/kg IM</t>
        </is>
      </c>
      <c r="H1785" s="18" t="inlineStr">
        <is>
          <t>Ethanol 10% IV infusion for Methanol poisoning</t>
        </is>
      </c>
      <c r="I1785" s="15" t="inlineStr">
        <is>
          <t>1</t>
        </is>
      </c>
      <c r="J17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5" s="18" t="inlineStr"/>
      <c r="L1785" s="18" t="inlineStr">
        <is>
          <t>General Therapeutics</t>
        </is>
      </c>
      <c r="M1785" s="18" t="inlineStr">
        <is>
          <t>Clinic</t>
        </is>
      </c>
      <c r="N1785" s="18" t="inlineStr">
        <is>
          <t>ข้อ 1 (PLE_CC1_Key_Rx20_UBU.md)</t>
        </is>
      </c>
      <c r="O1785" s="18" t="inlineStr">
        <is>
          <t>Mock</t>
        </is>
      </c>
      <c r="P1785" s="18" t="inlineStr">
        <is>
          <t>Mock Rx20 UBU</t>
        </is>
      </c>
    </row>
    <row r="1786">
      <c r="A1786" s="15" t="inlineStr">
        <is>
          <t>1807</t>
        </is>
      </c>
      <c r="B1786" s="18" t="inlineStr">
        <is>
          <t>เป็นการโฆษณาที่แสดงสรรพคุณเกินจริง</t>
        </is>
      </c>
      <c r="C1786" s="18" t="inlineStr"/>
      <c r="D1786" s="18" t="inlineStr">
        <is>
          <t>Dimercaprol (BAL) 3 mg/kg IM</t>
        </is>
      </c>
      <c r="E1786" s="18" t="inlineStr">
        <is>
          <t>Ethanol 10% IV infusion for Methanol poisoning</t>
        </is>
      </c>
      <c r="F1786" s="18" t="inlineStr">
        <is>
          <t>Fomepizole 15 mg/kg IV loading</t>
        </is>
      </c>
      <c r="G1786" s="18" t="inlineStr">
        <is>
          <t>N-acetylcysteine (NAC) IV infusion protocol</t>
        </is>
      </c>
      <c r="H1786" s="18" t="inlineStr">
        <is>
          <t>Atropine sulfate 2 mg IV Q5-10 min</t>
        </is>
      </c>
      <c r="I1786" s="15" t="inlineStr">
        <is>
          <t>1</t>
        </is>
      </c>
      <c r="J17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6" s="18" t="inlineStr"/>
      <c r="L1786" s="18" t="inlineStr">
        <is>
          <t>General Therapeutics</t>
        </is>
      </c>
      <c r="M1786" s="18" t="inlineStr">
        <is>
          <t>Clinic</t>
        </is>
      </c>
      <c r="N1786" s="18" t="inlineStr">
        <is>
          <t>ข้อ 2 (PLE_CC1_Key_Rx20_UBU.md)</t>
        </is>
      </c>
      <c r="O1786" s="18" t="inlineStr">
        <is>
          <t>Mock</t>
        </is>
      </c>
      <c r="P1786" s="18" t="inlineStr">
        <is>
          <t>Mock Rx20 UBU</t>
        </is>
      </c>
    </row>
    <row r="1787">
      <c r="A1787" s="15" t="inlineStr">
        <is>
          <t>1808</t>
        </is>
      </c>
      <c r="B1787" s="18" t="inlineStr">
        <is>
          <t>มีการรับรองจากบุคคลอื่น</t>
        </is>
      </c>
      <c r="C1787" s="18" t="inlineStr"/>
      <c r="D1787" s="18" t="inlineStr">
        <is>
          <t>N-acetylcysteine (NAC) IV infusion protocol</t>
        </is>
      </c>
      <c r="E1787" s="18" t="inlineStr">
        <is>
          <t>Atropine sulfate 2 mg IV Q5-10 min</t>
        </is>
      </c>
      <c r="F1787" s="18" t="inlineStr">
        <is>
          <t>Pralidoxime (2-PAM) 1-2 g IV over 30 min</t>
        </is>
      </c>
      <c r="G1787" s="18" t="inlineStr">
        <is>
          <t>Naloxone 0.4 mg IV stat</t>
        </is>
      </c>
      <c r="H1787" s="18" t="inlineStr">
        <is>
          <t>Flumazenil 0.2 mg IV stat</t>
        </is>
      </c>
      <c r="I1787" s="15" t="inlineStr">
        <is>
          <t>1</t>
        </is>
      </c>
      <c r="J17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87" s="18" t="inlineStr"/>
      <c r="L1787" s="18" t="inlineStr">
        <is>
          <t>General Therapeutics</t>
        </is>
      </c>
      <c r="M1787" s="18" t="inlineStr">
        <is>
          <t>Clinic</t>
        </is>
      </c>
      <c r="N1787" s="18" t="inlineStr">
        <is>
          <t>ข้อ 3 (PLE_CC1_Key_Rx20_UBU.md)</t>
        </is>
      </c>
      <c r="O1787" s="18" t="inlineStr">
        <is>
          <t>Mock</t>
        </is>
      </c>
      <c r="P1787" s="18" t="inlineStr">
        <is>
          <t>Mock Rx20 UBU</t>
        </is>
      </c>
    </row>
    <row r="1788">
      <c r="A1788" s="15" t="inlineStr">
        <is>
          <t>1809</t>
        </is>
      </c>
      <c r="B1788" s="18" t="inlineStr">
        <is>
          <t>โฆษณายาที่เป็นยาอันตราย/ยาควบคุมพิเศษ</t>
        </is>
      </c>
      <c r="C1788" s="18" t="inlineStr"/>
      <c r="D1788" s="18" t="inlineStr">
        <is>
          <t>การปฏิบัติทางเภสัชกรรมชุมชน (Good Pharmacy Practice: GPP)</t>
        </is>
      </c>
      <c r="E1788" s="18" t="inlineStr">
        <is>
          <t>บัญชียาหลักแห่งชาติ (National List of Essential Medicines: NLEM)</t>
        </is>
      </c>
      <c r="F1788" s="18" t="inlineStr">
        <is>
          <t>เกณฑ์จริยธรรมว่าด้วยการส่งเสริมการขายยาของกระทรวงสาธารณสุข</t>
        </is>
      </c>
      <c r="G1788" s="18" t="inlineStr">
        <is>
          <t>พ.ร.บ. ยา พ.ศ. 2510 (การจำหน่ายยาอันตรายและยาควบคุมพิเศษ)</t>
        </is>
      </c>
      <c r="H1788" s="18" t="inlineStr">
        <is>
          <t>พ.ร.บ. ยาเสพติดให้โทษ พ.ศ. 2522 (ยาเสพติดให้โทษประเภท 2 และ 3)</t>
        </is>
      </c>
      <c r="I1788" s="15" t="inlineStr">
        <is>
          <t>1</t>
        </is>
      </c>
      <c r="J1788"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8" s="18" t="inlineStr"/>
      <c r="L1788" s="18" t="inlineStr">
        <is>
          <t>Pharmacy Laws &amp; Ethics</t>
        </is>
      </c>
      <c r="M1788" s="18" t="inlineStr">
        <is>
          <t>SAP</t>
        </is>
      </c>
      <c r="N1788" s="18" t="inlineStr">
        <is>
          <t>ข้อ 4 (PLE_CC1_Key_Rx20_UBU.md)</t>
        </is>
      </c>
      <c r="O1788" s="18" t="inlineStr">
        <is>
          <t>Mock</t>
        </is>
      </c>
      <c r="P1788" s="18" t="inlineStr">
        <is>
          <t>Mock Rx20 UBU</t>
        </is>
      </c>
    </row>
    <row r="1789">
      <c r="A1789" s="15" t="inlineStr">
        <is>
          <t>1810</t>
        </is>
      </c>
      <c r="B1789" s="18" t="inlineStr">
        <is>
          <t>โฆษณายาที่รักษาโรคตามรัฐมนตรีประกาศต้องห้าม ตาCD กก'อ ข ไ/ 0บรอง ข ข = )ด+เตาจ - 91 ชนยาแผนโบราณ ตอบ 4. โฆษณายาที่เป็นยาอันตราย/ยาควบคุมพิเศษ</t>
        </is>
      </c>
      <c r="C1789" s="18" t="inlineStr"/>
      <c r="D1789" s="18" t="inlineStr">
        <is>
          <t>เป็นการโฆษณาที่อวดอ้างเกินจริง : ผิด พรบยา ม.๘๘(๑)</t>
        </is>
      </c>
      <c r="E1789" s="18" t="inlineStr">
        <is>
          <t>เป็นการโฆษณาที่แสดงสรรพคุณเกินจริง : ผิด พรบยา ม.๘๘(๒)</t>
        </is>
      </c>
      <c r="F1789" s="18" t="inlineStr">
        <is>
          <t>มีการรับรองจากบุคคลอื่น : ผิด พรบยา ม.๘๘(๗)</t>
        </is>
      </c>
      <c r="G1789" s="18" t="inlineStr">
        <is>
          <t>โฆษณายาที่เป็นยาอันตราย/ยาควบคุมพิเศษ : ไม่ผิด เนื่องจากไม่ได้ระบุว่ายาลูกกลอน A จัดเป็นยาประเภทใดตามกฏหมาย</t>
        </is>
      </c>
      <c r="H1789" s="18" t="inlineStr">
        <is>
          <t>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t>
        </is>
      </c>
      <c r="I1789" s="15" t="inlineStr">
        <is>
          <t>1</t>
        </is>
      </c>
      <c r="J1789" s="18" t="inlineStr">
        <is>
          <t>✅ คำตอบที่ถูกต้อง: ข้อ ก. เป็นการโฆษณาที่อวดอ้างเกินจริง : ผิด พรบยา ม.๘๘(๑)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เป็นการโฆษณาที่อวดอ้างเกินจริง : ผิด พรบยา ม.๘๘(๑) 💡 คำอธิบายและข้อกำหนดทางกฎหมาย:
💡 คำอธิบายและข้อกำหนดทางกฎหมาย:
การเลือก เป็นการโฆษณาที่อวดอ้างเกินจริง : ผิด พรบยา ม.๘๘(๑)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(เป็นการโฆษณาที่แสดงสรรพคุณเกินจริง : ผิด พรบยา ม.๘๘(๒)): ข้อนี้ไม่ใช่คำตอบที่ถูกต้องสำหรับภาวะ Pharmacy Laws &amp; Ethics เนื่องจากกลไกการออกฤทธิ์, efficacy หรือข้อบ่งใช้ไม่ตรงกับโจทย์ที่กำหนด
• ข้อ ค. (มีการรับรองจากบุคคลอื่น : ผิด พรบยา ม.๘๘(๗)): ข้อนี้ไม่ใช่คำตอบที่ถูกต้องสำหรับภาวะ Pharmacy Laws &amp; Ethics เนื่องจากกลไกการออกฤทธิ์, efficacy หรือข้อบ่งใช้ไม่ตรงกับโจทย์ที่กำหนด
• ข้อ ง. (โฆษณายาที่เป็นยาอันตราย/ยาควบคุมพิเศษ : ไม่ผิด เนื่องจากไม่ได้ระบุว่ายาลูกกลอน A จัดเป็นยาประเภทใดตามกฏหมาย):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9" s="18" t="inlineStr"/>
      <c r="L1789" s="18" t="inlineStr">
        <is>
          <t>Pharmacy Laws &amp; Ethics</t>
        </is>
      </c>
      <c r="M1789" s="18" t="inlineStr">
        <is>
          <t>SAP</t>
        </is>
      </c>
      <c r="N1789" s="18" t="inlineStr">
        <is>
          <t>ข้อ 5 (PLE_CC1_Key_Rx20_UBU.md)</t>
        </is>
      </c>
      <c r="O1789" s="18" t="inlineStr">
        <is>
          <t>Mock</t>
        </is>
      </c>
      <c r="P1789" s="18" t="inlineStr">
        <is>
          <t>Mock Rx20 UBU</t>
        </is>
      </c>
    </row>
    <row r="1790">
      <c r="A1790" s="15" t="inlineStr">
        <is>
          <t>1811</t>
        </is>
      </c>
      <c r="B1790" s="18" t="inlineStr">
        <is>
          <t>White blood cell count</t>
        </is>
      </c>
      <c r="C1790" s="18" t="inlineStr"/>
      <c r="D1790" s="18" t="inlineStr">
        <is>
          <t>Dimercaprol (BAL) 3 mg/kg IM</t>
        </is>
      </c>
      <c r="E1790" s="18" t="inlineStr">
        <is>
          <t>Ethanol 10% IV infusion for Methanol poisoning</t>
        </is>
      </c>
      <c r="F1790" s="18" t="inlineStr">
        <is>
          <t>Fomepizole 15 mg/kg IV loading</t>
        </is>
      </c>
      <c r="G1790" s="18" t="inlineStr">
        <is>
          <t>N-acetylcysteine (NAC) IV infusion protocol</t>
        </is>
      </c>
      <c r="H1790" s="18" t="inlineStr">
        <is>
          <t>Atropine sulfate 2 mg IV Q5-10 min</t>
        </is>
      </c>
      <c r="I1790" s="15" t="inlineStr">
        <is>
          <t>1</t>
        </is>
      </c>
      <c r="J17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0" s="18" t="inlineStr"/>
      <c r="L1790" s="18" t="inlineStr">
        <is>
          <t>General Therapeutics</t>
        </is>
      </c>
      <c r="M1790" s="18" t="inlineStr">
        <is>
          <t>Clinic</t>
        </is>
      </c>
      <c r="N1790" s="18" t="inlineStr">
        <is>
          <t>ข้อ 3 (PLE_CC1_Key_Rx20_UBU.md)</t>
        </is>
      </c>
      <c r="O1790" s="18" t="inlineStr">
        <is>
          <t>Mock</t>
        </is>
      </c>
      <c r="P1790" s="18" t="inlineStr">
        <is>
          <t>Mock Rx20 UBU</t>
        </is>
      </c>
    </row>
    <row r="1791">
      <c r="A1791" s="15" t="inlineStr">
        <is>
          <t>1812</t>
        </is>
      </c>
      <c r="B1791" s="18" t="inlineStr">
        <is>
          <t>เพิ่ม metabolism ที่ตับ</t>
        </is>
      </c>
      <c r="C1791" s="18" t="inlineStr"/>
      <c r="D1791" s="18" t="inlineStr">
        <is>
          <t>N-acetylcysteine (NAC) IV infusion protocol</t>
        </is>
      </c>
      <c r="E1791" s="18" t="inlineStr">
        <is>
          <t>Atropine sulfate 2 mg IV Q5-10 min</t>
        </is>
      </c>
      <c r="F1791" s="18" t="inlineStr">
        <is>
          <t>Pralidoxime (2-PAM) 1-2 g IV over 30 min</t>
        </is>
      </c>
      <c r="G1791" s="18" t="inlineStr">
        <is>
          <t>Naloxone 0.4 mg IV stat</t>
        </is>
      </c>
      <c r="H1791" s="18" t="inlineStr">
        <is>
          <t>Flumazenil 0.2 mg IV stat</t>
        </is>
      </c>
      <c r="I1791" s="15" t="inlineStr">
        <is>
          <t>1</t>
        </is>
      </c>
      <c r="J17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1" s="18" t="inlineStr"/>
      <c r="L1791" s="18" t="inlineStr">
        <is>
          <t>General Therapeutics</t>
        </is>
      </c>
      <c r="M1791" s="18" t="inlineStr">
        <is>
          <t>Clinic</t>
        </is>
      </c>
      <c r="N1791" s="18" t="inlineStr">
        <is>
          <t>ข้อ 1 (PLE_CC1_Key_Rx20_UBU.md)</t>
        </is>
      </c>
      <c r="O1791" s="18" t="inlineStr">
        <is>
          <t>Mock</t>
        </is>
      </c>
      <c r="P1791" s="18" t="inlineStr">
        <is>
          <t>Mock Rx20 UBU</t>
        </is>
      </c>
    </row>
    <row r="1792">
      <c r="A1792" s="15" t="inlineStr">
        <is>
          <t>1813</t>
        </is>
      </c>
      <c r="B1792" s="18" t="inlineStr">
        <is>
          <t>ถูกแย่งจับกับโปรตีนมากขึ้น</t>
        </is>
      </c>
      <c r="C1792" s="18" t="inlineStr"/>
      <c r="D1792" s="18" t="inlineStr">
        <is>
          <t>Naloxone 0.4 mg IV stat</t>
        </is>
      </c>
      <c r="E1792" s="18" t="inlineStr">
        <is>
          <t>Flumazenil 0.2 mg IV stat</t>
        </is>
      </c>
      <c r="F1792" s="18" t="inlineStr">
        <is>
          <t>Vitamin K1 (Phytomenadione) 10 mg IV slow</t>
        </is>
      </c>
      <c r="G1792" s="18" t="inlineStr">
        <is>
          <t>Sodium thiosulfate 25% 50 mL IV</t>
        </is>
      </c>
      <c r="H1792" s="18" t="inlineStr">
        <is>
          <t>Calcium disodium EDTA 1 g IV</t>
        </is>
      </c>
      <c r="I1792" s="15" t="inlineStr">
        <is>
          <t>1</t>
        </is>
      </c>
      <c r="J17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2" s="18" t="inlineStr"/>
      <c r="L1792" s="18" t="inlineStr">
        <is>
          <t>General Therapeutics</t>
        </is>
      </c>
      <c r="M1792" s="18" t="inlineStr">
        <is>
          <t>Clinic</t>
        </is>
      </c>
      <c r="N1792" s="18" t="inlineStr">
        <is>
          <t>ข้อ 2 (PLE_CC1_Key_Rx20_UBU.md)</t>
        </is>
      </c>
      <c r="O1792" s="18" t="inlineStr">
        <is>
          <t>Mock</t>
        </is>
      </c>
      <c r="P1792" s="18" t="inlineStr">
        <is>
          <t>Mock Rx20 UBU</t>
        </is>
      </c>
    </row>
    <row r="1793">
      <c r="A1793" s="15" t="inlineStr">
        <is>
          <t>1814</t>
        </is>
      </c>
      <c r="B1793" s="18" t="inlineStr">
        <is>
          <t>ลดการดูดซึมที่ทางเดินอาหาร</t>
        </is>
      </c>
      <c r="C1793" s="18" t="inlineStr"/>
      <c r="D1793" s="18" t="inlineStr">
        <is>
          <t>Sodium thiosulfate 25% 50 mL IV</t>
        </is>
      </c>
      <c r="E1793" s="18" t="inlineStr">
        <is>
          <t>Calcium disodium EDTA 1 g IV</t>
        </is>
      </c>
      <c r="F1793" s="18" t="inlineStr">
        <is>
          <t>Desferrioxamine 1 g IM/IV</t>
        </is>
      </c>
      <c r="G1793" s="18" t="inlineStr">
        <is>
          <t>Dimercaprol (BAL) 3 mg/kg IM</t>
        </is>
      </c>
      <c r="H1793" s="18" t="inlineStr">
        <is>
          <t>Ethanol 10% IV infusion for Methanol poisoning</t>
        </is>
      </c>
      <c r="I1793" s="15" t="inlineStr">
        <is>
          <t>1</t>
        </is>
      </c>
      <c r="J17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3" s="18" t="inlineStr"/>
      <c r="L1793" s="18" t="inlineStr">
        <is>
          <t>General Therapeutics</t>
        </is>
      </c>
      <c r="M1793" s="18" t="inlineStr">
        <is>
          <t>Clinic</t>
        </is>
      </c>
      <c r="N1793" s="18" t="inlineStr">
        <is>
          <t>ข้อ 3 (PLE_CC1_Key_Rx20_UBU.md)</t>
        </is>
      </c>
      <c r="O1793" s="18" t="inlineStr">
        <is>
          <t>Mock</t>
        </is>
      </c>
      <c r="P1793" s="18" t="inlineStr">
        <is>
          <t>Mock Rx20 UBU</t>
        </is>
      </c>
    </row>
    <row r="1794">
      <c r="A1794" s="15" t="inlineStr">
        <is>
          <t>1815</t>
        </is>
      </c>
      <c r="B1794" s="18" t="inlineStr">
        <is>
          <t>เพิ่มการจับกับสารประกอบเชิงซ้อนในทางเดินอาหาร -</t>
        </is>
      </c>
      <c r="C1794" s="18" t="inlineStr"/>
      <c r="D1794" s="18" t="inlineStr">
        <is>
          <t>Dimercaprol (BAL) 3 mg/kg IM</t>
        </is>
      </c>
      <c r="E1794" s="18" t="inlineStr">
        <is>
          <t>Ethanol 10% IV infusion for Methanol poisoning</t>
        </is>
      </c>
      <c r="F1794" s="18" t="inlineStr">
        <is>
          <t>Fomepizole 15 mg/kg IV loading</t>
        </is>
      </c>
      <c r="G1794" s="18" t="inlineStr">
        <is>
          <t>N-acetylcysteine (NAC) IV infusion protocol</t>
        </is>
      </c>
      <c r="H1794" s="18" t="inlineStr">
        <is>
          <t>Atropine sulfate 2 mg IV Q5-10 min</t>
        </is>
      </c>
      <c r="I1794" s="15" t="inlineStr">
        <is>
          <t>1</t>
        </is>
      </c>
      <c r="J17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4" s="18" t="inlineStr"/>
      <c r="L1794" s="18" t="inlineStr">
        <is>
          <t>General Therapeutics</t>
        </is>
      </c>
      <c r="M1794" s="18" t="inlineStr">
        <is>
          <t>Clinic</t>
        </is>
      </c>
      <c r="N1794" s="18" t="inlineStr">
        <is>
          <t>ข้อ 4 (PLE_CC1_Key_Rx20_UBU.md)</t>
        </is>
      </c>
      <c r="O1794" s="18" t="inlineStr">
        <is>
          <t>Mock</t>
        </is>
      </c>
      <c r="P1794" s="18" t="inlineStr">
        <is>
          <t>Mock Rx20 UBU</t>
        </is>
      </c>
    </row>
    <row r="1795">
      <c r="A1795" s="15" t="inlineStr">
        <is>
          <t>1816</t>
        </is>
      </c>
      <c r="B1795" s="18" t="inlineStr">
        <is>
          <t>หยุดใช้ยาทั้งหมด และทำการทดสอบ skin test เพื่อหาสาเหตุ</t>
        </is>
      </c>
      <c r="C1795" s="18" t="inlineStr"/>
      <c r="D1795" s="18" t="inlineStr">
        <is>
          <t>N-acetylcysteine (NAC) IV infusion protocol</t>
        </is>
      </c>
      <c r="E1795" s="18" t="inlineStr">
        <is>
          <t>Atropine sulfate 2 mg IV Q5-10 min</t>
        </is>
      </c>
      <c r="F1795" s="18" t="inlineStr">
        <is>
          <t>Pralidoxime (2-PAM) 1-2 g IV over 30 min</t>
        </is>
      </c>
      <c r="G1795" s="18" t="inlineStr">
        <is>
          <t>Naloxone 0.4 mg IV stat</t>
        </is>
      </c>
      <c r="H1795" s="18" t="inlineStr">
        <is>
          <t>Flumazenil 0.2 mg IV stat</t>
        </is>
      </c>
      <c r="I1795" s="15" t="inlineStr">
        <is>
          <t>1</t>
        </is>
      </c>
      <c r="J17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5" s="18" t="inlineStr"/>
      <c r="L1795" s="18" t="inlineStr">
        <is>
          <t>General Therapeutics</t>
        </is>
      </c>
      <c r="M1795" s="18" t="inlineStr">
        <is>
          <t>Clinic</t>
        </is>
      </c>
      <c r="N1795" s="18" t="inlineStr">
        <is>
          <t>ข้อ 4 (PLE_CC1_Key_Rx20_UBU.md)</t>
        </is>
      </c>
      <c r="O1795" s="18" t="inlineStr">
        <is>
          <t>Mock</t>
        </is>
      </c>
      <c r="P1795" s="18" t="inlineStr">
        <is>
          <t>Mock Rx20 UBU</t>
        </is>
      </c>
    </row>
    <row r="1796">
      <c r="A1796" s="15" t="inlineStr">
        <is>
          <t>1817</t>
        </is>
      </c>
      <c r="B1796" s="18" t="inlineStr">
        <is>
          <t>เพิ่มอีก 6 เม็ด โดยมีค่า %Dissolve อยู่ในช่วงที่กำหนด</t>
        </is>
      </c>
      <c r="C1796" s="18" t="inlineStr"/>
      <c r="D1796" s="18" t="inlineStr">
        <is>
          <t>Naloxone 0.4 mg IV stat</t>
        </is>
      </c>
      <c r="E1796" s="18" t="inlineStr">
        <is>
          <t>Flumazenil 0.2 mg IV stat</t>
        </is>
      </c>
      <c r="F1796" s="18" t="inlineStr">
        <is>
          <t>Vitamin K1 (Phytomenadione) 10 mg IV slow</t>
        </is>
      </c>
      <c r="G1796" s="18" t="inlineStr">
        <is>
          <t>Sodium thiosulfate 25% 50 mL IV</t>
        </is>
      </c>
      <c r="H1796" s="18" t="inlineStr">
        <is>
          <t>Calcium disodium EDTA 1 g IV</t>
        </is>
      </c>
      <c r="I1796" s="15" t="inlineStr">
        <is>
          <t>1</t>
        </is>
      </c>
      <c r="J17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6" s="18" t="inlineStr"/>
      <c r="L1796" s="18" t="inlineStr">
        <is>
          <t>General Therapeutics</t>
        </is>
      </c>
      <c r="M1796" s="18" t="inlineStr">
        <is>
          <t>Clinic</t>
        </is>
      </c>
      <c r="N1796" s="18" t="inlineStr">
        <is>
          <t>ข้อ 2 (PLE_CC1_Key_Rx20_UBU.md)</t>
        </is>
      </c>
      <c r="O1796" s="18" t="inlineStr">
        <is>
          <t>Mock</t>
        </is>
      </c>
      <c r="P1796" s="18" t="inlineStr">
        <is>
          <t>Mock Rx20 UBU</t>
        </is>
      </c>
    </row>
    <row r="1797">
      <c r="A1797" s="15" t="inlineStr">
        <is>
          <t>1818</t>
        </is>
      </c>
      <c r="B1797" s="18" t="inlineStr">
        <is>
          <t>ไม่สามารถดูความคงตัวทางกายภาพของสารได้</t>
        </is>
      </c>
      <c r="C1797" s="18" t="inlineStr"/>
      <c r="D1797" s="18" t="inlineStr">
        <is>
          <t>High-Density Polyethylene (HDPE) Container</t>
        </is>
      </c>
      <c r="E1797" s="18" t="inlineStr">
        <is>
          <t>Type I Borosilicate Glass Ampoule</t>
        </is>
      </c>
      <c r="F1797" s="18" t="inlineStr">
        <is>
          <t>Accelerated Stability Testing (40 C / 75% RH)</t>
        </is>
      </c>
      <c r="G1797" s="18" t="inlineStr">
        <is>
          <t>Long-term Stability Testing (30 C / 65% RH)</t>
        </is>
      </c>
      <c r="H1797" s="18" t="inlineStr">
        <is>
          <t>Differential Scanning Calorimetry (DSC) Polymorphism</t>
        </is>
      </c>
      <c r="I1797" s="15" t="inlineStr">
        <is>
          <t>1</t>
        </is>
      </c>
      <c r="J1797" s="18"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7" s="18" t="inlineStr"/>
      <c r="L1797" s="18" t="inlineStr">
        <is>
          <t>Preformulation &amp; Stability</t>
        </is>
      </c>
      <c r="M1797" s="18" t="inlineStr">
        <is>
          <t>Product</t>
        </is>
      </c>
      <c r="N1797" s="18" t="inlineStr">
        <is>
          <t>ข้อ 1 (PLE_CC1_Key_Rx20_UBU.md)</t>
        </is>
      </c>
      <c r="O1797" s="18" t="inlineStr">
        <is>
          <t>Mock</t>
        </is>
      </c>
      <c r="P1797" s="18" t="inlineStr">
        <is>
          <t>Mock Rx20 UBU</t>
        </is>
      </c>
    </row>
    <row r="1798">
      <c r="A1798" s="15" t="inlineStr">
        <is>
          <t>1819</t>
        </is>
      </c>
      <c r="B1798" s="18" t="inlineStr">
        <is>
          <t>สาร B คงตัวมากกว่าสาร A</t>
        </is>
      </c>
      <c r="C1798" s="18" t="inlineStr"/>
      <c r="D1798" s="18" t="inlineStr">
        <is>
          <t>- ตอบ บรม ส่วนกลุ่มใหม่เลือกมาจากผู้ดูแลที่เข้ารับการอบรมเป็นเวลา 7 วันการศึกษานี้เป็นการศึกษารูปแบบใด</t>
        </is>
      </c>
      <c r="E1798" s="18" t="inlineStr">
        <is>
          <t>Ethanol 10% IV infusion for Methanol poisoning</t>
        </is>
      </c>
      <c r="F1798" s="18" t="inlineStr">
        <is>
          <t>Fomepizole 15 mg/kg IV loading</t>
        </is>
      </c>
      <c r="G1798" s="18" t="inlineStr">
        <is>
          <t>N-acetylcysteine (NAC) IV infusion protocol</t>
        </is>
      </c>
      <c r="H1798" s="18" t="inlineStr">
        <is>
          <t>Atropine sulfate 2 mg IV Q5-10 min</t>
        </is>
      </c>
      <c r="I1798" s="15" t="inlineStr">
        <is>
          <t>1</t>
        </is>
      </c>
      <c r="J1798" s="18" t="inlineStr">
        <is>
          <t>✅ คำตอบที่ถูกต้อง: ข้อ ก. - ตอบ บรม ส่วนกลุ่มใหม่เลือกมาจากผู้ดูแลที่เข้ารับการอบรมเป็นเวลา 7 วันการศึกษานี้เป็นการศึกษารูปแบบใด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ตอบ บรม ส่วนกลุ่มใหม่เลือกมาจากผู้ดูแลที่เข้ารับการอบรมเป็นเวลา 7 วันการศึกษานี้เป็นการศึกษารูปแบบใด 10.ทำการศึกษาเปรียบเทียบยาใหม่กับการรักษาโรคแบบเก่าโดยมีการใช้ยากลุ่มเก่าโดยผู้ดูแลไม่ได้เข้ารับการอ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8" s="18" t="inlineStr"/>
      <c r="L1798" s="18" t="inlineStr">
        <is>
          <t>General Therapeutics</t>
        </is>
      </c>
      <c r="M1798" s="18" t="inlineStr">
        <is>
          <t>Clinic</t>
        </is>
      </c>
      <c r="N1798" s="18" t="inlineStr">
        <is>
          <t>ข้อ 2 (PLE_CC1_Key_Rx20_UBU.md)</t>
        </is>
      </c>
      <c r="O1798" s="18" t="inlineStr">
        <is>
          <t>Mock</t>
        </is>
      </c>
      <c r="P1798" s="18" t="inlineStr">
        <is>
          <t>Mock Rx20 UBU</t>
        </is>
      </c>
    </row>
    <row r="1799">
      <c r="A1799" s="15" t="inlineStr">
        <is>
          <t>1820</t>
        </is>
      </c>
      <c r="B1799" s="18" t="inlineStr">
        <is>
          <t>ตกขาว มีฟอง กลิ่นเหม็น</t>
        </is>
      </c>
      <c r="C1799" s="18" t="inlineStr"/>
      <c r="D1799" s="18" t="inlineStr">
        <is>
          <t>N-acetylcysteine (NAC) IV infusion protocol</t>
        </is>
      </c>
      <c r="E1799" s="18" t="inlineStr">
        <is>
          <t>Atropine sulfate 2 mg IV Q5-10 min</t>
        </is>
      </c>
      <c r="F1799" s="18" t="inlineStr">
        <is>
          <t>Pralidoxime (2-PAM) 1-2 g IV over 30 min</t>
        </is>
      </c>
      <c r="G1799" s="18" t="inlineStr">
        <is>
          <t>Naloxone 0.4 mg IV stat</t>
        </is>
      </c>
      <c r="H1799" s="18" t="inlineStr">
        <is>
          <t>Flumazenil 0.2 mg IV stat</t>
        </is>
      </c>
      <c r="I1799" s="15" t="inlineStr">
        <is>
          <t>1</t>
        </is>
      </c>
      <c r="J179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9" s="18" t="inlineStr"/>
      <c r="L1799" s="18" t="inlineStr">
        <is>
          <t>General Therapeutics</t>
        </is>
      </c>
      <c r="M1799" s="18" t="inlineStr">
        <is>
          <t>Clinic</t>
        </is>
      </c>
      <c r="N1799" s="18" t="inlineStr">
        <is>
          <t>ข้อ 2 (PLE_CC1_Key_Rx20_UBU.md)</t>
        </is>
      </c>
      <c r="O1799" s="18" t="inlineStr">
        <is>
          <t>Mock</t>
        </is>
      </c>
      <c r="P1799" s="18" t="inlineStr">
        <is>
          <t>Mock Rx20 UBU</t>
        </is>
      </c>
    </row>
    <row r="1800">
      <c r="A1800" s="15" t="inlineStr">
        <is>
          <t>1821</t>
        </is>
      </c>
      <c r="B1800" s="18" t="inlineStr">
        <is>
          <t>ใช้น้ำยาล้างช่องคลอดบ่อย</t>
        </is>
      </c>
      <c r="C1800" s="18" t="inlineStr"/>
      <c r="D1800" s="18" t="inlineStr">
        <is>
          <t>Naloxone 0.4 mg IV stat</t>
        </is>
      </c>
      <c r="E1800" s="18" t="inlineStr">
        <is>
          <t>Flumazenil 0.2 mg IV stat</t>
        </is>
      </c>
      <c r="F1800" s="18" t="inlineStr">
        <is>
          <t>Vitamin K1 (Phytomenadione) 10 mg IV slow</t>
        </is>
      </c>
      <c r="G1800" s="18" t="inlineStr">
        <is>
          <t>Sodium thiosulfate 25% 50 mL IV</t>
        </is>
      </c>
      <c r="H1800" s="18" t="inlineStr">
        <is>
          <t>Calcium disodium EDTA 1 g IV</t>
        </is>
      </c>
      <c r="I1800" s="15" t="inlineStr">
        <is>
          <t>1</t>
        </is>
      </c>
      <c r="J18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0" s="18" t="inlineStr"/>
      <c r="L1800" s="18" t="inlineStr">
        <is>
          <t>General Therapeutics</t>
        </is>
      </c>
      <c r="M1800" s="18" t="inlineStr">
        <is>
          <t>Clinic</t>
        </is>
      </c>
      <c r="N1800" s="18" t="inlineStr">
        <is>
          <t>ข้อ 4 (PLE_CC1_Key_Rx20_UBU.md)</t>
        </is>
      </c>
      <c r="O1800" s="18" t="inlineStr">
        <is>
          <t>Mock</t>
        </is>
      </c>
      <c r="P1800" s="18" t="inlineStr">
        <is>
          <t>Mock Rx20 UBU</t>
        </is>
      </c>
    </row>
    <row r="1801">
      <c r="A1801" s="15" t="inlineStr">
        <is>
          <t>1822</t>
        </is>
      </c>
      <c r="B1801" s="18" t="inlineStr">
        <is>
          <t>Ciprofloxacin ตอบ Metronidazole ตามแนวทางการรักษาสามารถใช้ยาได้ดังนี้ - Metronidazole 500 mg BID 7 วัน - Metronidazole 2 g single dose - Tinidazole 2 g hs</t>
        </is>
      </c>
      <c r="C1801" s="18" t="inlineStr"/>
      <c r="D1801" s="18" t="inlineStr">
        <is>
          <t>Metronidazole 400 mg TID</t>
        </is>
      </c>
      <c r="E1801" s="18" t="inlineStr">
        <is>
          <t>Nitrofurantoin 100 mg BID</t>
        </is>
      </c>
      <c r="F1801" s="18" t="inlineStr">
        <is>
          <t>Tenofovir/Emtricitabine 300/200 mg OD</t>
        </is>
      </c>
      <c r="G1801" s="18" t="inlineStr">
        <is>
          <t>Dolutegravir 50 mg OD</t>
        </is>
      </c>
      <c r="H1801" s="18" t="inlineStr">
        <is>
          <t>Vancomycin 1 g IV Q12H</t>
        </is>
      </c>
      <c r="I1801" s="15" t="inlineStr">
        <is>
          <t>1</t>
        </is>
      </c>
      <c r="J1801" s="18"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01" s="18" t="inlineStr"/>
      <c r="L1801" s="18" t="inlineStr">
        <is>
          <t>Infectious Diseases</t>
        </is>
      </c>
      <c r="M1801" s="18" t="inlineStr">
        <is>
          <t>Clinic</t>
        </is>
      </c>
      <c r="N1801" s="18" t="inlineStr">
        <is>
          <t>ข้อ 5 (PLE_CC1_Key_Rx20_UBU.md)</t>
        </is>
      </c>
      <c r="O1801" s="18" t="inlineStr">
        <is>
          <t>Mock</t>
        </is>
      </c>
      <c r="P1801" s="18" t="inlineStr">
        <is>
          <t>Mock Rx20 UBU</t>
        </is>
      </c>
    </row>
    <row r="1802">
      <c r="A1802" s="15" t="inlineStr">
        <is>
          <t>1823</t>
        </is>
      </c>
      <c r="B1802" s="18" t="inlineStr">
        <is>
          <t>จับกับ ribosome ยับยั้งการสร้างโปรตีน</t>
        </is>
      </c>
      <c r="C1802" s="18" t="inlineStr"/>
      <c r="D1802" s="18" t="inlineStr">
        <is>
          <t>Dimercaprol (BAL) 3 mg/kg IM</t>
        </is>
      </c>
      <c r="E1802" s="18" t="inlineStr">
        <is>
          <t>Ethanol 10% IV infusion for Methanol poisoning</t>
        </is>
      </c>
      <c r="F1802" s="18" t="inlineStr">
        <is>
          <t>Fomepizole 15 mg/kg IV loading</t>
        </is>
      </c>
      <c r="G1802" s="18" t="inlineStr">
        <is>
          <t>N-acetylcysteine (NAC) IV infusion protocol</t>
        </is>
      </c>
      <c r="H1802" s="18" t="inlineStr">
        <is>
          <t>Atropine sulfate 2 mg IV Q5-10 min</t>
        </is>
      </c>
      <c r="I1802" s="15" t="inlineStr">
        <is>
          <t>1</t>
        </is>
      </c>
      <c r="J18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2" s="18" t="inlineStr"/>
      <c r="L1802" s="18" t="inlineStr">
        <is>
          <t>General Therapeutics</t>
        </is>
      </c>
      <c r="M1802" s="18" t="inlineStr">
        <is>
          <t>Clinic</t>
        </is>
      </c>
      <c r="N1802" s="18" t="inlineStr">
        <is>
          <t>ข้อ 1 (PLE_CC1_Key_Rx20_UBU.md)</t>
        </is>
      </c>
      <c r="O1802" s="18" t="inlineStr">
        <is>
          <t>Mock</t>
        </is>
      </c>
      <c r="P1802" s="18" t="inlineStr">
        <is>
          <t>Mock Rx20 UBU</t>
        </is>
      </c>
    </row>
    <row r="1803">
      <c r="A1803" s="15" t="inlineStr">
        <is>
          <t>1824</t>
        </is>
      </c>
      <c r="B1803" s="18" t="inlineStr">
        <is>
          <t>ยับยั้งการสร้างกรดไขมันของผนังเซลล์แบคทีเรีย</t>
        </is>
      </c>
      <c r="C1803" s="18" t="inlineStr"/>
      <c r="D1803" s="18" t="inlineStr">
        <is>
          <t>N-acetylcysteine (NAC) IV infusion protocol</t>
        </is>
      </c>
      <c r="E1803" s="18" t="inlineStr">
        <is>
          <t>Atropine sulfate 2 mg IV Q5-10 min</t>
        </is>
      </c>
      <c r="F1803" s="18" t="inlineStr">
        <is>
          <t>Pralidoxime (2-PAM) 1-2 g IV over 30 min</t>
        </is>
      </c>
      <c r="G1803" s="18" t="inlineStr">
        <is>
          <t>Naloxone 0.4 mg IV stat</t>
        </is>
      </c>
      <c r="H1803" s="18" t="inlineStr">
        <is>
          <t>Flumazenil 0.2 mg IV stat</t>
        </is>
      </c>
      <c r="I1803" s="15" t="inlineStr">
        <is>
          <t>1</t>
        </is>
      </c>
      <c r="J180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3" s="18" t="inlineStr"/>
      <c r="L1803" s="18" t="inlineStr">
        <is>
          <t>General Therapeutics</t>
        </is>
      </c>
      <c r="M1803" s="18" t="inlineStr">
        <is>
          <t>Clinic</t>
        </is>
      </c>
      <c r="N1803" s="18" t="inlineStr">
        <is>
          <t>ข้อ 4 (PLE_CC1_Key_Rx20_UBU.md)</t>
        </is>
      </c>
      <c r="O1803" s="18" t="inlineStr">
        <is>
          <t>Mock</t>
        </is>
      </c>
      <c r="P1803" s="18" t="inlineStr">
        <is>
          <t>Mock Rx20 UBU</t>
        </is>
      </c>
    </row>
    <row r="1804">
      <c r="A1804" s="15" t="inlineStr">
        <is>
          <t>1825</t>
        </is>
      </c>
      <c r="B1804" s="18" t="inlineStr">
        <is>
          <t>ควรรับประทานยาก่อนอาหาร</t>
        </is>
      </c>
      <c r="C1804" s="18" t="inlineStr"/>
      <c r="D1804" s="18" t="inlineStr">
        <is>
          <t>Naloxone 0.4 mg IV stat</t>
        </is>
      </c>
      <c r="E1804" s="18" t="inlineStr">
        <is>
          <t>Flumazenil 0.2 mg IV stat</t>
        </is>
      </c>
      <c r="F1804" s="18" t="inlineStr">
        <is>
          <t>Vitamin K1 (Phytomenadione) 10 mg IV slow</t>
        </is>
      </c>
      <c r="G1804" s="18" t="inlineStr">
        <is>
          <t>Sodium thiosulfate 25% 50 mL IV</t>
        </is>
      </c>
      <c r="H1804" s="18" t="inlineStr">
        <is>
          <t>Calcium disodium EDTA 1 g IV</t>
        </is>
      </c>
      <c r="I1804" s="15" t="inlineStr">
        <is>
          <t>1</t>
        </is>
      </c>
      <c r="J18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4" s="18" t="inlineStr"/>
      <c r="L1804" s="18" t="inlineStr">
        <is>
          <t>General Therapeutics</t>
        </is>
      </c>
      <c r="M1804" s="18" t="inlineStr">
        <is>
          <t>Clinic</t>
        </is>
      </c>
      <c r="N1804" s="18" t="inlineStr">
        <is>
          <t>ข้อ 2 (PLE_CC1_Key_Rx20_UBU.md)</t>
        </is>
      </c>
      <c r="O1804" s="18" t="inlineStr">
        <is>
          <t>Mock</t>
        </is>
      </c>
      <c r="P1804" s="18" t="inlineStr">
        <is>
          <t>Mock Rx20 UBU</t>
        </is>
      </c>
    </row>
    <row r="1805">
      <c r="A1805" s="15" t="inlineStr">
        <is>
          <t>1826</t>
        </is>
      </c>
      <c r="B1805" s="18" t="inlineStr">
        <is>
          <t>ควรรักษาคู่นอนร่วมด้วย</t>
        </is>
      </c>
      <c r="C1805" s="18" t="inlineStr"/>
      <c r="D1805" s="18" t="inlineStr">
        <is>
          <t>Sodium thiosulfate 25% 50 mL IV</t>
        </is>
      </c>
      <c r="E1805" s="18" t="inlineStr">
        <is>
          <t>Calcium disodium EDTA 1 g IV</t>
        </is>
      </c>
      <c r="F1805" s="18" t="inlineStr">
        <is>
          <t>Desferrioxamine 1 g IM/IV</t>
        </is>
      </c>
      <c r="G1805" s="18" t="inlineStr">
        <is>
          <t>Dimercaprol (BAL) 3 mg/kg IM</t>
        </is>
      </c>
      <c r="H1805" s="18" t="inlineStr">
        <is>
          <t>Ethanol 10% IV infusion for Methanol poisoning</t>
        </is>
      </c>
      <c r="I1805" s="15" t="inlineStr">
        <is>
          <t>1</t>
        </is>
      </c>
      <c r="J18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5" s="18" t="inlineStr"/>
      <c r="L1805" s="18" t="inlineStr">
        <is>
          <t>General Therapeutics</t>
        </is>
      </c>
      <c r="M1805" s="18" t="inlineStr">
        <is>
          <t>Clinic</t>
        </is>
      </c>
      <c r="N1805" s="18" t="inlineStr">
        <is>
          <t>ข้อ 3 (PLE_CC1_Key_Rx20_UBU.md)</t>
        </is>
      </c>
      <c r="O1805" s="18" t="inlineStr">
        <is>
          <t>Mock</t>
        </is>
      </c>
      <c r="P1805" s="18" t="inlineStr">
        <is>
          <t>Mock Rx20 UBU</t>
        </is>
      </c>
    </row>
    <row r="1806">
      <c r="A1806" s="15" t="inlineStr">
        <is>
          <t>1827</t>
        </is>
      </c>
      <c r="B1806" s="18" t="inlineStr">
        <is>
          <t>ควรดื่มนมเพื่อเพิ่มการดูดซึมยา</t>
        </is>
      </c>
      <c r="C1806" s="18" t="inlineStr"/>
      <c r="D1806" s="18" t="inlineStr">
        <is>
          <t>Dimercaprol (BAL) 3 mg/kg IM</t>
        </is>
      </c>
      <c r="E1806" s="18" t="inlineStr">
        <is>
          <t>Ethanol 10% IV infusion for Methanol poisoning</t>
        </is>
      </c>
      <c r="F1806" s="18" t="inlineStr">
        <is>
          <t>Fomepizole 15 mg/kg IV loading</t>
        </is>
      </c>
      <c r="G1806" s="18" t="inlineStr">
        <is>
          <t>N-acetylcysteine (NAC) IV infusion protocol</t>
        </is>
      </c>
      <c r="H1806" s="18" t="inlineStr">
        <is>
          <t>Atropine sulfate 2 mg IV Q5-10 min</t>
        </is>
      </c>
      <c r="I1806" s="15" t="inlineStr">
        <is>
          <t>1</t>
        </is>
      </c>
      <c r="J18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6" s="18" t="inlineStr"/>
      <c r="L1806" s="18" t="inlineStr">
        <is>
          <t>General Therapeutics</t>
        </is>
      </c>
      <c r="M1806" s="18" t="inlineStr">
        <is>
          <t>Clinic</t>
        </is>
      </c>
      <c r="N1806" s="18" t="inlineStr">
        <is>
          <t>ข้อ 4 (PLE_CC1_Key_Rx20_UBU.md)</t>
        </is>
      </c>
      <c r="O1806" s="18" t="inlineStr">
        <is>
          <t>Mock</t>
        </is>
      </c>
      <c r="P1806" s="18" t="inlineStr">
        <is>
          <t>Mock Rx20 UBU</t>
        </is>
      </c>
    </row>
    <row r="1807">
      <c r="A1807" s="15" t="inlineStr">
        <is>
          <t>1828</t>
        </is>
      </c>
      <c r="B1807" s="18" t="inlineStr">
        <is>
          <t>ตอบ 3. ควรรักษาคู่นอนร่วมด้วย เนื่องจากสามารถติดต่อทางเพศสัมพันธ์ได้ หนึ่ง 86-101</t>
        </is>
      </c>
      <c r="C1807" s="18" t="inlineStr"/>
      <c r="D1807" s="18" t="inlineStr">
        <is>
          <t>N-acetylcysteine (NAC) IV infusion protocol</t>
        </is>
      </c>
      <c r="E1807" s="18" t="inlineStr">
        <is>
          <t>Atropine sulfate 2 mg IV Q5-10 min</t>
        </is>
      </c>
      <c r="F1807" s="18" t="inlineStr">
        <is>
          <t>Pralidoxime (2-PAM) 1-2 g IV over 30 min</t>
        </is>
      </c>
      <c r="G1807" s="18" t="inlineStr">
        <is>
          <t>Naloxone 0.4 mg IV stat</t>
        </is>
      </c>
      <c r="H1807" s="18" t="inlineStr">
        <is>
          <t>Flumazenil 0.2 mg IV stat</t>
        </is>
      </c>
      <c r="I1807" s="15" t="inlineStr">
        <is>
          <t>1</t>
        </is>
      </c>
      <c r="J18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7" s="18" t="inlineStr"/>
      <c r="L1807" s="18" t="inlineStr">
        <is>
          <t>General Therapeutics</t>
        </is>
      </c>
      <c r="M1807" s="18" t="inlineStr">
        <is>
          <t>Clinic</t>
        </is>
      </c>
      <c r="N1807" s="18" t="inlineStr">
        <is>
          <t>ข้อ 5 (PLE_CC1_Key_Rx20_UBU.md)</t>
        </is>
      </c>
      <c r="O1807" s="18" t="inlineStr">
        <is>
          <t>Mock</t>
        </is>
      </c>
      <c r="P1807" s="18" t="inlineStr">
        <is>
          <t>Mock Rx20 UBU</t>
        </is>
      </c>
    </row>
    <row r="1808">
      <c r="A1808" s="15" t="inlineStr">
        <is>
          <t>1829</t>
        </is>
      </c>
      <c r="B1808" s="18" t="inlineStr">
        <is>
          <t>ให้ใช้ยาเดิมต่อไปได้</t>
        </is>
      </c>
      <c r="C1808" s="18" t="inlineStr"/>
      <c r="D1808" s="18" t="inlineStr">
        <is>
          <t>Naloxone 0.4 mg IV stat</t>
        </is>
      </c>
      <c r="E1808" s="18" t="inlineStr">
        <is>
          <t>Flumazenil 0.2 mg IV stat</t>
        </is>
      </c>
      <c r="F1808" s="18" t="inlineStr">
        <is>
          <t>Vitamin K1 (Phytomenadione) 10 mg IV slow</t>
        </is>
      </c>
      <c r="G1808" s="18" t="inlineStr">
        <is>
          <t>Sodium thiosulfate 25% 50 mL IV</t>
        </is>
      </c>
      <c r="H1808" s="18" t="inlineStr">
        <is>
          <t>Calcium disodium EDTA 1 g IV</t>
        </is>
      </c>
      <c r="I1808" s="15" t="inlineStr">
        <is>
          <t>1</t>
        </is>
      </c>
      <c r="J18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8" s="18" t="inlineStr"/>
      <c r="L1808" s="18" t="inlineStr">
        <is>
          <t>General Therapeutics</t>
        </is>
      </c>
      <c r="M1808" s="18" t="inlineStr">
        <is>
          <t>Clinic</t>
        </is>
      </c>
      <c r="N1808" s="18" t="inlineStr">
        <is>
          <t>ข้อ 1 (PLE_CC1_Key_Rx20_UBU.md)</t>
        </is>
      </c>
      <c r="O1808" s="18" t="inlineStr">
        <is>
          <t>Mock</t>
        </is>
      </c>
      <c r="P1808" s="18" t="inlineStr">
        <is>
          <t>Mock Rx20 UBU</t>
        </is>
      </c>
    </row>
    <row r="1809">
      <c r="A1809" s="15" t="inlineStr">
        <is>
          <t>1830</t>
        </is>
      </c>
      <c r="B1809" s="18" t="inlineStr">
        <is>
          <t>เปลี่ยนเป็นยาเหน็บ</t>
        </is>
      </c>
      <c r="C1809" s="18" t="inlineStr"/>
      <c r="D1809" s="18" t="inlineStr">
        <is>
          <t>Simple Syrup USP (85% w/v Sucrose)</t>
        </is>
      </c>
      <c r="E1809" s="18" t="inlineStr">
        <is>
          <t>Elixir with 10-20% Alcohol cosolvent</t>
        </is>
      </c>
      <c r="F1809" s="18" t="inlineStr">
        <is>
          <t>Flocculated Oral Suspension with Xanthan Gum</t>
        </is>
      </c>
      <c r="G1809" s="18" t="inlineStr">
        <is>
          <t>Deflocculated Suspension formulation</t>
        </is>
      </c>
      <c r="H1809" s="18" t="inlineStr">
        <is>
          <t>O/W Emulsion stabilized by Polysorbate 80 / Span 80</t>
        </is>
      </c>
      <c r="I1809" s="15" t="inlineStr">
        <is>
          <t>1</t>
        </is>
      </c>
      <c r="J1809" s="1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9" s="18" t="inlineStr"/>
      <c r="L1809" s="18" t="inlineStr">
        <is>
          <t>Liquid &amp; Semisolids</t>
        </is>
      </c>
      <c r="M1809" s="18" t="inlineStr">
        <is>
          <t>Product</t>
        </is>
      </c>
      <c r="N1809" s="18" t="inlineStr">
        <is>
          <t>ข้อ 2 (PLE_CC1_Key_Rx20_UBU.md)</t>
        </is>
      </c>
      <c r="O1809" s="18" t="inlineStr">
        <is>
          <t>Mock</t>
        </is>
      </c>
      <c r="P1809" s="18" t="inlineStr">
        <is>
          <t>Mock Rx20 UBU</t>
        </is>
      </c>
    </row>
    <row r="1810">
      <c r="A1810" s="15" t="inlineStr">
        <is>
          <t>1831</t>
        </is>
      </c>
      <c r="B1810" s="18" t="inlineStr">
        <is>
          <t>รักษาเหมือนคนทั่วไป</t>
        </is>
      </c>
      <c r="C1810" s="18" t="inlineStr"/>
      <c r="D1810" s="18" t="inlineStr">
        <is>
          <t>Dimercaprol (BAL) 3 mg/kg IM</t>
        </is>
      </c>
      <c r="E1810" s="18" t="inlineStr">
        <is>
          <t>Ethanol 10% IV infusion for Methanol poisoning</t>
        </is>
      </c>
      <c r="F1810" s="18" t="inlineStr">
        <is>
          <t>Fomepizole 15 mg/kg IV loading</t>
        </is>
      </c>
      <c r="G1810" s="18" t="inlineStr">
        <is>
          <t>N-acetylcysteine (NAC) IV infusion protocol</t>
        </is>
      </c>
      <c r="H1810" s="18" t="inlineStr">
        <is>
          <t>Atropine sulfate 2 mg IV Q5-10 min</t>
        </is>
      </c>
      <c r="I1810" s="15" t="inlineStr">
        <is>
          <t>1</t>
        </is>
      </c>
      <c r="J18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0" s="18" t="inlineStr"/>
      <c r="L1810" s="18" t="inlineStr">
        <is>
          <t>General Therapeutics</t>
        </is>
      </c>
      <c r="M1810" s="18" t="inlineStr">
        <is>
          <t>Clinic</t>
        </is>
      </c>
      <c r="N1810" s="18" t="inlineStr">
        <is>
          <t>ข้อ 4 (PLE_CC1_Key_Rx20_UBU.md)</t>
        </is>
      </c>
      <c r="O1810" s="18" t="inlineStr">
        <is>
          <t>Mock</t>
        </is>
      </c>
      <c r="P1810" s="18" t="inlineStr">
        <is>
          <t>Mock Rx20 UBU</t>
        </is>
      </c>
    </row>
    <row r="1811">
      <c r="A1811" s="15" t="inlineStr">
        <is>
          <t>1832</t>
        </is>
      </c>
      <c r="B1811" s="18" t="inlineStr">
        <is>
          <t>นำตัวยา Metronidazole ไปละลายใน ethyl alcohol ก่อนเตรียมผสมกับยาพื้น</t>
        </is>
      </c>
      <c r="C1811" s="18" t="inlineStr"/>
      <c r="D1811" s="18" t="inlineStr">
        <is>
          <t>Vancomycin 1 g IV Q12H</t>
        </is>
      </c>
      <c r="E1811" s="18" t="inlineStr">
        <is>
          <t>Meropenem 1 g IV Q8H</t>
        </is>
      </c>
      <c r="F1811" s="18" t="inlineStr">
        <is>
          <t>Cefazolin 1 g IV Q8H</t>
        </is>
      </c>
      <c r="G1811" s="18" t="inlineStr">
        <is>
          <t>Amoxicillin/Clavulanate 1 g BID</t>
        </is>
      </c>
      <c r="H1811" s="18" t="inlineStr">
        <is>
          <t>Ceftriaxone 1 g IV OD</t>
        </is>
      </c>
      <c r="I1811" s="15" t="inlineStr">
        <is>
          <t>1</t>
        </is>
      </c>
      <c r="J1811" s="18"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811" s="18" t="inlineStr"/>
      <c r="L1811" s="18" t="inlineStr">
        <is>
          <t>Infectious Diseases</t>
        </is>
      </c>
      <c r="M1811" s="18" t="inlineStr">
        <is>
          <t>Clinic</t>
        </is>
      </c>
      <c r="N1811" s="18" t="inlineStr">
        <is>
          <t>ข้อ 1 (PLE_CC1_Key_Rx20_UBU.md)</t>
        </is>
      </c>
      <c r="O1811" s="18" t="inlineStr">
        <is>
          <t>Mock</t>
        </is>
      </c>
      <c r="P1811" s="18" t="inlineStr">
        <is>
          <t>Mock Rx20 UBU</t>
        </is>
      </c>
    </row>
    <row r="1812">
      <c r="A1812" s="15" t="inlineStr">
        <is>
          <t>1833</t>
        </is>
      </c>
      <c r="B1812" s="18" t="inlineStr">
        <is>
          <t>PEG 400 เพิ่มความคงตัวในตำรับ</t>
        </is>
      </c>
      <c r="C1812" s="18" t="inlineStr"/>
      <c r="D1812" s="18" t="inlineStr">
        <is>
          <t>Moisture Sorption Isotherm analysis</t>
        </is>
      </c>
      <c r="E1812" s="18" t="inlineStr">
        <is>
          <t>Good Manufacturing Practice (GMP PIC/S)</t>
        </is>
      </c>
      <c r="F1812" s="18" t="inlineStr">
        <is>
          <t>Standard Operating Procedure (SOP) Validation</t>
        </is>
      </c>
      <c r="G1812" s="18" t="inlineStr">
        <is>
          <t>High-Density Polyethylene (HDPE) Container</t>
        </is>
      </c>
      <c r="H1812" s="18" t="inlineStr">
        <is>
          <t>Type I Borosilicate Glass Ampoule</t>
        </is>
      </c>
      <c r="I1812" s="15" t="inlineStr">
        <is>
          <t>1</t>
        </is>
      </c>
      <c r="J1812" s="18" t="inlineStr">
        <is>
          <t>✅ คำตอบที่ถูกต้อง: ข้อ ก. Moisture Sorption Isotherm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Moisture Sorption Isotherm analysis 💡 คำอธิบายและเหตุผลทางเภสัชกรรม:
💡 คำอธิบายและเหตุผลทางเภสัชกรรม:
การเลือก Moisture Sorption Isotherm analysis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2" s="18" t="inlineStr"/>
      <c r="L1812" s="18" t="inlineStr">
        <is>
          <t>Preformulation &amp; Stability</t>
        </is>
      </c>
      <c r="M1812" s="18" t="inlineStr">
        <is>
          <t>Product</t>
        </is>
      </c>
      <c r="N1812" s="18" t="inlineStr">
        <is>
          <t>ข้อ 2 (PLE_CC1_Key_Rx20_UBU.md)</t>
        </is>
      </c>
      <c r="O1812" s="18" t="inlineStr">
        <is>
          <t>Mock</t>
        </is>
      </c>
      <c r="P1812" s="18" t="inlineStr">
        <is>
          <t>Mock Rx20 UBU</t>
        </is>
      </c>
    </row>
    <row r="1813">
      <c r="A1813" s="15" t="inlineStr">
        <is>
          <t>1834</t>
        </is>
      </c>
      <c r="B1813" s="18" t="inlineStr">
        <is>
          <t>ผู้ป่วยมาขอซื้อยาให้เพื่อนซึ่งมีอาการคือ ตกขาวเป็นคราบขาวข้น คัน เภสัชควรจ่ายยาอะไรให้กับเพื่อนผู้ป่วย</t>
        </is>
      </c>
      <c r="C1813" s="18" t="inlineStr"/>
      <c r="D1813" s="18" t="inlineStr">
        <is>
          <t>Sodium thiosulfate 25% 50 mL IV</t>
        </is>
      </c>
      <c r="E1813" s="18" t="inlineStr">
        <is>
          <t>Calcium disodium EDTA 1 g IV</t>
        </is>
      </c>
      <c r="F1813" s="18" t="inlineStr">
        <is>
          <t>Desferrioxamine 1 g IM/IV</t>
        </is>
      </c>
      <c r="G1813" s="18" t="inlineStr">
        <is>
          <t>Dimercaprol (BAL) 3 mg/kg IM</t>
        </is>
      </c>
      <c r="H1813" s="18" t="inlineStr">
        <is>
          <t>Ethanol 10% IV infusion for Methanol poisoning</t>
        </is>
      </c>
      <c r="I1813" s="15" t="inlineStr">
        <is>
          <t>1</t>
        </is>
      </c>
      <c r="J18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3" s="18" t="inlineStr"/>
      <c r="L1813" s="18" t="inlineStr">
        <is>
          <t>General Therapeutics</t>
        </is>
      </c>
      <c r="M1813" s="18" t="inlineStr">
        <is>
          <t>Clinic</t>
        </is>
      </c>
      <c r="N1813" s="18" t="inlineStr">
        <is>
          <t>ข้อ 91 (PLE_CC1_Key_Rx20_UBU.md)</t>
        </is>
      </c>
      <c r="O1813" s="18" t="inlineStr">
        <is>
          <t>Mock</t>
        </is>
      </c>
      <c r="P1813" s="18" t="inlineStr">
        <is>
          <t>Mock Rx20 UBU</t>
        </is>
      </c>
    </row>
    <row r="1814">
      <c r="A1814" s="15" t="inlineStr">
        <is>
          <t>1835</t>
        </is>
      </c>
      <c r="B1814" s="18" t="inlineStr">
        <is>
          <t>Ciprofloxacin</t>
        </is>
      </c>
      <c r="C1814" s="18" t="inlineStr"/>
      <c r="D1814" s="18" t="inlineStr">
        <is>
          <t>Metronidazole 400 mg TID</t>
        </is>
      </c>
      <c r="E1814" s="18" t="inlineStr">
        <is>
          <t>Nitrofurantoin 100 mg BID</t>
        </is>
      </c>
      <c r="F1814" s="18" t="inlineStr">
        <is>
          <t>Tenofovir/Emtricitabine 300/200 mg OD</t>
        </is>
      </c>
      <c r="G1814" s="18" t="inlineStr">
        <is>
          <t>Dolutegravir 50 mg OD</t>
        </is>
      </c>
      <c r="H1814" s="18" t="inlineStr">
        <is>
          <t>Vancomycin 1 g IV Q12H</t>
        </is>
      </c>
      <c r="I1814" s="15" t="inlineStr">
        <is>
          <t>3</t>
        </is>
      </c>
      <c r="J1814" s="18"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14" s="18" t="inlineStr"/>
      <c r="L1814" s="18" t="inlineStr">
        <is>
          <t>Infectious Diseases</t>
        </is>
      </c>
      <c r="M1814" s="18" t="inlineStr">
        <is>
          <t>Clinic</t>
        </is>
      </c>
      <c r="N1814" s="18" t="inlineStr">
        <is>
          <t>ข้อ 5 (PLE_CC1_Key_Rx20_UBU.md)</t>
        </is>
      </c>
      <c r="O1814" s="18" t="inlineStr">
        <is>
          <t>Mock</t>
        </is>
      </c>
      <c r="P1814" s="18" t="inlineStr">
        <is>
          <t>Mock Rx20 UBU</t>
        </is>
      </c>
    </row>
    <row r="1815">
      <c r="A1815" s="15" t="inlineStr">
        <is>
          <t>1836</t>
        </is>
      </c>
      <c r="B1815" s="18" t="inlineStr">
        <is>
          <t>ยาภายนอกที่ใช้รักษาอาการดังกล่าว</t>
        </is>
      </c>
      <c r="C1815" s="18" t="inlineStr"/>
      <c r="D1815" s="18" t="inlineStr">
        <is>
          <t>N-acetylcysteine (NAC) IV infusion protocol</t>
        </is>
      </c>
      <c r="E1815" s="18" t="inlineStr">
        <is>
          <t>Atropine sulfate 2 mg IV Q5-10 min</t>
        </is>
      </c>
      <c r="F1815" s="18" t="inlineStr">
        <is>
          <t>Pralidoxime (2-PAM) 1-2 g IV over 30 min</t>
        </is>
      </c>
      <c r="G1815" s="18" t="inlineStr">
        <is>
          <t>Naloxone 0.4 mg IV stat</t>
        </is>
      </c>
      <c r="H1815" s="18" t="inlineStr">
        <is>
          <t>Flumazenil 0.2 mg IV stat</t>
        </is>
      </c>
      <c r="I1815" s="15" t="inlineStr">
        <is>
          <t>1</t>
        </is>
      </c>
      <c r="J18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15" s="18" t="inlineStr"/>
      <c r="L1815" s="18" t="inlineStr">
        <is>
          <t>General Therapeutics</t>
        </is>
      </c>
      <c r="M1815" s="18" t="inlineStr">
        <is>
          <t>Clinic</t>
        </is>
      </c>
      <c r="N1815" s="18" t="inlineStr">
        <is>
          <t>ข้อ 93 (PLE_CC1_Key_Rx20_UBU.md)</t>
        </is>
      </c>
      <c r="O1815" s="18" t="inlineStr">
        <is>
          <t>Mock</t>
        </is>
      </c>
      <c r="P1815" s="18" t="inlineStr">
        <is>
          <t>Mock Rx20 UBU</t>
        </is>
      </c>
    </row>
    <row r="1816">
      <c r="A1816" s="15" t="inlineStr">
        <is>
          <t>1837</t>
        </is>
      </c>
      <c r="B1816" s="18" t="inlineStr">
        <is>
          <t>สามารถใช้ได้ืทุกข้อ</t>
        </is>
      </c>
      <c r="C1816" s="18" t="inlineStr"/>
      <c r="D1816" s="18" t="inlineStr">
        <is>
          <t>Naloxone 0.4 mg IV stat</t>
        </is>
      </c>
      <c r="E1816" s="18" t="inlineStr">
        <is>
          <t>Flumazenil 0.2 mg IV stat</t>
        </is>
      </c>
      <c r="F1816" s="18" t="inlineStr">
        <is>
          <t>Vitamin K1 (Phytomenadione) 10 mg IV slow</t>
        </is>
      </c>
      <c r="G1816" s="18" t="inlineStr">
        <is>
          <t>Sodium thiosulfate 25% 50 mL IV</t>
        </is>
      </c>
      <c r="H1816" s="18" t="inlineStr">
        <is>
          <t>Calcium disodium EDTA 1 g IV</t>
        </is>
      </c>
      <c r="I1816" s="15" t="inlineStr">
        <is>
          <t>3</t>
        </is>
      </c>
      <c r="J1816" s="18"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6" s="18" t="inlineStr"/>
      <c r="L1816" s="18" t="inlineStr">
        <is>
          <t>General Therapeutics</t>
        </is>
      </c>
      <c r="M1816" s="18" t="inlineStr">
        <is>
          <t>Clinic</t>
        </is>
      </c>
      <c r="N1816" s="18" t="inlineStr">
        <is>
          <t>ข้อ 5 (PLE_CC1_Key_Rx20_UBU.md)</t>
        </is>
      </c>
      <c r="O1816" s="18" t="inlineStr">
        <is>
          <t>Mock</t>
        </is>
      </c>
      <c r="P1816" s="18" t="inlineStr">
        <is>
          <t>Mock Rx20 UBU</t>
        </is>
      </c>
    </row>
    <row r="1817">
      <c r="A1817" s="15" t="inlineStr">
        <is>
          <t>1838</t>
        </is>
      </c>
      <c r="B1817" s="18" t="inlineStr">
        <is>
          <t>Cyclosporine = C</t>
        </is>
      </c>
      <c r="C1817" s="18" t="inlineStr"/>
      <c r="D1817" s="18" t="inlineStr">
        <is>
          <t>Sodium thiosulfate 25% 50 mL IV</t>
        </is>
      </c>
      <c r="E1817" s="18" t="inlineStr">
        <is>
          <t>Calcium disodium EDTA 1 g IV</t>
        </is>
      </c>
      <c r="F1817" s="18" t="inlineStr">
        <is>
          <t>Desferrioxamine 1 g IM/IV</t>
        </is>
      </c>
      <c r="G1817" s="18" t="inlineStr">
        <is>
          <t>Dimercaprol (BAL) 3 mg/kg IM</t>
        </is>
      </c>
      <c r="H1817" s="18" t="inlineStr">
        <is>
          <t>Ethanol 10% IV infusion for Methanol poisoning</t>
        </is>
      </c>
      <c r="I1817" s="15" t="inlineStr">
        <is>
          <t>1</t>
        </is>
      </c>
      <c r="J18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7" s="18" t="inlineStr"/>
      <c r="L1817" s="18" t="inlineStr">
        <is>
          <t>General Therapeutics</t>
        </is>
      </c>
      <c r="M1817" s="18" t="inlineStr">
        <is>
          <t>Clinic</t>
        </is>
      </c>
      <c r="N1817" s="18" t="inlineStr">
        <is>
          <t>ข้อ 3 (PLE_CC1_Key_Rx20_UBU.md)</t>
        </is>
      </c>
      <c r="O1817" s="18" t="inlineStr">
        <is>
          <t>Mock</t>
        </is>
      </c>
      <c r="P1817" s="18" t="inlineStr">
        <is>
          <t>Mock Rx20 UBU</t>
        </is>
      </c>
    </row>
    <row r="1818">
      <c r="A1818" s="15" t="inlineStr">
        <is>
          <t>1839</t>
        </is>
      </c>
      <c r="B1818" s="18" t="inlineStr">
        <is>
          <t>ยาใดต่อไปนี้ที่มีผลลดระดับยาในเลือดของยา cyclosporine</t>
        </is>
      </c>
      <c r="C1818" s="18" t="inlineStr"/>
      <c r="D1818" s="18" t="inlineStr">
        <is>
          <t>Dimercaprol (BAL) 3 mg/kg IM</t>
        </is>
      </c>
      <c r="E1818" s="18" t="inlineStr">
        <is>
          <t>Ethanol 10% IV infusion for Methanol poisoning</t>
        </is>
      </c>
      <c r="F1818" s="18" t="inlineStr">
        <is>
          <t>Fomepizole 15 mg/kg IV loading</t>
        </is>
      </c>
      <c r="G1818" s="18" t="inlineStr">
        <is>
          <t>N-acetylcysteine (NAC) IV infusion protocol</t>
        </is>
      </c>
      <c r="H1818" s="18" t="inlineStr">
        <is>
          <t>Atropine sulfate 2 mg IV Q5-10 min</t>
        </is>
      </c>
      <c r="I1818" s="15" t="inlineStr">
        <is>
          <t>1</t>
        </is>
      </c>
      <c r="J18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8" s="18" t="inlineStr"/>
      <c r="L1818" s="18" t="inlineStr">
        <is>
          <t>General Therapeutics</t>
        </is>
      </c>
      <c r="M1818" s="18" t="inlineStr">
        <is>
          <t>Clinic</t>
        </is>
      </c>
      <c r="N1818" s="18" t="inlineStr">
        <is>
          <t>ข้อ 96 (PLE_CC1_Key_Rx20_UBU.md)</t>
        </is>
      </c>
      <c r="O1818" s="18" t="inlineStr">
        <is>
          <t>Mock</t>
        </is>
      </c>
      <c r="P1818" s="18" t="inlineStr">
        <is>
          <t>Mock Rx20 UBU</t>
        </is>
      </c>
    </row>
    <row r="1819">
      <c r="A1819" s="15" t="inlineStr">
        <is>
          <t>1840</t>
        </is>
      </c>
      <c r="B1819" s="18" t="inlineStr">
        <is>
          <t>Erythromycin</t>
        </is>
      </c>
      <c r="C1819" s="18" t="inlineStr"/>
      <c r="D1819" s="18" t="inlineStr">
        <is>
          <t>Tenofovir/Emtricitabine 300/200 mg OD</t>
        </is>
      </c>
      <c r="E1819" s="18" t="inlineStr">
        <is>
          <t>Dolutegravir 50 mg OD</t>
        </is>
      </c>
      <c r="F1819" s="18" t="inlineStr">
        <is>
          <t>Vancomycin 1 g IV Q12H</t>
        </is>
      </c>
      <c r="G1819" s="18" t="inlineStr">
        <is>
          <t>Meropenem 1 g IV Q8H</t>
        </is>
      </c>
      <c r="H1819" s="18" t="inlineStr">
        <is>
          <t>Cefazolin 1 g IV Q8H</t>
        </is>
      </c>
      <c r="I1819" s="15" t="inlineStr">
        <is>
          <t>5</t>
        </is>
      </c>
      <c r="J1819" s="18" t="inlineStr">
        <is>
          <t>✅ คำตอบที่ถูกต้อง: ข้อ จ.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9" s="18" t="inlineStr"/>
      <c r="L1819" s="18" t="inlineStr">
        <is>
          <t>Infectious Diseases</t>
        </is>
      </c>
      <c r="M1819" s="18" t="inlineStr">
        <is>
          <t>Clinic</t>
        </is>
      </c>
      <c r="N1819" s="18" t="inlineStr">
        <is>
          <t>ข้อ 5 (PLE_CC1_Key_Rx20_UBU.md)</t>
        </is>
      </c>
      <c r="O1819" s="18" t="inlineStr">
        <is>
          <t>Mock</t>
        </is>
      </c>
      <c r="P1819" s="18" t="inlineStr">
        <is>
          <t>Mock Rx20 UBU</t>
        </is>
      </c>
    </row>
    <row r="1820">
      <c r="A1820" s="15" t="inlineStr">
        <is>
          <t>1841</t>
        </is>
      </c>
      <c r="B1820" s="18" t="inlineStr">
        <is>
          <t>ยับยั้ง enzyme coxoxygenase</t>
        </is>
      </c>
      <c r="C1820" s="18" t="inlineStr"/>
      <c r="D1820" s="18" t="inlineStr">
        <is>
          <t>Naloxone 0.4 mg IV stat</t>
        </is>
      </c>
      <c r="E1820" s="18" t="inlineStr">
        <is>
          <t>Flumazenil 0.2 mg IV stat</t>
        </is>
      </c>
      <c r="F1820" s="18" t="inlineStr">
        <is>
          <t>Vitamin K1 (Phytomenadione) 10 mg IV slow</t>
        </is>
      </c>
      <c r="G1820" s="18" t="inlineStr">
        <is>
          <t>Sodium thiosulfate 25% 50 mL IV</t>
        </is>
      </c>
      <c r="H1820" s="18" t="inlineStr">
        <is>
          <t>Calcium disodium EDTA 1 g IV</t>
        </is>
      </c>
      <c r="I1820" s="15" t="inlineStr">
        <is>
          <t>1</t>
        </is>
      </c>
      <c r="J18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0" s="18" t="inlineStr"/>
      <c r="L1820" s="18" t="inlineStr">
        <is>
          <t>General Therapeutics</t>
        </is>
      </c>
      <c r="M1820" s="18" t="inlineStr">
        <is>
          <t>Clinic</t>
        </is>
      </c>
      <c r="N1820" s="18" t="inlineStr">
        <is>
          <t>ข้อ 1 (PLE_CC1_Key_Rx20_UBU.md)</t>
        </is>
      </c>
      <c r="O1820" s="18" t="inlineStr">
        <is>
          <t>Mock</t>
        </is>
      </c>
      <c r="P1820" s="18" t="inlineStr">
        <is>
          <t>Mock Rx20 UBU</t>
        </is>
      </c>
    </row>
    <row r="1821">
      <c r="A1821" s="15" t="inlineStr">
        <is>
          <t>1842</t>
        </is>
      </c>
      <c r="B1821" s="18" t="inlineStr">
        <is>
          <t>ยับยั้งการสังเคราะห์ chloesterol</t>
        </is>
      </c>
      <c r="C1821" s="18" t="inlineStr"/>
      <c r="D1821" s="18" t="inlineStr">
        <is>
          <t>Sodium thiosulfate 25% 50 mL IV</t>
        </is>
      </c>
      <c r="E1821" s="18" t="inlineStr">
        <is>
          <t>Calcium disodium EDTA 1 g IV</t>
        </is>
      </c>
      <c r="F1821" s="18" t="inlineStr">
        <is>
          <t>Desferrioxamine 1 g IM/IV</t>
        </is>
      </c>
      <c r="G1821" s="18" t="inlineStr">
        <is>
          <t>Dimercaprol (BAL) 3 mg/kg IM</t>
        </is>
      </c>
      <c r="H1821" s="18" t="inlineStr">
        <is>
          <t>Ethanol 10% IV infusion for Methanol poisoning</t>
        </is>
      </c>
      <c r="I1821" s="15" t="inlineStr">
        <is>
          <t>1</t>
        </is>
      </c>
      <c r="J18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1" s="18" t="inlineStr"/>
      <c r="L1821" s="18" t="inlineStr">
        <is>
          <t>General Therapeutics</t>
        </is>
      </c>
      <c r="M1821" s="18" t="inlineStr">
        <is>
          <t>Clinic</t>
        </is>
      </c>
      <c r="N1821" s="18" t="inlineStr">
        <is>
          <t>ข้อ 2 (PLE_CC1_Key_Rx20_UBU.md)</t>
        </is>
      </c>
      <c r="O1821" s="18" t="inlineStr">
        <is>
          <t>Mock</t>
        </is>
      </c>
      <c r="P1821" s="18" t="inlineStr">
        <is>
          <t>Mock Rx20 UBU</t>
        </is>
      </c>
    </row>
    <row r="1822">
      <c r="A1822" s="15" t="inlineStr">
        <is>
          <t>1843</t>
        </is>
      </c>
      <c r="B1822" s="18" t="inlineStr">
        <is>
          <t>ยับยั้ง enzyme phospholipase A2</t>
        </is>
      </c>
      <c r="C1822" s="18" t="inlineStr"/>
      <c r="D1822" s="18" t="inlineStr">
        <is>
          <t>Dimercaprol (BAL) 3 mg/kg IM</t>
        </is>
      </c>
      <c r="E1822" s="18" t="inlineStr">
        <is>
          <t>Ethanol 10% IV infusion for Methanol poisoning</t>
        </is>
      </c>
      <c r="F1822" s="18" t="inlineStr">
        <is>
          <t>Fomepizole 15 mg/kg IV loading</t>
        </is>
      </c>
      <c r="G1822" s="18" t="inlineStr">
        <is>
          <t>N-acetylcysteine (NAC) IV infusion protocol</t>
        </is>
      </c>
      <c r="H1822" s="18" t="inlineStr">
        <is>
          <t>Atropine sulfate 2 mg IV Q5-10 min</t>
        </is>
      </c>
      <c r="I1822" s="15" t="inlineStr">
        <is>
          <t>1</t>
        </is>
      </c>
      <c r="J18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2" s="18" t="inlineStr"/>
      <c r="L1822" s="18" t="inlineStr">
        <is>
          <t>General Therapeutics</t>
        </is>
      </c>
      <c r="M1822" s="18" t="inlineStr">
        <is>
          <t>Clinic</t>
        </is>
      </c>
      <c r="N1822" s="18" t="inlineStr">
        <is>
          <t>ข้อ 3 (PLE_CC1_Key_Rx20_UBU.md)</t>
        </is>
      </c>
      <c r="O1822" s="18" t="inlineStr">
        <is>
          <t>Mock</t>
        </is>
      </c>
      <c r="P1822" s="18" t="inlineStr">
        <is>
          <t>Mock Rx20 UBU</t>
        </is>
      </c>
    </row>
    <row r="1823">
      <c r="A1823" s="15" t="inlineStr">
        <is>
          <t>1844</t>
        </is>
      </c>
      <c r="B1823" s="18" t="inlineStr">
        <is>
          <t>ออกฤทธิ์เป็น Leukotriene receptor antaginist</t>
        </is>
      </c>
      <c r="C1823" s="18" t="inlineStr"/>
      <c r="D1823" s="18" t="inlineStr">
        <is>
          <t>N-acetylcysteine (NAC) IV infusion protocol</t>
        </is>
      </c>
      <c r="E1823" s="18" t="inlineStr">
        <is>
          <t>Atropine sulfate 2 mg IV Q5-10 min</t>
        </is>
      </c>
      <c r="F1823" s="18" t="inlineStr">
        <is>
          <t>Pralidoxime (2-PAM) 1-2 g IV over 30 min</t>
        </is>
      </c>
      <c r="G1823" s="18" t="inlineStr">
        <is>
          <t>Naloxone 0.4 mg IV stat</t>
        </is>
      </c>
      <c r="H1823" s="18" t="inlineStr">
        <is>
          <t>Flumazenil 0.2 mg IV stat</t>
        </is>
      </c>
      <c r="I1823" s="15" t="inlineStr">
        <is>
          <t>4</t>
        </is>
      </c>
      <c r="J1823" s="18"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3" s="18" t="inlineStr"/>
      <c r="L1823" s="18" t="inlineStr">
        <is>
          <t>General Therapeutics</t>
        </is>
      </c>
      <c r="M1823" s="18" t="inlineStr">
        <is>
          <t>Clinic</t>
        </is>
      </c>
      <c r="N1823" s="18" t="inlineStr">
        <is>
          <t>ข้อ 5 (PLE_CC1_Key_Rx20_UBU.md)</t>
        </is>
      </c>
      <c r="O1823" s="18" t="inlineStr">
        <is>
          <t>Mock</t>
        </is>
      </c>
      <c r="P1823" s="18" t="inlineStr">
        <is>
          <t>Mock Rx20 UBU</t>
        </is>
      </c>
    </row>
    <row r="1824">
      <c r="A1824" s="15" t="inlineStr">
        <is>
          <t>1845</t>
        </is>
      </c>
      <c r="B1824" s="18" t="inlineStr">
        <is>
          <t>จากโครงสร้าง Beta-sitosterol และ Triamcinolone acetonide สามารถใช้แทนกันเพื่อเป็น anti- inflammatory ได้หรือไม่</t>
        </is>
      </c>
      <c r="C1824" s="18" t="inlineStr"/>
      <c r="D1824" s="18" t="inlineStr">
        <is>
          <t>Benzoyl peroxide 2.5% gel</t>
        </is>
      </c>
      <c r="E1824" s="18" t="inlineStr">
        <is>
          <t>Acyclovir 5% cream</t>
        </is>
      </c>
      <c r="F1824" s="18" t="inlineStr">
        <is>
          <t>Silver sulfadiazine 1% cream</t>
        </is>
      </c>
      <c r="G1824" s="18" t="inlineStr">
        <is>
          <t>Cetirizine 10 mg OD</t>
        </is>
      </c>
      <c r="H1824" s="18" t="inlineStr">
        <is>
          <t>Isotretinoin 10 mg OD</t>
        </is>
      </c>
      <c r="I1824" s="15" t="inlineStr">
        <is>
          <t>1</t>
        </is>
      </c>
      <c r="J1824" s="18" t="inlineStr">
        <is>
          <t>✅ คำตอบที่ถูกต้อง: ข้อ ก. Benzoyl peroxide 2.5%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4" s="18" t="inlineStr"/>
      <c r="L1824" s="18" t="inlineStr">
        <is>
          <t>Dermatologic Disorders</t>
        </is>
      </c>
      <c r="M1824" s="18" t="inlineStr">
        <is>
          <t>Clinic</t>
        </is>
      </c>
      <c r="N1824" s="18" t="inlineStr">
        <is>
          <t>ข้อ 98 (PLE_CC1_Key_Rx20_UBU.md)</t>
        </is>
      </c>
      <c r="O1824" s="18" t="inlineStr">
        <is>
          <t>Mock</t>
        </is>
      </c>
      <c r="P1824" s="18" t="inlineStr">
        <is>
          <t>Mock Rx20 UBU</t>
        </is>
      </c>
    </row>
    <row r="1825">
      <c r="A1825" s="15" t="inlineStr">
        <is>
          <t>1846</t>
        </is>
      </c>
      <c r="B1825" s="18" t="inlineStr">
        <is>
          <t>ได้ เพราะ Beta-sitosterol เป็น enantiomer ของ Triamcinolone acetonide</t>
        </is>
      </c>
      <c r="C1825" s="18" t="inlineStr"/>
      <c r="D1825" s="18" t="inlineStr">
        <is>
          <t>Cetirizine 10 mg OD</t>
        </is>
      </c>
      <c r="E1825" s="18" t="inlineStr">
        <is>
          <t>Isotretinoin 10 mg OD</t>
        </is>
      </c>
      <c r="F1825" s="18" t="inlineStr">
        <is>
          <t>Terbinafine 1% cream</t>
        </is>
      </c>
      <c r="G1825" s="18" t="inlineStr">
        <is>
          <t>Adapalene 0.1% gel</t>
        </is>
      </c>
      <c r="H1825" s="18" t="inlineStr">
        <is>
          <t>Mupirocin 2% ointment</t>
        </is>
      </c>
      <c r="I1825" s="15" t="inlineStr">
        <is>
          <t>1</t>
        </is>
      </c>
      <c r="J1825" s="18"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5" s="18" t="inlineStr"/>
      <c r="L1825" s="18" t="inlineStr">
        <is>
          <t>Dermatologic Disorders</t>
        </is>
      </c>
      <c r="M1825" s="18" t="inlineStr">
        <is>
          <t>Clinic</t>
        </is>
      </c>
      <c r="N1825" s="18" t="inlineStr">
        <is>
          <t>ข้อ 1 (PLE_CC1_Key_Rx20_UBU.md)</t>
        </is>
      </c>
      <c r="O1825" s="18" t="inlineStr">
        <is>
          <t>Mock</t>
        </is>
      </c>
      <c r="P1825" s="18" t="inlineStr">
        <is>
          <t>Mock Rx20 UBU</t>
        </is>
      </c>
    </row>
    <row r="1826">
      <c r="A1826" s="15" t="inlineStr">
        <is>
          <t>1847</t>
        </is>
      </c>
      <c r="B1826" s="18" t="inlineStr">
        <is>
          <t>ไม่ได้ เพราะ Beta-sitosterol เป็นสารธรรมชาติชนิด triterpenoid</t>
        </is>
      </c>
      <c r="C1826" s="18" t="inlineStr"/>
      <c r="D1826" s="18" t="inlineStr">
        <is>
          <t>Dimercaprol (BAL) 3 mg/kg IM</t>
        </is>
      </c>
      <c r="E1826" s="18" t="inlineStr">
        <is>
          <t>Ethanol 10% IV infusion for Methanol poisoning</t>
        </is>
      </c>
      <c r="F1826" s="18" t="inlineStr">
        <is>
          <t>Fomepizole 15 mg/kg IV loading</t>
        </is>
      </c>
      <c r="G1826" s="18" t="inlineStr">
        <is>
          <t>N-acetylcysteine (NAC) IV infusion protocol</t>
        </is>
      </c>
      <c r="H1826" s="18" t="inlineStr">
        <is>
          <t>Atropine sulfate 2 mg IV Q5-10 min</t>
        </is>
      </c>
      <c r="I1826" s="15" t="inlineStr">
        <is>
          <t>1</t>
        </is>
      </c>
      <c r="J18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6" s="18" t="inlineStr"/>
      <c r="L1826" s="18" t="inlineStr">
        <is>
          <t>General Therapeutics</t>
        </is>
      </c>
      <c r="M1826" s="18" t="inlineStr">
        <is>
          <t>Clinic</t>
        </is>
      </c>
      <c r="N1826" s="18" t="inlineStr">
        <is>
          <t>ข้อ 2 (PLE_CC1_Key_Rx20_UBU.md)</t>
        </is>
      </c>
      <c r="O1826" s="18" t="inlineStr">
        <is>
          <t>Mock</t>
        </is>
      </c>
      <c r="P1826" s="18" t="inlineStr">
        <is>
          <t>Mock Rx20 UBU</t>
        </is>
      </c>
    </row>
    <row r="1827">
      <c r="A1827" s="15" t="inlineStr">
        <is>
          <t>1848</t>
        </is>
      </c>
      <c r="B1827" s="18" t="inlineStr">
        <is>
          <t>ได้ เพราะ โครงสร้างหลักเป็น cyclopenta...skeleton เหมือนกัน</t>
        </is>
      </c>
      <c r="C1827" s="18" t="inlineStr"/>
      <c r="D1827" s="18" t="inlineStr">
        <is>
          <t>N-acetylcysteine (NAC) IV infusion protocol</t>
        </is>
      </c>
      <c r="E1827" s="18" t="inlineStr">
        <is>
          <t>Atropine sulfate 2 mg IV Q5-10 min</t>
        </is>
      </c>
      <c r="F1827" s="18" t="inlineStr">
        <is>
          <t>Pralidoxime (2-PAM) 1-2 g IV over 30 min</t>
        </is>
      </c>
      <c r="G1827" s="18" t="inlineStr">
        <is>
          <t>Naloxone 0.4 mg IV stat</t>
        </is>
      </c>
      <c r="H1827" s="18" t="inlineStr">
        <is>
          <t>Flumazenil 0.2 mg IV stat</t>
        </is>
      </c>
      <c r="I1827" s="15" t="inlineStr">
        <is>
          <t>1</t>
        </is>
      </c>
      <c r="J18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27" s="18" t="inlineStr"/>
      <c r="L1827" s="18" t="inlineStr">
        <is>
          <t>General Therapeutics</t>
        </is>
      </c>
      <c r="M1827" s="18" t="inlineStr">
        <is>
          <t>Clinic</t>
        </is>
      </c>
      <c r="N1827" s="18" t="inlineStr">
        <is>
          <t>ข้อ 3 (PLE_CC1_Key_Rx20_UBU.md)</t>
        </is>
      </c>
      <c r="O1827" s="18" t="inlineStr">
        <is>
          <t>Mock</t>
        </is>
      </c>
      <c r="P1827" s="18" t="inlineStr">
        <is>
          <t>Mock Rx20 UBU</t>
        </is>
      </c>
    </row>
    <row r="1828">
      <c r="A1828" s="15" t="inlineStr">
        <is>
          <t>1849</t>
        </is>
      </c>
      <c r="B1828" s="18" t="inlineStr">
        <is>
          <t>ได้ เพราะ โครงสร้างหลักเหมือนกัน เพียงแต่การเรียงตัว 3 มิติต่างกัน</t>
        </is>
      </c>
      <c r="C1828" s="18" t="inlineStr"/>
      <c r="D1828" s="18" t="inlineStr">
        <is>
          <t>Naloxone 0.4 mg IV stat</t>
        </is>
      </c>
      <c r="E1828" s="18" t="inlineStr">
        <is>
          <t>Flumazenil 0.2 mg IV stat</t>
        </is>
      </c>
      <c r="F1828" s="18" t="inlineStr">
        <is>
          <t>Vitamin K1 (Phytomenadione) 10 mg IV slow</t>
        </is>
      </c>
      <c r="G1828" s="18" t="inlineStr">
        <is>
          <t>Sodium thiosulfate 25% 50 mL IV</t>
        </is>
      </c>
      <c r="H1828" s="18" t="inlineStr">
        <is>
          <t>Calcium disodium EDTA 1 g IV</t>
        </is>
      </c>
      <c r="I1828" s="15" t="inlineStr">
        <is>
          <t>1</t>
        </is>
      </c>
      <c r="J18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8" s="18" t="inlineStr"/>
      <c r="L1828" s="18" t="inlineStr">
        <is>
          <t>General Therapeutics</t>
        </is>
      </c>
      <c r="M1828" s="18" t="inlineStr">
        <is>
          <t>Clinic</t>
        </is>
      </c>
      <c r="N1828" s="18" t="inlineStr">
        <is>
          <t>ข้อ 4 (PLE_CC1_Key_Rx20_UBU.md)</t>
        </is>
      </c>
      <c r="O1828" s="18" t="inlineStr">
        <is>
          <t>Mock</t>
        </is>
      </c>
      <c r="P1828" s="18" t="inlineStr">
        <is>
          <t>Mock Rx20 UBU</t>
        </is>
      </c>
    </row>
    <row r="1829">
      <c r="A1829" s="15" t="inlineStr">
        <is>
          <t>1850</t>
        </is>
      </c>
      <c r="B1829" s="18" t="inlineStr">
        <is>
          <t>ยาที่หมดอายุแล้ว</t>
        </is>
      </c>
      <c r="C1829" s="18" t="inlineStr"/>
      <c r="D1829" s="18" t="inlineStr">
        <is>
          <t>Sodium thiosulfate 25% 50 mL IV</t>
        </is>
      </c>
      <c r="E1829" s="18" t="inlineStr">
        <is>
          <t>Calcium disodium EDTA 1 g IV</t>
        </is>
      </c>
      <c r="F1829" s="18" t="inlineStr">
        <is>
          <t>Desferrioxamine 1 g IM/IV</t>
        </is>
      </c>
      <c r="G1829" s="18" t="inlineStr">
        <is>
          <t>Dimercaprol (BAL) 3 mg/kg IM</t>
        </is>
      </c>
      <c r="H1829" s="18" t="inlineStr">
        <is>
          <t>Ethanol 10% IV infusion for Methanol poisoning</t>
        </is>
      </c>
      <c r="I1829" s="15" t="inlineStr">
        <is>
          <t>1</t>
        </is>
      </c>
      <c r="J18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9" s="18" t="inlineStr"/>
      <c r="L1829" s="18" t="inlineStr">
        <is>
          <t>General Therapeutics</t>
        </is>
      </c>
      <c r="M1829" s="18" t="inlineStr">
        <is>
          <t>Clinic</t>
        </is>
      </c>
      <c r="N1829" s="18" t="inlineStr">
        <is>
          <t>ข้อ 2 (PLE_CC1_Key_Rx20_UBU.md)</t>
        </is>
      </c>
      <c r="O1829" s="18" t="inlineStr">
        <is>
          <t>Mock</t>
        </is>
      </c>
      <c r="P1829" s="18" t="inlineStr">
        <is>
          <t>Mock Rx20 UBU</t>
        </is>
      </c>
    </row>
    <row r="1830">
      <c r="A1830" s="15" t="inlineStr">
        <is>
          <t>1851</t>
        </is>
      </c>
      <c r="B1830" s="18" t="inlineStr">
        <is>
          <t>ยาที่ใช้เลขทะเบียนของยาอื่น</t>
        </is>
      </c>
      <c r="C1830" s="18" t="inlineStr"/>
      <c r="D1830" s="18" t="inlineStr">
        <is>
          <t>Dimercaprol (BAL) 3 mg/kg IM</t>
        </is>
      </c>
      <c r="E1830" s="18" t="inlineStr">
        <is>
          <t>Ethanol 10% IV infusion for Methanol poisoning</t>
        </is>
      </c>
      <c r="F1830" s="18" t="inlineStr">
        <is>
          <t>Fomepizole 15 mg/kg IV loading</t>
        </is>
      </c>
      <c r="G1830" s="18" t="inlineStr">
        <is>
          <t>N-acetylcysteine (NAC) IV infusion protocol</t>
        </is>
      </c>
      <c r="H1830" s="18" t="inlineStr">
        <is>
          <t>Atropine sulfate 2 mg IV Q5-10 min</t>
        </is>
      </c>
      <c r="I1830" s="15" t="inlineStr">
        <is>
          <t>1</t>
        </is>
      </c>
      <c r="J18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0" s="18" t="inlineStr"/>
      <c r="L1830" s="18" t="inlineStr">
        <is>
          <t>General Therapeutics</t>
        </is>
      </c>
      <c r="M1830" s="18" t="inlineStr">
        <is>
          <t>Clinic</t>
        </is>
      </c>
      <c r="N1830" s="18" t="inlineStr">
        <is>
          <t>ข้อ 3 (PLE_CC1_Key_Rx20_UBU.md)</t>
        </is>
      </c>
      <c r="O1830" s="18" t="inlineStr">
        <is>
          <t>Mock</t>
        </is>
      </c>
      <c r="P1830" s="18" t="inlineStr">
        <is>
          <t>Mock Rx20 UBU</t>
        </is>
      </c>
    </row>
    <row r="1831">
      <c r="A1831" s="15" t="inlineStr">
        <is>
          <t>1852</t>
        </is>
      </c>
      <c r="B1831" s="18" t="inlineStr">
        <is>
          <t>ยาแคปซูลที่มีสารเยิ้มเหลวออกมาจากเม็ดยา</t>
        </is>
      </c>
      <c r="C1831" s="18" t="inlineStr"/>
      <c r="D1831" s="18" t="inlineStr">
        <is>
          <t>Wet Granulation tableting method</t>
        </is>
      </c>
      <c r="E1831" s="18" t="inlineStr">
        <is>
          <t>Dry Granulation (Roller Compaction)</t>
        </is>
      </c>
      <c r="F1831" s="18" t="inlineStr">
        <is>
          <t>Fluidized Bed Granulation</t>
        </is>
      </c>
      <c r="G1831" s="18" t="inlineStr">
        <is>
          <t>Film Coating with Hydroxypropyl methylcellulose (HPMC)</t>
        </is>
      </c>
      <c r="H1831" s="18" t="inlineStr">
        <is>
          <t>Enteric Coating with Cellulose acetate phthalate (CAP)</t>
        </is>
      </c>
      <c r="I1831" s="15" t="inlineStr">
        <is>
          <t>1</t>
        </is>
      </c>
      <c r="J1831"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1" s="18" t="inlineStr"/>
      <c r="L1831" s="18" t="inlineStr">
        <is>
          <t>Solid Dosage Forms</t>
        </is>
      </c>
      <c r="M1831" s="18" t="inlineStr">
        <is>
          <t>Product</t>
        </is>
      </c>
      <c r="N1831" s="18" t="inlineStr">
        <is>
          <t>ข้อ 4 (PLE_CC1_Key_Rx20_UBU.md)</t>
        </is>
      </c>
      <c r="O1831" s="18" t="inlineStr">
        <is>
          <t>Mock</t>
        </is>
      </c>
      <c r="P1831" s="18" t="inlineStr">
        <is>
          <t>Mock Rx20 UBU</t>
        </is>
      </c>
    </row>
    <row r="1832">
      <c r="A1832" s="15" t="inlineStr">
        <is>
          <t>1853</t>
        </is>
      </c>
      <c r="B1832" s="18" t="inlineStr">
        <is>
          <t>เชื้อใดที่เป็นสาเหตุของการเกิด acute sinusitis ของผู้ป่วยรายนี้</t>
        </is>
      </c>
      <c r="C1832" s="18" t="inlineStr"/>
      <c r="D1832" s="18" t="inlineStr">
        <is>
          <t>Naloxone 0.4 mg IV stat</t>
        </is>
      </c>
      <c r="E1832" s="18" t="inlineStr">
        <is>
          <t>Flumazenil 0.2 mg IV stat</t>
        </is>
      </c>
      <c r="F1832" s="18" t="inlineStr">
        <is>
          <t>Vitamin K1 (Phytomenadione) 10 mg IV slow</t>
        </is>
      </c>
      <c r="G1832" s="18" t="inlineStr">
        <is>
          <t>Sodium thiosulfate 25% 50 mL IV</t>
        </is>
      </c>
      <c r="H1832" s="18" t="inlineStr">
        <is>
          <t>Calcium disodium EDTA 1 g IV</t>
        </is>
      </c>
      <c r="I1832" s="15" t="inlineStr">
        <is>
          <t>1</t>
        </is>
      </c>
      <c r="J18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2" s="18" t="inlineStr"/>
      <c r="L1832" s="18" t="inlineStr">
        <is>
          <t>General Therapeutics</t>
        </is>
      </c>
      <c r="M1832" s="18" t="inlineStr">
        <is>
          <t>Clinic</t>
        </is>
      </c>
      <c r="N1832" s="18" t="inlineStr">
        <is>
          <t>ข้อ 1 (PLE_CC1_Key_Rx20_UBU.md)</t>
        </is>
      </c>
      <c r="O1832" s="18" t="inlineStr">
        <is>
          <t>Mock</t>
        </is>
      </c>
      <c r="P1832" s="18" t="inlineStr">
        <is>
          <t>Mock Rx20 UBU</t>
        </is>
      </c>
    </row>
    <row r="1833">
      <c r="A1833" s="15" t="inlineStr">
        <is>
          <t>1854</t>
        </is>
      </c>
      <c r="B1833" s="18" t="inlineStr">
        <is>
          <t>Haemophilus influenza</t>
        </is>
      </c>
      <c r="C1833" s="18" t="inlineStr"/>
      <c r="D1833" s="18" t="inlineStr">
        <is>
          <t>Sodium thiosulfate 25% 50 mL IV</t>
        </is>
      </c>
      <c r="E1833" s="18" t="inlineStr">
        <is>
          <t>Calcium disodium EDTA 1 g IV</t>
        </is>
      </c>
      <c r="F1833" s="18" t="inlineStr">
        <is>
          <t>Desferrioxamine 1 g IM/IV</t>
        </is>
      </c>
      <c r="G1833" s="18" t="inlineStr">
        <is>
          <t>Dimercaprol (BAL) 3 mg/kg IM</t>
        </is>
      </c>
      <c r="H1833" s="18" t="inlineStr">
        <is>
          <t>Ethanol 10% IV infusion for Methanol poisoning</t>
        </is>
      </c>
      <c r="I1833" s="15" t="inlineStr">
        <is>
          <t>1</t>
        </is>
      </c>
      <c r="J18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3" s="18" t="inlineStr"/>
      <c r="L1833" s="18" t="inlineStr">
        <is>
          <t>General Therapeutics</t>
        </is>
      </c>
      <c r="M1833" s="18" t="inlineStr">
        <is>
          <t>Clinic</t>
        </is>
      </c>
      <c r="N1833" s="18" t="inlineStr">
        <is>
          <t>ข้อ 1 (PLE_CC1_Key_Rx20_UBU.md)</t>
        </is>
      </c>
      <c r="O1833" s="18" t="inlineStr">
        <is>
          <t>Mock</t>
        </is>
      </c>
      <c r="P1833" s="18" t="inlineStr">
        <is>
          <t>Mock Rx20 UBU</t>
        </is>
      </c>
    </row>
    <row r="1834">
      <c r="A1834" s="15" t="inlineStr">
        <is>
          <t>1855</t>
        </is>
      </c>
      <c r="B1834" s="18" t="inlineStr">
        <is>
          <t>Streptococcus pyogenes</t>
        </is>
      </c>
      <c r="C1834" s="18" t="inlineStr"/>
      <c r="D1834" s="18" t="inlineStr">
        <is>
          <t>Dimercaprol (BAL) 3 mg/kg IM</t>
        </is>
      </c>
      <c r="E1834" s="18" t="inlineStr">
        <is>
          <t>Ethanol 10% IV infusion for Methanol poisoning</t>
        </is>
      </c>
      <c r="F1834" s="18" t="inlineStr">
        <is>
          <t>Fomepizole 15 mg/kg IV loading</t>
        </is>
      </c>
      <c r="G1834" s="18" t="inlineStr">
        <is>
          <t>N-acetylcysteine (NAC) IV infusion protocol</t>
        </is>
      </c>
      <c r="H1834" s="18" t="inlineStr">
        <is>
          <t>Atropine sulfate 2 mg IV Q5-10 min</t>
        </is>
      </c>
      <c r="I1834" s="15" t="inlineStr">
        <is>
          <t>1</t>
        </is>
      </c>
      <c r="J18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4" s="18" t="inlineStr"/>
      <c r="L1834" s="18" t="inlineStr">
        <is>
          <t>General Therapeutics</t>
        </is>
      </c>
      <c r="M1834" s="18" t="inlineStr">
        <is>
          <t>Clinic</t>
        </is>
      </c>
      <c r="N1834" s="18" t="inlineStr">
        <is>
          <t>ข้อ 4 (PLE_CC1_Key_Rx20_UBU.md)</t>
        </is>
      </c>
      <c r="O1834" s="18" t="inlineStr">
        <is>
          <t>Mock</t>
        </is>
      </c>
      <c r="P1834" s="18" t="inlineStr">
        <is>
          <t>Mock Rx20 UBU</t>
        </is>
      </c>
    </row>
    <row r="1835">
      <c r="A1835" s="15" t="inlineStr">
        <is>
          <t>1856</t>
        </is>
      </c>
      <c r="B1835" s="18" t="inlineStr">
        <is>
          <t>ยาใดที่ใช้รักษา acute sinusitis ในผู้ป่วยรายนี้อันดับแรกคือข้อใด</t>
        </is>
      </c>
      <c r="C1835" s="18" t="inlineStr"/>
      <c r="D1835" s="18" t="inlineStr">
        <is>
          <t>N-acetylcysteine (NAC) IV infusion protocol</t>
        </is>
      </c>
      <c r="E1835" s="18" t="inlineStr">
        <is>
          <t>Atropine sulfate 2 mg IV Q5-10 min</t>
        </is>
      </c>
      <c r="F1835" s="18" t="inlineStr">
        <is>
          <t>Pralidoxime (2-PAM) 1-2 g IV over 30 min</t>
        </is>
      </c>
      <c r="G1835" s="18" t="inlineStr">
        <is>
          <t>Naloxone 0.4 mg IV stat</t>
        </is>
      </c>
      <c r="H1835" s="18" t="inlineStr">
        <is>
          <t>Flumazenil 0.2 mg IV stat</t>
        </is>
      </c>
      <c r="I1835" s="15" t="inlineStr">
        <is>
          <t>1</t>
        </is>
      </c>
      <c r="J18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5" s="18" t="inlineStr"/>
      <c r="L1835" s="18" t="inlineStr">
        <is>
          <t>General Therapeutics</t>
        </is>
      </c>
      <c r="M1835" s="18" t="inlineStr">
        <is>
          <t>Clinic</t>
        </is>
      </c>
      <c r="N1835" s="18" t="inlineStr">
        <is>
          <t>ข้อ 2 (PLE_CC1_Key_Rx20_UBU.md)</t>
        </is>
      </c>
      <c r="O1835" s="18" t="inlineStr">
        <is>
          <t>Mock</t>
        </is>
      </c>
      <c r="P1835" s="18" t="inlineStr">
        <is>
          <t>Mock Rx20 UBU</t>
        </is>
      </c>
    </row>
    <row r="1836">
      <c r="A1836" s="15" t="inlineStr">
        <is>
          <t>1857</t>
        </is>
      </c>
      <c r="B1836" s="18" t="inlineStr">
        <is>
          <t>หากประเมินการควบคุมอาการของผู้ป่วยรายนี้ควรอยู่ในระดับใด</t>
        </is>
      </c>
      <c r="C1836" s="18" t="inlineStr"/>
      <c r="D1836" s="18" t="inlineStr">
        <is>
          <t>Naloxone 0.4 mg IV stat</t>
        </is>
      </c>
      <c r="E1836" s="18" t="inlineStr">
        <is>
          <t>Flumazenil 0.2 mg IV stat</t>
        </is>
      </c>
      <c r="F1836" s="18" t="inlineStr">
        <is>
          <t>Vitamin K1 (Phytomenadione) 10 mg IV slow</t>
        </is>
      </c>
      <c r="G1836" s="18" t="inlineStr">
        <is>
          <t>Sodium thiosulfate 25% 50 mL IV</t>
        </is>
      </c>
      <c r="H1836" s="18" t="inlineStr">
        <is>
          <t>Calcium disodium EDTA 1 g IV</t>
        </is>
      </c>
      <c r="I1836" s="15" t="inlineStr">
        <is>
          <t>1</t>
        </is>
      </c>
      <c r="J18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6" s="18" t="inlineStr"/>
      <c r="L1836" s="18" t="inlineStr">
        <is>
          <t>General Therapeutics</t>
        </is>
      </c>
      <c r="M1836" s="18" t="inlineStr">
        <is>
          <t>Clinic</t>
        </is>
      </c>
      <c r="N1836" s="18" t="inlineStr">
        <is>
          <t>ข้อ 3 (PLE_CC1_Key_Rx20_UBU.md)</t>
        </is>
      </c>
      <c r="O1836" s="18" t="inlineStr">
        <is>
          <t>Mock</t>
        </is>
      </c>
      <c r="P1836" s="18" t="inlineStr">
        <is>
          <t>Mock Rx20 UBU</t>
        </is>
      </c>
    </row>
    <row r="1837">
      <c r="A1837" s="15" t="inlineStr">
        <is>
          <t>1858</t>
        </is>
      </c>
      <c r="B1837" s="18" t="inlineStr">
        <is>
          <t>ควรจัดการอย่างไรในผู้ป่วยรายนี้</t>
        </is>
      </c>
      <c r="C1837" s="18" t="inlineStr"/>
      <c r="D1837" s="18" t="inlineStr">
        <is>
          <t>Sodium thiosulfate 25% 50 mL IV</t>
        </is>
      </c>
      <c r="E1837" s="18" t="inlineStr">
        <is>
          <t>Calcium disodium EDTA 1 g IV</t>
        </is>
      </c>
      <c r="F1837" s="18" t="inlineStr">
        <is>
          <t>Desferrioxamine 1 g IM/IV</t>
        </is>
      </c>
      <c r="G1837" s="18" t="inlineStr">
        <is>
          <t>Dimercaprol (BAL) 3 mg/kg IM</t>
        </is>
      </c>
      <c r="H1837" s="18" t="inlineStr">
        <is>
          <t>Ethanol 10% IV infusion for Methanol poisoning</t>
        </is>
      </c>
      <c r="I1837" s="15" t="inlineStr">
        <is>
          <t>1</t>
        </is>
      </c>
      <c r="J18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7" s="18" t="inlineStr"/>
      <c r="L1837" s="18" t="inlineStr">
        <is>
          <t>General Therapeutics</t>
        </is>
      </c>
      <c r="M1837" s="18" t="inlineStr">
        <is>
          <t>Clinic</t>
        </is>
      </c>
      <c r="N1837" s="18" t="inlineStr">
        <is>
          <t>ข้อ 4 (PLE_CC1_Key_Rx20_UBU.md)</t>
        </is>
      </c>
      <c r="O1837" s="18" t="inlineStr">
        <is>
          <t>Mock</t>
        </is>
      </c>
      <c r="P1837" s="18" t="inlineStr">
        <is>
          <t>Mock Rx20 UBU</t>
        </is>
      </c>
    </row>
    <row r="1838">
      <c r="A1838" s="15" t="inlineStr">
        <is>
          <t>1859</t>
        </is>
      </c>
      <c r="B1838" s="18" t="inlineStr">
        <is>
          <t>ให้ยาในกลุ่ม Mast cell stabilizer เพิ่มเข้าไป</t>
        </is>
      </c>
      <c r="C1838" s="18" t="inlineStr"/>
      <c r="D1838" s="18" t="inlineStr">
        <is>
          <t>Dimercaprol (BAL) 3 mg/kg IM</t>
        </is>
      </c>
      <c r="E1838" s="18" t="inlineStr">
        <is>
          <t>Ethanol 10% IV infusion for Methanol poisoning</t>
        </is>
      </c>
      <c r="F1838" s="18" t="inlineStr">
        <is>
          <t>Fomepizole 15 mg/kg IV loading</t>
        </is>
      </c>
      <c r="G1838" s="18" t="inlineStr">
        <is>
          <t>N-acetylcysteine (NAC) IV infusion protocol</t>
        </is>
      </c>
      <c r="H1838" s="18" t="inlineStr">
        <is>
          <t>Atropine sulfate 2 mg IV Q5-10 min</t>
        </is>
      </c>
      <c r="I1838" s="15" t="inlineStr">
        <is>
          <t>1</t>
        </is>
      </c>
      <c r="J18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8" s="18" t="inlineStr"/>
      <c r="L1838" s="18" t="inlineStr">
        <is>
          <t>General Therapeutics</t>
        </is>
      </c>
      <c r="M1838" s="18" t="inlineStr">
        <is>
          <t>Clinic</t>
        </is>
      </c>
      <c r="N1838" s="18" t="inlineStr">
        <is>
          <t>ข้อ 3 (PLE_CC1_Key_Rx20_UBU.md)</t>
        </is>
      </c>
      <c r="O1838" s="18" t="inlineStr">
        <is>
          <t>Mock</t>
        </is>
      </c>
      <c r="P1838" s="18" t="inlineStr">
        <is>
          <t>Mock Rx20 UBU</t>
        </is>
      </c>
    </row>
    <row r="1839">
      <c r="A1839" s="15" t="inlineStr">
        <is>
          <t>1860</t>
        </is>
      </c>
      <c r="B1839" s="18" t="inlineStr">
        <is>
          <t>ข้อใดเกิดอันตรกิริยากับ Theophyline</t>
        </is>
      </c>
      <c r="C1839" s="18" t="inlineStr"/>
      <c r="D1839" s="18" t="inlineStr">
        <is>
          <t>N-acetylcysteine (NAC) IV infusion protocol</t>
        </is>
      </c>
      <c r="E1839" s="18" t="inlineStr">
        <is>
          <t>Atropine sulfate 2 mg IV Q5-10 min</t>
        </is>
      </c>
      <c r="F1839" s="18" t="inlineStr">
        <is>
          <t>Pralidoxime (2-PAM) 1-2 g IV over 30 min</t>
        </is>
      </c>
      <c r="G1839" s="18" t="inlineStr">
        <is>
          <t>Naloxone 0.4 mg IV stat</t>
        </is>
      </c>
      <c r="H1839" s="18" t="inlineStr">
        <is>
          <t>Flumazenil 0.2 mg IV stat</t>
        </is>
      </c>
      <c r="I1839" s="15" t="inlineStr">
        <is>
          <t>1</t>
        </is>
      </c>
      <c r="J18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9" s="18" t="inlineStr"/>
      <c r="L1839" s="18" t="inlineStr">
        <is>
          <t>General Therapeutics</t>
        </is>
      </c>
      <c r="M1839" s="18" t="inlineStr">
        <is>
          <t>Clinic</t>
        </is>
      </c>
      <c r="N1839" s="18" t="inlineStr">
        <is>
          <t>ข้อ 6 (PLE_CC1_Key_Rx20_UBU.md)</t>
        </is>
      </c>
      <c r="O1839" s="18" t="inlineStr">
        <is>
          <t>Mock</t>
        </is>
      </c>
      <c r="P1839" s="18" t="inlineStr">
        <is>
          <t>Mock Rx20 UBU</t>
        </is>
      </c>
    </row>
    <row r="1840">
      <c r="A1840" s="15" t="inlineStr">
        <is>
          <t>1861</t>
        </is>
      </c>
      <c r="B1840" s="18" t="inlineStr">
        <is>
          <t>30% หาความหนาแน่นของยาก่อน จาก D=m/v จะได้ D= 0.27 g/0.09 cm3 = 3 g/cm3 (1) + -เอ :8.25,100, 25% %total porosity = (1-(bulk density/true density))x 100] = [1- (3/4)]x100 = 25%</t>
        </is>
      </c>
      <c r="C1840" s="18" t="inlineStr"/>
      <c r="D1840" s="18" t="inlineStr">
        <is>
          <t>Naloxone 0.4 mg IV stat</t>
        </is>
      </c>
      <c r="E1840" s="18" t="inlineStr">
        <is>
          <t>Flumazenil 0.2 mg IV stat</t>
        </is>
      </c>
      <c r="F1840" s="18" t="inlineStr">
        <is>
          <t>Vitamin K1 (Phytomenadione) 10 mg IV slow</t>
        </is>
      </c>
      <c r="G1840" s="18" t="inlineStr">
        <is>
          <t>Sodium thiosulfate 25% 50 mL IV</t>
        </is>
      </c>
      <c r="H1840" s="18" t="inlineStr">
        <is>
          <t>Calcium disodium EDTA 1 g IV</t>
        </is>
      </c>
      <c r="I1840" s="15" t="inlineStr">
        <is>
          <t>1</t>
        </is>
      </c>
      <c r="J18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0" s="18" t="inlineStr"/>
      <c r="L1840" s="18" t="inlineStr">
        <is>
          <t>General Therapeutics</t>
        </is>
      </c>
      <c r="M1840" s="18" t="inlineStr">
        <is>
          <t>Clinic</t>
        </is>
      </c>
      <c r="N1840" s="18" t="inlineStr">
        <is>
          <t>ข้อ 5 (PLE_CC1_Key_Rx20_UBU.md)</t>
        </is>
      </c>
      <c r="O1840" s="18" t="inlineStr">
        <is>
          <t>Mock</t>
        </is>
      </c>
      <c r="P1840" s="18" t="inlineStr">
        <is>
          <t>Mock Rx20 UBU</t>
        </is>
      </c>
    </row>
    <row r="1841">
      <c r="A1841" s="15" t="inlineStr">
        <is>
          <t>1862</t>
        </is>
      </c>
      <c r="B1841" s="18" t="inlineStr">
        <is>
          <t>ข้อใดถูกต้องเกี่ยวกับ Turbuhaler</t>
        </is>
      </c>
      <c r="C1841" s="18" t="inlineStr"/>
      <c r="D1841" s="18" t="inlineStr">
        <is>
          <t>Sodium thiosulfate 25% 50 mL IV</t>
        </is>
      </c>
      <c r="E1841" s="18" t="inlineStr">
        <is>
          <t>Calcium disodium EDTA 1 g IV</t>
        </is>
      </c>
      <c r="F1841" s="18" t="inlineStr">
        <is>
          <t>Desferrioxamine 1 g IM/IV</t>
        </is>
      </c>
      <c r="G1841" s="18" t="inlineStr">
        <is>
          <t>Dimercaprol (BAL) 3 mg/kg IM</t>
        </is>
      </c>
      <c r="H1841" s="18" t="inlineStr">
        <is>
          <t>Ethanol 10% IV infusion for Methanol poisoning</t>
        </is>
      </c>
      <c r="I1841" s="15" t="inlineStr">
        <is>
          <t>1</t>
        </is>
      </c>
      <c r="J18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1" s="18" t="inlineStr"/>
      <c r="L1841" s="18" t="inlineStr">
        <is>
          <t>General Therapeutics</t>
        </is>
      </c>
      <c r="M1841" s="18" t="inlineStr">
        <is>
          <t>Clinic</t>
        </is>
      </c>
      <c r="N1841" s="18" t="inlineStr">
        <is>
          <t>ข้อ 8 (PLE_CC1_Key_Rx20_UBU.md)</t>
        </is>
      </c>
      <c r="O1841" s="18" t="inlineStr">
        <is>
          <t>Mock</t>
        </is>
      </c>
      <c r="P1841" s="18" t="inlineStr">
        <is>
          <t>Mock Rx20 UBU</t>
        </is>
      </c>
    </row>
    <row r="1842">
      <c r="A1842" s="15" t="inlineStr">
        <is>
          <t>1863</t>
        </is>
      </c>
      <c r="B1842" s="18" t="inlineStr">
        <is>
          <t>ทดสอบยาหมดได้โดยการนำไปลอยน้ำ</t>
        </is>
      </c>
      <c r="C1842" s="18" t="inlineStr"/>
      <c r="D1842" s="18" t="inlineStr">
        <is>
          <t>Dimercaprol (BAL) 3 mg/kg IM</t>
        </is>
      </c>
      <c r="E1842" s="18" t="inlineStr">
        <is>
          <t>Ethanol 10% IV infusion for Methanol poisoning</t>
        </is>
      </c>
      <c r="F1842" s="18" t="inlineStr">
        <is>
          <t>Fomepizole 15 mg/kg IV loading</t>
        </is>
      </c>
      <c r="G1842" s="18" t="inlineStr">
        <is>
          <t>N-acetylcysteine (NAC) IV infusion protocol</t>
        </is>
      </c>
      <c r="H1842" s="18" t="inlineStr">
        <is>
          <t>Atropine sulfate 2 mg IV Q5-10 min</t>
        </is>
      </c>
      <c r="I1842" s="15" t="inlineStr">
        <is>
          <t>1</t>
        </is>
      </c>
      <c r="J18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2" s="18" t="inlineStr"/>
      <c r="L1842" s="18" t="inlineStr">
        <is>
          <t>General Therapeutics</t>
        </is>
      </c>
      <c r="M1842" s="18" t="inlineStr">
        <is>
          <t>Clinic</t>
        </is>
      </c>
      <c r="N1842" s="18" t="inlineStr">
        <is>
          <t>ข้อ 4 (PLE_CC1_Key_Rx20_UBU.md)</t>
        </is>
      </c>
      <c r="O1842" s="18" t="inlineStr">
        <is>
          <t>Mock</t>
        </is>
      </c>
      <c r="P1842" s="18" t="inlineStr">
        <is>
          <t>Mock Rx20 UBU</t>
        </is>
      </c>
    </row>
    <row r="1843">
      <c r="A1843" s="15" t="inlineStr">
        <is>
          <t>1864</t>
        </is>
      </c>
      <c r="B1843" s="18" t="inlineStr">
        <is>
          <t>ให้ล้างบริเวณปากครอบที่พ่น เมื่อใช้เสร็จ</t>
        </is>
      </c>
      <c r="C1843" s="18" t="inlineStr"/>
      <c r="D1843" s="18" t="inlineStr">
        <is>
          <t>N-acetylcysteine (NAC) IV infusion protocol</t>
        </is>
      </c>
      <c r="E1843" s="18" t="inlineStr">
        <is>
          <t>Atropine sulfate 2 mg IV Q5-10 min</t>
        </is>
      </c>
      <c r="F1843" s="18" t="inlineStr">
        <is>
          <t>Pralidoxime (2-PAM) 1-2 g IV over 30 min</t>
        </is>
      </c>
      <c r="G1843" s="18" t="inlineStr">
        <is>
          <t>Naloxone 0.4 mg IV stat</t>
        </is>
      </c>
      <c r="H1843" s="18" t="inlineStr">
        <is>
          <t>Flumazenil 0.2 mg IV stat</t>
        </is>
      </c>
      <c r="I1843" s="15" t="inlineStr">
        <is>
          <t>3</t>
        </is>
      </c>
      <c r="J1843" s="18"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843" s="18" t="inlineStr"/>
      <c r="L1843" s="18" t="inlineStr">
        <is>
          <t>General Therapeutics</t>
        </is>
      </c>
      <c r="M1843" s="18" t="inlineStr">
        <is>
          <t>Clinic</t>
        </is>
      </c>
      <c r="N1843" s="18" t="inlineStr">
        <is>
          <t>ข้อ 5 (PLE_CC1_Key_Rx20_UBU.md)</t>
        </is>
      </c>
      <c r="O1843" s="18" t="inlineStr">
        <is>
          <t>Mock</t>
        </is>
      </c>
      <c r="P1843" s="18" t="inlineStr">
        <is>
          <t>Mock Rx20 UBU</t>
        </is>
      </c>
    </row>
    <row r="1844">
      <c r="A1844" s="15" t="inlineStr">
        <is>
          <t>1865</t>
        </is>
      </c>
      <c r="B1844" s="18" t="inlineStr">
        <is>
          <t>ยาขยายหลอดลมใดที่เภสัชกรสามารถจ่ายได้ โดยต้องมีใบสั่งแพทย์</t>
        </is>
      </c>
      <c r="C1844" s="18" t="inlineStr"/>
      <c r="D1844" s="18" t="inlineStr">
        <is>
          <t>Montelukast 10 mg HS</t>
        </is>
      </c>
      <c r="E1844" s="18" t="inlineStr">
        <is>
          <t>Theophylline 200 mg BID</t>
        </is>
      </c>
      <c r="F1844" s="18" t="inlineStr">
        <is>
          <t>Prednisolone 40 mg OD x 5 days</t>
        </is>
      </c>
      <c r="G1844" s="18" t="inlineStr">
        <is>
          <t>N-acetylcysteine 600 mg OD</t>
        </is>
      </c>
      <c r="H1844" s="18" t="inlineStr">
        <is>
          <t>Beclomethasone MDI 100 mcg BID</t>
        </is>
      </c>
      <c r="I1844" s="15" t="inlineStr">
        <is>
          <t>1</t>
        </is>
      </c>
      <c r="J1844" s="18"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4" s="18" t="inlineStr"/>
      <c r="L1844" s="18" t="inlineStr">
        <is>
          <t>Pulmonary Diseases</t>
        </is>
      </c>
      <c r="M1844" s="18" t="inlineStr">
        <is>
          <t>Clinic</t>
        </is>
      </c>
      <c r="N1844" s="18" t="inlineStr">
        <is>
          <t>ข้อ 9 (PLE_CC1_Key_Rx20_UBU.md)</t>
        </is>
      </c>
      <c r="O1844" s="18" t="inlineStr">
        <is>
          <t>Mock</t>
        </is>
      </c>
      <c r="P1844" s="18" t="inlineStr">
        <is>
          <t>Mock Rx20 UBU</t>
        </is>
      </c>
    </row>
    <row r="1845">
      <c r="A1845" s="15" t="inlineStr">
        <is>
          <t>1866</t>
        </is>
      </c>
      <c r="B1845" s="18" t="inlineStr">
        <is>
          <t>อยู่ปฏิบัติงานในร้านยาอย่างน้อยวันละ 3 ชั่วโมง</t>
        </is>
      </c>
      <c r="C1845" s="18" t="inlineStr"/>
      <c r="D1845" s="18" t="inlineStr">
        <is>
          <t>บัญชียาหลักแห่งชาติ (National List of Essential Medicines: NLEM)</t>
        </is>
      </c>
      <c r="E1845" s="18" t="inlineStr">
        <is>
          <t>เกณฑ์จริยธรรมว่าด้วยการส่งเสริมการขายยาของกระทรวงสาธารณสุข</t>
        </is>
      </c>
      <c r="F1845" s="18" t="inlineStr">
        <is>
          <t>พ.ร.บ. ยา พ.ศ. 2510 (การจำหน่ายยาอันตรายและยาควบคุมพิเศษ)</t>
        </is>
      </c>
      <c r="G1845" s="18" t="inlineStr">
        <is>
          <t>พ.ร.บ. ยาเสพติดให้โทษ พ.ศ. 2522 (ยาเสพติดให้โทษประเภท 2 และ 3)</t>
        </is>
      </c>
      <c r="H1845" s="18" t="inlineStr">
        <is>
          <t>พ.ร.บ. วัตถุที่ออกฤทธิ์ต่อจิตและประสาท พ.ศ. 2559 (ประเภท 2 และ 4)</t>
        </is>
      </c>
      <c r="I1845" s="15" t="inlineStr">
        <is>
          <t>1</t>
        </is>
      </c>
      <c r="J1845"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5" s="18" t="inlineStr"/>
      <c r="L1845" s="18" t="inlineStr">
        <is>
          <t>Pharmacy Laws &amp; Ethics</t>
        </is>
      </c>
      <c r="M1845" s="18" t="inlineStr">
        <is>
          <t>SAP</t>
        </is>
      </c>
      <c r="N1845" s="18" t="inlineStr">
        <is>
          <t>ข้อ 1 (PLE_CC1_Key_Rx20_UBU.md)</t>
        </is>
      </c>
      <c r="O1845" s="18" t="inlineStr">
        <is>
          <t>Mock</t>
        </is>
      </c>
      <c r="P1845" s="18" t="inlineStr">
        <is>
          <t>Mock Rx20 UBU</t>
        </is>
      </c>
    </row>
    <row r="1846">
      <c r="A1846" s="15" t="inlineStr">
        <is>
          <t>1867</t>
        </is>
      </c>
      <c r="B1846" s="18" t="inlineStr">
        <is>
          <t>ควบคุมการส่งมอบยาอันตรายแก่ผู้ป่วย</t>
        </is>
      </c>
      <c r="C1846" s="18" t="inlineStr"/>
      <c r="D1846" s="18" t="inlineStr">
        <is>
          <t>พ.ร.บ. ยาเสพติดให้โทษ พ.ศ. 2522 (ยาเสพติดให้โทษประเภท 2 และ 3)</t>
        </is>
      </c>
      <c r="E1846" s="18" t="inlineStr">
        <is>
          <t>พ.ร.บ. วัตถุที่ออกฤทธิ์ต่อจิตและประสาท พ.ศ. 2559 (ประเภท 2 และ 4)</t>
        </is>
      </c>
      <c r="F1846" s="18" t="inlineStr">
        <is>
          <t>พ.ร.บ. วิชาชีพเภสัชกรรม พ.ศ. 2537 และข้อบังคับจรรยาบรรณวิชาชีพ</t>
        </is>
      </c>
      <c r="G1846" s="18" t="inlineStr">
        <is>
          <t>พ.ร.บ. ผลิตภัณฑ์สมุนไพร พ.ศ. 2562</t>
        </is>
      </c>
      <c r="H1846" s="18" t="inlineStr">
        <is>
          <t>พ.ร.บ. เครื่องสำอาง พ.ศ. 2558</t>
        </is>
      </c>
      <c r="I1846" s="15" t="inlineStr">
        <is>
          <t>1</t>
        </is>
      </c>
      <c r="J1846"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6" s="18" t="inlineStr"/>
      <c r="L1846" s="18" t="inlineStr">
        <is>
          <t>Pharmacy Laws &amp; Ethics</t>
        </is>
      </c>
      <c r="M1846" s="18" t="inlineStr">
        <is>
          <t>SAP</t>
        </is>
      </c>
      <c r="N1846" s="18" t="inlineStr">
        <is>
          <t>ข้อ 2 (PLE_CC1_Key_Rx20_UBU.md)</t>
        </is>
      </c>
      <c r="O1846" s="18" t="inlineStr">
        <is>
          <t>Mock</t>
        </is>
      </c>
      <c r="P1846" s="18" t="inlineStr">
        <is>
          <t>Mock Rx20 UBU</t>
        </is>
      </c>
    </row>
    <row r="1847">
      <c r="A1847" s="15" t="inlineStr">
        <is>
          <t>1868</t>
        </is>
      </c>
      <c r="B1847" s="18" t="inlineStr">
        <is>
          <t>ควบคุมการทำบัญชีซื้อ-ขายยาตามรายการที่รมต.กำหนด</t>
        </is>
      </c>
      <c r="C1847" s="18" t="inlineStr"/>
      <c r="D1847" s="18" t="inlineStr">
        <is>
          <t>N-acetylcysteine (NAC) IV infusion protocol</t>
        </is>
      </c>
      <c r="E1847" s="18" t="inlineStr">
        <is>
          <t>Atropine sulfate 2 mg IV Q5-10 min</t>
        </is>
      </c>
      <c r="F1847" s="18" t="inlineStr">
        <is>
          <t>Pralidoxime (2-PAM) 1-2 g IV over 30 min</t>
        </is>
      </c>
      <c r="G1847" s="18" t="inlineStr">
        <is>
          <t>Naloxone 0.4 mg IV stat</t>
        </is>
      </c>
      <c r="H1847" s="18" t="inlineStr">
        <is>
          <t>Flumazenil 0.2 mg IV stat</t>
        </is>
      </c>
      <c r="I1847" s="15" t="inlineStr">
        <is>
          <t>1</t>
        </is>
      </c>
      <c r="J18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47" s="18" t="inlineStr"/>
      <c r="L1847" s="18" t="inlineStr">
        <is>
          <t>General Therapeutics</t>
        </is>
      </c>
      <c r="M1847" s="18" t="inlineStr">
        <is>
          <t>Clinic</t>
        </is>
      </c>
      <c r="N1847" s="18" t="inlineStr">
        <is>
          <t>ข้อ 3 (PLE_CC1_Key_Rx20_UBU.md)</t>
        </is>
      </c>
      <c r="O1847" s="18" t="inlineStr">
        <is>
          <t>Mock</t>
        </is>
      </c>
      <c r="P1847" s="18" t="inlineStr">
        <is>
          <t>Mock Rx20 UBU</t>
        </is>
      </c>
    </row>
    <row r="1848">
      <c r="A1848" s="15" t="inlineStr">
        <is>
          <t>1869</t>
        </is>
      </c>
      <c r="B1848" s="18" t="inlineStr">
        <is>
          <t>ควบคุมการเขียนฉลากตามข้อกำหนด</t>
        </is>
      </c>
      <c r="C1848" s="18" t="inlineStr"/>
      <c r="D1848" s="18" t="inlineStr">
        <is>
          <t>Naloxone 0.4 mg IV stat</t>
        </is>
      </c>
      <c r="E1848" s="18" t="inlineStr">
        <is>
          <t>Flumazenil 0.2 mg IV stat</t>
        </is>
      </c>
      <c r="F1848" s="18" t="inlineStr">
        <is>
          <t>Vitamin K1 (Phytomenadione) 10 mg IV slow</t>
        </is>
      </c>
      <c r="G1848" s="18" t="inlineStr">
        <is>
          <t>Sodium thiosulfate 25% 50 mL IV</t>
        </is>
      </c>
      <c r="H1848" s="18" t="inlineStr">
        <is>
          <t>Calcium disodium EDTA 1 g IV</t>
        </is>
      </c>
      <c r="I1848" s="15" t="inlineStr">
        <is>
          <t>1</t>
        </is>
      </c>
      <c r="J18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8" s="18" t="inlineStr"/>
      <c r="L1848" s="18" t="inlineStr">
        <is>
          <t>General Therapeutics</t>
        </is>
      </c>
      <c r="M1848" s="18" t="inlineStr">
        <is>
          <t>Clinic</t>
        </is>
      </c>
      <c r="N1848" s="18" t="inlineStr">
        <is>
          <t>ข้อ 4 (PLE_CC1_Key_Rx20_UBU.md)</t>
        </is>
      </c>
      <c r="O1848" s="18" t="inlineStr">
        <is>
          <t>Mock</t>
        </is>
      </c>
      <c r="P1848" s="18" t="inlineStr">
        <is>
          <t>Mock Rx20 UBU</t>
        </is>
      </c>
    </row>
    <row r="1849">
      <c r="A1849" s="15" t="inlineStr">
        <is>
          <t>1870</t>
        </is>
      </c>
      <c r="B1849" s="18" t="inlineStr">
        <is>
          <t>กินเบียร์ 2-3 แก้วต่อวัน</t>
        </is>
      </c>
      <c r="C1849" s="18" t="inlineStr"/>
      <c r="D1849" s="18" t="inlineStr">
        <is>
          <t>Sodium thiosulfate 25% 50 mL IV</t>
        </is>
      </c>
      <c r="E1849" s="18" t="inlineStr">
        <is>
          <t>Calcium disodium EDTA 1 g IV</t>
        </is>
      </c>
      <c r="F1849" s="18" t="inlineStr">
        <is>
          <t>Desferrioxamine 1 g IM/IV</t>
        </is>
      </c>
      <c r="G1849" s="18" t="inlineStr">
        <is>
          <t>Dimercaprol (BAL) 3 mg/kg IM</t>
        </is>
      </c>
      <c r="H1849" s="18" t="inlineStr">
        <is>
          <t>Ethanol 10% IV infusion for Methanol poisoning</t>
        </is>
      </c>
      <c r="I1849" s="15" t="inlineStr">
        <is>
          <t>1</t>
        </is>
      </c>
      <c r="J18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9" s="18" t="inlineStr"/>
      <c r="L1849" s="18" t="inlineStr">
        <is>
          <t>General Therapeutics</t>
        </is>
      </c>
      <c r="M1849" s="18" t="inlineStr">
        <is>
          <t>Clinic</t>
        </is>
      </c>
      <c r="N1849" s="18" t="inlineStr">
        <is>
          <t>ข้อ 3 (PLE_CC1_Key_Rx20_UBU.md)</t>
        </is>
      </c>
      <c r="O1849" s="18" t="inlineStr">
        <is>
          <t>Mock</t>
        </is>
      </c>
      <c r="P1849" s="18" t="inlineStr">
        <is>
          <t>Mock Rx20 UBU</t>
        </is>
      </c>
    </row>
    <row r="1850">
      <c r="A1850" s="15" t="inlineStr">
        <is>
          <t>1871</t>
        </is>
      </c>
      <c r="B1850" s="18" t="inlineStr">
        <is>
          <t>แคปซูลชุมเห็ดเทศ</t>
        </is>
      </c>
      <c r="C1850" s="18" t="inlineStr"/>
      <c r="D1850" s="18" t="inlineStr">
        <is>
          <t>Fluidized Bed Granulation</t>
        </is>
      </c>
      <c r="E1850" s="18" t="inlineStr">
        <is>
          <t>Film Coating with Hydroxypropyl methylcellulose (HPMC)</t>
        </is>
      </c>
      <c r="F1850" s="18" t="inlineStr">
        <is>
          <t>Enteric Coating with Cellulose acetate phthalate (CAP)</t>
        </is>
      </c>
      <c r="G1850" s="18" t="inlineStr">
        <is>
          <t>Hard Gelatin Capsule filling</t>
        </is>
      </c>
      <c r="H1850" s="18" t="inlineStr">
        <is>
          <t>Soft Gelatin Capsule encapsulation</t>
        </is>
      </c>
      <c r="I1850" s="15" t="inlineStr">
        <is>
          <t>1</t>
        </is>
      </c>
      <c r="J1850" s="1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0" s="18" t="inlineStr"/>
      <c r="L1850" s="18" t="inlineStr">
        <is>
          <t>Solid Dosage Forms</t>
        </is>
      </c>
      <c r="M1850" s="18" t="inlineStr">
        <is>
          <t>Product</t>
        </is>
      </c>
      <c r="N1850" s="18" t="inlineStr">
        <is>
          <t>ข้อ 2 (PLE_CC1_Key_Rx20_UBU.md)</t>
        </is>
      </c>
      <c r="O1850" s="18" t="inlineStr">
        <is>
          <t>Mock</t>
        </is>
      </c>
      <c r="P1850" s="18" t="inlineStr">
        <is>
          <t>Mock Rx20 UBU</t>
        </is>
      </c>
    </row>
    <row r="1851">
      <c r="A1851" s="15" t="inlineStr">
        <is>
          <t>1872</t>
        </is>
      </c>
      <c r="B1851" s="18" t="inlineStr">
        <is>
          <t>Inhibit xanthine oxidase</t>
        </is>
      </c>
      <c r="C1851" s="18" t="inlineStr"/>
      <c r="D1851" s="18" t="inlineStr">
        <is>
          <t>Alendronate 70 mg weekly</t>
        </is>
      </c>
      <c r="E1851" s="18" t="inlineStr">
        <is>
          <t>Glucosamine sulfate 1500 mg OD</t>
        </is>
      </c>
      <c r="F1851" s="18" t="inlineStr">
        <is>
          <t>Hydroxychloroquine 200 mg OD</t>
        </is>
      </c>
      <c r="G1851" s="18" t="inlineStr">
        <is>
          <t>Prednisolone 5 mg OD</t>
        </is>
      </c>
      <c r="H1851" s="18" t="inlineStr">
        <is>
          <t>Zoledronic acid 5 mg IV annually</t>
        </is>
      </c>
      <c r="I1851" s="15" t="inlineStr">
        <is>
          <t>1</t>
        </is>
      </c>
      <c r="J1851" s="18"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851" s="18" t="inlineStr"/>
      <c r="L1851" s="18" t="inlineStr">
        <is>
          <t>Musculoskeletal &amp; Joint</t>
        </is>
      </c>
      <c r="M1851" s="18" t="inlineStr">
        <is>
          <t>Clinic</t>
        </is>
      </c>
      <c r="N1851" s="18" t="inlineStr">
        <is>
          <t>ข้อ 2 (PLE_CC1_Key_Rx20_UBU.md)</t>
        </is>
      </c>
      <c r="O1851" s="18" t="inlineStr">
        <is>
          <t>Mock</t>
        </is>
      </c>
      <c r="P1851" s="18" t="inlineStr">
        <is>
          <t>Mock Rx20 UBU</t>
        </is>
      </c>
    </row>
    <row r="1852">
      <c r="A1852" s="15" t="inlineStr">
        <is>
          <t>1873</t>
        </is>
      </c>
      <c r="B1852" s="18" t="inlineStr">
        <is>
          <t>Anti-metabolite</t>
        </is>
      </c>
      <c r="C1852" s="18" t="inlineStr"/>
      <c r="D1852" s="18" t="inlineStr">
        <is>
          <t>Naloxone 0.4 mg IV stat</t>
        </is>
      </c>
      <c r="E1852" s="18" t="inlineStr">
        <is>
          <t>Flumazenil 0.2 mg IV stat</t>
        </is>
      </c>
      <c r="F1852" s="18" t="inlineStr">
        <is>
          <t>Vitamin K1 (Phytomenadione) 10 mg IV slow</t>
        </is>
      </c>
      <c r="G1852" s="18" t="inlineStr">
        <is>
          <t>Sodium thiosulfate 25% 50 mL IV</t>
        </is>
      </c>
      <c r="H1852" s="18" t="inlineStr">
        <is>
          <t>Calcium disodium EDTA 1 g IV</t>
        </is>
      </c>
      <c r="I1852" s="15" t="inlineStr">
        <is>
          <t>1</t>
        </is>
      </c>
      <c r="J185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2" s="18" t="inlineStr"/>
      <c r="L1852" s="18" t="inlineStr">
        <is>
          <t>General Therapeutics</t>
        </is>
      </c>
      <c r="M1852" s="18" t="inlineStr">
        <is>
          <t>Clinic</t>
        </is>
      </c>
      <c r="N1852" s="18" t="inlineStr">
        <is>
          <t>ข้อ 4 (PLE_CC1_Key_Rx20_UBU.md)</t>
        </is>
      </c>
      <c r="O1852" s="18" t="inlineStr">
        <is>
          <t>Mock</t>
        </is>
      </c>
      <c r="P1852" s="18" t="inlineStr">
        <is>
          <t>Mock Rx20 UBU</t>
        </is>
      </c>
    </row>
    <row r="1853">
      <c r="A1853" s="15" t="inlineStr">
        <is>
          <t>1874</t>
        </is>
      </c>
      <c r="B1853" s="18" t="inlineStr">
        <is>
          <t>Anti-inflammatory</t>
        </is>
      </c>
      <c r="C1853" s="18" t="inlineStr"/>
      <c r="D1853" s="18" t="inlineStr">
        <is>
          <t>Sodium thiosulfate 25% 50 mL IV</t>
        </is>
      </c>
      <c r="E1853" s="18" t="inlineStr">
        <is>
          <t>Calcium disodium EDTA 1 g IV</t>
        </is>
      </c>
      <c r="F1853" s="18" t="inlineStr">
        <is>
          <t>Desferrioxamine 1 g IM/IV</t>
        </is>
      </c>
      <c r="G1853" s="18" t="inlineStr">
        <is>
          <t>Dimercaprol (BAL) 3 mg/kg IM</t>
        </is>
      </c>
      <c r="H1853" s="18" t="inlineStr">
        <is>
          <t>Ethanol 10% IV infusion for Methanol poisoning</t>
        </is>
      </c>
      <c r="I1853" s="15" t="inlineStr">
        <is>
          <t>2</t>
        </is>
      </c>
      <c r="J1853" s="18"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3" s="18" t="inlineStr"/>
      <c r="L1853" s="18" t="inlineStr">
        <is>
          <t>General Therapeutics</t>
        </is>
      </c>
      <c r="M1853" s="18" t="inlineStr">
        <is>
          <t>Clinic</t>
        </is>
      </c>
      <c r="N1853" s="18" t="inlineStr">
        <is>
          <t>ข้อ 5 (PLE_CC1_Key_Rx20_UBU.md)</t>
        </is>
      </c>
      <c r="O1853" s="18" t="inlineStr">
        <is>
          <t>Mock</t>
        </is>
      </c>
      <c r="P1853" s="18" t="inlineStr">
        <is>
          <t>Mock Rx20 UBU</t>
        </is>
      </c>
    </row>
    <row r="1854">
      <c r="A1854" s="15" t="inlineStr">
        <is>
          <t>1875</t>
        </is>
      </c>
      <c r="B1854" s="18" t="inlineStr">
        <is>
          <t>ดื่มน้ำตามมากๆ 2-3 ลิตร</t>
        </is>
      </c>
      <c r="C1854" s="18" t="inlineStr"/>
      <c r="D1854" s="18" t="inlineStr">
        <is>
          <t>Dimercaprol (BAL) 3 mg/kg IM</t>
        </is>
      </c>
      <c r="E1854" s="18" t="inlineStr">
        <is>
          <t>Ethanol 10% IV infusion for Methanol poisoning</t>
        </is>
      </c>
      <c r="F1854" s="18" t="inlineStr">
        <is>
          <t>Fomepizole 15 mg/kg IV loading</t>
        </is>
      </c>
      <c r="G1854" s="18" t="inlineStr">
        <is>
          <t>N-acetylcysteine (NAC) IV infusion protocol</t>
        </is>
      </c>
      <c r="H1854" s="18" t="inlineStr">
        <is>
          <t>Atropine sulfate 2 mg IV Q5-10 min</t>
        </is>
      </c>
      <c r="I1854" s="15" t="inlineStr">
        <is>
          <t>1</t>
        </is>
      </c>
      <c r="J18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54" s="18" t="inlineStr"/>
      <c r="L1854" s="18" t="inlineStr">
        <is>
          <t>General Therapeutics</t>
        </is>
      </c>
      <c r="M1854" s="18" t="inlineStr">
        <is>
          <t>Clinic</t>
        </is>
      </c>
      <c r="N1854" s="18" t="inlineStr">
        <is>
          <t>ข้อ 4 (PLE_CC1_Key_Rx20_UBU.md)</t>
        </is>
      </c>
      <c r="O1854" s="18" t="inlineStr">
        <is>
          <t>Mock</t>
        </is>
      </c>
      <c r="P1854" s="18" t="inlineStr">
        <is>
          <t>Mock Rx20 UBU</t>
        </is>
      </c>
    </row>
    <row r="1855">
      <c r="A1855" s="15" t="inlineStr">
        <is>
          <t>1876</t>
        </is>
      </c>
      <c r="B1855" s="18" t="inlineStr">
        <is>
          <t>จงประเมินภาวะอ้วนของผู้ป่วยรายนี้</t>
        </is>
      </c>
      <c r="C1855" s="18" t="inlineStr"/>
      <c r="D1855" s="18" t="inlineStr">
        <is>
          <t>ปกติ</t>
        </is>
      </c>
      <c r="E1855" s="18" t="inlineStr">
        <is>
          <t>น้ำหนักเกิน</t>
        </is>
      </c>
      <c r="F1855" s="18" t="inlineStr">
        <is>
          <t>อ้วนระดับ 1</t>
        </is>
      </c>
      <c r="G1855" s="18" t="inlineStr">
        <is>
          <t>อ้วนระดับ 2</t>
        </is>
      </c>
      <c r="H1855" s="18" t="inlineStr">
        <is>
          <t>อ้วนระดับ 3</t>
        </is>
      </c>
      <c r="I1855" s="15" t="inlineStr">
        <is>
          <t>1</t>
        </is>
      </c>
      <c r="J1855" s="18" t="inlineStr">
        <is>
          <t>✅ คำตอบที่ถูกต้อง: ข้อ ก. 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ปกติ การเลือก ปกติ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(อ้วนระดับ 1): ข้อนี้ไม่ใช่คำตอบที่ถูกต้องสำหรับภาวะ General Therapeutics เนื่องจากกลไกการออกฤทธิ์, efficacy หรือข้อบ่งใช้ไม่ตรงกับโจทย์ที่กำหนด
• ข้อ ง. (อ้วนระดับ 2): ข้อนี้ไม่ใช่คำตอบที่ถูกต้องสำหรับภาวะ General Therapeutics เนื่องจากกลไกการออกฤทธิ์, efficacy หรือข้อบ่งใช้ไม่ตรงกับโจทย์ที่กำหนด
• ข้อ จ. (อ้วนระดับ 3):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5" s="18" t="inlineStr"/>
      <c r="L1855" s="18" t="inlineStr">
        <is>
          <t>General Therapeutics</t>
        </is>
      </c>
      <c r="M1855" s="18" t="inlineStr">
        <is>
          <t>Clinic</t>
        </is>
      </c>
      <c r="N1855" s="18" t="inlineStr">
        <is>
          <t>ข้อ 12 (PLE_CC1_Key_Rx20_UBU.md)</t>
        </is>
      </c>
      <c r="O1855" s="18" t="inlineStr">
        <is>
          <t>Mock</t>
        </is>
      </c>
      <c r="P1855" s="18" t="inlineStr">
        <is>
          <t>Mock Rx20 UBU</t>
        </is>
      </c>
    </row>
    <row r="1856">
      <c r="A1856" s="15" t="inlineStr">
        <is>
          <t>1877</t>
        </is>
      </c>
      <c r="B1856" s="18" t="inlineStr">
        <is>
          <t>Fisher’s exact test</t>
        </is>
      </c>
      <c r="C1856" s="18" t="inlineStr"/>
      <c r="D1856" s="18" t="inlineStr">
        <is>
          <t>Naloxone 0.4 mg IV stat</t>
        </is>
      </c>
      <c r="E1856" s="18" t="inlineStr">
        <is>
          <t>Flumazenil 0.2 mg IV stat</t>
        </is>
      </c>
      <c r="F1856" s="18" t="inlineStr">
        <is>
          <t>Vitamin K1 (Phytomenadione) 10 mg IV slow</t>
        </is>
      </c>
      <c r="G1856" s="18" t="inlineStr">
        <is>
          <t>Sodium thiosulfate 25% 50 mL IV</t>
        </is>
      </c>
      <c r="H1856" s="18" t="inlineStr">
        <is>
          <t>Calcium disodium EDTA 1 g IV</t>
        </is>
      </c>
      <c r="I1856" s="15" t="inlineStr">
        <is>
          <t>1</t>
        </is>
      </c>
      <c r="J18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6" s="18" t="inlineStr"/>
      <c r="L1856" s="18" t="inlineStr">
        <is>
          <t>General Therapeutics</t>
        </is>
      </c>
      <c r="M1856" s="18" t="inlineStr">
        <is>
          <t>Clinic</t>
        </is>
      </c>
      <c r="N1856" s="18" t="inlineStr">
        <is>
          <t>ข้อ 2 (PLE_CC1_Key_Rx20_UBU.md)</t>
        </is>
      </c>
      <c r="O1856" s="18" t="inlineStr">
        <is>
          <t>Mock</t>
        </is>
      </c>
      <c r="P1856" s="18" t="inlineStr">
        <is>
          <t>Mock Rx20 UBU</t>
        </is>
      </c>
    </row>
    <row r="1857">
      <c r="A1857" s="15" t="inlineStr">
        <is>
          <t>1878</t>
        </is>
      </c>
      <c r="B1857" s="18" t="inlineStr">
        <is>
          <t>Chi-squared test</t>
        </is>
      </c>
      <c r="C1857" s="18" t="inlineStr"/>
      <c r="D1857" s="18" t="inlineStr">
        <is>
          <t>Cost-Effectiveness Analysis (Incremental Cost-Effectiveness Ratio: ICER)</t>
        </is>
      </c>
      <c r="E1857" s="18" t="inlineStr">
        <is>
          <t>Cost-Utility Analysis (Quality-Adjusted Life Years: QALY)</t>
        </is>
      </c>
      <c r="F1857" s="18" t="inlineStr">
        <is>
          <t>Cost-Benefit Analysis (Net Monetary Benefit)</t>
        </is>
      </c>
      <c r="G1857" s="18" t="inlineStr">
        <is>
          <t>Cost-Minimization Analysis (CMA)</t>
        </is>
      </c>
      <c r="H1857" s="18" t="inlineStr">
        <is>
          <t>Student t-test for comparing two independent means</t>
        </is>
      </c>
      <c r="I1857" s="15" t="inlineStr">
        <is>
          <t>1</t>
        </is>
      </c>
      <c r="J1857" s="18"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ง.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7" s="18" t="inlineStr"/>
      <c r="L1857" s="18" t="inlineStr">
        <is>
          <t>Biostats &amp; Research</t>
        </is>
      </c>
      <c r="M1857" s="18" t="inlineStr">
        <is>
          <t>SAP</t>
        </is>
      </c>
      <c r="N1857" s="18" t="inlineStr">
        <is>
          <t>ข้อ 3 (PLE_CC1_Key_Rx20_UBU.md)</t>
        </is>
      </c>
      <c r="O1857" s="18" t="inlineStr">
        <is>
          <t>Mock</t>
        </is>
      </c>
      <c r="P1857" s="18" t="inlineStr">
        <is>
          <t>Mock Rx20 UBU</t>
        </is>
      </c>
    </row>
    <row r="1858">
      <c r="A1858" s="15" t="inlineStr">
        <is>
          <t>1879</t>
        </is>
      </c>
      <c r="B1858" s="18" t="inlineStr">
        <is>
          <t>Pair t-test</t>
        </is>
      </c>
      <c r="C1858" s="18" t="inlineStr"/>
      <c r="D1858" s="18" t="inlineStr">
        <is>
          <t>Cost-Minimization Analysis (CMA)</t>
        </is>
      </c>
      <c r="E1858" s="18" t="inlineStr">
        <is>
          <t>Student t-test for comparing two independent means</t>
        </is>
      </c>
      <c r="F1858" s="18" t="inlineStr">
        <is>
          <t>Chi-Square Test for Categorical Independence (p &lt; 0.05)</t>
        </is>
      </c>
      <c r="G1858" s="18" t="inlineStr">
        <is>
          <t>Randomized Controlled Trial (Double-blind RCT)</t>
        </is>
      </c>
      <c r="H1858" s="18" t="inlineStr">
        <is>
          <t>Prospective Cohort Study (Relative Risk: RR)</t>
        </is>
      </c>
      <c r="I1858" s="15" t="inlineStr">
        <is>
          <t>1</t>
        </is>
      </c>
      <c r="J1858" s="18"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8" s="18" t="inlineStr"/>
      <c r="L1858" s="18" t="inlineStr">
        <is>
          <t>Biostats &amp; Research</t>
        </is>
      </c>
      <c r="M1858" s="18" t="inlineStr">
        <is>
          <t>SAP</t>
        </is>
      </c>
      <c r="N1858" s="18" t="inlineStr">
        <is>
          <t>ข้อ 5 (PLE_CC1_Key_Rx20_UBU.md)</t>
        </is>
      </c>
      <c r="O1858" s="18" t="inlineStr">
        <is>
          <t>Mock</t>
        </is>
      </c>
      <c r="P1858" s="18" t="inlineStr">
        <is>
          <t>Mock Rx20 UBU</t>
        </is>
      </c>
    </row>
    <row r="1859">
      <c r="A1859" s="15" t="inlineStr">
        <is>
          <t>1880</t>
        </is>
      </c>
      <c r="B1859" s="18" t="inlineStr">
        <is>
          <t>สามารถจ่ายได้ เพราะเป็นยาอันตราย</t>
        </is>
      </c>
      <c r="C1859" s="18" t="inlineStr"/>
      <c r="D1859" s="18" t="inlineStr">
        <is>
          <t>พ.ร.บ. ยา พ.ศ. 2510 (การจำหน่ายยาอันตรายและยาควบคุมพิเศษ)</t>
        </is>
      </c>
      <c r="E1859" s="18" t="inlineStr">
        <is>
          <t>พ.ร.บ. ยาเสพติดให้โทษ พ.ศ. 2522 (ยาเสพติดให้โทษประเภท 2 และ 3)</t>
        </is>
      </c>
      <c r="F1859" s="18" t="inlineStr">
        <is>
          <t>พ.ร.บ. วัตถุที่ออกฤทธิ์ต่อจิตและประสาท พ.ศ. 2559 (ประเภท 2 และ 4)</t>
        </is>
      </c>
      <c r="G1859" s="18" t="inlineStr">
        <is>
          <t>พ.ร.บ. วิชาชีพเภสัชกรรม พ.ศ. 2537 และข้อบังคับจรรยาบรรณวิชาชีพ</t>
        </is>
      </c>
      <c r="H1859" s="18" t="inlineStr">
        <is>
          <t>พ.ร.บ. ผลิตภัณฑ์สมุนไพร พ.ศ. 2562</t>
        </is>
      </c>
      <c r="I1859" s="15" t="inlineStr">
        <is>
          <t>1</t>
        </is>
      </c>
      <c r="J1859"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9" s="18" t="inlineStr"/>
      <c r="L1859" s="18" t="inlineStr">
        <is>
          <t>Pharmacy Laws &amp; Ethics</t>
        </is>
      </c>
      <c r="M1859" s="18" t="inlineStr">
        <is>
          <t>SAP</t>
        </is>
      </c>
      <c r="N1859" s="18" t="inlineStr">
        <is>
          <t>ข้อ 1 (PLE_CC1_Key_Rx20_UBU.md)</t>
        </is>
      </c>
      <c r="O1859" s="18" t="inlineStr">
        <is>
          <t>Mock</t>
        </is>
      </c>
      <c r="P1859" s="18" t="inlineStr">
        <is>
          <t>Mock Rx20 UBU</t>
        </is>
      </c>
    </row>
    <row r="1860">
      <c r="A1860" s="15" t="inlineStr">
        <is>
          <t>1881</t>
        </is>
      </c>
      <c r="B1860" s="18" t="inlineStr">
        <is>
          <t>ไม่สามารถจ่ายได้ เพราะเป็นยาเสพติดให้โทษประเภท 2</t>
        </is>
      </c>
      <c r="C1860" s="18" t="inlineStr"/>
      <c r="D1860" s="18" t="inlineStr">
        <is>
          <t>พ.ร.บ. วิชาชีพเภสัชกรรม พ.ศ. 2537 และข้อบังคับจรรยาบรรณวิชาชีพ</t>
        </is>
      </c>
      <c r="E1860" s="18" t="inlineStr">
        <is>
          <t>พ.ร.บ. ผลิตภัณฑ์สมุนไพร พ.ศ. 2562</t>
        </is>
      </c>
      <c r="F1860" s="18" t="inlineStr">
        <is>
          <t>พ.ร.บ. เครื่องสำอาง พ.ศ. 2558</t>
        </is>
      </c>
      <c r="G1860" s="18" t="inlineStr">
        <is>
          <t>พ.ร.บ. หลักประกันสุขภาพแห่งชาติ พ.ศ. 2545</t>
        </is>
      </c>
      <c r="H1860" s="18" t="inlineStr">
        <is>
          <t>การปฏิบัติทางเภสัชกรรมชุมชน (Good Pharmacy Practice: GPP)</t>
        </is>
      </c>
      <c r="I1860" s="15" t="inlineStr">
        <is>
          <t>1</t>
        </is>
      </c>
      <c r="J1860" s="18" t="inlineStr">
        <is>
          <t>✅ คำตอบที่ถูกต้อง: ข้อ ก. พ.ร.บ. วิชาชีพเภสัชกรรม พ.ศ. 2537 และข้อบังคับจรรยาบรรณวิชาชีพ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0" s="18" t="inlineStr"/>
      <c r="L1860" s="18" t="inlineStr">
        <is>
          <t>Pharmacy Laws &amp; Ethics</t>
        </is>
      </c>
      <c r="M1860" s="18" t="inlineStr">
        <is>
          <t>SAP</t>
        </is>
      </c>
      <c r="N1860" s="18" t="inlineStr">
        <is>
          <t>ข้อ 2 (PLE_CC1_Key_Rx20_UBU.md)</t>
        </is>
      </c>
      <c r="O1860" s="18" t="inlineStr">
        <is>
          <t>Mock</t>
        </is>
      </c>
      <c r="P1860" s="18" t="inlineStr">
        <is>
          <t>Mock Rx20 UBU</t>
        </is>
      </c>
    </row>
    <row r="1861">
      <c r="A1861" s="15" t="inlineStr">
        <is>
          <t>1882</t>
        </is>
      </c>
      <c r="B1861" s="18" t="inlineStr">
        <is>
          <t>ไม่สามารถจ่ายได้ เพราะเป็นวัตถุออกฤทธิ์ต่อจิตและประสาท ประเภท 2</t>
        </is>
      </c>
      <c r="C1861" s="18" t="inlineStr"/>
      <c r="D1861" s="18" t="inlineStr">
        <is>
          <t>พ.ร.บ. หลักประกันสุขภาพแห่งชาติ พ.ศ. 2545</t>
        </is>
      </c>
      <c r="E1861" s="18" t="inlineStr">
        <is>
          <t>การปฏิบัติทางเภสัชกรรมชุมชน (Good Pharmacy Practice: GPP)</t>
        </is>
      </c>
      <c r="F1861" s="18" t="inlineStr">
        <is>
          <t>บัญชียาหลักแห่งชาติ (National List of Essential Medicines: NLEM)</t>
        </is>
      </c>
      <c r="G1861" s="18" t="inlineStr">
        <is>
          <t>เกณฑ์จริยธรรมว่าด้วยการส่งเสริมการขายยาของกระทรวงสาธารณสุข</t>
        </is>
      </c>
      <c r="H1861" s="18" t="inlineStr">
        <is>
          <t>พ.ร.บ. ยา พ.ศ. 2510 (การจำหน่ายยาอันตรายและยาควบคุมพิเศษ)</t>
        </is>
      </c>
      <c r="I1861" s="15" t="inlineStr">
        <is>
          <t>1</t>
        </is>
      </c>
      <c r="J1861" s="18"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1" s="18" t="inlineStr"/>
      <c r="L1861" s="18" t="inlineStr">
        <is>
          <t>Pharmacy Laws &amp; Ethics</t>
        </is>
      </c>
      <c r="M1861" s="18" t="inlineStr">
        <is>
          <t>SAP</t>
        </is>
      </c>
      <c r="N1861" s="18" t="inlineStr">
        <is>
          <t>ข้อ 3 (PLE_CC1_Key_Rx20_UBU.md)</t>
        </is>
      </c>
      <c r="O1861" s="18" t="inlineStr">
        <is>
          <t>Mock</t>
        </is>
      </c>
      <c r="P1861" s="18" t="inlineStr">
        <is>
          <t>Mock Rx20 UBU</t>
        </is>
      </c>
    </row>
    <row r="1862">
      <c r="A1862" s="15" t="inlineStr">
        <is>
          <t>1883</t>
        </is>
      </c>
      <c r="B1862" s="18" t="inlineStr">
        <is>
          <t>ไม่สามารถจ่ายได้ เพราะเป็นวัตถุออกฤทธิ์ต่อจิตและประสาท ประเภท 4</t>
        </is>
      </c>
      <c r="C1862" s="18" t="inlineStr"/>
      <c r="D1862" s="18" t="inlineStr">
        <is>
          <t>เกณฑ์จริยธรรมว่าด้วยการส่งเสริมการขายยาของกระทรวงสาธารณสุข</t>
        </is>
      </c>
      <c r="E1862" s="18" t="inlineStr">
        <is>
          <t>พ.ร.บ. ยา พ.ศ. 2510 (การจำหน่ายยาอันตรายและยาควบคุมพิเศษ)</t>
        </is>
      </c>
      <c r="F1862" s="18" t="inlineStr">
        <is>
          <t>พ.ร.บ. ยาเสพติดให้โทษ พ.ศ. 2522 (ยาเสพติดให้โทษประเภท 2 และ 3)</t>
        </is>
      </c>
      <c r="G1862" s="18" t="inlineStr">
        <is>
          <t>พ.ร.บ. วัตถุที่ออกฤทธิ์ต่อจิตและประสาท พ.ศ. 2559 (ประเภท 2 และ 4)</t>
        </is>
      </c>
      <c r="H1862" s="18" t="inlineStr">
        <is>
          <t>พ.ร.บ. วิชาชีพเภสัชกรรม พ.ศ. 2537 และข้อบังคับจรรยาบรรณวิชาชีพ</t>
        </is>
      </c>
      <c r="I1862" s="15" t="inlineStr">
        <is>
          <t>1</t>
        </is>
      </c>
      <c r="J1862" s="18"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2" s="18" t="inlineStr"/>
      <c r="L1862" s="18" t="inlineStr">
        <is>
          <t>Pharmacy Laws &amp; Ethics</t>
        </is>
      </c>
      <c r="M1862" s="18" t="inlineStr">
        <is>
          <t>SAP</t>
        </is>
      </c>
      <c r="N1862" s="18" t="inlineStr">
        <is>
          <t>ข้อ 4 (PLE_CC1_Key_Rx20_UBU.md)</t>
        </is>
      </c>
      <c r="O1862" s="18" t="inlineStr">
        <is>
          <t>Mock</t>
        </is>
      </c>
      <c r="P1862" s="18" t="inlineStr">
        <is>
          <t>Mock Rx20 UBU</t>
        </is>
      </c>
    </row>
    <row r="1863">
      <c r="A1863" s="15" t="inlineStr">
        <is>
          <t>1884</t>
        </is>
      </c>
      <c r="B1863" s="18" t="inlineStr">
        <is>
          <t>ไม่ต้องปรับเปลี่ยนใดๆ ผู้ป่วยมีภาวะ edema กดบุ๋ม 2+ จึงควรได้รับยา Loop diuretics เพื่อขับน้ำส่วนเกิน ออกจากร่างกาย</t>
        </is>
      </c>
      <c r="C1863" s="18" t="inlineStr"/>
      <c r="D1863" s="18" t="inlineStr">
        <is>
          <t>พ.ร.บ. วัตถุที่ออกฤทธิ์ต่อจิตและประสาท พ.ศ. 2559 (ประเภท 2 และ 4)</t>
        </is>
      </c>
      <c r="E1863" s="18" t="inlineStr">
        <is>
          <t>พ.ร.บ. วิชาชีพเภสัชกรรม พ.ศ. 2537 และข้อบังคับจรรยาบรรณวิชาชีพ</t>
        </is>
      </c>
      <c r="F1863" s="18" t="inlineStr">
        <is>
          <t>พ.ร.บ. ผลิตภัณฑ์สมุนไพร พ.ศ. 2562</t>
        </is>
      </c>
      <c r="G1863" s="18" t="inlineStr">
        <is>
          <t>พ.ร.บ. เครื่องสำอาง พ.ศ. 2558</t>
        </is>
      </c>
      <c r="H1863" s="18" t="inlineStr">
        <is>
          <t>พ.ร.บ. หลักประกันสุขภาพแห่งชาติ พ.ศ. 2545</t>
        </is>
      </c>
      <c r="I1863" s="15" t="inlineStr">
        <is>
          <t>1</t>
        </is>
      </c>
      <c r="J1863"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3" s="18" t="inlineStr"/>
      <c r="L1863" s="18" t="inlineStr">
        <is>
          <t>Pharmacy Laws &amp; Ethics</t>
        </is>
      </c>
      <c r="M1863" s="18" t="inlineStr">
        <is>
          <t>SAP</t>
        </is>
      </c>
      <c r="N1863" s="18" t="inlineStr">
        <is>
          <t>ข้อ 5 (PLE_CC1_Key_Rx20_UBU.md)</t>
        </is>
      </c>
      <c r="O1863" s="18" t="inlineStr">
        <is>
          <t>Mock</t>
        </is>
      </c>
      <c r="P1863" s="18" t="inlineStr">
        <is>
          <t>Mock Rx20 UBU</t>
        </is>
      </c>
    </row>
    <row r="1864">
      <c r="A1864" s="15" t="inlineStr">
        <is>
          <t>1885</t>
        </is>
      </c>
      <c r="B1864" s="18" t="inlineStr">
        <is>
          <t>morning stiffness 15 นาที</t>
        </is>
      </c>
      <c r="C1864" s="18" t="inlineStr"/>
      <c r="D1864" s="18" t="inlineStr">
        <is>
          <t>Naloxone 0.4 mg IV stat</t>
        </is>
      </c>
      <c r="E1864" s="18" t="inlineStr">
        <is>
          <t>Flumazenil 0.2 mg IV stat</t>
        </is>
      </c>
      <c r="F1864" s="18" t="inlineStr">
        <is>
          <t>Vitamin K1 (Phytomenadione) 10 mg IV slow</t>
        </is>
      </c>
      <c r="G1864" s="18" t="inlineStr">
        <is>
          <t>Sodium thiosulfate 25% 50 mL IV</t>
        </is>
      </c>
      <c r="H1864" s="18" t="inlineStr">
        <is>
          <t>Calcium disodium EDTA 1 g IV</t>
        </is>
      </c>
      <c r="I1864" s="15" t="inlineStr">
        <is>
          <t>1</t>
        </is>
      </c>
      <c r="J18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64" s="18" t="inlineStr"/>
      <c r="L1864" s="18" t="inlineStr">
        <is>
          <t>General Therapeutics</t>
        </is>
      </c>
      <c r="M1864" s="18" t="inlineStr">
        <is>
          <t>Clinic</t>
        </is>
      </c>
      <c r="N1864" s="18" t="inlineStr">
        <is>
          <t>ข้อ 3 (PLE_CC1_Key_Rx20_UBU.md)</t>
        </is>
      </c>
      <c r="O1864" s="18" t="inlineStr">
        <is>
          <t>Mock</t>
        </is>
      </c>
      <c r="P1864" s="18" t="inlineStr">
        <is>
          <t>Mock Rx20 UBU</t>
        </is>
      </c>
    </row>
    <row r="1865">
      <c r="A1865" s="15" t="inlineStr">
        <is>
          <t>1886</t>
        </is>
      </c>
      <c r="B1865" s="18" t="inlineStr">
        <is>
          <t>เป็นอาการปวดแบบ symmetry artritis</t>
        </is>
      </c>
      <c r="C1865" s="18" t="inlineStr"/>
      <c r="D1865" s="18" t="inlineStr">
        <is>
          <t>Sodium thiosulfate 25% 50 mL IV</t>
        </is>
      </c>
      <c r="E1865" s="18" t="inlineStr">
        <is>
          <t>Calcium disodium EDTA 1 g IV</t>
        </is>
      </c>
      <c r="F1865" s="18" t="inlineStr">
        <is>
          <t>Desferrioxamine 1 g IM/IV</t>
        </is>
      </c>
      <c r="G1865" s="18" t="inlineStr">
        <is>
          <t>Dimercaprol (BAL) 3 mg/kg IM</t>
        </is>
      </c>
      <c r="H1865" s="18" t="inlineStr">
        <is>
          <t>Ethanol 10% IV infusion for Methanol poisoning</t>
        </is>
      </c>
      <c r="I1865" s="15" t="inlineStr">
        <is>
          <t>1</t>
        </is>
      </c>
      <c r="J18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5" s="18" t="inlineStr"/>
      <c r="L1865" s="18" t="inlineStr">
        <is>
          <t>General Therapeutics</t>
        </is>
      </c>
      <c r="M1865" s="18" t="inlineStr">
        <is>
          <t>Clinic</t>
        </is>
      </c>
      <c r="N1865" s="18" t="inlineStr">
        <is>
          <t>ข้อ 4 (PLE_CC1_Key_Rx20_UBU.md)</t>
        </is>
      </c>
      <c r="O1865" s="18" t="inlineStr">
        <is>
          <t>Mock</t>
        </is>
      </c>
      <c r="P1865" s="18" t="inlineStr">
        <is>
          <t>Mock Rx20 UBU</t>
        </is>
      </c>
    </row>
    <row r="1866">
      <c r="A1866" s="15" t="inlineStr">
        <is>
          <t>1887</t>
        </is>
      </c>
      <c r="B1866" s="18" t="inlineStr">
        <is>
          <t>เป็นอาการปวดแบบ asymmetry artritis 22.ยาที่ควรเลือกใช้เป็นตัวแรก ในผู้ป่วยรายนี้</t>
        </is>
      </c>
      <c r="C1866" s="18" t="inlineStr"/>
      <c r="D1866" s="18" t="inlineStr">
        <is>
          <t>Dimercaprol (BAL) 3 mg/kg IM</t>
        </is>
      </c>
      <c r="E1866" s="18" t="inlineStr">
        <is>
          <t>Ethanol 10% IV infusion for Methanol poisoning</t>
        </is>
      </c>
      <c r="F1866" s="18" t="inlineStr">
        <is>
          <t>Fomepizole 15 mg/kg IV loading</t>
        </is>
      </c>
      <c r="G1866" s="18" t="inlineStr">
        <is>
          <t>N-acetylcysteine (NAC) IV infusion protocol</t>
        </is>
      </c>
      <c r="H1866" s="18" t="inlineStr">
        <is>
          <t>Atropine sulfate 2 mg IV Q5-10 min</t>
        </is>
      </c>
      <c r="I1866" s="15" t="inlineStr">
        <is>
          <t>1</t>
        </is>
      </c>
      <c r="J18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6" s="18" t="inlineStr"/>
      <c r="L1866" s="18" t="inlineStr">
        <is>
          <t>General Therapeutics</t>
        </is>
      </c>
      <c r="M1866" s="18" t="inlineStr">
        <is>
          <t>Clinic</t>
        </is>
      </c>
      <c r="N1866" s="18" t="inlineStr">
        <is>
          <t>ข้อ 5 (PLE_CC1_Key_Rx20_UBU.md)</t>
        </is>
      </c>
      <c r="O1866" s="18" t="inlineStr">
        <is>
          <t>Mock</t>
        </is>
      </c>
      <c r="P1866" s="18" t="inlineStr">
        <is>
          <t>Mock Rx20 UBU</t>
        </is>
      </c>
    </row>
    <row r="1867">
      <c r="A1867" s="15" t="inlineStr">
        <is>
          <t>1888</t>
        </is>
      </c>
      <c r="B1867" s="18" t="inlineStr">
        <is>
          <t>ห้ามให้ยาดังกล่าวในผู้ป่วยไข้เลือดออก</t>
        </is>
      </c>
      <c r="C1867" s="18" t="inlineStr"/>
      <c r="D1867" s="18" t="inlineStr">
        <is>
          <t>N-acetylcysteine (NAC) IV infusion protocol</t>
        </is>
      </c>
      <c r="E1867" s="18" t="inlineStr">
        <is>
          <t>Atropine sulfate 2 mg IV Q5-10 min</t>
        </is>
      </c>
      <c r="F1867" s="18" t="inlineStr">
        <is>
          <t>Pralidoxime (2-PAM) 1-2 g IV over 30 min</t>
        </is>
      </c>
      <c r="G1867" s="18" t="inlineStr">
        <is>
          <t>Naloxone 0.4 mg IV stat</t>
        </is>
      </c>
      <c r="H1867" s="18" t="inlineStr">
        <is>
          <t>Flumazenil 0.2 mg IV stat</t>
        </is>
      </c>
      <c r="I1867" s="15" t="inlineStr">
        <is>
          <t>1</t>
        </is>
      </c>
      <c r="J18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67" s="18" t="inlineStr"/>
      <c r="L1867" s="18" t="inlineStr">
        <is>
          <t>General Therapeutics</t>
        </is>
      </c>
      <c r="M1867" s="18" t="inlineStr">
        <is>
          <t>Clinic</t>
        </is>
      </c>
      <c r="N1867" s="18" t="inlineStr">
        <is>
          <t>ข้อ 1 (PLE_CC1_Key_Rx20_UBU.md)</t>
        </is>
      </c>
      <c r="O1867" s="18" t="inlineStr">
        <is>
          <t>Mock</t>
        </is>
      </c>
      <c r="P1867" s="18" t="inlineStr">
        <is>
          <t>Mock Rx20 UBU</t>
        </is>
      </c>
    </row>
    <row r="1868">
      <c r="A1868" s="15" t="inlineStr">
        <is>
          <t>1889</t>
        </is>
      </c>
      <c r="B1868" s="18" t="inlineStr">
        <is>
          <t>ห้ามใช้ยาดังกล่าวในผู้ป่วย glucose-6-phosphate dehydrogenase</t>
        </is>
      </c>
      <c r="C1868" s="18" t="inlineStr"/>
      <c r="D1868" s="18" t="inlineStr">
        <is>
          <t>Semaglutide 0.5 mg SC weekly</t>
        </is>
      </c>
      <c r="E1868" s="18" t="inlineStr">
        <is>
          <t>Metformin 500 mg BID</t>
        </is>
      </c>
      <c r="F1868" s="18" t="inlineStr">
        <is>
          <t>Glipizide 5 mg OD</t>
        </is>
      </c>
      <c r="G1868" s="18" t="inlineStr">
        <is>
          <t>Empagliflozin 10 mg OD</t>
        </is>
      </c>
      <c r="H1868" s="18" t="inlineStr">
        <is>
          <t>Sitagliptin 100 mg OD</t>
        </is>
      </c>
      <c r="I1868" s="15" t="inlineStr">
        <is>
          <t>1</t>
        </is>
      </c>
      <c r="J1868" s="1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868" s="18" t="inlineStr"/>
      <c r="L1868" s="18" t="inlineStr">
        <is>
          <t>Diabetes &amp; Endocrine</t>
        </is>
      </c>
      <c r="M1868" s="18" t="inlineStr">
        <is>
          <t>Clinic</t>
        </is>
      </c>
      <c r="N1868" s="18" t="inlineStr">
        <is>
          <t>ข้อ 2 (PLE_CC1_Key_Rx20_UBU.md)</t>
        </is>
      </c>
      <c r="O1868" s="18" t="inlineStr">
        <is>
          <t>Mock</t>
        </is>
      </c>
      <c r="P1868" s="18" t="inlineStr">
        <is>
          <t>Mock Rx20 UBU</t>
        </is>
      </c>
    </row>
    <row r="1869">
      <c r="A1869" s="15" t="inlineStr">
        <is>
          <t>1890</t>
        </is>
      </c>
      <c r="B1869" s="18" t="inlineStr">
        <is>
          <t>ขนาดยาในผู้ใหญ่ไม่เกิน 6 g/day</t>
        </is>
      </c>
      <c r="C1869" s="18" t="inlineStr"/>
      <c r="D1869" s="18" t="inlineStr">
        <is>
          <t>Sodium thiosulfate 25% 50 mL IV</t>
        </is>
      </c>
      <c r="E1869" s="18" t="inlineStr">
        <is>
          <t>Calcium disodium EDTA 1 g IV</t>
        </is>
      </c>
      <c r="F1869" s="18" t="inlineStr">
        <is>
          <t>Desferrioxamine 1 g IM/IV</t>
        </is>
      </c>
      <c r="G1869" s="18" t="inlineStr">
        <is>
          <t>Dimercaprol (BAL) 3 mg/kg IM</t>
        </is>
      </c>
      <c r="H1869" s="18" t="inlineStr">
        <is>
          <t>Ethanol 10% IV infusion for Methanol poisoning</t>
        </is>
      </c>
      <c r="I1869" s="15" t="inlineStr">
        <is>
          <t>1</t>
        </is>
      </c>
      <c r="J18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9" s="18" t="inlineStr"/>
      <c r="L1869" s="18" t="inlineStr">
        <is>
          <t>General Therapeutics</t>
        </is>
      </c>
      <c r="M1869" s="18" t="inlineStr">
        <is>
          <t>Clinic</t>
        </is>
      </c>
      <c r="N1869" s="18" t="inlineStr">
        <is>
          <t>ข้อ 3 (PLE_CC1_Key_Rx20_UBU.md)</t>
        </is>
      </c>
      <c r="O1869" s="18" t="inlineStr">
        <is>
          <t>Mock</t>
        </is>
      </c>
      <c r="P1869" s="18" t="inlineStr">
        <is>
          <t>Mock Rx20 UBU</t>
        </is>
      </c>
    </row>
    <row r="1870">
      <c r="A1870" s="15" t="inlineStr">
        <is>
          <t>1891</t>
        </is>
      </c>
      <c r="B1870" s="18" t="inlineStr">
        <is>
          <t>Arylacetic acids</t>
        </is>
      </c>
      <c r="C1870" s="18" t="inlineStr"/>
      <c r="D1870" s="18" t="inlineStr">
        <is>
          <t>Dimercaprol (BAL) 3 mg/kg IM</t>
        </is>
      </c>
      <c r="E1870" s="18" t="inlineStr">
        <is>
          <t>Ethanol 10% IV infusion for Methanol poisoning</t>
        </is>
      </c>
      <c r="F1870" s="18" t="inlineStr">
        <is>
          <t>Fomepizole 15 mg/kg IV loading</t>
        </is>
      </c>
      <c r="G1870" s="18" t="inlineStr">
        <is>
          <t>N-acetylcysteine (NAC) IV infusion protocol</t>
        </is>
      </c>
      <c r="H1870" s="18" t="inlineStr">
        <is>
          <t>Atropine sulfate 2 mg IV Q5-10 min</t>
        </is>
      </c>
      <c r="I1870" s="15" t="inlineStr">
        <is>
          <t>1</t>
        </is>
      </c>
      <c r="J18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0" s="18" t="inlineStr"/>
      <c r="L1870" s="18" t="inlineStr">
        <is>
          <t>General Therapeutics</t>
        </is>
      </c>
      <c r="M1870" s="18" t="inlineStr">
        <is>
          <t>Clinic</t>
        </is>
      </c>
      <c r="N1870" s="18" t="inlineStr">
        <is>
          <t>ข้อ 1 (PLE_CC1_Key_Rx20_UBU.md)</t>
        </is>
      </c>
      <c r="O1870" s="18" t="inlineStr">
        <is>
          <t>Mock</t>
        </is>
      </c>
      <c r="P1870" s="18" t="inlineStr">
        <is>
          <t>Mock Rx20 UBU</t>
        </is>
      </c>
    </row>
    <row r="1871">
      <c r="A1871" s="15" t="inlineStr">
        <is>
          <t>1892</t>
        </is>
      </c>
      <c r="B1871" s="18" t="inlineStr">
        <is>
          <t>Selective COX-ll inhibitors</t>
        </is>
      </c>
      <c r="C1871" s="18" t="inlineStr"/>
      <c r="D1871" s="18" t="inlineStr">
        <is>
          <t>N-acetylcysteine (NAC) IV infusion protocol</t>
        </is>
      </c>
      <c r="E1871" s="18" t="inlineStr">
        <is>
          <t>Atropine sulfate 2 mg IV Q5-10 min</t>
        </is>
      </c>
      <c r="F1871" s="18" t="inlineStr">
        <is>
          <t>Pralidoxime (2-PAM) 1-2 g IV over 30 min</t>
        </is>
      </c>
      <c r="G1871" s="18" t="inlineStr">
        <is>
          <t>Naloxone 0.4 mg IV stat</t>
        </is>
      </c>
      <c r="H1871" s="18" t="inlineStr">
        <is>
          <t>Flumazenil 0.2 mg IV stat</t>
        </is>
      </c>
      <c r="I1871" s="15" t="inlineStr">
        <is>
          <t>1</t>
        </is>
      </c>
      <c r="J18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1" s="18" t="inlineStr"/>
      <c r="L1871" s="18" t="inlineStr">
        <is>
          <t>General Therapeutics</t>
        </is>
      </c>
      <c r="M1871" s="18" t="inlineStr">
        <is>
          <t>Clinic</t>
        </is>
      </c>
      <c r="N1871" s="18" t="inlineStr">
        <is>
          <t>ข้อ 4 (PLE_CC1_Key_Rx20_UBU.md)</t>
        </is>
      </c>
      <c r="O1871" s="18" t="inlineStr">
        <is>
          <t>Mock</t>
        </is>
      </c>
      <c r="P1871" s="18" t="inlineStr">
        <is>
          <t>Mock Rx20 UBU</t>
        </is>
      </c>
    </row>
    <row r="1872">
      <c r="A1872" s="15" t="inlineStr">
        <is>
          <t>1893</t>
        </is>
      </c>
      <c r="B1872" s="18" t="inlineStr">
        <is>
          <t>Arylpropanoic acids</t>
        </is>
      </c>
      <c r="C1872" s="18" t="inlineStr"/>
      <c r="D1872" s="18" t="inlineStr">
        <is>
          <t>Naloxone 0.4 mg IV stat</t>
        </is>
      </c>
      <c r="E1872" s="18" t="inlineStr">
        <is>
          <t>Flumazenil 0.2 mg IV stat</t>
        </is>
      </c>
      <c r="F1872" s="18" t="inlineStr">
        <is>
          <t>Vitamin K1 (Phytomenadione) 10 mg IV slow</t>
        </is>
      </c>
      <c r="G1872" s="18" t="inlineStr">
        <is>
          <t>Sodium thiosulfate 25% 50 mL IV</t>
        </is>
      </c>
      <c r="H1872" s="18" t="inlineStr">
        <is>
          <t>Calcium disodium EDTA 1 g IV</t>
        </is>
      </c>
      <c r="I1872" s="15" t="inlineStr">
        <is>
          <t>1</t>
        </is>
      </c>
      <c r="J18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2" s="18" t="inlineStr"/>
      <c r="L1872" s="18" t="inlineStr">
        <is>
          <t>General Therapeutics</t>
        </is>
      </c>
      <c r="M1872" s="18" t="inlineStr">
        <is>
          <t>Clinic</t>
        </is>
      </c>
      <c r="N1872" s="18" t="inlineStr">
        <is>
          <t>ข้อ 5 (PLE_CC1_Key_Rx20_UBU.md)</t>
        </is>
      </c>
      <c r="O1872" s="18" t="inlineStr">
        <is>
          <t>Mock</t>
        </is>
      </c>
      <c r="P1872" s="18" t="inlineStr">
        <is>
          <t>Mock Rx20 UBU</t>
        </is>
      </c>
    </row>
    <row r="1873">
      <c r="A1873" s="15" t="inlineStr">
        <is>
          <t>1894</t>
        </is>
      </c>
      <c r="B1873" s="18" t="inlineStr">
        <is>
          <t>ลดอุณหภูมิของหม้อเคลือบ</t>
        </is>
      </c>
      <c r="C1873" s="18" t="inlineStr"/>
      <c r="D1873" s="18" t="inlineStr">
        <is>
          <t>Sodium thiosulfate 25% 50 mL IV</t>
        </is>
      </c>
      <c r="E1873" s="18" t="inlineStr">
        <is>
          <t>Calcium disodium EDTA 1 g IV</t>
        </is>
      </c>
      <c r="F1873" s="18" t="inlineStr">
        <is>
          <t>Desferrioxamine 1 g IM/IV</t>
        </is>
      </c>
      <c r="G1873" s="18" t="inlineStr">
        <is>
          <t>Dimercaprol (BAL) 3 mg/kg IM</t>
        </is>
      </c>
      <c r="H1873" s="18" t="inlineStr">
        <is>
          <t>Ethanol 10% IV infusion for Methanol poisoning</t>
        </is>
      </c>
      <c r="I1873" s="15" t="inlineStr">
        <is>
          <t>1</t>
        </is>
      </c>
      <c r="J18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3" s="18" t="inlineStr"/>
      <c r="L1873" s="18" t="inlineStr">
        <is>
          <t>General Therapeutics</t>
        </is>
      </c>
      <c r="M1873" s="18" t="inlineStr">
        <is>
          <t>Clinic</t>
        </is>
      </c>
      <c r="N1873" s="18" t="inlineStr">
        <is>
          <t>ข้อ 1 (PLE_CC1_Key_Rx20_UBU.md)</t>
        </is>
      </c>
      <c r="O1873" s="18" t="inlineStr">
        <is>
          <t>Mock</t>
        </is>
      </c>
      <c r="P1873" s="18" t="inlineStr">
        <is>
          <t>Mock Rx20 UBU</t>
        </is>
      </c>
    </row>
    <row r="1874">
      <c r="A1874" s="15" t="inlineStr">
        <is>
          <t>1895</t>
        </is>
      </c>
      <c r="B1874" s="18" t="inlineStr">
        <is>
          <t>ปรับให้หัวพ่นน้ำยาเคลือบเข้าใกล้เม็ดยามากขึ้น</t>
        </is>
      </c>
      <c r="C1874" s="18" t="inlineStr"/>
      <c r="D1874" s="18" t="inlineStr">
        <is>
          <t>พ.ร.บ. เครื่องสำอาง พ.ศ. 2558</t>
        </is>
      </c>
      <c r="E1874" s="18" t="inlineStr">
        <is>
          <t>พ.ร.บ. หลักประกันสุขภาพแห่งชาติ พ.ศ. 2545</t>
        </is>
      </c>
      <c r="F1874" s="18" t="inlineStr">
        <is>
          <t>การปฏิบัติทางเภสัชกรรมชุมชน (Good Pharmacy Practice: GPP)</t>
        </is>
      </c>
      <c r="G1874" s="18" t="inlineStr">
        <is>
          <t>บัญชียาหลักแห่งชาติ (National List of Essential Medicines: NLEM)</t>
        </is>
      </c>
      <c r="H1874" s="18" t="inlineStr">
        <is>
          <t>เกณฑ์จริยธรรมว่าด้วยการส่งเสริมการขายยาของกระทรวงสาธารณสุข</t>
        </is>
      </c>
      <c r="I1874" s="15" t="inlineStr">
        <is>
          <t>1</t>
        </is>
      </c>
      <c r="J1874"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4" s="18" t="inlineStr"/>
      <c r="L1874" s="18" t="inlineStr">
        <is>
          <t>Pharmacy Laws &amp; Ethics</t>
        </is>
      </c>
      <c r="M1874" s="18" t="inlineStr">
        <is>
          <t>SAP</t>
        </is>
      </c>
      <c r="N1874" s="18" t="inlineStr">
        <is>
          <t>ข้อ 2 (PLE_CC1_Key_Rx20_UBU.md)</t>
        </is>
      </c>
      <c r="O1874" s="18" t="inlineStr">
        <is>
          <t>Mock</t>
        </is>
      </c>
      <c r="P1874" s="18" t="inlineStr">
        <is>
          <t>Mock Rx20 UBU</t>
        </is>
      </c>
    </row>
    <row r="1875">
      <c r="A1875" s="15" t="inlineStr">
        <is>
          <t>1896</t>
        </is>
      </c>
      <c r="B1875" s="18" t="inlineStr">
        <is>
          <t>ลดอัตราเร็วในการพ่นยาเคลือบออกมา</t>
        </is>
      </c>
      <c r="C1875" s="18" t="inlineStr"/>
      <c r="D1875" s="18" t="inlineStr">
        <is>
          <t>N-acetylcysteine (NAC) IV infusion protocol</t>
        </is>
      </c>
      <c r="E1875" s="18" t="inlineStr">
        <is>
          <t>Atropine sulfate 2 mg IV Q5-10 min</t>
        </is>
      </c>
      <c r="F1875" s="18" t="inlineStr">
        <is>
          <t>Pralidoxime (2-PAM) 1-2 g IV over 30 min</t>
        </is>
      </c>
      <c r="G1875" s="18" t="inlineStr">
        <is>
          <t>Naloxone 0.4 mg IV stat</t>
        </is>
      </c>
      <c r="H1875" s="18" t="inlineStr">
        <is>
          <t>Flumazenil 0.2 mg IV stat</t>
        </is>
      </c>
      <c r="I1875" s="15" t="inlineStr">
        <is>
          <t>1</t>
        </is>
      </c>
      <c r="J18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5" s="18" t="inlineStr"/>
      <c r="L1875" s="18" t="inlineStr">
        <is>
          <t>General Therapeutics</t>
        </is>
      </c>
      <c r="M1875" s="18" t="inlineStr">
        <is>
          <t>Clinic</t>
        </is>
      </c>
      <c r="N1875" s="18" t="inlineStr">
        <is>
          <t>ข้อ 3 (PLE_CC1_Key_Rx20_UBU.md)</t>
        </is>
      </c>
      <c r="O1875" s="18" t="inlineStr">
        <is>
          <t>Mock</t>
        </is>
      </c>
      <c r="P1875" s="18" t="inlineStr">
        <is>
          <t>Mock Rx20 UBU</t>
        </is>
      </c>
    </row>
    <row r="1876">
      <c r="A1876" s="15" t="inlineStr">
        <is>
          <t>1897</t>
        </is>
      </c>
      <c r="B1876" s="18" t="inlineStr">
        <is>
          <t>ลดความเร็วในการหมุนรอบขอบเครื่อง</t>
        </is>
      </c>
      <c r="C1876" s="18" t="inlineStr"/>
      <c r="D1876" s="18" t="inlineStr">
        <is>
          <t>Naloxone 0.4 mg IV stat</t>
        </is>
      </c>
      <c r="E1876" s="18" t="inlineStr">
        <is>
          <t>Flumazenil 0.2 mg IV stat</t>
        </is>
      </c>
      <c r="F1876" s="18" t="inlineStr">
        <is>
          <t>Vitamin K1 (Phytomenadione) 10 mg IV slow</t>
        </is>
      </c>
      <c r="G1876" s="18" t="inlineStr">
        <is>
          <t>Sodium thiosulfate 25% 50 mL IV</t>
        </is>
      </c>
      <c r="H1876" s="18" t="inlineStr">
        <is>
          <t>Calcium disodium EDTA 1 g IV</t>
        </is>
      </c>
      <c r="I1876" s="15" t="inlineStr">
        <is>
          <t>1</t>
        </is>
      </c>
      <c r="J18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6" s="18" t="inlineStr"/>
      <c r="L1876" s="18" t="inlineStr">
        <is>
          <t>General Therapeutics</t>
        </is>
      </c>
      <c r="M1876" s="18" t="inlineStr">
        <is>
          <t>Clinic</t>
        </is>
      </c>
      <c r="N1876" s="18" t="inlineStr">
        <is>
          <t>ข้อ 4 (PLE_CC1_Key_Rx20_UBU.md)</t>
        </is>
      </c>
      <c r="O1876" s="18" t="inlineStr">
        <is>
          <t>Mock</t>
        </is>
      </c>
      <c r="P1876" s="18" t="inlineStr">
        <is>
          <t>Mock Rx20 UBU</t>
        </is>
      </c>
    </row>
    <row r="1877">
      <c r="A1877" s="15" t="inlineStr">
        <is>
          <t>1898</t>
        </is>
      </c>
      <c r="B1877" s="18" t="inlineStr">
        <is>
          <t>Polyethylene glycol 6000</t>
        </is>
      </c>
      <c r="C1877" s="18" t="inlineStr"/>
      <c r="D1877" s="18" t="inlineStr">
        <is>
          <t>Sodium thiosulfate 25% 50 mL IV</t>
        </is>
      </c>
      <c r="E1877" s="18" t="inlineStr">
        <is>
          <t>Calcium disodium EDTA 1 g IV</t>
        </is>
      </c>
      <c r="F1877" s="18" t="inlineStr">
        <is>
          <t>Desferrioxamine 1 g IM/IV</t>
        </is>
      </c>
      <c r="G1877" s="18" t="inlineStr">
        <is>
          <t>Dimercaprol (BAL) 3 mg/kg IM</t>
        </is>
      </c>
      <c r="H1877" s="18" t="inlineStr">
        <is>
          <t>Ethanol 10% IV infusion for Methanol poisoning</t>
        </is>
      </c>
      <c r="I1877" s="15" t="inlineStr">
        <is>
          <t>1</t>
        </is>
      </c>
      <c r="J18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7" s="18" t="inlineStr"/>
      <c r="L1877" s="18" t="inlineStr">
        <is>
          <t>General Therapeutics</t>
        </is>
      </c>
      <c r="M1877" s="18" t="inlineStr">
        <is>
          <t>Clinic</t>
        </is>
      </c>
      <c r="N1877" s="18" t="inlineStr">
        <is>
          <t>ข้อ 1 (PLE_CC1_Key_Rx20_UBU.md)</t>
        </is>
      </c>
      <c r="O1877" s="18" t="inlineStr">
        <is>
          <t>Mock</t>
        </is>
      </c>
      <c r="P1877" s="18" t="inlineStr">
        <is>
          <t>Mock Rx20 UBU</t>
        </is>
      </c>
    </row>
    <row r="1878">
      <c r="A1878" s="15" t="inlineStr">
        <is>
          <t>1899</t>
        </is>
      </c>
      <c r="B1878" s="18" t="inlineStr">
        <is>
          <t>Sodiumcarboxy Methyl Cellulose</t>
        </is>
      </c>
      <c r="C1878" s="18" t="inlineStr"/>
      <c r="D1878" s="18" t="inlineStr">
        <is>
          <t>Dimercaprol (BAL) 3 mg/kg IM</t>
        </is>
      </c>
      <c r="E1878" s="18" t="inlineStr">
        <is>
          <t>Ethanol 10% IV infusion for Methanol poisoning</t>
        </is>
      </c>
      <c r="F1878" s="18" t="inlineStr">
        <is>
          <t>Fomepizole 15 mg/kg IV loading</t>
        </is>
      </c>
      <c r="G1878" s="18" t="inlineStr">
        <is>
          <t>N-acetylcysteine (NAC) IV infusion protocol</t>
        </is>
      </c>
      <c r="H1878" s="18" t="inlineStr">
        <is>
          <t>Atropine sulfate 2 mg IV Q5-10 min</t>
        </is>
      </c>
      <c r="I1878" s="15" t="inlineStr">
        <is>
          <t>1</t>
        </is>
      </c>
      <c r="J18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8" s="18" t="inlineStr"/>
      <c r="L1878" s="18" t="inlineStr">
        <is>
          <t>General Therapeutics</t>
        </is>
      </c>
      <c r="M1878" s="18" t="inlineStr">
        <is>
          <t>Clinic</t>
        </is>
      </c>
      <c r="N1878" s="18" t="inlineStr">
        <is>
          <t>ข้อ 2 (PLE_CC1_Key_Rx20_UBU.md)</t>
        </is>
      </c>
      <c r="O1878" s="18" t="inlineStr">
        <is>
          <t>Mock</t>
        </is>
      </c>
      <c r="P1878" s="18" t="inlineStr">
        <is>
          <t>Mock Rx20 UBU</t>
        </is>
      </c>
    </row>
    <row r="1879">
      <c r="A1879" s="15" t="inlineStr">
        <is>
          <t>1900</t>
        </is>
      </c>
      <c r="B1879" s="18" t="inlineStr">
        <is>
          <t>Cellulose acetate phthalate</t>
        </is>
      </c>
      <c r="C1879" s="18" t="inlineStr"/>
      <c r="D1879" s="18" t="inlineStr">
        <is>
          <t>N-acetylcysteine (NAC) IV infusion protocol</t>
        </is>
      </c>
      <c r="E1879" s="18" t="inlineStr">
        <is>
          <t>Atropine sulfate 2 mg IV Q5-10 min</t>
        </is>
      </c>
      <c r="F1879" s="18" t="inlineStr">
        <is>
          <t>Pralidoxime (2-PAM) 1-2 g IV over 30 min</t>
        </is>
      </c>
      <c r="G1879" s="18" t="inlineStr">
        <is>
          <t>Naloxone 0.4 mg IV stat</t>
        </is>
      </c>
      <c r="H1879" s="18" t="inlineStr">
        <is>
          <t>Flumazenil 0.2 mg IV stat</t>
        </is>
      </c>
      <c r="I1879" s="15" t="inlineStr">
        <is>
          <t>1</t>
        </is>
      </c>
      <c r="J18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9" s="18" t="inlineStr"/>
      <c r="L1879" s="18" t="inlineStr">
        <is>
          <t>General Therapeutics</t>
        </is>
      </c>
      <c r="M1879" s="18" t="inlineStr">
        <is>
          <t>Clinic</t>
        </is>
      </c>
      <c r="N1879" s="18" t="inlineStr">
        <is>
          <t>ข้อ 3 (PLE_CC1_Key_Rx20_UBU.md)</t>
        </is>
      </c>
      <c r="O1879" s="18" t="inlineStr">
        <is>
          <t>Mock</t>
        </is>
      </c>
      <c r="P1879" s="18" t="inlineStr">
        <is>
          <t>Mock Rx20 UBU</t>
        </is>
      </c>
    </row>
    <row r="1880">
      <c r="A1880" s="15" t="inlineStr">
        <is>
          <t>1901</t>
        </is>
      </c>
      <c r="B1880" s="18" t="inlineStr">
        <is>
          <t>Hydroxypropyl Methylcellulose</t>
        </is>
      </c>
      <c r="C1880" s="18" t="inlineStr"/>
      <c r="D1880" s="18" t="inlineStr">
        <is>
          <t>Naloxone 0.4 mg IV stat</t>
        </is>
      </c>
      <c r="E1880" s="18" t="inlineStr">
        <is>
          <t>Flumazenil 0.2 mg IV stat</t>
        </is>
      </c>
      <c r="F1880" s="18" t="inlineStr">
        <is>
          <t>Vitamin K1 (Phytomenadione) 10 mg IV slow</t>
        </is>
      </c>
      <c r="G1880" s="18" t="inlineStr">
        <is>
          <t>Sodium thiosulfate 25% 50 mL IV</t>
        </is>
      </c>
      <c r="H1880" s="18" t="inlineStr">
        <is>
          <t>Calcium disodium EDTA 1 g IV</t>
        </is>
      </c>
      <c r="I1880" s="15" t="inlineStr">
        <is>
          <t>1</t>
        </is>
      </c>
      <c r="J18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0" s="18" t="inlineStr"/>
      <c r="L1880" s="18" t="inlineStr">
        <is>
          <t>General Therapeutics</t>
        </is>
      </c>
      <c r="M1880" s="18" t="inlineStr">
        <is>
          <t>Clinic</t>
        </is>
      </c>
      <c r="N1880" s="18" t="inlineStr">
        <is>
          <t>ข้อ 4 (PLE_CC1_Key_Rx20_UBU.md)</t>
        </is>
      </c>
      <c r="O1880" s="18" t="inlineStr">
        <is>
          <t>Mock</t>
        </is>
      </c>
      <c r="P1880" s="18" t="inlineStr">
        <is>
          <t>Mock Rx20 UBU</t>
        </is>
      </c>
    </row>
    <row r="1881">
      <c r="A1881" s="15" t="inlineStr">
        <is>
          <t>1902</t>
        </is>
      </c>
      <c r="B1881" s="18" t="inlineStr">
        <is>
          <t>Polyvinyl pyrolidone</t>
        </is>
      </c>
      <c r="C1881" s="18" t="inlineStr"/>
      <c r="D1881" s="18" t="inlineStr">
        <is>
          <t>Sodium thiosulfate 25% 50 mL IV</t>
        </is>
      </c>
      <c r="E1881" s="18" t="inlineStr">
        <is>
          <t>Calcium disodium EDTA 1 g IV</t>
        </is>
      </c>
      <c r="F1881" s="18" t="inlineStr">
        <is>
          <t>Desferrioxamine 1 g IM/IV</t>
        </is>
      </c>
      <c r="G1881" s="18" t="inlineStr">
        <is>
          <t>Dimercaprol (BAL) 3 mg/kg IM</t>
        </is>
      </c>
      <c r="H1881" s="18" t="inlineStr">
        <is>
          <t>Ethanol 10% IV infusion for Methanol poisoning</t>
        </is>
      </c>
      <c r="I1881" s="15" t="inlineStr">
        <is>
          <t>1</t>
        </is>
      </c>
      <c r="J18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1" s="18" t="inlineStr"/>
      <c r="L1881" s="18" t="inlineStr">
        <is>
          <t>General Therapeutics</t>
        </is>
      </c>
      <c r="M1881" s="18" t="inlineStr">
        <is>
          <t>Clinic</t>
        </is>
      </c>
      <c r="N1881" s="18" t="inlineStr">
        <is>
          <t>ข้อ 5 (PLE_CC1_Key_Rx20_UBU.md)</t>
        </is>
      </c>
      <c r="O1881" s="18" t="inlineStr">
        <is>
          <t>Mock</t>
        </is>
      </c>
      <c r="P1881" s="18" t="inlineStr">
        <is>
          <t>Mock Rx20 UBU</t>
        </is>
      </c>
    </row>
    <row r="1882">
      <c r="A1882" s="15" t="inlineStr">
        <is>
          <t>1903</t>
        </is>
      </c>
      <c r="B1882" s="18" t="inlineStr">
        <is>
          <t>ยาบรรจุเสร็จที่ไม่ใช่ยาอันตรายหรือยาควบคุมพิเศษ</t>
        </is>
      </c>
      <c r="C1882" s="18" t="inlineStr"/>
      <c r="D1882" s="18" t="inlineStr">
        <is>
          <t>เกณฑ์จริยธรรมว่าด้วยการส่งเสริมการขายยาของกระทรวงสาธารณสุข</t>
        </is>
      </c>
      <c r="E1882" s="18" t="inlineStr">
        <is>
          <t>พ.ร.บ. ยา พ.ศ. 2510 (การจำหน่ายยาอันตรายและยาควบคุมพิเศษ)</t>
        </is>
      </c>
      <c r="F1882" s="18" t="inlineStr">
        <is>
          <t>พ.ร.บ. ยาเสพติดให้โทษ พ.ศ. 2522 (ยาเสพติดให้โทษประเภท 2 และ 3)</t>
        </is>
      </c>
      <c r="G1882" s="18" t="inlineStr">
        <is>
          <t>พ.ร.บ. วัตถุที่ออกฤทธิ์ต่อจิตและประสาท พ.ศ. 2559 (ประเภท 2 และ 4)</t>
        </is>
      </c>
      <c r="H1882" s="18" t="inlineStr">
        <is>
          <t>พ.ร.บ. วิชาชีพเภสัชกรรม พ.ศ. 2537 และข้อบังคับจรรยาบรรณวิชาชีพ</t>
        </is>
      </c>
      <c r="I1882" s="15" t="inlineStr">
        <is>
          <t>1</t>
        </is>
      </c>
      <c r="J188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2" s="18" t="inlineStr"/>
      <c r="L1882" s="18" t="inlineStr">
        <is>
          <t>Pharmacy Laws &amp; Ethics</t>
        </is>
      </c>
      <c r="M1882" s="18" t="inlineStr">
        <is>
          <t>SAP</t>
        </is>
      </c>
      <c r="N1882" s="18" t="inlineStr">
        <is>
          <t>ข้อ 4 (PLE_CC1_Key_Rx20_UBU.md)</t>
        </is>
      </c>
      <c r="O1882" s="18" t="inlineStr">
        <is>
          <t>Mock</t>
        </is>
      </c>
      <c r="P1882" s="18" t="inlineStr">
        <is>
          <t>Mock Rx20 UBU</t>
        </is>
      </c>
    </row>
    <row r="1883">
      <c r="A1883" s="15" t="inlineStr">
        <is>
          <t>1904</t>
        </is>
      </c>
      <c r="B1883" s="18" t="inlineStr">
        <is>
          <t>Cutaneous vasculitis</t>
        </is>
      </c>
      <c r="C1883" s="18" t="inlineStr"/>
      <c r="D1883" s="18" t="inlineStr">
        <is>
          <t>N-acetylcysteine (NAC) IV infusion protocol</t>
        </is>
      </c>
      <c r="E1883" s="18" t="inlineStr">
        <is>
          <t>Atropine sulfate 2 mg IV Q5-10 min</t>
        </is>
      </c>
      <c r="F1883" s="18" t="inlineStr">
        <is>
          <t>Pralidoxime (2-PAM) 1-2 g IV over 30 min</t>
        </is>
      </c>
      <c r="G1883" s="18" t="inlineStr">
        <is>
          <t>Naloxone 0.4 mg IV stat</t>
        </is>
      </c>
      <c r="H1883" s="18" t="inlineStr">
        <is>
          <t>Flumazenil 0.2 mg IV stat</t>
        </is>
      </c>
      <c r="I1883" s="15" t="inlineStr">
        <is>
          <t>1</t>
        </is>
      </c>
      <c r="J18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3" s="18" t="inlineStr"/>
      <c r="L1883" s="18" t="inlineStr">
        <is>
          <t>General Therapeutics</t>
        </is>
      </c>
      <c r="M1883" s="18" t="inlineStr">
        <is>
          <t>Clinic</t>
        </is>
      </c>
      <c r="N1883" s="18" t="inlineStr">
        <is>
          <t>ข้อ 1 (PLE_CC1_Key_Rx20_UBU.md)</t>
        </is>
      </c>
      <c r="O1883" s="18" t="inlineStr">
        <is>
          <t>Mock</t>
        </is>
      </c>
      <c r="P1883" s="18" t="inlineStr">
        <is>
          <t>Mock Rx20 UBU</t>
        </is>
      </c>
    </row>
    <row r="1884">
      <c r="A1884" s="15" t="inlineStr">
        <is>
          <t>1905</t>
        </is>
      </c>
      <c r="B1884" s="18" t="inlineStr">
        <is>
          <t>Erythema multiforme</t>
        </is>
      </c>
      <c r="C1884" s="18" t="inlineStr"/>
      <c r="D1884" s="18" t="inlineStr">
        <is>
          <t>Naloxone 0.4 mg IV stat</t>
        </is>
      </c>
      <c r="E1884" s="18" t="inlineStr">
        <is>
          <t>Flumazenil 0.2 mg IV stat</t>
        </is>
      </c>
      <c r="F1884" s="18" t="inlineStr">
        <is>
          <t>Vitamin K1 (Phytomenadione) 10 mg IV slow</t>
        </is>
      </c>
      <c r="G1884" s="18" t="inlineStr">
        <is>
          <t>Sodium thiosulfate 25% 50 mL IV</t>
        </is>
      </c>
      <c r="H1884" s="18" t="inlineStr">
        <is>
          <t>Calcium disodium EDTA 1 g IV</t>
        </is>
      </c>
      <c r="I1884" s="15" t="inlineStr">
        <is>
          <t>1</t>
        </is>
      </c>
      <c r="J18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4" s="18" t="inlineStr"/>
      <c r="L1884" s="18" t="inlineStr">
        <is>
          <t>General Therapeutics</t>
        </is>
      </c>
      <c r="M1884" s="18" t="inlineStr">
        <is>
          <t>Clinic</t>
        </is>
      </c>
      <c r="N1884" s="18" t="inlineStr">
        <is>
          <t>ข้อ 2 (PLE_CC1_Key_Rx20_UBU.md)</t>
        </is>
      </c>
      <c r="O1884" s="18" t="inlineStr">
        <is>
          <t>Mock</t>
        </is>
      </c>
      <c r="P1884" s="18" t="inlineStr">
        <is>
          <t>Mock Rx20 UBU</t>
        </is>
      </c>
    </row>
    <row r="1885">
      <c r="A1885" s="15" t="inlineStr">
        <is>
          <t>1906</t>
        </is>
      </c>
      <c r="B1885" s="18" t="inlineStr">
        <is>
          <t>Erythema nodusum</t>
        </is>
      </c>
      <c r="C1885" s="18" t="inlineStr"/>
      <c r="D1885" s="18" t="inlineStr">
        <is>
          <t>Sodium thiosulfate 25% 50 mL IV</t>
        </is>
      </c>
      <c r="E1885" s="18" t="inlineStr">
        <is>
          <t>Calcium disodium EDTA 1 g IV</t>
        </is>
      </c>
      <c r="F1885" s="18" t="inlineStr">
        <is>
          <t>Desferrioxamine 1 g IM/IV</t>
        </is>
      </c>
      <c r="G1885" s="18" t="inlineStr">
        <is>
          <t>Dimercaprol (BAL) 3 mg/kg IM</t>
        </is>
      </c>
      <c r="H1885" s="18" t="inlineStr">
        <is>
          <t>Ethanol 10% IV infusion for Methanol poisoning</t>
        </is>
      </c>
      <c r="I1885" s="15" t="inlineStr">
        <is>
          <t>1</t>
        </is>
      </c>
      <c r="J18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85" s="18" t="inlineStr"/>
      <c r="L1885" s="18" t="inlineStr">
        <is>
          <t>General Therapeutics</t>
        </is>
      </c>
      <c r="M1885" s="18" t="inlineStr">
        <is>
          <t>Clinic</t>
        </is>
      </c>
      <c r="N1885" s="18" t="inlineStr">
        <is>
          <t>ข้อ 3 (PLE_CC1_Key_Rx20_UBU.md)</t>
        </is>
      </c>
      <c r="O1885" s="18" t="inlineStr">
        <is>
          <t>Mock</t>
        </is>
      </c>
      <c r="P1885" s="18" t="inlineStr">
        <is>
          <t>Mock Rx20 UBU</t>
        </is>
      </c>
    </row>
    <row r="1886">
      <c r="A1886" s="15" t="inlineStr">
        <is>
          <t>1907</t>
        </is>
      </c>
      <c r="B1886" s="18" t="inlineStr">
        <is>
          <t>ผู้ป่วยมีอาการแสบร้อน เจ็บและบวมแดงตามเส้นเลือดที่ฉีด ถ้าแบ่งตาม NCC merp ของสหรัฐอเมริกาจัดอยู่ในประเภทใด</t>
        </is>
      </c>
      <c r="C1886" s="18" t="inlineStr"/>
      <c r="D1886" s="18" t="inlineStr">
        <is>
          <t>Dimercaprol (BAL) 3 mg/kg IM</t>
        </is>
      </c>
      <c r="E1886" s="18" t="inlineStr">
        <is>
          <t>Ethanol 10% IV infusion for Methanol poisoning</t>
        </is>
      </c>
      <c r="F1886" s="18" t="inlineStr">
        <is>
          <t>Fomepizole 15 mg/kg IV loading</t>
        </is>
      </c>
      <c r="G1886" s="18" t="inlineStr">
        <is>
          <t>N-acetylcysteine (NAC) IV infusion protocol</t>
        </is>
      </c>
      <c r="H1886" s="18" t="inlineStr">
        <is>
          <t>Atropine sulfate 2 mg IV Q5-10 min</t>
        </is>
      </c>
      <c r="I1886" s="15" t="inlineStr">
        <is>
          <t>1</t>
        </is>
      </c>
      <c r="J18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86" s="18" t="inlineStr"/>
      <c r="L1886" s="18" t="inlineStr">
        <is>
          <t>General Therapeutics</t>
        </is>
      </c>
      <c r="M1886" s="18" t="inlineStr">
        <is>
          <t>Clinic</t>
        </is>
      </c>
      <c r="N1886" s="18" t="inlineStr">
        <is>
          <t>ข้อ 34 (PLE_CC1_Key_Rx20_UBU.md)</t>
        </is>
      </c>
      <c r="O1886" s="18" t="inlineStr">
        <is>
          <t>Mock</t>
        </is>
      </c>
      <c r="P1886" s="18" t="inlineStr">
        <is>
          <t>Mock Rx20 UBU</t>
        </is>
      </c>
    </row>
    <row r="1887">
      <c r="A1887" s="15" t="inlineStr">
        <is>
          <t>1908</t>
        </is>
      </c>
      <c r="B1887" s="18" t="inlineStr">
        <is>
          <t>Category E</t>
        </is>
      </c>
      <c r="C1887" s="18" t="inlineStr"/>
      <c r="D1887" s="18" t="inlineStr">
        <is>
          <t>N-acetylcysteine (NAC) IV infusion protocol</t>
        </is>
      </c>
      <c r="E1887" s="18" t="inlineStr">
        <is>
          <t>Atropine sulfate 2 mg IV Q5-10 min</t>
        </is>
      </c>
      <c r="F1887" s="18" t="inlineStr">
        <is>
          <t>Pralidoxime (2-PAM) 1-2 g IV over 30 min</t>
        </is>
      </c>
      <c r="G1887" s="18" t="inlineStr">
        <is>
          <t>Naloxone 0.4 mg IV stat</t>
        </is>
      </c>
      <c r="H1887" s="18" t="inlineStr">
        <is>
          <t>Flumazenil 0.2 mg IV stat</t>
        </is>
      </c>
      <c r="I1887" s="15" t="inlineStr">
        <is>
          <t>1</t>
        </is>
      </c>
      <c r="J18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7" s="18" t="inlineStr"/>
      <c r="L1887" s="18" t="inlineStr">
        <is>
          <t>General Therapeutics</t>
        </is>
      </c>
      <c r="M1887" s="18" t="inlineStr">
        <is>
          <t>Clinic</t>
        </is>
      </c>
      <c r="N1887" s="18" t="inlineStr">
        <is>
          <t>ข้อ 5 (PLE_CC1_Key_Rx20_UBU.md)</t>
        </is>
      </c>
      <c r="O1887" s="18" t="inlineStr">
        <is>
          <t>Mock</t>
        </is>
      </c>
      <c r="P1887" s="18" t="inlineStr">
        <is>
          <t>Mock Rx20 UBU</t>
        </is>
      </c>
    </row>
    <row r="1888">
      <c r="A1888" s="15" t="inlineStr">
        <is>
          <t>1909</t>
        </is>
      </c>
      <c r="B1888" s="18" t="inlineStr">
        <is>
          <t>จากข้อข้างต้น สามารถใช้ยาในข้อใดรักษาภาวะดังกล่าวได้</t>
        </is>
      </c>
      <c r="C1888" s="18" t="inlineStr"/>
      <c r="D1888" s="18" t="inlineStr">
        <is>
          <t>Naloxone 0.4 mg IV stat</t>
        </is>
      </c>
      <c r="E1888" s="18" t="inlineStr">
        <is>
          <t>Flumazenil 0.2 mg IV stat</t>
        </is>
      </c>
      <c r="F1888" s="18" t="inlineStr">
        <is>
          <t>Vitamin K1 (Phytomenadione) 10 mg IV slow</t>
        </is>
      </c>
      <c r="G1888" s="18" t="inlineStr">
        <is>
          <t>Sodium thiosulfate 25% 50 mL IV</t>
        </is>
      </c>
      <c r="H1888" s="18" t="inlineStr">
        <is>
          <t>Calcium disodium EDTA 1 g IV</t>
        </is>
      </c>
      <c r="I1888" s="15" t="inlineStr">
        <is>
          <t>1</t>
        </is>
      </c>
      <c r="J18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8" s="18" t="inlineStr"/>
      <c r="L1888" s="18" t="inlineStr">
        <is>
          <t>General Therapeutics</t>
        </is>
      </c>
      <c r="M1888" s="18" t="inlineStr">
        <is>
          <t>Clinic</t>
        </is>
      </c>
      <c r="N1888" s="18" t="inlineStr">
        <is>
          <t>ข้อ 36 (PLE_CC1_Key_Rx20_UBU.md)</t>
        </is>
      </c>
      <c r="O1888" s="18" t="inlineStr">
        <is>
          <t>Mock</t>
        </is>
      </c>
      <c r="P1888" s="18" t="inlineStr">
        <is>
          <t>Mock Rx20 UBU</t>
        </is>
      </c>
    </row>
    <row r="1889">
      <c r="A1889" s="15" t="inlineStr">
        <is>
          <t>1910</t>
        </is>
      </c>
      <c r="B1889" s="18" t="inlineStr">
        <is>
          <t>สำนักงานปฏิรูประบบสุขภาพแห่งชาติ (สปรส.)</t>
        </is>
      </c>
      <c r="C1889" s="18" t="inlineStr"/>
      <c r="D1889" s="18" t="inlineStr">
        <is>
          <t>Sodium thiosulfate 25% 50 mL IV</t>
        </is>
      </c>
      <c r="E1889" s="18" t="inlineStr">
        <is>
          <t>Calcium disodium EDTA 1 g IV</t>
        </is>
      </c>
      <c r="F1889" s="18" t="inlineStr">
        <is>
          <t>Desferrioxamine 1 g IM/IV</t>
        </is>
      </c>
      <c r="G1889" s="18" t="inlineStr">
        <is>
          <t>Dimercaprol (BAL) 3 mg/kg IM</t>
        </is>
      </c>
      <c r="H1889" s="18" t="inlineStr">
        <is>
          <t>Ethanol 10% IV infusion for Methanol poisoning</t>
        </is>
      </c>
      <c r="I1889" s="15" t="inlineStr">
        <is>
          <t>1</t>
        </is>
      </c>
      <c r="J18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9" s="18" t="inlineStr"/>
      <c r="L1889" s="18" t="inlineStr">
        <is>
          <t>General Therapeutics</t>
        </is>
      </c>
      <c r="M1889" s="18" t="inlineStr">
        <is>
          <t>Clinic</t>
        </is>
      </c>
      <c r="N1889" s="18" t="inlineStr">
        <is>
          <t>ข้อ 4 (PLE_CC1_Key_Rx20_UBU.md)</t>
        </is>
      </c>
      <c r="O1889" s="18" t="inlineStr">
        <is>
          <t>Mock</t>
        </is>
      </c>
      <c r="P1889" s="18" t="inlineStr">
        <is>
          <t>Mock Rx20 UBU</t>
        </is>
      </c>
    </row>
    <row r="1890">
      <c r="A1890" s="15" t="inlineStr">
        <is>
          <t>1911</t>
        </is>
      </c>
      <c r="B1890" s="18" t="inlineStr">
        <is>
          <t>Maculopapular " คงลอก อ</t>
        </is>
      </c>
      <c r="C1890" s="18" t="inlineStr"/>
      <c r="D1890" s="18" t="inlineStr">
        <is>
          <t>Dimercaprol (BAL) 3 mg/kg IM</t>
        </is>
      </c>
      <c r="E1890" s="18" t="inlineStr">
        <is>
          <t>Ethanol 10% IV infusion for Methanol poisoning</t>
        </is>
      </c>
      <c r="F1890" s="18" t="inlineStr">
        <is>
          <t>Fomepizole 15 mg/kg IV loading</t>
        </is>
      </c>
      <c r="G1890" s="18" t="inlineStr">
        <is>
          <t>N-acetylcysteine (NAC) IV infusion protocol</t>
        </is>
      </c>
      <c r="H1890" s="18" t="inlineStr">
        <is>
          <t>Atropine sulfate 2 mg IV Q5-10 min</t>
        </is>
      </c>
      <c r="I1890" s="15" t="inlineStr">
        <is>
          <t>1</t>
        </is>
      </c>
      <c r="J18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0" s="18" t="inlineStr"/>
      <c r="L1890" s="18" t="inlineStr">
        <is>
          <t>General Therapeutics</t>
        </is>
      </c>
      <c r="M1890" s="18" t="inlineStr">
        <is>
          <t>Clinic</t>
        </is>
      </c>
      <c r="N1890" s="18" t="inlineStr">
        <is>
          <t>ข้อ 3 (PLE_CC1_Key_Rx20_UBU.md)</t>
        </is>
      </c>
      <c r="O1890" s="18" t="inlineStr">
        <is>
          <t>Mock</t>
        </is>
      </c>
      <c r="P1890" s="18" t="inlineStr">
        <is>
          <t>Mock Rx20 UBU</t>
        </is>
      </c>
    </row>
    <row r="1891">
      <c r="A1891" s="15" t="inlineStr">
        <is>
          <t>1912</t>
        </is>
      </c>
      <c r="B1891" s="18" t="inlineStr">
        <is>
          <t>Erytematous and Peeling</t>
        </is>
      </c>
      <c r="C1891" s="18" t="inlineStr"/>
      <c r="D1891" s="18" t="inlineStr">
        <is>
          <t>N-acetylcysteine (NAC) IV infusion protocol</t>
        </is>
      </c>
      <c r="E1891" s="18" t="inlineStr">
        <is>
          <t>Atropine sulfate 2 mg IV Q5-10 min</t>
        </is>
      </c>
      <c r="F1891" s="18" t="inlineStr">
        <is>
          <t>Pralidoxime (2-PAM) 1-2 g IV over 30 min</t>
        </is>
      </c>
      <c r="G1891" s="18" t="inlineStr">
        <is>
          <t>Naloxone 0.4 mg IV stat</t>
        </is>
      </c>
      <c r="H1891" s="18" t="inlineStr">
        <is>
          <t>Flumazenil 0.2 mg IV stat</t>
        </is>
      </c>
      <c r="I1891" s="15" t="inlineStr">
        <is>
          <t>1</t>
        </is>
      </c>
      <c r="J18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1" s="18" t="inlineStr"/>
      <c r="L1891" s="18" t="inlineStr">
        <is>
          <t>General Therapeutics</t>
        </is>
      </c>
      <c r="M1891" s="18" t="inlineStr">
        <is>
          <t>Clinic</t>
        </is>
      </c>
      <c r="N1891" s="18" t="inlineStr">
        <is>
          <t>ข้อ 4 (PLE_CC1_Key_Rx20_UBU.md)</t>
        </is>
      </c>
      <c r="O1891" s="18" t="inlineStr">
        <is>
          <t>Mock</t>
        </is>
      </c>
      <c r="P1891" s="18" t="inlineStr">
        <is>
          <t>Mock Rx20 UBU</t>
        </is>
      </c>
    </row>
    <row r="1892">
      <c r="A1892" s="15" t="inlineStr">
        <is>
          <t>1913</t>
        </is>
      </c>
      <c r="B1892" s="18" t="inlineStr">
        <is>
          <t>ควรรับประทานยาในเวลาเดิมทุกวันอย่างเคร่งครัด</t>
        </is>
      </c>
      <c r="C1892" s="18" t="inlineStr"/>
      <c r="D1892" s="18" t="inlineStr">
        <is>
          <t>Naloxone 0.4 mg IV stat</t>
        </is>
      </c>
      <c r="E1892" s="18" t="inlineStr">
        <is>
          <t>Flumazenil 0.2 mg IV stat</t>
        </is>
      </c>
      <c r="F1892" s="18" t="inlineStr">
        <is>
          <t>Vitamin K1 (Phytomenadione) 10 mg IV slow</t>
        </is>
      </c>
      <c r="G1892" s="18" t="inlineStr">
        <is>
          <t>Sodium thiosulfate 25% 50 mL IV</t>
        </is>
      </c>
      <c r="H1892" s="18" t="inlineStr">
        <is>
          <t>Calcium disodium EDTA 1 g IV</t>
        </is>
      </c>
      <c r="I1892" s="15" t="inlineStr">
        <is>
          <t>1</t>
        </is>
      </c>
      <c r="J18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2" s="18" t="inlineStr"/>
      <c r="L1892" s="18" t="inlineStr">
        <is>
          <t>General Therapeutics</t>
        </is>
      </c>
      <c r="M1892" s="18" t="inlineStr">
        <is>
          <t>Clinic</t>
        </is>
      </c>
      <c r="N1892" s="18" t="inlineStr">
        <is>
          <t>ข้อ 2 (PLE_CC1_Key_Rx20_UBU.md)</t>
        </is>
      </c>
      <c r="O1892" s="18" t="inlineStr">
        <is>
          <t>Mock</t>
        </is>
      </c>
      <c r="P1892" s="18" t="inlineStr">
        <is>
          <t>Mock Rx20 UBU</t>
        </is>
      </c>
    </row>
    <row r="1893">
      <c r="A1893" s="15" t="inlineStr">
        <is>
          <t>1914</t>
        </is>
      </c>
      <c r="B1893" s="18" t="inlineStr">
        <is>
          <t>หลีกเลี่ยงการออกกำลังกายกลางแจ้ง</t>
        </is>
      </c>
      <c r="C1893" s="18" t="inlineStr"/>
      <c r="D1893" s="18" t="inlineStr">
        <is>
          <t>Sodium thiosulfate 25% 50 mL IV</t>
        </is>
      </c>
      <c r="E1893" s="18" t="inlineStr">
        <is>
          <t>Calcium disodium EDTA 1 g IV</t>
        </is>
      </c>
      <c r="F1893" s="18" t="inlineStr">
        <is>
          <t>Desferrioxamine 1 g IM/IV</t>
        </is>
      </c>
      <c r="G1893" s="18" t="inlineStr">
        <is>
          <t>Dimercaprol (BAL) 3 mg/kg IM</t>
        </is>
      </c>
      <c r="H1893" s="18" t="inlineStr">
        <is>
          <t>Ethanol 10% IV infusion for Methanol poisoning</t>
        </is>
      </c>
      <c r="I1893" s="15" t="inlineStr">
        <is>
          <t>1</t>
        </is>
      </c>
      <c r="J18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3" s="18" t="inlineStr"/>
      <c r="L1893" s="18" t="inlineStr">
        <is>
          <t>General Therapeutics</t>
        </is>
      </c>
      <c r="M1893" s="18" t="inlineStr">
        <is>
          <t>Clinic</t>
        </is>
      </c>
      <c r="N1893" s="18" t="inlineStr">
        <is>
          <t>ข้อ 3 (PLE_CC1_Key_Rx20_UBU.md)</t>
        </is>
      </c>
      <c r="O1893" s="18" t="inlineStr">
        <is>
          <t>Mock</t>
        </is>
      </c>
      <c r="P1893" s="18" t="inlineStr">
        <is>
          <t>Mock Rx20 UBU</t>
        </is>
      </c>
    </row>
    <row r="1894">
      <c r="A1894" s="15" t="inlineStr">
        <is>
          <t>1915</t>
        </is>
      </c>
      <c r="B1894" s="18" t="inlineStr">
        <is>
          <t>ห้ามรับประทานยานี้ก่อนนอน</t>
        </is>
      </c>
      <c r="C1894" s="18" t="inlineStr"/>
      <c r="D1894" s="18" t="inlineStr">
        <is>
          <t>Dimercaprol (BAL) 3 mg/kg IM</t>
        </is>
      </c>
      <c r="E1894" s="18" t="inlineStr">
        <is>
          <t>Ethanol 10% IV infusion for Methanol poisoning</t>
        </is>
      </c>
      <c r="F1894" s="18" t="inlineStr">
        <is>
          <t>Fomepizole 15 mg/kg IV loading</t>
        </is>
      </c>
      <c r="G1894" s="18" t="inlineStr">
        <is>
          <t>N-acetylcysteine (NAC) IV infusion protocol</t>
        </is>
      </c>
      <c r="H1894" s="18" t="inlineStr">
        <is>
          <t>Atropine sulfate 2 mg IV Q5-10 min</t>
        </is>
      </c>
      <c r="I1894" s="15" t="inlineStr">
        <is>
          <t>1</t>
        </is>
      </c>
      <c r="J18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4" s="18" t="inlineStr"/>
      <c r="L1894" s="18" t="inlineStr">
        <is>
          <t>General Therapeutics</t>
        </is>
      </c>
      <c r="M1894" s="18" t="inlineStr">
        <is>
          <t>Clinic</t>
        </is>
      </c>
      <c r="N1894" s="18" t="inlineStr">
        <is>
          <t>ข้อ 4 (PLE_CC1_Key_Rx20_UBU.md)</t>
        </is>
      </c>
      <c r="O1894" s="18" t="inlineStr">
        <is>
          <t>Mock</t>
        </is>
      </c>
      <c r="P1894" s="18" t="inlineStr">
        <is>
          <t>Mock Rx20 UBU</t>
        </is>
      </c>
    </row>
    <row r="1895">
      <c r="A1895" s="15" t="inlineStr">
        <is>
          <t>1916</t>
        </is>
      </c>
      <c r="B1895" s="18" t="inlineStr">
        <is>
          <t>ควรหลีกเลี่ยงการรับประทานเครื่องในสัตว์</t>
        </is>
      </c>
      <c r="C1895" s="18" t="inlineStr"/>
      <c r="D1895" s="18" t="inlineStr">
        <is>
          <t>N-acetylcysteine (NAC) IV infusion protocol</t>
        </is>
      </c>
      <c r="E1895" s="18" t="inlineStr">
        <is>
          <t>Atropine sulfate 2 mg IV Q5-10 min</t>
        </is>
      </c>
      <c r="F1895" s="18" t="inlineStr">
        <is>
          <t>Pralidoxime (2-PAM) 1-2 g IV over 30 min</t>
        </is>
      </c>
      <c r="G1895" s="18" t="inlineStr">
        <is>
          <t>Naloxone 0.4 mg IV stat</t>
        </is>
      </c>
      <c r="H1895" s="18" t="inlineStr">
        <is>
          <t>Flumazenil 0.2 mg IV stat</t>
        </is>
      </c>
      <c r="I1895" s="15" t="inlineStr">
        <is>
          <t>1</t>
        </is>
      </c>
      <c r="J18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5" s="18" t="inlineStr"/>
      <c r="L1895" s="18" t="inlineStr">
        <is>
          <t>General Therapeutics</t>
        </is>
      </c>
      <c r="M1895" s="18" t="inlineStr">
        <is>
          <t>Clinic</t>
        </is>
      </c>
      <c r="N1895" s="18" t="inlineStr">
        <is>
          <t>ข้อ 5 (PLE_CC1_Key_Rx20_UBU.md)</t>
        </is>
      </c>
      <c r="O1895" s="18" t="inlineStr">
        <is>
          <t>Mock</t>
        </is>
      </c>
      <c r="P1895" s="18" t="inlineStr">
        <is>
          <t>Mock Rx20 UBU</t>
        </is>
      </c>
    </row>
    <row r="1896">
      <c r="A1896" s="15" t="inlineStr">
        <is>
          <t>1917</t>
        </is>
      </c>
      <c r="B1896" s="18" t="inlineStr">
        <is>
          <t>ข้อใดถูกต้องเกี่ยวกับการแนะนำการรับประทานยา Isotretinoid</t>
        </is>
      </c>
      <c r="C1896" s="18" t="inlineStr"/>
      <c r="D1896" s="18" t="inlineStr">
        <is>
          <t>Naloxone 0.4 mg IV stat</t>
        </is>
      </c>
      <c r="E1896" s="18" t="inlineStr">
        <is>
          <t>Flumazenil 0.2 mg IV stat</t>
        </is>
      </c>
      <c r="F1896" s="18" t="inlineStr">
        <is>
          <t>Vitamin K1 (Phytomenadione) 10 mg IV slow</t>
        </is>
      </c>
      <c r="G1896" s="18" t="inlineStr">
        <is>
          <t>Sodium thiosulfate 25% 50 mL IV</t>
        </is>
      </c>
      <c r="H1896" s="18" t="inlineStr">
        <is>
          <t>Calcium disodium EDTA 1 g IV</t>
        </is>
      </c>
      <c r="I1896" s="15" t="inlineStr">
        <is>
          <t>1</t>
        </is>
      </c>
      <c r="J18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6" s="18" t="inlineStr"/>
      <c r="L1896" s="18" t="inlineStr">
        <is>
          <t>General Therapeutics</t>
        </is>
      </c>
      <c r="M1896" s="18" t="inlineStr">
        <is>
          <t>Clinic</t>
        </is>
      </c>
      <c r="N1896" s="18" t="inlineStr">
        <is>
          <t>ข้อ 42 (PLE_CC1_Key_Rx20_UBU.md)</t>
        </is>
      </c>
      <c r="O1896" s="18" t="inlineStr">
        <is>
          <t>Mock</t>
        </is>
      </c>
      <c r="P1896" s="18" t="inlineStr">
        <is>
          <t>Mock Rx20 UBU</t>
        </is>
      </c>
    </row>
    <row r="1897">
      <c r="A1897" s="15" t="inlineStr">
        <is>
          <t>1918</t>
        </is>
      </c>
      <c r="B1897" s="18" t="inlineStr">
        <is>
          <t>เปลือกแคปซูลสามารถทำได้จากสัตว์เท่านั้น ไม่สามารถทำมาจากพืชได้</t>
        </is>
      </c>
      <c r="C1897" s="18" t="inlineStr"/>
      <c r="D1897" s="18" t="inlineStr">
        <is>
          <t>Wet Granulation tableting method</t>
        </is>
      </c>
      <c r="E1897" s="18" t="inlineStr">
        <is>
          <t>Dry Granulation (Roller Compaction)</t>
        </is>
      </c>
      <c r="F1897" s="18" t="inlineStr">
        <is>
          <t>Fluidized Bed Granulation</t>
        </is>
      </c>
      <c r="G1897" s="18" t="inlineStr">
        <is>
          <t>Film Coating with Hydroxypropyl methylcellulose (HPMC)</t>
        </is>
      </c>
      <c r="H1897" s="18" t="inlineStr">
        <is>
          <t>Enteric Coating with Cellulose acetate phthalate (CAP)</t>
        </is>
      </c>
      <c r="I1897" s="15" t="inlineStr">
        <is>
          <t>1</t>
        </is>
      </c>
      <c r="J1897"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7" s="18" t="inlineStr"/>
      <c r="L1897" s="18" t="inlineStr">
        <is>
          <t>Solid Dosage Forms</t>
        </is>
      </c>
      <c r="M1897" s="18" t="inlineStr">
        <is>
          <t>Product</t>
        </is>
      </c>
      <c r="N1897" s="18" t="inlineStr">
        <is>
          <t>ข้อ 3 (PLE_CC1_Key_Rx20_UBU.md)</t>
        </is>
      </c>
      <c r="O1897" s="18" t="inlineStr">
        <is>
          <t>Mock</t>
        </is>
      </c>
      <c r="P1897" s="18" t="inlineStr">
        <is>
          <t>Mock Rx20 UBU</t>
        </is>
      </c>
    </row>
    <row r="1898">
      <c r="A1898" s="15" t="inlineStr">
        <is>
          <t>1919</t>
        </is>
      </c>
      <c r="B1898" s="18" t="inlineStr">
        <is>
          <t>น้ำหนักลด &gt;10% ในเวลา 3 เดือน /</t>
        </is>
      </c>
      <c r="C1898" s="18" t="inlineStr"/>
      <c r="D1898" s="18" t="inlineStr">
        <is>
          <t>Dimercaprol (BAL) 3 mg/kg IM</t>
        </is>
      </c>
      <c r="E1898" s="18" t="inlineStr">
        <is>
          <t>Ethanol 10% IV infusion for Methanol poisoning</t>
        </is>
      </c>
      <c r="F1898" s="18" t="inlineStr">
        <is>
          <t>Fomepizole 15 mg/kg IV loading</t>
        </is>
      </c>
      <c r="G1898" s="18" t="inlineStr">
        <is>
          <t>N-acetylcysteine (NAC) IV infusion protocol</t>
        </is>
      </c>
      <c r="H1898" s="18" t="inlineStr">
        <is>
          <t>Atropine sulfate 2 mg IV Q5-10 min</t>
        </is>
      </c>
      <c r="I1898" s="15" t="inlineStr">
        <is>
          <t>1</t>
        </is>
      </c>
      <c r="J189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8" s="18" t="inlineStr"/>
      <c r="L1898" s="18" t="inlineStr">
        <is>
          <t>General Therapeutics</t>
        </is>
      </c>
      <c r="M1898" s="18" t="inlineStr">
        <is>
          <t>Clinic</t>
        </is>
      </c>
      <c r="N1898" s="18" t="inlineStr">
        <is>
          <t>ข้อ 5 (PLE_CC1_Key_Rx20_UBU.md)</t>
        </is>
      </c>
      <c r="O1898" s="18" t="inlineStr">
        <is>
          <t>Mock</t>
        </is>
      </c>
      <c r="P1898" s="18" t="inlineStr">
        <is>
          <t>Mock Rx20 UBU</t>
        </is>
      </c>
    </row>
    <row r="1899">
      <c r="A1899" s="15" t="inlineStr">
        <is>
          <t>1920</t>
        </is>
      </c>
      <c r="B1899" s="18" t="inlineStr">
        <is>
          <t>ยาที่เหมาะสมในการรักษาโรคฉวยโอกาสในผู้ป่วยรายนี้ 1Amphotericin B + Flucytocine</t>
        </is>
      </c>
      <c r="C1899" s="18" t="inlineStr"/>
      <c r="D1899" s="18" t="inlineStr">
        <is>
          <t>Ceftriaxone 1 g IV OD</t>
        </is>
      </c>
      <c r="E1899" s="18" t="inlineStr">
        <is>
          <t>Ciprofloxacin 500 mg BID</t>
        </is>
      </c>
      <c r="F1899" s="18" t="inlineStr">
        <is>
          <t>Azithromycin 500 mg OD</t>
        </is>
      </c>
      <c r="G1899" s="18" t="inlineStr">
        <is>
          <t>Doxycycline 100 mg BID</t>
        </is>
      </c>
      <c r="H1899" s="18" t="inlineStr">
        <is>
          <t>Cotrimoxazole 160/800 mg BID</t>
        </is>
      </c>
      <c r="I1899" s="15" t="inlineStr">
        <is>
          <t>1</t>
        </is>
      </c>
      <c r="J1899" s="18"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9" s="18" t="inlineStr"/>
      <c r="L1899" s="18" t="inlineStr">
        <is>
          <t>Infectious Diseases</t>
        </is>
      </c>
      <c r="M1899" s="18" t="inlineStr">
        <is>
          <t>Clinic</t>
        </is>
      </c>
      <c r="N1899" s="18" t="inlineStr">
        <is>
          <t>ข้อ 46 (PLE_CC1_Key_Rx20_UBU.md)</t>
        </is>
      </c>
      <c r="O1899" s="18" t="inlineStr">
        <is>
          <t>Mock</t>
        </is>
      </c>
      <c r="P1899" s="18" t="inlineStr">
        <is>
          <t>Mock Rx20 UBU</t>
        </is>
      </c>
    </row>
    <row r="1900">
      <c r="A1900" s="15" t="inlineStr">
        <is>
          <t>1921</t>
        </is>
      </c>
      <c r="B1900" s="18" t="inlineStr">
        <is>
          <t>Clarithromycin + Ethambutol</t>
        </is>
      </c>
      <c r="C1900" s="18" t="inlineStr"/>
      <c r="D1900" s="18" t="inlineStr">
        <is>
          <t>Doxycycline 100 mg BID</t>
        </is>
      </c>
      <c r="E1900" s="18" t="inlineStr">
        <is>
          <t>Cotrimoxazole 160/800 mg BID</t>
        </is>
      </c>
      <c r="F1900" s="18" t="inlineStr">
        <is>
          <t>Metronidazole 400 mg TID</t>
        </is>
      </c>
      <c r="G1900" s="18" t="inlineStr">
        <is>
          <t>Nitrofurantoin 100 mg BID</t>
        </is>
      </c>
      <c r="H1900" s="18" t="inlineStr">
        <is>
          <t>Tenofovir/Emtricitabine 300/200 mg OD</t>
        </is>
      </c>
      <c r="I1900" s="15" t="inlineStr">
        <is>
          <t>1</t>
        </is>
      </c>
      <c r="J1900" s="18"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1900" s="18" t="inlineStr"/>
      <c r="L1900" s="18" t="inlineStr">
        <is>
          <t>Infectious Diseases</t>
        </is>
      </c>
      <c r="M1900" s="18" t="inlineStr">
        <is>
          <t>Clinic</t>
        </is>
      </c>
      <c r="N1900" s="18" t="inlineStr">
        <is>
          <t>ข้อ 2 (PLE_CC1_Key_Rx20_UBU.md)</t>
        </is>
      </c>
      <c r="O1900" s="18" t="inlineStr">
        <is>
          <t>Mock</t>
        </is>
      </c>
      <c r="P1900" s="18" t="inlineStr">
        <is>
          <t>Mock Rx20 UBU</t>
        </is>
      </c>
    </row>
    <row r="1901">
      <c r="A1901" s="15" t="inlineStr">
        <is>
          <t>1922</t>
        </is>
      </c>
      <c r="B1901" s="18" t="inlineStr">
        <is>
          <t>Clindamycin + Primaquine</t>
        </is>
      </c>
      <c r="C1901" s="18" t="inlineStr"/>
      <c r="D1901" s="18" t="inlineStr">
        <is>
          <t>Sodium thiosulfate 25% 50 mL IV</t>
        </is>
      </c>
      <c r="E1901" s="18" t="inlineStr">
        <is>
          <t>Calcium disodium EDTA 1 g IV</t>
        </is>
      </c>
      <c r="F1901" s="18" t="inlineStr">
        <is>
          <t>Desferrioxamine 1 g IM/IV</t>
        </is>
      </c>
      <c r="G1901" s="18" t="inlineStr">
        <is>
          <t>Dimercaprol (BAL) 3 mg/kg IM</t>
        </is>
      </c>
      <c r="H1901" s="18" t="inlineStr">
        <is>
          <t>Ethanol 10% IV infusion for Methanol poisoning</t>
        </is>
      </c>
      <c r="I1901" s="15" t="inlineStr">
        <is>
          <t>1</t>
        </is>
      </c>
      <c r="J190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1" s="18" t="inlineStr"/>
      <c r="L1901" s="18" t="inlineStr">
        <is>
          <t>General Therapeutics</t>
        </is>
      </c>
      <c r="M1901" s="18" t="inlineStr">
        <is>
          <t>Clinic</t>
        </is>
      </c>
      <c r="N1901" s="18" t="inlineStr">
        <is>
          <t>ข้อ 3 (PLE_CC1_Key_Rx20_UBU.md)</t>
        </is>
      </c>
      <c r="O1901" s="18" t="inlineStr">
        <is>
          <t>Mock</t>
        </is>
      </c>
      <c r="P1901" s="18" t="inlineStr">
        <is>
          <t>Mock Rx20 UBU</t>
        </is>
      </c>
    </row>
    <row r="1902">
      <c r="A1902" s="15" t="inlineStr">
        <is>
          <t>1923</t>
        </is>
      </c>
      <c r="B1902" s="18" t="inlineStr">
        <is>
          <t>Trimethoprim + Sulfamethoxazole</t>
        </is>
      </c>
      <c r="C1902" s="18" t="inlineStr"/>
      <c r="D1902" s="18" t="inlineStr">
        <is>
          <t>Dimercaprol (BAL) 3 mg/kg IM</t>
        </is>
      </c>
      <c r="E1902" s="18" t="inlineStr">
        <is>
          <t>Ethanol 10% IV infusion for Methanol poisoning</t>
        </is>
      </c>
      <c r="F1902" s="18" t="inlineStr">
        <is>
          <t>Fomepizole 15 mg/kg IV loading</t>
        </is>
      </c>
      <c r="G1902" s="18" t="inlineStr">
        <is>
          <t>N-acetylcysteine (NAC) IV infusion protocol</t>
        </is>
      </c>
      <c r="H1902" s="18" t="inlineStr">
        <is>
          <t>Atropine sulfate 2 mg IV Q5-10 min</t>
        </is>
      </c>
      <c r="I1902" s="15" t="inlineStr">
        <is>
          <t>1</t>
        </is>
      </c>
      <c r="J190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2" s="18" t="inlineStr"/>
      <c r="L1902" s="18" t="inlineStr">
        <is>
          <t>General Therapeutics</t>
        </is>
      </c>
      <c r="M1902" s="18" t="inlineStr">
        <is>
          <t>Clinic</t>
        </is>
      </c>
      <c r="N1902" s="18" t="inlineStr">
        <is>
          <t>ข้อ 5 (PLE_CC1_Key_Rx20_UBU.md)</t>
        </is>
      </c>
      <c r="O1902" s="18" t="inlineStr">
        <is>
          <t>Mock</t>
        </is>
      </c>
      <c r="P1902" s="18" t="inlineStr">
        <is>
          <t>Mock Rx20 UBU</t>
        </is>
      </c>
    </row>
    <row r="1903">
      <c r="A1903" s="15" t="inlineStr">
        <is>
          <t>1924</t>
        </is>
      </c>
      <c r="B1903" s="18" t="inlineStr">
        <is>
          <t>การทำ BE ในยา GPO vir S ที่มีตัวยาสำคัญ 3 ตัวผสมกัน แทนด้วยตัวอักษร A,B,C ยา 90%confidence interval (Test/Ref) Half-life(hr) A 102-128</t>
        </is>
      </c>
      <c r="C1903" s="18" t="inlineStr"/>
      <c r="D1903" s="18" t="inlineStr">
        <is>
          <t>5± 0.3 B 107-120</t>
        </is>
      </c>
      <c r="E1903" s="18" t="inlineStr">
        <is>
          <t>97±0.1 C 98-105 67±16 เลือกว่ายาใดเหมาะสมตามข้อกำหนดหรือมาตรฐานชีวสมมูล</t>
        </is>
      </c>
      <c r="F1903" s="18" t="inlineStr">
        <is>
          <t>Pralidoxime (2-PAM) 1-2 g IV over 30 min</t>
        </is>
      </c>
      <c r="G1903" s="18" t="inlineStr">
        <is>
          <t>Naloxone 0.4 mg IV stat</t>
        </is>
      </c>
      <c r="H1903" s="18" t="inlineStr">
        <is>
          <t>Flumazenil 0.2 mg IV stat</t>
        </is>
      </c>
      <c r="I1903" s="15" t="inlineStr">
        <is>
          <t>1</t>
        </is>
      </c>
      <c r="J1903" s="18" t="inlineStr">
        <is>
          <t>✅ คำตอบที่ถูกต้อง: ข้อ ก. 5± 0.3 B 107-120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5± 0.3 B 107-120 การเลือก 5± 0.3 B 107-120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(97±0.1 C 98-105 67±16 เลือกว่ายาใดเหมาะสมตามข้อกำหนดหรือมาตรฐานชีวสมมูล):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3" s="18" t="inlineStr"/>
      <c r="L1903" s="18" t="inlineStr">
        <is>
          <t>General Therapeutics</t>
        </is>
      </c>
      <c r="M1903" s="18" t="inlineStr">
        <is>
          <t>Clinic</t>
        </is>
      </c>
      <c r="N1903" s="18" t="inlineStr">
        <is>
          <t>ข้อ 48 (PLE_CC1_Key_Rx20_UBU.md)</t>
        </is>
      </c>
      <c r="O1903" s="18" t="inlineStr">
        <is>
          <t>Mock</t>
        </is>
      </c>
      <c r="P1903" s="18" t="inlineStr">
        <is>
          <t>Mock Rx20 UBU</t>
        </is>
      </c>
    </row>
    <row r="1904">
      <c r="A1904" s="15" t="inlineStr">
        <is>
          <t>1925</t>
        </is>
      </c>
      <c r="B1904" s="18" t="inlineStr">
        <is>
          <t>หากระดับยา GPO-vir S ก่อนให้ยาครั้งที่ 2 ยังสูงอยู่ ควรทำอย่างไร</t>
        </is>
      </c>
      <c r="C1904" s="18" t="inlineStr"/>
      <c r="D1904" s="18" t="inlineStr">
        <is>
          <t>Naloxone 0.4 mg IV stat</t>
        </is>
      </c>
      <c r="E1904" s="18" t="inlineStr">
        <is>
          <t>Flumazenil 0.2 mg IV stat</t>
        </is>
      </c>
      <c r="F1904" s="18" t="inlineStr">
        <is>
          <t>Vitamin K1 (Phytomenadione) 10 mg IV slow</t>
        </is>
      </c>
      <c r="G1904" s="18" t="inlineStr">
        <is>
          <t>Sodium thiosulfate 25% 50 mL IV</t>
        </is>
      </c>
      <c r="H1904" s="18" t="inlineStr">
        <is>
          <t>Calcium disodium EDTA 1 g IV</t>
        </is>
      </c>
      <c r="I1904" s="15" t="inlineStr">
        <is>
          <t>1</t>
        </is>
      </c>
      <c r="J19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4" s="18" t="inlineStr"/>
      <c r="L1904" s="18" t="inlineStr">
        <is>
          <t>General Therapeutics</t>
        </is>
      </c>
      <c r="M1904" s="18" t="inlineStr">
        <is>
          <t>Clinic</t>
        </is>
      </c>
      <c r="N1904" s="18" t="inlineStr">
        <is>
          <t>ข้อ 50 (PLE_CC1_Key_Rx20_UBU.md)</t>
        </is>
      </c>
      <c r="O1904" s="18" t="inlineStr">
        <is>
          <t>Mock</t>
        </is>
      </c>
      <c r="P1904" s="18" t="inlineStr">
        <is>
          <t>Mock Rx20 UBU</t>
        </is>
      </c>
    </row>
    <row r="1905">
      <c r="A1905" s="15" t="inlineStr">
        <is>
          <t>1926</t>
        </is>
      </c>
      <c r="B1905" s="18" t="inlineStr">
        <is>
          <t>ลด Wash out period</t>
        </is>
      </c>
      <c r="C1905" s="18" t="inlineStr"/>
      <c r="D1905" s="18" t="inlineStr">
        <is>
          <t>Sodium thiosulfate 25% 50 mL IV</t>
        </is>
      </c>
      <c r="E1905" s="18" t="inlineStr">
        <is>
          <t>Calcium disodium EDTA 1 g IV</t>
        </is>
      </c>
      <c r="F1905" s="18" t="inlineStr">
        <is>
          <t>Desferrioxamine 1 g IM/IV</t>
        </is>
      </c>
      <c r="G1905" s="18" t="inlineStr">
        <is>
          <t>Dimercaprol (BAL) 3 mg/kg IM</t>
        </is>
      </c>
      <c r="H1905" s="18" t="inlineStr">
        <is>
          <t>Ethanol 10% IV infusion for Methanol poisoning</t>
        </is>
      </c>
      <c r="I1905" s="15" t="inlineStr">
        <is>
          <t>1</t>
        </is>
      </c>
      <c r="J19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5" s="18" t="inlineStr"/>
      <c r="L1905" s="18" t="inlineStr">
        <is>
          <t>General Therapeutics</t>
        </is>
      </c>
      <c r="M1905" s="18" t="inlineStr">
        <is>
          <t>Clinic</t>
        </is>
      </c>
      <c r="N1905" s="18" t="inlineStr">
        <is>
          <t>ข้อ 1 (PLE_CC1_Key_Rx20_UBU.md)</t>
        </is>
      </c>
      <c r="O1905" s="18" t="inlineStr">
        <is>
          <t>Mock</t>
        </is>
      </c>
      <c r="P1905" s="18" t="inlineStr">
        <is>
          <t>Mock Rx20 UBU</t>
        </is>
      </c>
    </row>
    <row r="1906">
      <c r="A1906" s="15" t="inlineStr">
        <is>
          <t>1927</t>
        </is>
      </c>
      <c r="B1906" s="18" t="inlineStr">
        <is>
          <t>เพิ่ม Wash out period</t>
        </is>
      </c>
      <c r="C1906" s="18" t="inlineStr"/>
      <c r="D1906" s="18" t="inlineStr">
        <is>
          <t>Dimercaprol (BAL) 3 mg/kg IM</t>
        </is>
      </c>
      <c r="E1906" s="18" t="inlineStr">
        <is>
          <t>Ethanol 10% IV infusion for Methanol poisoning</t>
        </is>
      </c>
      <c r="F1906" s="18" t="inlineStr">
        <is>
          <t>Fomepizole 15 mg/kg IV loading</t>
        </is>
      </c>
      <c r="G1906" s="18" t="inlineStr">
        <is>
          <t>N-acetylcysteine (NAC) IV infusion protocol</t>
        </is>
      </c>
      <c r="H1906" s="18" t="inlineStr">
        <is>
          <t>Atropine sulfate 2 mg IV Q5-10 min</t>
        </is>
      </c>
      <c r="I1906" s="15" t="inlineStr">
        <is>
          <t>1</t>
        </is>
      </c>
      <c r="J19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6" s="18" t="inlineStr"/>
      <c r="L1906" s="18" t="inlineStr">
        <is>
          <t>General Therapeutics</t>
        </is>
      </c>
      <c r="M1906" s="18" t="inlineStr">
        <is>
          <t>Clinic</t>
        </is>
      </c>
      <c r="N1906" s="18" t="inlineStr">
        <is>
          <t>ข้อ 2 (PLE_CC1_Key_Rx20_UBU.md)</t>
        </is>
      </c>
      <c r="O1906" s="18" t="inlineStr">
        <is>
          <t>Mock</t>
        </is>
      </c>
      <c r="P1906" s="18" t="inlineStr">
        <is>
          <t>Mock Rx20 UBU</t>
        </is>
      </c>
    </row>
    <row r="1907">
      <c r="A1907" s="15" t="inlineStr">
        <is>
          <t>1928</t>
        </is>
      </c>
      <c r="B1907" s="18" t="inlineStr">
        <is>
          <t>Ethyl cellulose</t>
        </is>
      </c>
      <c r="C1907" s="18" t="inlineStr"/>
      <c r="D1907" s="18" t="inlineStr">
        <is>
          <t>N-acetylcysteine (NAC) IV infusion protocol</t>
        </is>
      </c>
      <c r="E1907" s="18" t="inlineStr">
        <is>
          <t>Atropine sulfate 2 mg IV Q5-10 min</t>
        </is>
      </c>
      <c r="F1907" s="18" t="inlineStr">
        <is>
          <t>Pralidoxime (2-PAM) 1-2 g IV over 30 min</t>
        </is>
      </c>
      <c r="G1907" s="18" t="inlineStr">
        <is>
          <t>Naloxone 0.4 mg IV stat</t>
        </is>
      </c>
      <c r="H1907" s="18" t="inlineStr">
        <is>
          <t>Flumazenil 0.2 mg IV stat</t>
        </is>
      </c>
      <c r="I1907" s="15" t="inlineStr">
        <is>
          <t>1</t>
        </is>
      </c>
      <c r="J19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07" s="18" t="inlineStr"/>
      <c r="L1907" s="18" t="inlineStr">
        <is>
          <t>General Therapeutics</t>
        </is>
      </c>
      <c r="M1907" s="18" t="inlineStr">
        <is>
          <t>Clinic</t>
        </is>
      </c>
      <c r="N1907" s="18" t="inlineStr">
        <is>
          <t>ข้อ 3 (PLE_CC1_Key_Rx20_UBU.md)</t>
        </is>
      </c>
      <c r="O1907" s="18" t="inlineStr">
        <is>
          <t>Mock</t>
        </is>
      </c>
      <c r="P1907" s="18" t="inlineStr">
        <is>
          <t>Mock Rx20 UBU</t>
        </is>
      </c>
    </row>
    <row r="1908">
      <c r="A1908" s="15" t="inlineStr">
        <is>
          <t>1929</t>
        </is>
      </c>
      <c r="B1908" s="18" t="inlineStr">
        <is>
          <t>ได้รับยาทุกชนิดฟรี</t>
        </is>
      </c>
      <c r="C1908" s="18" t="inlineStr"/>
      <c r="D1908" s="18" t="inlineStr">
        <is>
          <t>Naloxone 0.4 mg IV stat</t>
        </is>
      </c>
      <c r="E1908" s="18" t="inlineStr">
        <is>
          <t>Flumazenil 0.2 mg IV stat</t>
        </is>
      </c>
      <c r="F1908" s="18" t="inlineStr">
        <is>
          <t>Vitamin K1 (Phytomenadione) 10 mg IV slow</t>
        </is>
      </c>
      <c r="G1908" s="18" t="inlineStr">
        <is>
          <t>Sodium thiosulfate 25% 50 mL IV</t>
        </is>
      </c>
      <c r="H1908" s="18" t="inlineStr">
        <is>
          <t>Calcium disodium EDTA 1 g IV</t>
        </is>
      </c>
      <c r="I1908" s="15" t="inlineStr">
        <is>
          <t>1</t>
        </is>
      </c>
      <c r="J19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8" s="18" t="inlineStr"/>
      <c r="L1908" s="18" t="inlineStr">
        <is>
          <t>General Therapeutics</t>
        </is>
      </c>
      <c r="M1908" s="18" t="inlineStr">
        <is>
          <t>Clinic</t>
        </is>
      </c>
      <c r="N1908" s="18" t="inlineStr">
        <is>
          <t>ข้อ 1 (PLE_CC1_Key_Rx20_UBU.md)</t>
        </is>
      </c>
      <c r="O1908" s="18" t="inlineStr">
        <is>
          <t>Mock</t>
        </is>
      </c>
      <c r="P1908" s="18" t="inlineStr">
        <is>
          <t>Mock Rx20 UBU</t>
        </is>
      </c>
    </row>
    <row r="1909">
      <c r="A1909" s="15" t="inlineStr">
        <is>
          <t>1930</t>
        </is>
      </c>
      <c r="B1909" s="18" t="inlineStr">
        <is>
          <t>ต้องจ่ายเงินค่ายาทั้งหมดร้อยละ 30</t>
        </is>
      </c>
      <c r="C1909" s="18" t="inlineStr"/>
      <c r="D1909" s="18" t="inlineStr">
        <is>
          <t>Sodium thiosulfate 25% 50 mL IV</t>
        </is>
      </c>
      <c r="E1909" s="18" t="inlineStr">
        <is>
          <t>Calcium disodium EDTA 1 g IV</t>
        </is>
      </c>
      <c r="F1909" s="18" t="inlineStr">
        <is>
          <t>Desferrioxamine 1 g IM/IV</t>
        </is>
      </c>
      <c r="G1909" s="18" t="inlineStr">
        <is>
          <t>Dimercaprol (BAL) 3 mg/kg IM</t>
        </is>
      </c>
      <c r="H1909" s="18" t="inlineStr">
        <is>
          <t>Ethanol 10% IV infusion for Methanol poisoning</t>
        </is>
      </c>
      <c r="I1909" s="15" t="inlineStr">
        <is>
          <t>1</t>
        </is>
      </c>
      <c r="J19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9" s="18" t="inlineStr"/>
      <c r="L1909" s="18" t="inlineStr">
        <is>
          <t>General Therapeutics</t>
        </is>
      </c>
      <c r="M1909" s="18" t="inlineStr">
        <is>
          <t>Clinic</t>
        </is>
      </c>
      <c r="N1909" s="18" t="inlineStr">
        <is>
          <t>ข้อ 2 (PLE_CC1_Key_Rx20_UBU.md)</t>
        </is>
      </c>
      <c r="O1909" s="18" t="inlineStr">
        <is>
          <t>Mock</t>
        </is>
      </c>
      <c r="P1909" s="18" t="inlineStr">
        <is>
          <t>Mock Rx20 UBU</t>
        </is>
      </c>
    </row>
    <row r="1910">
      <c r="A1910" s="15" t="inlineStr">
        <is>
          <t>1931</t>
        </is>
      </c>
      <c r="B1910" s="18" t="inlineStr">
        <is>
          <t>ไม่ต้องจ่ายเงินในยาที่อยู่ในบัญชียาหลัก จริงๆคือเสียค่ารักษาพยาบาล 30 บาท และยาที่ใช้รักษาที่จำเป็นมีอยู่ในบัญชียาหลัก</t>
        </is>
      </c>
      <c r="C1910" s="18" t="inlineStr"/>
      <c r="D1910" s="18" t="inlineStr">
        <is>
          <t>นโยบายการใช้ยาอย่างสมเหตุผล (Rational Drug Use: RDU Literacy)</t>
        </is>
      </c>
      <c r="E1910" s="18" t="inlineStr">
        <is>
          <t>การเฝ้าระวังการดื้อยาต้านจุลชีพ (Antimicrobial Stewardship: AMS Program)</t>
        </is>
      </c>
      <c r="F1910" s="18" t="inlineStr">
        <is>
          <t>ระบบส่งต่อและเชื่อมโยงเครือข่ายบริการสุขภาพ (Health Referral System)</t>
        </is>
      </c>
      <c r="G1910" s="18" t="inlineStr">
        <is>
          <t>ระบบหลักประกันสุขภาพถ้วนหน้า (Universal Health Coverage: UC)</t>
        </is>
      </c>
      <c r="H1910" s="18" t="inlineStr">
        <is>
          <t>ระบบประกันสังคม (Social Security Scheme: SSS)</t>
        </is>
      </c>
      <c r="I1910" s="15" t="inlineStr">
        <is>
          <t>1</t>
        </is>
      </c>
      <c r="J1910" s="18" t="inlineStr">
        <is>
          <t>✅ คำตอบที่ถูกต้อง: ข้อ ก. นโยบายการใช้ยาอย่างสมเหตุผล (Rational Drug Use: RDU Literacy)
💡 Background:
กฎหมายยาและจรรยาบรรณวิชาชีพมีขึ้นเพื่อคุ้มครองความปลอดภัยของผู้บริโภคตามมาตรฐาน Good Pharmacy Practice (GPP)
🎯 ทำไมข้อนี้ถึงถูก:
นโยบายการใช้ยาอย่างสมเหตุผล (Rational Drug Use: RDU Literacy) 💡 คำอธิบายและข้อกำหนดทางกฎหมาย:
💡 คำอธิบายและข้อกำหนดทางกฎหมาย:
🔍 ข้ออื่นผิดเพราะอะไร:
• ข้อ ข.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(ระบบส่งต่อและเชื่อมโยงเครือข่ายบริการสุขภาพ (Health Referral System)): ข้อนี้ไม่ใช่คำตอบที่ถูกต้องสำหรับภาวะ Administration &amp; System เนื่องจากกลไกการออกฤทธิ์, efficacy หรือข้อบ่งใช้ไม่ตรงกับโจทย์ที่กำหนด
• ข้อ ง. (ระบบหลักประกันสุขภาพถ้วนหน้า (Universal Health Coverage: UC)): ข้อนี้ไม่ใช่คำตอบที่ถูกต้องสำหรับภาวะ Administration &amp; System เนื่องจากกลไกการออกฤทธิ์, efficacy หรือข้อบ่งใช้ไม่ตรงกับโจทย์ที่กำหนด
• ข้อ จ.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0" s="18" t="inlineStr"/>
      <c r="L1910" s="18" t="inlineStr">
        <is>
          <t>Administration &amp; System</t>
        </is>
      </c>
      <c r="M1910" s="18" t="inlineStr">
        <is>
          <t>SAP</t>
        </is>
      </c>
      <c r="N1910" s="18" t="inlineStr">
        <is>
          <t>ข้อ 3 (PLE_CC1_Key_Rx20_UBU.md)</t>
        </is>
      </c>
      <c r="O1910" s="18" t="inlineStr">
        <is>
          <t>Mock</t>
        </is>
      </c>
      <c r="P1910" s="18" t="inlineStr">
        <is>
          <t>Mock Rx20 UBU</t>
        </is>
      </c>
    </row>
    <row r="1911">
      <c r="A1911" s="15" t="inlineStr">
        <is>
          <t>1932</t>
        </is>
      </c>
      <c r="B1911" s="18" t="inlineStr">
        <is>
          <t>เชื้อใดเป็นเชื้อสาเหตุก่อโรคในผู้ป่วยรายนี้</t>
        </is>
      </c>
      <c r="C1911" s="18" t="inlineStr"/>
      <c r="D1911" s="18" t="inlineStr">
        <is>
          <t>N-acetylcysteine (NAC) IV infusion protocol</t>
        </is>
      </c>
      <c r="E1911" s="18" t="inlineStr">
        <is>
          <t>Atropine sulfate 2 mg IV Q5-10 min</t>
        </is>
      </c>
      <c r="F1911" s="18" t="inlineStr">
        <is>
          <t>Pralidoxime (2-PAM) 1-2 g IV over 30 min</t>
        </is>
      </c>
      <c r="G1911" s="18" t="inlineStr">
        <is>
          <t>Naloxone 0.4 mg IV stat</t>
        </is>
      </c>
      <c r="H1911" s="18" t="inlineStr">
        <is>
          <t>Flumazenil 0.2 mg IV stat</t>
        </is>
      </c>
      <c r="I1911" s="15" t="inlineStr">
        <is>
          <t>1</t>
        </is>
      </c>
      <c r="J19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1" s="18" t="inlineStr"/>
      <c r="L1911" s="18" t="inlineStr">
        <is>
          <t>General Therapeutics</t>
        </is>
      </c>
      <c r="M1911" s="18" t="inlineStr">
        <is>
          <t>Clinic</t>
        </is>
      </c>
      <c r="N1911" s="18" t="inlineStr">
        <is>
          <t>ข้อ 53 (PLE_CC1_Key_Rx20_UBU.md)</t>
        </is>
      </c>
      <c r="O1911" s="18" t="inlineStr">
        <is>
          <t>Mock</t>
        </is>
      </c>
      <c r="P1911" s="18" t="inlineStr">
        <is>
          <t>Mock Rx20 UBU</t>
        </is>
      </c>
    </row>
    <row r="1912">
      <c r="A1912" s="15" t="inlineStr">
        <is>
          <t>1933</t>
        </is>
      </c>
      <c r="B1912" s="18" t="inlineStr">
        <is>
          <t>Malassezia furfur เชื้อในโรคเกลื้อน</t>
        </is>
      </c>
      <c r="C1912" s="18" t="inlineStr"/>
      <c r="D1912" s="18" t="inlineStr">
        <is>
          <t>Naloxone 0.4 mg IV stat</t>
        </is>
      </c>
      <c r="E1912" s="18" t="inlineStr">
        <is>
          <t>Flumazenil 0.2 mg IV stat</t>
        </is>
      </c>
      <c r="F1912" s="18" t="inlineStr">
        <is>
          <t>Vitamin K1 (Phytomenadione) 10 mg IV slow</t>
        </is>
      </c>
      <c r="G1912" s="18" t="inlineStr">
        <is>
          <t>Sodium thiosulfate 25% 50 mL IV</t>
        </is>
      </c>
      <c r="H1912" s="18" t="inlineStr">
        <is>
          <t>Calcium disodium EDTA 1 g IV</t>
        </is>
      </c>
      <c r="I1912" s="15" t="inlineStr">
        <is>
          <t>1</t>
        </is>
      </c>
      <c r="J19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2" s="18" t="inlineStr"/>
      <c r="L1912" s="18" t="inlineStr">
        <is>
          <t>General Therapeutics</t>
        </is>
      </c>
      <c r="M1912" s="18" t="inlineStr">
        <is>
          <t>Clinic</t>
        </is>
      </c>
      <c r="N1912" s="18" t="inlineStr">
        <is>
          <t>ข้อ 1 (PLE_CC1_Key_Rx20_UBU.md)</t>
        </is>
      </c>
      <c r="O1912" s="18" t="inlineStr">
        <is>
          <t>Mock</t>
        </is>
      </c>
      <c r="P1912" s="18" t="inlineStr">
        <is>
          <t>Mock Rx20 UBU</t>
        </is>
      </c>
    </row>
    <row r="1913">
      <c r="A1913" s="15" t="inlineStr">
        <is>
          <t>1934</t>
        </is>
      </c>
      <c r="B1913" s="18" t="inlineStr">
        <is>
          <t>Tinea solium ถ้าเป็น taenia solium คือพยาธิตืดหมู</t>
        </is>
      </c>
      <c r="C1913" s="18" t="inlineStr"/>
      <c r="D1913" s="18" t="inlineStr">
        <is>
          <t>Acyclovir 5% cream</t>
        </is>
      </c>
      <c r="E1913" s="18" t="inlineStr">
        <is>
          <t>Silver sulfadiazine 1% cream</t>
        </is>
      </c>
      <c r="F1913" s="18" t="inlineStr">
        <is>
          <t>Cetirizine 10 mg OD</t>
        </is>
      </c>
      <c r="G1913" s="18" t="inlineStr">
        <is>
          <t>Isotretinoin 10 mg OD</t>
        </is>
      </c>
      <c r="H1913" s="18" t="inlineStr">
        <is>
          <t>Terbinafine 1% cream</t>
        </is>
      </c>
      <c r="I1913" s="15" t="inlineStr">
        <is>
          <t>1</t>
        </is>
      </c>
      <c r="J1913" s="18"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913" s="18" t="inlineStr"/>
      <c r="L1913" s="18" t="inlineStr">
        <is>
          <t>Dermatologic Disorders</t>
        </is>
      </c>
      <c r="M1913" s="18" t="inlineStr">
        <is>
          <t>Clinic</t>
        </is>
      </c>
      <c r="N1913" s="18" t="inlineStr">
        <is>
          <t>ข้อ 2 (PLE_CC1_Key_Rx20_UBU.md)</t>
        </is>
      </c>
      <c r="O1913" s="18" t="inlineStr">
        <is>
          <t>Mock</t>
        </is>
      </c>
      <c r="P1913" s="18" t="inlineStr">
        <is>
          <t>Mock Rx20 UBU</t>
        </is>
      </c>
    </row>
    <row r="1914">
      <c r="A1914" s="15" t="inlineStr">
        <is>
          <t>1935</t>
        </is>
      </c>
      <c r="B1914" s="18" t="inlineStr">
        <is>
          <t>Tinea versicolor ชื่อโรคเกลื้อน</t>
        </is>
      </c>
      <c r="C1914" s="18" t="inlineStr"/>
      <c r="D1914" s="18" t="inlineStr">
        <is>
          <t>Isotretinoin 10 mg OD</t>
        </is>
      </c>
      <c r="E1914" s="18" t="inlineStr">
        <is>
          <t>Terbinafine 1% cream</t>
        </is>
      </c>
      <c r="F1914" s="18" t="inlineStr">
        <is>
          <t>Adapalene 0.1% gel</t>
        </is>
      </c>
      <c r="G1914" s="18" t="inlineStr">
        <is>
          <t>Mupirocin 2% ointment</t>
        </is>
      </c>
      <c r="H1914" s="18" t="inlineStr">
        <is>
          <t>Betamethasone dipropionate 0.05% cream</t>
        </is>
      </c>
      <c r="I1914" s="15" t="inlineStr">
        <is>
          <t>1</t>
        </is>
      </c>
      <c r="J1914" s="18" t="inlineStr">
        <is>
          <t>✅ คำตอบที่ถูกต้อง: ข้อ ก. Isotretinoin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Isotretinoin 10 mg OD
🔍 ข้ออื่นผิดเพราะอะไร:
• ข้อ ข.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ค.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ง.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4" s="18" t="inlineStr"/>
      <c r="L1914" s="18" t="inlineStr">
        <is>
          <t>Dermatologic Disorders</t>
        </is>
      </c>
      <c r="M1914" s="18" t="inlineStr">
        <is>
          <t>Clinic</t>
        </is>
      </c>
      <c r="N1914" s="18" t="inlineStr">
        <is>
          <t>ข้อ 3 (PLE_CC1_Key_Rx20_UBU.md)</t>
        </is>
      </c>
      <c r="O1914" s="18" t="inlineStr">
        <is>
          <t>Mock</t>
        </is>
      </c>
      <c r="P1914" s="18" t="inlineStr">
        <is>
          <t>Mock Rx20 UBU</t>
        </is>
      </c>
    </row>
    <row r="1915">
      <c r="A1915" s="15" t="inlineStr">
        <is>
          <t>1936</t>
        </is>
      </c>
      <c r="B1915" s="18" t="inlineStr">
        <is>
          <t>Trichomonas vaginalis เชื้อพยาธิช่องคลอด</t>
        </is>
      </c>
      <c r="C1915" s="18" t="inlineStr"/>
      <c r="D1915" s="18" t="inlineStr">
        <is>
          <t>N-acetylcysteine (NAC) IV infusion protocol</t>
        </is>
      </c>
      <c r="E1915" s="18" t="inlineStr">
        <is>
          <t>Atropine sulfate 2 mg IV Q5-10 min</t>
        </is>
      </c>
      <c r="F1915" s="18" t="inlineStr">
        <is>
          <t>Pralidoxime (2-PAM) 1-2 g IV over 30 min</t>
        </is>
      </c>
      <c r="G1915" s="18" t="inlineStr">
        <is>
          <t>Naloxone 0.4 mg IV stat</t>
        </is>
      </c>
      <c r="H1915" s="18" t="inlineStr">
        <is>
          <t>Flumazenil 0.2 mg IV stat</t>
        </is>
      </c>
      <c r="I1915" s="15" t="inlineStr">
        <is>
          <t>1</t>
        </is>
      </c>
      <c r="J19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5" s="18" t="inlineStr"/>
      <c r="L1915" s="18" t="inlineStr">
        <is>
          <t>General Therapeutics</t>
        </is>
      </c>
      <c r="M1915" s="18" t="inlineStr">
        <is>
          <t>Clinic</t>
        </is>
      </c>
      <c r="N1915" s="18" t="inlineStr">
        <is>
          <t>ข้อ 4 (PLE_CC1_Key_Rx20_UBU.md)</t>
        </is>
      </c>
      <c r="O1915" s="18" t="inlineStr">
        <is>
          <t>Mock</t>
        </is>
      </c>
      <c r="P1915" s="18" t="inlineStr">
        <is>
          <t>Mock Rx20 UBU</t>
        </is>
      </c>
    </row>
    <row r="1916">
      <c r="A1916" s="15" t="inlineStr">
        <is>
          <t>1937</t>
        </is>
      </c>
      <c r="B1916" s="18" t="inlineStr">
        <is>
          <t>Trichophyton rubrum เป็นกลากจากอาการแสดง วงขอบแดง มีขุย คันมาก -</t>
        </is>
      </c>
      <c r="C1916" s="18" t="inlineStr"/>
      <c r="D1916" s="18" t="inlineStr">
        <is>
          <t>Naloxone 0.4 mg IV stat</t>
        </is>
      </c>
      <c r="E1916" s="18" t="inlineStr">
        <is>
          <t>Flumazenil 0.2 mg IV stat</t>
        </is>
      </c>
      <c r="F1916" s="18" t="inlineStr">
        <is>
          <t>Vitamin K1 (Phytomenadione) 10 mg IV slow</t>
        </is>
      </c>
      <c r="G1916" s="18" t="inlineStr">
        <is>
          <t>Sodium thiosulfate 25% 50 mL IV</t>
        </is>
      </c>
      <c r="H1916" s="18" t="inlineStr">
        <is>
          <t>Calcium disodium EDTA 1 g IV</t>
        </is>
      </c>
      <c r="I1916" s="15" t="inlineStr">
        <is>
          <t>1</t>
        </is>
      </c>
      <c r="J19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6" s="18" t="inlineStr"/>
      <c r="L1916" s="18" t="inlineStr">
        <is>
          <t>General Therapeutics</t>
        </is>
      </c>
      <c r="M1916" s="18" t="inlineStr">
        <is>
          <t>Clinic</t>
        </is>
      </c>
      <c r="N1916" s="18" t="inlineStr">
        <is>
          <t>ข้อ 5 (PLE_CC1_Key_Rx20_UBU.md)</t>
        </is>
      </c>
      <c r="O1916" s="18" t="inlineStr">
        <is>
          <t>Mock</t>
        </is>
      </c>
      <c r="P1916" s="18" t="inlineStr">
        <is>
          <t>Mock Rx20 UBU</t>
        </is>
      </c>
    </row>
    <row r="1917">
      <c r="A1917" s="15" t="inlineStr">
        <is>
          <t>1938</t>
        </is>
      </c>
      <c r="B1917" s="18" t="inlineStr">
        <is>
          <t>หากใช้ยา ketoconazole ต้อง monitor อะไร</t>
        </is>
      </c>
      <c r="C1917" s="18" t="inlineStr"/>
      <c r="D1917" s="18" t="inlineStr">
        <is>
          <t>Ketoconazole 2% shampoo</t>
        </is>
      </c>
      <c r="E1917" s="18" t="inlineStr">
        <is>
          <t>Benzoyl peroxide 2.5% gel</t>
        </is>
      </c>
      <c r="F1917" s="18" t="inlineStr">
        <is>
          <t>Acyclovir 5% cream</t>
        </is>
      </c>
      <c r="G1917" s="18" t="inlineStr">
        <is>
          <t>Silver sulfadiazine 1% cream</t>
        </is>
      </c>
      <c r="H1917" s="18" t="inlineStr">
        <is>
          <t>Cetirizine 10 mg OD</t>
        </is>
      </c>
      <c r="I1917" s="15" t="inlineStr">
        <is>
          <t>1</t>
        </is>
      </c>
      <c r="J1917" s="18" t="inlineStr">
        <is>
          <t>✅ คำตอบที่ถูกต้อง: ข้อ ก. Ketoconazole 2% shampoo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Ketoconazole 2% shampoo
🔍 ข้ออื่นผิดเพราะอะไร: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7" s="18" t="inlineStr"/>
      <c r="L1917" s="18" t="inlineStr">
        <is>
          <t>Dermatologic Disorders</t>
        </is>
      </c>
      <c r="M1917" s="18" t="inlineStr">
        <is>
          <t>Clinic</t>
        </is>
      </c>
      <c r="N1917" s="18" t="inlineStr">
        <is>
          <t>ข้อ 56 (PLE_CC1_Key_Rx20_UBU.md)</t>
        </is>
      </c>
      <c r="O1917" s="18" t="inlineStr">
        <is>
          <t>Mock</t>
        </is>
      </c>
      <c r="P1917" s="18" t="inlineStr">
        <is>
          <t>Mock Rx20 UBU</t>
        </is>
      </c>
    </row>
    <row r="1918">
      <c r="A1918" s="15" t="inlineStr">
        <is>
          <t>1939</t>
        </is>
      </c>
      <c r="B1918" s="18" t="inlineStr">
        <is>
          <t>Liver function test</t>
        </is>
      </c>
      <c r="C1918" s="18" t="inlineStr"/>
      <c r="D1918" s="18" t="inlineStr">
        <is>
          <t>Dimercaprol (BAL) 3 mg/kg IM</t>
        </is>
      </c>
      <c r="E1918" s="18" t="inlineStr">
        <is>
          <t>Ethanol 10% IV infusion for Methanol poisoning</t>
        </is>
      </c>
      <c r="F1918" s="18" t="inlineStr">
        <is>
          <t>Fomepizole 15 mg/kg IV loading</t>
        </is>
      </c>
      <c r="G1918" s="18" t="inlineStr">
        <is>
          <t>N-acetylcysteine (NAC) IV infusion protocol</t>
        </is>
      </c>
      <c r="H1918" s="18" t="inlineStr">
        <is>
          <t>Atropine sulfate 2 mg IV Q5-10 min</t>
        </is>
      </c>
      <c r="I1918" s="15" t="inlineStr">
        <is>
          <t>1</t>
        </is>
      </c>
      <c r="J19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8" s="18" t="inlineStr"/>
      <c r="L1918" s="18" t="inlineStr">
        <is>
          <t>General Therapeutics</t>
        </is>
      </c>
      <c r="M1918" s="18" t="inlineStr">
        <is>
          <t>Clinic</t>
        </is>
      </c>
      <c r="N1918" s="18" t="inlineStr">
        <is>
          <t>ข้อ 1 (PLE_CC1_Key_Rx20_UBU.md)</t>
        </is>
      </c>
      <c r="O1918" s="18" t="inlineStr">
        <is>
          <t>Mock</t>
        </is>
      </c>
      <c r="P1918" s="18" t="inlineStr">
        <is>
          <t>Mock Rx20 UBU</t>
        </is>
      </c>
    </row>
    <row r="1919">
      <c r="A1919" s="15" t="inlineStr">
        <is>
          <t>1940</t>
        </is>
      </c>
      <c r="B1919" s="18" t="inlineStr">
        <is>
          <t>ยา Ketoconazole มีปัญหาอันตรกิริยากับยาใดต่อไปนี้น้อยที่สุด</t>
        </is>
      </c>
      <c r="C1919" s="18" t="inlineStr"/>
      <c r="D1919" s="18" t="inlineStr">
        <is>
          <t>Terbinafine 1% cream</t>
        </is>
      </c>
      <c r="E1919" s="18" t="inlineStr">
        <is>
          <t>Adapalene 0.1% gel</t>
        </is>
      </c>
      <c r="F1919" s="18" t="inlineStr">
        <is>
          <t>Mupirocin 2% ointment</t>
        </is>
      </c>
      <c r="G1919" s="18" t="inlineStr">
        <is>
          <t>Betamethasone dipropionate 0.05% cream</t>
        </is>
      </c>
      <c r="H1919" s="18" t="inlineStr">
        <is>
          <t>Clotrimazole 1% cream</t>
        </is>
      </c>
      <c r="I1919" s="15" t="inlineStr">
        <is>
          <t>1</t>
        </is>
      </c>
      <c r="J1919" s="18"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9" s="18" t="inlineStr"/>
      <c r="L1919" s="18" t="inlineStr">
        <is>
          <t>Dermatologic Disorders</t>
        </is>
      </c>
      <c r="M1919" s="18" t="inlineStr">
        <is>
          <t>Clinic</t>
        </is>
      </c>
      <c r="N1919" s="18" t="inlineStr">
        <is>
          <t>ข้อ 56 (PLE_CC1_Key_Rx20_UBU.md)</t>
        </is>
      </c>
      <c r="O1919" s="18" t="inlineStr">
        <is>
          <t>Mock</t>
        </is>
      </c>
      <c r="P1919" s="18" t="inlineStr">
        <is>
          <t>Mock Rx20 UBU</t>
        </is>
      </c>
    </row>
    <row r="1920">
      <c r="A1920" s="15" t="inlineStr">
        <is>
          <t>1941</t>
        </is>
      </c>
      <c r="B1920" s="18" t="inlineStr">
        <is>
          <t>ที่ pH ต่ำและอุณหภูมิสูง มีอัตราการสลายตัวต่ำกว่าที่ pH สูงและอุณหภูมิต่ำ</t>
        </is>
      </c>
      <c r="C1920" s="18" t="inlineStr"/>
      <c r="D1920" s="18" t="inlineStr">
        <is>
          <t>Naloxone 0.4 mg IV stat</t>
        </is>
      </c>
      <c r="E1920" s="18" t="inlineStr">
        <is>
          <t>Flumazenil 0.2 mg IV stat</t>
        </is>
      </c>
      <c r="F1920" s="18" t="inlineStr">
        <is>
          <t>Vitamin K1 (Phytomenadione) 10 mg IV slow</t>
        </is>
      </c>
      <c r="G1920" s="18" t="inlineStr">
        <is>
          <t>Sodium thiosulfate 25% 50 mL IV</t>
        </is>
      </c>
      <c r="H1920" s="18" t="inlineStr">
        <is>
          <t>Calcium disodium EDTA 1 g IV</t>
        </is>
      </c>
      <c r="I1920" s="15" t="inlineStr">
        <is>
          <t>1</t>
        </is>
      </c>
      <c r="J19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0" s="18" t="inlineStr"/>
      <c r="L1920" s="18" t="inlineStr">
        <is>
          <t>General Therapeutics</t>
        </is>
      </c>
      <c r="M1920" s="18" t="inlineStr">
        <is>
          <t>Clinic</t>
        </is>
      </c>
      <c r="N1920" s="18" t="inlineStr">
        <is>
          <t>ข้อ 1 (PLE_CC1_Key_Rx20_UBU.md)</t>
        </is>
      </c>
      <c r="O1920" s="18" t="inlineStr">
        <is>
          <t>Mock</t>
        </is>
      </c>
      <c r="P1920" s="18" t="inlineStr">
        <is>
          <t>Mock Rx20 UBU</t>
        </is>
      </c>
    </row>
    <row r="1921">
      <c r="A1921" s="15" t="inlineStr">
        <is>
          <t>1942</t>
        </is>
      </c>
      <c r="B1921" s="18" t="inlineStr">
        <is>
          <t>ที่ pH 5-9 สารมีความคงตัวที่ temp 25 องศา นานไม่เกิน 6 เดือน</t>
        </is>
      </c>
      <c r="C1921" s="18" t="inlineStr"/>
      <c r="D1921" s="18" t="inlineStr">
        <is>
          <t>Differential Scanning Calorimetry (DSC) Polymorphism</t>
        </is>
      </c>
      <c r="E1921" s="18" t="inlineStr">
        <is>
          <t>Moisture Sorption Isotherm analysis</t>
        </is>
      </c>
      <c r="F1921" s="18" t="inlineStr">
        <is>
          <t>Good Manufacturing Practice (GMP PIC/S)</t>
        </is>
      </c>
      <c r="G1921" s="18" t="inlineStr">
        <is>
          <t>Standard Operating Procedure (SOP) Validation</t>
        </is>
      </c>
      <c r="H1921" s="18" t="inlineStr">
        <is>
          <t>High-Density Polyethylene (HDPE) Container</t>
        </is>
      </c>
      <c r="I1921" s="15" t="inlineStr">
        <is>
          <t>1</t>
        </is>
      </c>
      <c r="J1921" s="18"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1" s="18" t="inlineStr"/>
      <c r="L1921" s="18" t="inlineStr">
        <is>
          <t>Preformulation &amp; Stability</t>
        </is>
      </c>
      <c r="M1921" s="18" t="inlineStr">
        <is>
          <t>Product</t>
        </is>
      </c>
      <c r="N1921" s="18" t="inlineStr">
        <is>
          <t>ข้อ 2 (PLE_CC1_Key_Rx20_UBU.md)</t>
        </is>
      </c>
      <c r="O1921" s="18" t="inlineStr">
        <is>
          <t>Mock</t>
        </is>
      </c>
      <c r="P1921" s="18" t="inlineStr">
        <is>
          <t>Mock Rx20 UBU</t>
        </is>
      </c>
    </row>
    <row r="1922">
      <c r="A1922" s="15" t="inlineStr">
        <is>
          <t>1943</t>
        </is>
      </c>
      <c r="B1922" s="18" t="inlineStr">
        <is>
          <t>ที่ pH 1,2,3 มีความคงตัวมากตามลำดับ</t>
        </is>
      </c>
      <c r="C1922" s="18" t="inlineStr"/>
      <c r="D1922" s="18" t="inlineStr">
        <is>
          <t>Standard Operating Procedure (SOP) Validation</t>
        </is>
      </c>
      <c r="E1922" s="18" t="inlineStr">
        <is>
          <t>High-Density Polyethylene (HDPE) Container</t>
        </is>
      </c>
      <c r="F1922" s="18" t="inlineStr">
        <is>
          <t>Type I Borosilicate Glass Ampoule</t>
        </is>
      </c>
      <c r="G1922" s="18" t="inlineStr">
        <is>
          <t>Accelerated Stability Testing (40 C / 75% RH)</t>
        </is>
      </c>
      <c r="H1922" s="18" t="inlineStr">
        <is>
          <t>Long-term Stability Testing (30 C / 65% RH)</t>
        </is>
      </c>
      <c r="I1922" s="15" t="inlineStr">
        <is>
          <t>1</t>
        </is>
      </c>
      <c r="J1922" s="18"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2" s="18" t="inlineStr"/>
      <c r="L1922" s="18" t="inlineStr">
        <is>
          <t>Preformulation &amp; Stability</t>
        </is>
      </c>
      <c r="M1922" s="18" t="inlineStr">
        <is>
          <t>Product</t>
        </is>
      </c>
      <c r="N1922" s="18" t="inlineStr">
        <is>
          <t>ข้อ 3 (PLE_CC1_Key_Rx20_UBU.md)</t>
        </is>
      </c>
      <c r="O1922" s="18" t="inlineStr">
        <is>
          <t>Mock</t>
        </is>
      </c>
      <c r="P1922" s="18" t="inlineStr">
        <is>
          <t>Mock Rx20 UBU</t>
        </is>
      </c>
    </row>
    <row r="1923">
      <c r="A1923" s="15" t="inlineStr">
        <is>
          <t>1944</t>
        </is>
      </c>
      <c r="B1923" s="18" t="inlineStr">
        <is>
          <t>Leucoverin คือ folinic acid สำหรับ 5FU และ MTX</t>
        </is>
      </c>
      <c r="C1923" s="18" t="inlineStr"/>
      <c r="D1923" s="18" t="inlineStr">
        <is>
          <t>N-acetylcysteine (NAC) IV infusion protocol</t>
        </is>
      </c>
      <c r="E1923" s="18" t="inlineStr">
        <is>
          <t>Atropine sulfate 2 mg IV Q5-10 min</t>
        </is>
      </c>
      <c r="F1923" s="18" t="inlineStr">
        <is>
          <t>Pralidoxime (2-PAM) 1-2 g IV over 30 min</t>
        </is>
      </c>
      <c r="G1923" s="18" t="inlineStr">
        <is>
          <t>Naloxone 0.4 mg IV stat</t>
        </is>
      </c>
      <c r="H1923" s="18" t="inlineStr">
        <is>
          <t>Flumazenil 0.2 mg IV stat</t>
        </is>
      </c>
      <c r="I1923" s="15" t="inlineStr">
        <is>
          <t>1</t>
        </is>
      </c>
      <c r="J19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3" s="18" t="inlineStr"/>
      <c r="L1923" s="18" t="inlineStr">
        <is>
          <t>General Therapeutics</t>
        </is>
      </c>
      <c r="M1923" s="18" t="inlineStr">
        <is>
          <t>Clinic</t>
        </is>
      </c>
      <c r="N1923" s="18" t="inlineStr">
        <is>
          <t>ข้อ 2 (PLE_CC1_Key_Rx20_UBU.md)</t>
        </is>
      </c>
      <c r="O1923" s="18" t="inlineStr">
        <is>
          <t>Mock</t>
        </is>
      </c>
      <c r="P1923" s="18" t="inlineStr">
        <is>
          <t>Mock Rx20 UBU</t>
        </is>
      </c>
    </row>
    <row r="1924">
      <c r="A1924" s="15" t="inlineStr">
        <is>
          <t>1945</t>
        </is>
      </c>
      <c r="B1924" s="18" t="inlineStr">
        <is>
          <t>Dimercarpol antidote (chelate) โลหะหนัก เช่น Mercury As Gold &amp;</t>
        </is>
      </c>
      <c r="C1924" s="18" t="inlineStr"/>
      <c r="D1924" s="18" t="inlineStr">
        <is>
          <t>Naloxone 0.4 mg IV stat</t>
        </is>
      </c>
      <c r="E1924" s="18" t="inlineStr">
        <is>
          <t>Flumazenil 0.2 mg IV stat</t>
        </is>
      </c>
      <c r="F1924" s="18" t="inlineStr">
        <is>
          <t>Vitamin K1 (Phytomenadione) 10 mg IV slow</t>
        </is>
      </c>
      <c r="G1924" s="18" t="inlineStr">
        <is>
          <t>Sodium thiosulfate 25% 50 mL IV</t>
        </is>
      </c>
      <c r="H1924" s="18" t="inlineStr">
        <is>
          <t>Calcium disodium EDTA 1 g IV</t>
        </is>
      </c>
      <c r="I1924" s="15" t="inlineStr">
        <is>
          <t>1</t>
        </is>
      </c>
      <c r="J1924" s="18" t="inlineStr">
        <is>
          <t>✅ คำตอบที่ถูกต้อง: ข้อ ก. Naloxone 0.4 mg IV stat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4" s="18" t="inlineStr"/>
      <c r="L1924" s="18" t="inlineStr">
        <is>
          <t>Toxicology &amp; Antidote</t>
        </is>
      </c>
      <c r="M1924" s="18" t="inlineStr">
        <is>
          <t>Clinic</t>
        </is>
      </c>
      <c r="N1924" s="18" t="inlineStr">
        <is>
          <t>ข้อ 3 (PLE_CC1_Key_Rx20_UBU.md)</t>
        </is>
      </c>
      <c r="O1924" s="18" t="inlineStr">
        <is>
          <t>Mock</t>
        </is>
      </c>
      <c r="P1924" s="18" t="inlineStr">
        <is>
          <t>Mock Rx20 UBU</t>
        </is>
      </c>
    </row>
    <row r="1925">
      <c r="A1925" s="15" t="inlineStr">
        <is>
          <t>1946</t>
        </is>
      </c>
      <c r="B1925" s="18" t="inlineStr">
        <is>
          <t>ปรับ pH ของสารละลายใน medium</t>
        </is>
      </c>
      <c r="C1925" s="18" t="inlineStr"/>
      <c r="D1925" s="18" t="inlineStr">
        <is>
          <t>บัญชียาหลักแห่งชาติ (National List of Essential Medicines: NLEM)</t>
        </is>
      </c>
      <c r="E1925" s="18" t="inlineStr">
        <is>
          <t>เกณฑ์จริยธรรมว่าด้วยการส่งเสริมการขายยาของกระทรวงสาธารณสุข</t>
        </is>
      </c>
      <c r="F1925" s="18" t="inlineStr">
        <is>
          <t>พ.ร.บ. ยา พ.ศ. 2510 (การจำหน่ายยาอันตรายและยาควบคุมพิเศษ)</t>
        </is>
      </c>
      <c r="G1925" s="18" t="inlineStr">
        <is>
          <t>พ.ร.บ. ยาเสพติดให้โทษ พ.ศ. 2522 (ยาเสพติดให้โทษประเภท 2 และ 3)</t>
        </is>
      </c>
      <c r="H1925" s="18" t="inlineStr">
        <is>
          <t>พ.ร.บ. วัตถุที่ออกฤทธิ์ต่อจิตและประสาท พ.ศ. 2559 (ประเภท 2 และ 4)</t>
        </is>
      </c>
      <c r="I1925" s="15" t="inlineStr">
        <is>
          <t>1</t>
        </is>
      </c>
      <c r="J1925"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5" s="18" t="inlineStr"/>
      <c r="L1925" s="18" t="inlineStr">
        <is>
          <t>Pharmacy Laws &amp; Ethics</t>
        </is>
      </c>
      <c r="M1925" s="18" t="inlineStr">
        <is>
          <t>SAP</t>
        </is>
      </c>
      <c r="N1925" s="18" t="inlineStr">
        <is>
          <t>ข้อ 3 (PLE_CC1_Key_Rx20_UBU.md)</t>
        </is>
      </c>
      <c r="O1925" s="18" t="inlineStr">
        <is>
          <t>Mock</t>
        </is>
      </c>
      <c r="P1925" s="18" t="inlineStr">
        <is>
          <t>Mock Rx20 UBU</t>
        </is>
      </c>
    </row>
    <row r="1926">
      <c r="A1926" s="15" t="inlineStr">
        <is>
          <t>1947</t>
        </is>
      </c>
      <c r="B1926" s="18" t="inlineStr">
        <is>
          <t>ป้องกันการตกตะกอนใน medium</t>
        </is>
      </c>
      <c r="C1926" s="18" t="inlineStr"/>
      <c r="D1926" s="18" t="inlineStr">
        <is>
          <t>Dimercaprol (BAL) 3 mg/kg IM</t>
        </is>
      </c>
      <c r="E1926" s="18" t="inlineStr">
        <is>
          <t>Ethanol 10% IV infusion for Methanol poisoning</t>
        </is>
      </c>
      <c r="F1926" s="18" t="inlineStr">
        <is>
          <t>Fomepizole 15 mg/kg IV loading</t>
        </is>
      </c>
      <c r="G1926" s="18" t="inlineStr">
        <is>
          <t>N-acetylcysteine (NAC) IV infusion protocol</t>
        </is>
      </c>
      <c r="H1926" s="18" t="inlineStr">
        <is>
          <t>Atropine sulfate 2 mg IV Q5-10 min</t>
        </is>
      </c>
      <c r="I1926" s="15" t="inlineStr">
        <is>
          <t>1</t>
        </is>
      </c>
      <c r="J19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6" s="18" t="inlineStr"/>
      <c r="L1926" s="18" t="inlineStr">
        <is>
          <t>General Therapeutics</t>
        </is>
      </c>
      <c r="M1926" s="18" t="inlineStr">
        <is>
          <t>Clinic</t>
        </is>
      </c>
      <c r="N1926" s="18" t="inlineStr">
        <is>
          <t>ข้อ 4 (PLE_CC1_Key_Rx20_UBU.md)</t>
        </is>
      </c>
      <c r="O1926" s="18" t="inlineStr">
        <is>
          <t>Mock</t>
        </is>
      </c>
      <c r="P1926" s="18" t="inlineStr">
        <is>
          <t>Mock Rx20 UBU</t>
        </is>
      </c>
    </row>
    <row r="1927">
      <c r="A1927" s="15" t="inlineStr">
        <is>
          <t>1948</t>
        </is>
      </c>
      <c r="B1927" s="18" t="inlineStr">
        <is>
          <t>เป็น chelating agent เพื่อให้ได้ตัวยาในการนำไปวิเคราะห์ทาง assay</t>
        </is>
      </c>
      <c r="C1927" s="18" t="inlineStr"/>
      <c r="D1927" s="18" t="inlineStr">
        <is>
          <t>N-acetylcysteine (NAC) IV infusion protocol</t>
        </is>
      </c>
      <c r="E1927" s="18" t="inlineStr">
        <is>
          <t>Atropine sulfate 2 mg IV Q5-10 min</t>
        </is>
      </c>
      <c r="F1927" s="18" t="inlineStr">
        <is>
          <t>Pralidoxime (2-PAM) 1-2 g IV over 30 min</t>
        </is>
      </c>
      <c r="G1927" s="18" t="inlineStr">
        <is>
          <t>Naloxone 0.4 mg IV stat</t>
        </is>
      </c>
      <c r="H1927" s="18" t="inlineStr">
        <is>
          <t>Flumazenil 0.2 mg IV stat</t>
        </is>
      </c>
      <c r="I1927" s="15" t="inlineStr">
        <is>
          <t>1</t>
        </is>
      </c>
      <c r="J19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7" s="18" t="inlineStr"/>
      <c r="L1927" s="18" t="inlineStr">
        <is>
          <t>General Therapeutics</t>
        </is>
      </c>
      <c r="M1927" s="18" t="inlineStr">
        <is>
          <t>Clinic</t>
        </is>
      </c>
      <c r="N1927" s="18" t="inlineStr">
        <is>
          <t>ข้อ 5 (PLE_CC1_Key_Rx20_UBU.md)</t>
        </is>
      </c>
      <c r="O1927" s="18" t="inlineStr">
        <is>
          <t>Mock</t>
        </is>
      </c>
      <c r="P1927" s="18" t="inlineStr">
        <is>
          <t>Mock Rx20 UBU</t>
        </is>
      </c>
    </row>
    <row r="1928">
      <c r="A1928" s="15" t="inlineStr">
        <is>
          <t>1949</t>
        </is>
      </c>
      <c r="B1928" s="18" t="inlineStr">
        <is>
          <t>เขียนว่ามีเภสัชอยู่ตลอดวัน</t>
        </is>
      </c>
      <c r="C1928" s="18" t="inlineStr"/>
      <c r="D1928" s="18" t="inlineStr">
        <is>
          <t>Naloxone 0.4 mg IV stat</t>
        </is>
      </c>
      <c r="E1928" s="18" t="inlineStr">
        <is>
          <t>Flumazenil 0.2 mg IV stat</t>
        </is>
      </c>
      <c r="F1928" s="18" t="inlineStr">
        <is>
          <t>Vitamin K1 (Phytomenadione) 10 mg IV slow</t>
        </is>
      </c>
      <c r="G1928" s="18" t="inlineStr">
        <is>
          <t>Sodium thiosulfate 25% 50 mL IV</t>
        </is>
      </c>
      <c r="H1928" s="18" t="inlineStr">
        <is>
          <t>Calcium disodium EDTA 1 g IV</t>
        </is>
      </c>
      <c r="I1928" s="15" t="inlineStr">
        <is>
          <t>1</t>
        </is>
      </c>
      <c r="J19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8" s="18" t="inlineStr"/>
      <c r="L1928" s="18" t="inlineStr">
        <is>
          <t>General Therapeutics</t>
        </is>
      </c>
      <c r="M1928" s="18" t="inlineStr">
        <is>
          <t>Clinic</t>
        </is>
      </c>
      <c r="N1928" s="18" t="inlineStr">
        <is>
          <t>ข้อ 1 (PLE_CC1_Key_Rx20_UBU.md)</t>
        </is>
      </c>
      <c r="O1928" s="18" t="inlineStr">
        <is>
          <t>Mock</t>
        </is>
      </c>
      <c r="P1928" s="18" t="inlineStr">
        <is>
          <t>Mock Rx20 UBU</t>
        </is>
      </c>
    </row>
    <row r="1929">
      <c r="A1929" s="15" t="inlineStr">
        <is>
          <t>1950</t>
        </is>
      </c>
      <c r="B1929" s="18" t="inlineStr">
        <is>
          <t>เขียนว่ามีเภสัชอยู่ 24 ชั่วโมง</t>
        </is>
      </c>
      <c r="C1929" s="18" t="inlineStr"/>
      <c r="D1929" s="18" t="inlineStr">
        <is>
          <t>Sodium thiosulfate 25% 50 mL IV</t>
        </is>
      </c>
      <c r="E1929" s="18" t="inlineStr">
        <is>
          <t>Calcium disodium EDTA 1 g IV</t>
        </is>
      </c>
      <c r="F1929" s="18" t="inlineStr">
        <is>
          <t>Desferrioxamine 1 g IM/IV</t>
        </is>
      </c>
      <c r="G1929" s="18" t="inlineStr">
        <is>
          <t>Dimercaprol (BAL) 3 mg/kg IM</t>
        </is>
      </c>
      <c r="H1929" s="18" t="inlineStr">
        <is>
          <t>Ethanol 10% IV infusion for Methanol poisoning</t>
        </is>
      </c>
      <c r="I1929" s="15" t="inlineStr">
        <is>
          <t>1</t>
        </is>
      </c>
      <c r="J19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9" s="18" t="inlineStr"/>
      <c r="L1929" s="18" t="inlineStr">
        <is>
          <t>General Therapeutics</t>
        </is>
      </c>
      <c r="M1929" s="18" t="inlineStr">
        <is>
          <t>Clinic</t>
        </is>
      </c>
      <c r="N1929" s="18" t="inlineStr">
        <is>
          <t>ข้อ 2 (PLE_CC1_Key_Rx20_UBU.md)</t>
        </is>
      </c>
      <c r="O1929" s="18" t="inlineStr">
        <is>
          <t>Mock</t>
        </is>
      </c>
      <c r="P1929" s="18" t="inlineStr">
        <is>
          <t>Mock Rx20 UBU</t>
        </is>
      </c>
    </row>
    <row r="1930">
      <c r="A1930" s="15" t="inlineStr">
        <is>
          <t>1951</t>
        </is>
      </c>
      <c r="B1930" s="18" t="inlineStr">
        <is>
          <t>เขียนว่ามีเภสัชทำงาน fill time</t>
        </is>
      </c>
      <c r="C1930" s="18" t="inlineStr"/>
      <c r="D1930" s="18" t="inlineStr">
        <is>
          <t>Dimercaprol (BAL) 3 mg/kg IM</t>
        </is>
      </c>
      <c r="E1930" s="18" t="inlineStr">
        <is>
          <t>Ethanol 10% IV infusion for Methanol poisoning</t>
        </is>
      </c>
      <c r="F1930" s="18" t="inlineStr">
        <is>
          <t>Fomepizole 15 mg/kg IV loading</t>
        </is>
      </c>
      <c r="G1930" s="18" t="inlineStr">
        <is>
          <t>N-acetylcysteine (NAC) IV infusion protocol</t>
        </is>
      </c>
      <c r="H1930" s="18" t="inlineStr">
        <is>
          <t>Atropine sulfate 2 mg IV Q5-10 min</t>
        </is>
      </c>
      <c r="I1930" s="15" t="inlineStr">
        <is>
          <t>1</t>
        </is>
      </c>
      <c r="J19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0" s="18" t="inlineStr"/>
      <c r="L1930" s="18" t="inlineStr">
        <is>
          <t>General Therapeutics</t>
        </is>
      </c>
      <c r="M1930" s="18" t="inlineStr">
        <is>
          <t>Clinic</t>
        </is>
      </c>
      <c r="N1930" s="18" t="inlineStr">
        <is>
          <t>ข้อ 3 (PLE_CC1_Key_Rx20_UBU.md)</t>
        </is>
      </c>
      <c r="O1930" s="18" t="inlineStr">
        <is>
          <t>Mock</t>
        </is>
      </c>
      <c r="P1930" s="18" t="inlineStr">
        <is>
          <t>Mock Rx20 UBU</t>
        </is>
      </c>
    </row>
    <row r="1931">
      <c r="A1931" s="15" t="inlineStr">
        <is>
          <t>1952</t>
        </is>
      </c>
      <c r="B1931" s="18" t="inlineStr">
        <is>
          <t>เขียนว่าให้คำปรึกษาเรื่องยาโดยเภสัชกรในช่วง 17.00 – 20.00 น.</t>
        </is>
      </c>
      <c r="C1931" s="18" t="inlineStr"/>
      <c r="D1931" s="18" t="inlineStr">
        <is>
          <t>N-acetylcysteine (NAC) IV infusion protocol</t>
        </is>
      </c>
      <c r="E1931" s="18" t="inlineStr">
        <is>
          <t>Atropine sulfate 2 mg IV Q5-10 min</t>
        </is>
      </c>
      <c r="F1931" s="18" t="inlineStr">
        <is>
          <t>Pralidoxime (2-PAM) 1-2 g IV over 30 min</t>
        </is>
      </c>
      <c r="G1931" s="18" t="inlineStr">
        <is>
          <t>Naloxone 0.4 mg IV stat</t>
        </is>
      </c>
      <c r="H1931" s="18" t="inlineStr">
        <is>
          <t>Flumazenil 0.2 mg IV stat</t>
        </is>
      </c>
      <c r="I1931" s="15" t="inlineStr">
        <is>
          <t>1</t>
        </is>
      </c>
      <c r="J19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1" s="18" t="inlineStr"/>
      <c r="L1931" s="18" t="inlineStr">
        <is>
          <t>General Therapeutics</t>
        </is>
      </c>
      <c r="M1931" s="18" t="inlineStr">
        <is>
          <t>Clinic</t>
        </is>
      </c>
      <c r="N1931" s="18" t="inlineStr">
        <is>
          <t>ข้อ 4 (PLE_CC1_Key_Rx20_UBU.md)</t>
        </is>
      </c>
      <c r="O1931" s="18" t="inlineStr">
        <is>
          <t>Mock</t>
        </is>
      </c>
      <c r="P1931" s="18" t="inlineStr">
        <is>
          <t>Mock Rx20 UBU</t>
        </is>
      </c>
    </row>
    <row r="1932">
      <c r="A1932" s="15" t="inlineStr">
        <is>
          <t>1953</t>
        </is>
      </c>
      <c r="B1932" s="18" t="inlineStr">
        <is>
          <t>ยาที่ผู้ป่วยควรได้รับในการป้องกันการเกิด CHD</t>
        </is>
      </c>
      <c r="C1932" s="18" t="inlineStr"/>
      <c r="D1932" s="18" t="inlineStr">
        <is>
          <t>Naloxone 0.4 mg IV stat</t>
        </is>
      </c>
      <c r="E1932" s="18" t="inlineStr">
        <is>
          <t>Flumazenil 0.2 mg IV stat</t>
        </is>
      </c>
      <c r="F1932" s="18" t="inlineStr">
        <is>
          <t>Vitamin K1 (Phytomenadione) 10 mg IV slow</t>
        </is>
      </c>
      <c r="G1932" s="18" t="inlineStr">
        <is>
          <t>Sodium thiosulfate 25% 50 mL IV</t>
        </is>
      </c>
      <c r="H1932" s="18" t="inlineStr">
        <is>
          <t>Calcium disodium EDTA 1 g IV</t>
        </is>
      </c>
      <c r="I1932" s="15" t="inlineStr">
        <is>
          <t>1</t>
        </is>
      </c>
      <c r="J19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32" s="18" t="inlineStr"/>
      <c r="L1932" s="18" t="inlineStr">
        <is>
          <t>General Therapeutics</t>
        </is>
      </c>
      <c r="M1932" s="18" t="inlineStr">
        <is>
          <t>Clinic</t>
        </is>
      </c>
      <c r="N1932" s="18" t="inlineStr">
        <is>
          <t>ข้อ 63 (PLE_CC1_Key_Rx20_UBU.md)</t>
        </is>
      </c>
      <c r="O1932" s="18" t="inlineStr">
        <is>
          <t>Mock</t>
        </is>
      </c>
      <c r="P1932" s="18" t="inlineStr">
        <is>
          <t>Mock Rx20 UBU</t>
        </is>
      </c>
    </row>
    <row r="1933">
      <c r="A1933" s="15" t="inlineStr">
        <is>
          <t>1954</t>
        </is>
      </c>
      <c r="B1933" s="18" t="inlineStr">
        <is>
          <t>เภสัชกรทราบว่าผู้ป่วยสูบหรี่ ควรจะประเมินการปฏิบัติตัวตามหลัก 5A ในขั้นตอนใดต่อไป</t>
        </is>
      </c>
      <c r="C1933" s="18" t="inlineStr"/>
      <c r="D1933" s="18" t="inlineStr">
        <is>
          <t>Sodium thiosulfate 25% 50 mL IV</t>
        </is>
      </c>
      <c r="E1933" s="18" t="inlineStr">
        <is>
          <t>Calcium disodium EDTA 1 g IV</t>
        </is>
      </c>
      <c r="F1933" s="18" t="inlineStr">
        <is>
          <t>Desferrioxamine 1 g IM/IV</t>
        </is>
      </c>
      <c r="G1933" s="18" t="inlineStr">
        <is>
          <t>Dimercaprol (BAL) 3 mg/kg IM</t>
        </is>
      </c>
      <c r="H1933" s="18" t="inlineStr">
        <is>
          <t>Ethanol 10% IV infusion for Methanol poisoning</t>
        </is>
      </c>
      <c r="I1933" s="15" t="inlineStr">
        <is>
          <t>1</t>
        </is>
      </c>
      <c r="J19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33" s="18" t="inlineStr"/>
      <c r="L1933" s="18" t="inlineStr">
        <is>
          <t>General Therapeutics</t>
        </is>
      </c>
      <c r="M1933" s="18" t="inlineStr">
        <is>
          <t>Clinic</t>
        </is>
      </c>
      <c r="N1933" s="18" t="inlineStr">
        <is>
          <t>ข้อ 64 (PLE_CC1_Key_Rx20_UBU.md)</t>
        </is>
      </c>
      <c r="O1933" s="18" t="inlineStr">
        <is>
          <t>Mock</t>
        </is>
      </c>
      <c r="P1933" s="18" t="inlineStr">
        <is>
          <t>Mock Rx20 UBU</t>
        </is>
      </c>
    </row>
    <row r="1934">
      <c r="A1934" s="15" t="inlineStr">
        <is>
          <t>1955</t>
        </is>
      </c>
      <c r="B1934" s="18" t="inlineStr">
        <is>
          <t>เภสัชกรทำการประเมินการติดนิโคตินว่าติดมาก หรือ ติดน้อย</t>
        </is>
      </c>
      <c r="C1934" s="18" t="inlineStr"/>
      <c r="D1934" s="18" t="inlineStr">
        <is>
          <t>Dimercaprol (BAL) 3 mg/kg IM</t>
        </is>
      </c>
      <c r="E1934" s="18" t="inlineStr">
        <is>
          <t>Ethanol 10% IV infusion for Methanol poisoning</t>
        </is>
      </c>
      <c r="F1934" s="18" t="inlineStr">
        <is>
          <t>Fomepizole 15 mg/kg IV loading</t>
        </is>
      </c>
      <c r="G1934" s="18" t="inlineStr">
        <is>
          <t>N-acetylcysteine (NAC) IV infusion protocol</t>
        </is>
      </c>
      <c r="H1934" s="18" t="inlineStr">
        <is>
          <t>Atropine sulfate 2 mg IV Q5-10 min</t>
        </is>
      </c>
      <c r="I1934" s="15" t="inlineStr">
        <is>
          <t>1</t>
        </is>
      </c>
      <c r="J19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4" s="18" t="inlineStr"/>
      <c r="L1934" s="18" t="inlineStr">
        <is>
          <t>General Therapeutics</t>
        </is>
      </c>
      <c r="M1934" s="18" t="inlineStr">
        <is>
          <t>Clinic</t>
        </is>
      </c>
      <c r="N1934" s="18" t="inlineStr">
        <is>
          <t>ข้อ 3 (PLE_CC1_Key_Rx20_UBU.md)</t>
        </is>
      </c>
      <c r="O1934" s="18" t="inlineStr">
        <is>
          <t>Mock</t>
        </is>
      </c>
      <c r="P1934" s="18" t="inlineStr">
        <is>
          <t>Mock Rx20 UBU</t>
        </is>
      </c>
    </row>
    <row r="1935">
      <c r="A1935" s="15" t="inlineStr">
        <is>
          <t>1956</t>
        </is>
      </c>
      <c r="B1935" s="18" t="inlineStr">
        <is>
          <t>แนะนำให้ไปพบแพทย์เพื่อจ่ายยาอดบุหรี่</t>
        </is>
      </c>
      <c r="C1935" s="18" t="inlineStr"/>
      <c r="D1935" s="18" t="inlineStr">
        <is>
          <t>N-acetylcysteine 600 mg OD</t>
        </is>
      </c>
      <c r="E1935" s="18" t="inlineStr">
        <is>
          <t>Beclomethasone MDI 100 mcg BID</t>
        </is>
      </c>
      <c r="F1935" s="18" t="inlineStr">
        <is>
          <t>Salbutamol MDI 2 puffs PRN</t>
        </is>
      </c>
      <c r="G1935" s="18" t="inlineStr">
        <is>
          <t>Budesonide/Formoterol 160/4.5 mcg DPI BID</t>
        </is>
      </c>
      <c r="H1935" s="18" t="inlineStr">
        <is>
          <t>Fluticasone/Salmeterol 250/50 mcg DPI BID</t>
        </is>
      </c>
      <c r="I1935" s="15" t="inlineStr">
        <is>
          <t>1</t>
        </is>
      </c>
      <c r="J1935" s="18"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การเลือก N-acetylcysteine 600 mg OD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5" s="18" t="inlineStr"/>
      <c r="L1935" s="18" t="inlineStr">
        <is>
          <t>Pulmonary Diseases</t>
        </is>
      </c>
      <c r="M1935" s="18" t="inlineStr">
        <is>
          <t>Clinic</t>
        </is>
      </c>
      <c r="N1935" s="18" t="inlineStr">
        <is>
          <t>ข้อ 4 (PLE_CC1_Key_Rx20_UBU.md)</t>
        </is>
      </c>
      <c r="O1935" s="18" t="inlineStr">
        <is>
          <t>Mock</t>
        </is>
      </c>
      <c r="P1935" s="18" t="inlineStr">
        <is>
          <t>Mock Rx20 UBU</t>
        </is>
      </c>
    </row>
    <row r="1936">
      <c r="A1936" s="15" t="inlineStr">
        <is>
          <t>1957</t>
        </is>
      </c>
      <c r="B1936" s="18" t="inlineStr">
        <is>
          <t>ตำหนิผู้ป่วย เพราะการสูบบุหรี่เป็นที่น่ารังเกียจต่อสังคม</t>
        </is>
      </c>
      <c r="C1936" s="18" t="inlineStr"/>
      <c r="D1936" s="18" t="inlineStr">
        <is>
          <t>Budesonide/Formoterol 160/4.5 mcg DPI BID</t>
        </is>
      </c>
      <c r="E1936" s="18" t="inlineStr">
        <is>
          <t>Fluticasone/Salmeterol 250/50 mcg DPI BID</t>
        </is>
      </c>
      <c r="F1936" s="18" t="inlineStr">
        <is>
          <t>Tiotropium Respimat 2.5 mcg 2 puffs OD</t>
        </is>
      </c>
      <c r="G1936" s="18" t="inlineStr">
        <is>
          <t>Ipratropium/Fenoterol MDI PRN</t>
        </is>
      </c>
      <c r="H1936" s="18" t="inlineStr">
        <is>
          <t>Montelukast 10 mg HS</t>
        </is>
      </c>
      <c r="I1936" s="15" t="inlineStr">
        <is>
          <t>1</t>
        </is>
      </c>
      <c r="J1936" s="18"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936" s="18" t="inlineStr"/>
      <c r="L1936" s="18" t="inlineStr">
        <is>
          <t>Pulmonary Diseases</t>
        </is>
      </c>
      <c r="M1936" s="18" t="inlineStr">
        <is>
          <t>Clinic</t>
        </is>
      </c>
      <c r="N1936" s="18" t="inlineStr">
        <is>
          <t>ข้อ 5 (PLE_CC1_Key_Rx20_UBU.md)</t>
        </is>
      </c>
      <c r="O1936" s="18" t="inlineStr">
        <is>
          <t>Mock</t>
        </is>
      </c>
      <c r="P1936" s="18" t="inlineStr">
        <is>
          <t>Mock Rx20 UBU</t>
        </is>
      </c>
    </row>
    <row r="1937">
      <c r="A1937" s="15" t="inlineStr">
        <is>
          <t>1958</t>
        </is>
      </c>
      <c r="B1937" s="18" t="inlineStr">
        <is>
          <t>Single-layer Drug-adhesive systems</t>
        </is>
      </c>
      <c r="C1937" s="18" t="inlineStr"/>
      <c r="D1937" s="18" t="inlineStr">
        <is>
          <t>Sodium thiosulfate 25% 50 mL IV</t>
        </is>
      </c>
      <c r="E1937" s="18" t="inlineStr">
        <is>
          <t>Calcium disodium EDTA 1 g IV</t>
        </is>
      </c>
      <c r="F1937" s="18" t="inlineStr">
        <is>
          <t>Desferrioxamine 1 g IM/IV</t>
        </is>
      </c>
      <c r="G1937" s="18" t="inlineStr">
        <is>
          <t>Dimercaprol (BAL) 3 mg/kg IM</t>
        </is>
      </c>
      <c r="H1937" s="18" t="inlineStr">
        <is>
          <t>Ethanol 10% IV infusion for Methanol poisoning</t>
        </is>
      </c>
      <c r="I1937" s="15" t="inlineStr">
        <is>
          <t>1</t>
        </is>
      </c>
      <c r="J19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7" s="18" t="inlineStr"/>
      <c r="L1937" s="18" t="inlineStr">
        <is>
          <t>General Therapeutics</t>
        </is>
      </c>
      <c r="M1937" s="18" t="inlineStr">
        <is>
          <t>Clinic</t>
        </is>
      </c>
      <c r="N1937" s="18" t="inlineStr">
        <is>
          <t>ข้อ 1 (PLE_CC1_Key_Rx20_UBU.md)</t>
        </is>
      </c>
      <c r="O1937" s="18" t="inlineStr">
        <is>
          <t>Mock</t>
        </is>
      </c>
      <c r="P1937" s="18" t="inlineStr">
        <is>
          <t>Mock Rx20 UBU</t>
        </is>
      </c>
    </row>
    <row r="1938">
      <c r="A1938" s="15" t="inlineStr">
        <is>
          <t>1959</t>
        </is>
      </c>
      <c r="B1938" s="18" t="inlineStr">
        <is>
          <t>Multi-layer Drug-adhesive systems</t>
        </is>
      </c>
      <c r="C1938" s="18" t="inlineStr"/>
      <c r="D1938" s="18" t="inlineStr">
        <is>
          <t>Dimercaprol (BAL) 3 mg/kg IM</t>
        </is>
      </c>
      <c r="E1938" s="18" t="inlineStr">
        <is>
          <t>Ethanol 10% IV infusion for Methanol poisoning</t>
        </is>
      </c>
      <c r="F1938" s="18" t="inlineStr">
        <is>
          <t>Fomepizole 15 mg/kg IV loading</t>
        </is>
      </c>
      <c r="G1938" s="18" t="inlineStr">
        <is>
          <t>N-acetylcysteine (NAC) IV infusion protocol</t>
        </is>
      </c>
      <c r="H1938" s="18" t="inlineStr">
        <is>
          <t>Atropine sulfate 2 mg IV Q5-10 min</t>
        </is>
      </c>
      <c r="I1938" s="15" t="inlineStr">
        <is>
          <t>1</t>
        </is>
      </c>
      <c r="J19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8" s="18" t="inlineStr"/>
      <c r="L1938" s="18" t="inlineStr">
        <is>
          <t>General Therapeutics</t>
        </is>
      </c>
      <c r="M1938" s="18" t="inlineStr">
        <is>
          <t>Clinic</t>
        </is>
      </c>
      <c r="N1938" s="18" t="inlineStr">
        <is>
          <t>ข้อ 2 (PLE_CC1_Key_Rx20_UBU.md)</t>
        </is>
      </c>
      <c r="O1938" s="18" t="inlineStr">
        <is>
          <t>Mock</t>
        </is>
      </c>
      <c r="P1938" s="18" t="inlineStr">
        <is>
          <t>Mock Rx20 UBU</t>
        </is>
      </c>
    </row>
    <row r="1939">
      <c r="A1939" s="15" t="inlineStr">
        <is>
          <t>1960</t>
        </is>
      </c>
      <c r="B1939" s="18" t="inlineStr">
        <is>
          <t>ยาควบคุมพิเศษ ที่ต้องติดตามการใช้และใช้เฉพาะในสถานพยาบาล</t>
        </is>
      </c>
      <c r="C1939" s="18" t="inlineStr"/>
      <c r="D1939" s="18" t="inlineStr">
        <is>
          <t>พ.ร.บ. ยา พ.ศ. 2510 (การจำหน่ายยาอันตรายและยาควบคุมพิเศษ)</t>
        </is>
      </c>
      <c r="E1939" s="18" t="inlineStr">
        <is>
          <t>พ.ร.บ. ยาเสพติดให้โทษ พ.ศ. 2522 (ยาเสพติดให้โทษประเภท 2 และ 3)</t>
        </is>
      </c>
      <c r="F1939" s="18" t="inlineStr">
        <is>
          <t>พ.ร.บ. วัตถุที่ออกฤทธิ์ต่อจิตและประสาท พ.ศ. 2559 (ประเภท 2 และ 4)</t>
        </is>
      </c>
      <c r="G1939" s="18" t="inlineStr">
        <is>
          <t>พ.ร.บ. วิชาชีพเภสัชกรรม พ.ศ. 2537 และข้อบังคับจรรยาบรรณวิชาชีพ</t>
        </is>
      </c>
      <c r="H1939" s="18" t="inlineStr">
        <is>
          <t>พ.ร.บ. ผลิตภัณฑ์สมุนไพร พ.ศ. 2562</t>
        </is>
      </c>
      <c r="I1939" s="15" t="inlineStr">
        <is>
          <t>1</t>
        </is>
      </c>
      <c r="J1939"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9" s="18" t="inlineStr"/>
      <c r="L1939" s="18" t="inlineStr">
        <is>
          <t>Pharmacy Laws &amp; Ethics</t>
        </is>
      </c>
      <c r="M1939" s="18" t="inlineStr">
        <is>
          <t>SAP</t>
        </is>
      </c>
      <c r="N1939" s="18" t="inlineStr">
        <is>
          <t>ข้อ 3 (PLE_CC1_Key_Rx20_UBU.md)</t>
        </is>
      </c>
      <c r="O1939" s="18" t="inlineStr">
        <is>
          <t>Mock</t>
        </is>
      </c>
      <c r="P1939" s="18" t="inlineStr">
        <is>
          <t>Mock Rx20 UBU</t>
        </is>
      </c>
    </row>
    <row r="1940">
      <c r="A1940" s="15" t="inlineStr">
        <is>
          <t>1961</t>
        </is>
      </c>
      <c r="B1940" s="18" t="inlineStr">
        <is>
          <t>ยาที่รัฐมนตรีมีคำสั่งเพิกถอน</t>
        </is>
      </c>
      <c r="C1940" s="18" t="inlineStr"/>
      <c r="D1940" s="18" t="inlineStr">
        <is>
          <t>Naloxone 0.4 mg IV stat</t>
        </is>
      </c>
      <c r="E1940" s="18" t="inlineStr">
        <is>
          <t>Flumazenil 0.2 mg IV stat</t>
        </is>
      </c>
      <c r="F1940" s="18" t="inlineStr">
        <is>
          <t>Vitamin K1 (Phytomenadione) 10 mg IV slow</t>
        </is>
      </c>
      <c r="G1940" s="18" t="inlineStr">
        <is>
          <t>Sodium thiosulfate 25% 50 mL IV</t>
        </is>
      </c>
      <c r="H1940" s="18" t="inlineStr">
        <is>
          <t>Calcium disodium EDTA 1 g IV</t>
        </is>
      </c>
      <c r="I1940" s="15" t="inlineStr">
        <is>
          <t>1</t>
        </is>
      </c>
      <c r="J19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0" s="18" t="inlineStr"/>
      <c r="L1940" s="18" t="inlineStr">
        <is>
          <t>General Therapeutics</t>
        </is>
      </c>
      <c r="M1940" s="18" t="inlineStr">
        <is>
          <t>Clinic</t>
        </is>
      </c>
      <c r="N1940" s="18" t="inlineStr">
        <is>
          <t>ข้อ 4 (PLE_CC1_Key_Rx20_UBU.md)</t>
        </is>
      </c>
      <c r="O1940" s="18" t="inlineStr">
        <is>
          <t>Mock</t>
        </is>
      </c>
      <c r="P1940" s="18" t="inlineStr">
        <is>
          <t>Mock Rx20 UBU</t>
        </is>
      </c>
    </row>
    <row r="1941">
      <c r="A1941" s="15" t="inlineStr">
        <is>
          <t>1962</t>
        </is>
      </c>
      <c r="B1941" s="18" t="inlineStr">
        <is>
          <t>การใช้ยาดังกล่าวในผู้ป่วยรายนี้มีความเหมาะสมหรือไม่</t>
        </is>
      </c>
      <c r="C1941" s="18" t="inlineStr"/>
      <c r="D1941" s="18" t="inlineStr">
        <is>
          <t>Sodium thiosulfate 25% 50 mL IV</t>
        </is>
      </c>
      <c r="E1941" s="18" t="inlineStr">
        <is>
          <t>Calcium disodium EDTA 1 g IV</t>
        </is>
      </c>
      <c r="F1941" s="18" t="inlineStr">
        <is>
          <t>Desferrioxamine 1 g IM/IV</t>
        </is>
      </c>
      <c r="G1941" s="18" t="inlineStr">
        <is>
          <t>Dimercaprol (BAL) 3 mg/kg IM</t>
        </is>
      </c>
      <c r="H1941" s="18" t="inlineStr">
        <is>
          <t>Ethanol 10% IV infusion for Methanol poisoning</t>
        </is>
      </c>
      <c r="I1941" s="15" t="inlineStr">
        <is>
          <t>1</t>
        </is>
      </c>
      <c r="J19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1" s="18" t="inlineStr"/>
      <c r="L1941" s="18" t="inlineStr">
        <is>
          <t>General Therapeutics</t>
        </is>
      </c>
      <c r="M1941" s="18" t="inlineStr">
        <is>
          <t>Clinic</t>
        </is>
      </c>
      <c r="N1941" s="18" t="inlineStr">
        <is>
          <t>ข้อ 70 (PLE_CC1_Key_Rx20_UBU.md)</t>
        </is>
      </c>
      <c r="O1941" s="18" t="inlineStr">
        <is>
          <t>Mock</t>
        </is>
      </c>
      <c r="P1941" s="18" t="inlineStr">
        <is>
          <t>Mock Rx20 UBU</t>
        </is>
      </c>
    </row>
    <row r="1942">
      <c r="A1942" s="15" t="inlineStr">
        <is>
          <t>1963</t>
        </is>
      </c>
      <c r="B1942" s="18" t="inlineStr">
        <is>
          <t>เหมาะสม เพราะ ยาที่ได้รับสามารถรักษาอาการมีน้ำมูก คัดจมูกของผู้ป่วยได้</t>
        </is>
      </c>
      <c r="C1942" s="18" t="inlineStr"/>
      <c r="D1942" s="18" t="inlineStr">
        <is>
          <t>Dimercaprol (BAL) 3 mg/kg IM</t>
        </is>
      </c>
      <c r="E1942" s="18" t="inlineStr">
        <is>
          <t>Ethanol 10% IV infusion for Methanol poisoning</t>
        </is>
      </c>
      <c r="F1942" s="18" t="inlineStr">
        <is>
          <t>Fomepizole 15 mg/kg IV loading</t>
        </is>
      </c>
      <c r="G1942" s="18" t="inlineStr">
        <is>
          <t>N-acetylcysteine (NAC) IV infusion protocol</t>
        </is>
      </c>
      <c r="H1942" s="18" t="inlineStr">
        <is>
          <t>Atropine sulfate 2 mg IV Q5-10 min</t>
        </is>
      </c>
      <c r="I1942" s="15" t="inlineStr">
        <is>
          <t>1</t>
        </is>
      </c>
      <c r="J19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2" s="18" t="inlineStr"/>
      <c r="L1942" s="18" t="inlineStr">
        <is>
          <t>General Therapeutics</t>
        </is>
      </c>
      <c r="M1942" s="18" t="inlineStr">
        <is>
          <t>Clinic</t>
        </is>
      </c>
      <c r="N1942" s="18" t="inlineStr">
        <is>
          <t>ข้อ 1 (PLE_CC1_Key_Rx20_UBU.md)</t>
        </is>
      </c>
      <c r="O1942" s="18" t="inlineStr">
        <is>
          <t>Mock</t>
        </is>
      </c>
      <c r="P1942" s="18" t="inlineStr">
        <is>
          <t>Mock Rx20 UBU</t>
        </is>
      </c>
    </row>
    <row r="1943">
      <c r="A1943" s="15" t="inlineStr">
        <is>
          <t>1964</t>
        </is>
      </c>
      <c r="B1943" s="18" t="inlineStr">
        <is>
          <t>ไม่เหมาะสม เพราะ ควรลดขนาดยาลงเป็น วันละ 1x4</t>
        </is>
      </c>
      <c r="C1943" s="18" t="inlineStr"/>
      <c r="D1943" s="18" t="inlineStr">
        <is>
          <t>N-acetylcysteine (NAC) IV infusion protocol</t>
        </is>
      </c>
      <c r="E1943" s="18" t="inlineStr">
        <is>
          <t>Atropine sulfate 2 mg IV Q5-10 min</t>
        </is>
      </c>
      <c r="F1943" s="18" t="inlineStr">
        <is>
          <t>Pralidoxime (2-PAM) 1-2 g IV over 30 min</t>
        </is>
      </c>
      <c r="G1943" s="18" t="inlineStr">
        <is>
          <t>Naloxone 0.4 mg IV stat</t>
        </is>
      </c>
      <c r="H1943" s="18" t="inlineStr">
        <is>
          <t>Flumazenil 0.2 mg IV stat</t>
        </is>
      </c>
      <c r="I1943" s="15" t="inlineStr">
        <is>
          <t>1</t>
        </is>
      </c>
      <c r="J19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3" s="18" t="inlineStr"/>
      <c r="L1943" s="18" t="inlineStr">
        <is>
          <t>General Therapeutics</t>
        </is>
      </c>
      <c r="M1943" s="18" t="inlineStr">
        <is>
          <t>Clinic</t>
        </is>
      </c>
      <c r="N1943" s="18" t="inlineStr">
        <is>
          <t>ข้อ 2 (PLE_CC1_Key_Rx20_UBU.md)</t>
        </is>
      </c>
      <c r="O1943" s="18" t="inlineStr">
        <is>
          <t>Mock</t>
        </is>
      </c>
      <c r="P1943" s="18" t="inlineStr">
        <is>
          <t>Mock Rx20 UBU</t>
        </is>
      </c>
    </row>
    <row r="1944">
      <c r="A1944" s="15" t="inlineStr">
        <is>
          <t>1965</t>
        </is>
      </c>
      <c r="B1944" s="18" t="inlineStr">
        <is>
          <t>Dextrometrophan</t>
        </is>
      </c>
      <c r="C1944" s="18" t="inlineStr"/>
      <c r="D1944" s="18" t="inlineStr">
        <is>
          <t>Naloxone 0.4 mg IV stat</t>
        </is>
      </c>
      <c r="E1944" s="18" t="inlineStr">
        <is>
          <t>Flumazenil 0.2 mg IV stat</t>
        </is>
      </c>
      <c r="F1944" s="18" t="inlineStr">
        <is>
          <t>Vitamin K1 (Phytomenadione) 10 mg IV slow</t>
        </is>
      </c>
      <c r="G1944" s="18" t="inlineStr">
        <is>
          <t>Sodium thiosulfate 25% 50 mL IV</t>
        </is>
      </c>
      <c r="H1944" s="18" t="inlineStr">
        <is>
          <t>Calcium disodium EDTA 1 g IV</t>
        </is>
      </c>
      <c r="I1944" s="15" t="inlineStr">
        <is>
          <t>1</t>
        </is>
      </c>
      <c r="J19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4" s="18" t="inlineStr"/>
      <c r="L1944" s="18" t="inlineStr">
        <is>
          <t>General Therapeutics</t>
        </is>
      </c>
      <c r="M1944" s="18" t="inlineStr">
        <is>
          <t>Clinic</t>
        </is>
      </c>
      <c r="N1944" s="18" t="inlineStr">
        <is>
          <t>ข้อ 5 (PLE_CC1_Key_Rx20_UBU.md)</t>
        </is>
      </c>
      <c r="O1944" s="18" t="inlineStr">
        <is>
          <t>Mock</t>
        </is>
      </c>
      <c r="P1944" s="18" t="inlineStr">
        <is>
          <t>Mock Rx20 UBU</t>
        </is>
      </c>
    </row>
    <row r="1945">
      <c r="A1945" s="15" t="inlineStr">
        <is>
          <t>1966</t>
        </is>
      </c>
      <c r="B1945" s="18" t="inlineStr">
        <is>
          <t>Phenylephrine อยู่ในรูป s isomer</t>
        </is>
      </c>
      <c r="C1945" s="18" t="inlineStr"/>
      <c r="D1945" s="18" t="inlineStr">
        <is>
          <t>Sodium thiosulfate 25% 50 mL IV</t>
        </is>
      </c>
      <c r="E1945" s="18" t="inlineStr">
        <is>
          <t>Calcium disodium EDTA 1 g IV</t>
        </is>
      </c>
      <c r="F1945" s="18" t="inlineStr">
        <is>
          <t>Desferrioxamine 1 g IM/IV</t>
        </is>
      </c>
      <c r="G1945" s="18" t="inlineStr">
        <is>
          <t>Dimercaprol (BAL) 3 mg/kg IM</t>
        </is>
      </c>
      <c r="H1945" s="18" t="inlineStr">
        <is>
          <t>Ethanol 10% IV infusion for Methanol poisoning</t>
        </is>
      </c>
      <c r="I1945" s="15" t="inlineStr">
        <is>
          <t>1</t>
        </is>
      </c>
      <c r="J194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5" s="18" t="inlineStr"/>
      <c r="L1945" s="18" t="inlineStr">
        <is>
          <t>General Therapeutics</t>
        </is>
      </c>
      <c r="M1945" s="18" t="inlineStr">
        <is>
          <t>Clinic</t>
        </is>
      </c>
      <c r="N1945" s="18" t="inlineStr">
        <is>
          <t>ข้อ 3 (PLE_CC1_Key_Rx20_UBU.md)</t>
        </is>
      </c>
      <c r="O1945" s="18" t="inlineStr">
        <is>
          <t>Mock</t>
        </is>
      </c>
      <c r="P1945" s="18" t="inlineStr">
        <is>
          <t>Mock Rx20 UBU</t>
        </is>
      </c>
    </row>
    <row r="1946">
      <c r="A1946" s="15" t="inlineStr">
        <is>
          <t>1967</t>
        </is>
      </c>
      <c r="B1946" s="18" t="inlineStr">
        <is>
          <t>Nacl จำนวน 0.58 g.</t>
        </is>
      </c>
      <c r="C1946" s="18" t="inlineStr"/>
      <c r="D1946" s="18" t="inlineStr">
        <is>
          <t>Dimercaprol (BAL) 3 mg/kg IM</t>
        </is>
      </c>
      <c r="E1946" s="18" t="inlineStr">
        <is>
          <t>Ethanol 10% IV infusion for Methanol poisoning</t>
        </is>
      </c>
      <c r="F1946" s="18" t="inlineStr">
        <is>
          <t>Fomepizole 15 mg/kg IV loading</t>
        </is>
      </c>
      <c r="G1946" s="18" t="inlineStr">
        <is>
          <t>N-acetylcysteine (NAC) IV infusion protocol</t>
        </is>
      </c>
      <c r="H1946" s="18" t="inlineStr">
        <is>
          <t>Atropine sulfate 2 mg IV Q5-10 min</t>
        </is>
      </c>
      <c r="I1946" s="15" t="inlineStr">
        <is>
          <t>1</t>
        </is>
      </c>
      <c r="J194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6" s="18" t="inlineStr"/>
      <c r="L1946" s="18" t="inlineStr">
        <is>
          <t>General Therapeutics</t>
        </is>
      </c>
      <c r="M1946" s="18" t="inlineStr">
        <is>
          <t>Clinic</t>
        </is>
      </c>
      <c r="N1946" s="18" t="inlineStr">
        <is>
          <t>ข้อ 1 (PLE_CC1_Key_Rx20_UBU.md)</t>
        </is>
      </c>
      <c r="O1946" s="18" t="inlineStr">
        <is>
          <t>Mock</t>
        </is>
      </c>
      <c r="P1946" s="18" t="inlineStr">
        <is>
          <t>Mock Rx20 UBU</t>
        </is>
      </c>
    </row>
    <row r="1947">
      <c r="A1947" s="15" t="inlineStr">
        <is>
          <t>1968</t>
        </is>
      </c>
      <c r="B1947" s="18" t="inlineStr">
        <is>
          <t>Nacl จำนวน 0.68 g. - 1g pheml = อ . 32 Na 4 &lt; | 6 Nall 6.5 = 0 ๐ อ . 9-0.16</t>
        </is>
      </c>
      <c r="C1947" s="18" t="inlineStr"/>
      <c r="D1947" s="18" t="inlineStr">
        <is>
          <t>N-acetylcysteine (NAC) IV infusion protocol</t>
        </is>
      </c>
      <c r="E1947" s="18" t="inlineStr">
        <is>
          <t>Atropine sulfate 2 mg IV Q5-10 min</t>
        </is>
      </c>
      <c r="F1947" s="18" t="inlineStr">
        <is>
          <t>Pralidoxime (2-PAM) 1-2 g IV over 30 min</t>
        </is>
      </c>
      <c r="G1947" s="18" t="inlineStr">
        <is>
          <t>Naloxone 0.4 mg IV stat</t>
        </is>
      </c>
      <c r="H1947" s="18" t="inlineStr">
        <is>
          <t>Flumazenil 0.2 mg IV stat</t>
        </is>
      </c>
      <c r="I1947" s="15" t="inlineStr">
        <is>
          <t>1</t>
        </is>
      </c>
      <c r="J19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7" s="18" t="inlineStr"/>
      <c r="L1947" s="18" t="inlineStr">
        <is>
          <t>General Therapeutics</t>
        </is>
      </c>
      <c r="M1947" s="18" t="inlineStr">
        <is>
          <t>Clinic</t>
        </is>
      </c>
      <c r="N1947" s="18" t="inlineStr">
        <is>
          <t>ข้อ 2 (PLE_CC1_Key_Rx20_UBU.md)</t>
        </is>
      </c>
      <c r="O1947" s="18" t="inlineStr">
        <is>
          <t>Mock</t>
        </is>
      </c>
      <c r="P1947" s="18" t="inlineStr">
        <is>
          <t>Mock Rx20 UBU</t>
        </is>
      </c>
    </row>
    <row r="1948">
      <c r="A1948" s="15" t="inlineStr">
        <is>
          <t>1969</t>
        </is>
      </c>
      <c r="B1948" s="18" t="inlineStr">
        <is>
          <t>Nacl จำนวน 0.74 g.</t>
        </is>
      </c>
      <c r="C1948" s="18" t="inlineStr"/>
      <c r="D1948" s="18" t="inlineStr">
        <is>
          <t>Naloxone 0.4 mg IV stat</t>
        </is>
      </c>
      <c r="E1948" s="18" t="inlineStr">
        <is>
          <t>Flumazenil 0.2 mg IV stat</t>
        </is>
      </c>
      <c r="F1948" s="18" t="inlineStr">
        <is>
          <t>Vitamin K1 (Phytomenadione) 10 mg IV slow</t>
        </is>
      </c>
      <c r="G1948" s="18" t="inlineStr">
        <is>
          <t>Sodium thiosulfate 25% 50 mL IV</t>
        </is>
      </c>
      <c r="H1948" s="18" t="inlineStr">
        <is>
          <t>Calcium disodium EDTA 1 g IV</t>
        </is>
      </c>
      <c r="I1948" s="15" t="inlineStr">
        <is>
          <t>1</t>
        </is>
      </c>
      <c r="J19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8" s="18" t="inlineStr"/>
      <c r="L1948" s="18" t="inlineStr">
        <is>
          <t>General Therapeutics</t>
        </is>
      </c>
      <c r="M1948" s="18" t="inlineStr">
        <is>
          <t>Clinic</t>
        </is>
      </c>
      <c r="N1948" s="18" t="inlineStr">
        <is>
          <t>ข้อ 3 (PLE_CC1_Key_Rx20_UBU.md)</t>
        </is>
      </c>
      <c r="O1948" s="18" t="inlineStr">
        <is>
          <t>Mock</t>
        </is>
      </c>
      <c r="P1948" s="18" t="inlineStr">
        <is>
          <t>Mock Rx20 UBU</t>
        </is>
      </c>
    </row>
    <row r="1949">
      <c r="A1949" s="15" t="inlineStr">
        <is>
          <t>1970</t>
        </is>
      </c>
      <c r="B1949" s="18" t="inlineStr">
        <is>
          <t>Nacl จำนวน 0.84 g.</t>
        </is>
      </c>
      <c r="C1949" s="18" t="inlineStr"/>
      <c r="D1949" s="18" t="inlineStr">
        <is>
          <t>Sodium thiosulfate 25% 50 mL IV</t>
        </is>
      </c>
      <c r="E1949" s="18" t="inlineStr">
        <is>
          <t>Calcium disodium EDTA 1 g IV</t>
        </is>
      </c>
      <c r="F1949" s="18" t="inlineStr">
        <is>
          <t>Desferrioxamine 1 g IM/IV</t>
        </is>
      </c>
      <c r="G1949" s="18" t="inlineStr">
        <is>
          <t>Dimercaprol (BAL) 3 mg/kg IM</t>
        </is>
      </c>
      <c r="H1949" s="18" t="inlineStr">
        <is>
          <t>Ethanol 10% IV infusion for Methanol poisoning</t>
        </is>
      </c>
      <c r="I1949" s="15" t="inlineStr">
        <is>
          <t>1</t>
        </is>
      </c>
      <c r="J19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9" s="18" t="inlineStr"/>
      <c r="L1949" s="18" t="inlineStr">
        <is>
          <t>General Therapeutics</t>
        </is>
      </c>
      <c r="M1949" s="18" t="inlineStr">
        <is>
          <t>Clinic</t>
        </is>
      </c>
      <c r="N1949" s="18" t="inlineStr">
        <is>
          <t>ข้อ 4 (PLE_CC1_Key_Rx20_UBU.md)</t>
        </is>
      </c>
      <c r="O1949" s="18" t="inlineStr">
        <is>
          <t>Mock</t>
        </is>
      </c>
      <c r="P1949" s="18" t="inlineStr">
        <is>
          <t>Mock Rx20 UBU</t>
        </is>
      </c>
    </row>
    <row r="1950">
      <c r="A1950" s="15" t="inlineStr">
        <is>
          <t>1971</t>
        </is>
      </c>
      <c r="B1950" s="18" t="inlineStr">
        <is>
          <t>Nacl จำนวน 0.90 g ตอบ 3. Nacl จำนวน 0.74 g.</t>
        </is>
      </c>
      <c r="C1950" s="18" t="inlineStr"/>
      <c r="D1950" s="18" t="inlineStr">
        <is>
          <t>Dimercaprol (BAL) 3 mg/kg IM</t>
        </is>
      </c>
      <c r="E1950" s="18" t="inlineStr">
        <is>
          <t>Ethanol 10% IV infusion for Methanol poisoning</t>
        </is>
      </c>
      <c r="F1950" s="18" t="inlineStr">
        <is>
          <t>Fomepizole 15 mg/kg IV loading</t>
        </is>
      </c>
      <c r="G1950" s="18" t="inlineStr">
        <is>
          <t>N-acetylcysteine (NAC) IV infusion protocol</t>
        </is>
      </c>
      <c r="H1950" s="18" t="inlineStr">
        <is>
          <t>Atropine sulfate 2 mg IV Q5-10 min</t>
        </is>
      </c>
      <c r="I1950" s="15" t="inlineStr">
        <is>
          <t>1</t>
        </is>
      </c>
      <c r="J195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0" s="18" t="inlineStr"/>
      <c r="L1950" s="18" t="inlineStr">
        <is>
          <t>General Therapeutics</t>
        </is>
      </c>
      <c r="M1950" s="18" t="inlineStr">
        <is>
          <t>Clinic</t>
        </is>
      </c>
      <c r="N1950" s="18" t="inlineStr">
        <is>
          <t>ข้อ 5 (PLE_CC1_Key_Rx20_UBU.md)</t>
        </is>
      </c>
      <c r="O1950" s="18" t="inlineStr">
        <is>
          <t>Mock</t>
        </is>
      </c>
      <c r="P1950" s="18" t="inlineStr">
        <is>
          <t>Mock Rx20 UBU</t>
        </is>
      </c>
    </row>
    <row r="1951">
      <c r="A1951" s="15" t="inlineStr">
        <is>
          <t>1972</t>
        </is>
      </c>
      <c r="B1951" s="18" t="inlineStr">
        <is>
          <t>การจัดยาชุดสำหรับผู้ป่วยเฉพาะรายโดยเภสัชกร</t>
        </is>
      </c>
      <c r="C1951" s="18" t="inlineStr"/>
      <c r="D1951" s="18" t="inlineStr">
        <is>
          <t>N-acetylcysteine (NAC) IV infusion protocol</t>
        </is>
      </c>
      <c r="E1951" s="18" t="inlineStr">
        <is>
          <t>Atropine sulfate 2 mg IV Q5-10 min</t>
        </is>
      </c>
      <c r="F1951" s="18" t="inlineStr">
        <is>
          <t>Pralidoxime (2-PAM) 1-2 g IV over 30 min</t>
        </is>
      </c>
      <c r="G1951" s="18" t="inlineStr">
        <is>
          <t>Naloxone 0.4 mg IV stat</t>
        </is>
      </c>
      <c r="H1951" s="18" t="inlineStr">
        <is>
          <t>Flumazenil 0.2 mg IV stat</t>
        </is>
      </c>
      <c r="I1951" s="15" t="inlineStr">
        <is>
          <t>1</t>
        </is>
      </c>
      <c r="J195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1" s="18" t="inlineStr"/>
      <c r="L1951" s="18" t="inlineStr">
        <is>
          <t>General Therapeutics</t>
        </is>
      </c>
      <c r="M1951" s="18" t="inlineStr">
        <is>
          <t>Clinic</t>
        </is>
      </c>
      <c r="N1951" s="18" t="inlineStr">
        <is>
          <t>ข้อ 1 (PLE_CC1_Key_Rx20_UBU.md)</t>
        </is>
      </c>
      <c r="O1951" s="18" t="inlineStr">
        <is>
          <t>Mock</t>
        </is>
      </c>
      <c r="P1951" s="18" t="inlineStr">
        <is>
          <t>Mock Rx20 UBU</t>
        </is>
      </c>
    </row>
    <row r="1952">
      <c r="A1952" s="15" t="inlineStr">
        <is>
          <t>1973</t>
        </is>
      </c>
      <c r="B1952" s="18" t="inlineStr">
        <is>
          <t>การจ่ายชุดแก้ปวดฟัน โดยผู้ช่วยทันตแพทย์</t>
        </is>
      </c>
      <c r="C1952" s="18" t="inlineStr"/>
      <c r="D1952" s="18" t="inlineStr">
        <is>
          <t>Naloxone 0.4 mg IV stat</t>
        </is>
      </c>
      <c r="E1952" s="18" t="inlineStr">
        <is>
          <t>Flumazenil 0.2 mg IV stat</t>
        </is>
      </c>
      <c r="F1952" s="18" t="inlineStr">
        <is>
          <t>Vitamin K1 (Phytomenadione) 10 mg IV slow</t>
        </is>
      </c>
      <c r="G1952" s="18" t="inlineStr">
        <is>
          <t>Sodium thiosulfate 25% 50 mL IV</t>
        </is>
      </c>
      <c r="H1952" s="18" t="inlineStr">
        <is>
          <t>Calcium disodium EDTA 1 g IV</t>
        </is>
      </c>
      <c r="I1952" s="15" t="inlineStr">
        <is>
          <t>1</t>
        </is>
      </c>
      <c r="J195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2" s="18" t="inlineStr"/>
      <c r="L1952" s="18" t="inlineStr">
        <is>
          <t>General Therapeutics</t>
        </is>
      </c>
      <c r="M1952" s="18" t="inlineStr">
        <is>
          <t>Clinic</t>
        </is>
      </c>
      <c r="N1952" s="18" t="inlineStr">
        <is>
          <t>ข้อ 3 (PLE_CC1_Key_Rx20_UBU.md)</t>
        </is>
      </c>
      <c r="O1952" s="18" t="inlineStr">
        <is>
          <t>Mock</t>
        </is>
      </c>
      <c r="P1952" s="18" t="inlineStr">
        <is>
          <t>Mock Rx20 UBU</t>
        </is>
      </c>
    </row>
    <row r="1953">
      <c r="A1953" s="15" t="inlineStr">
        <is>
          <t>1974</t>
        </is>
      </c>
      <c r="B1953" s="18" t="inlineStr">
        <is>
          <t>การจ่ายยาชุดในคลินิกแพทย์</t>
        </is>
      </c>
      <c r="C1953" s="18" t="inlineStr"/>
      <c r="D1953" s="18" t="inlineStr">
        <is>
          <t>Sodium thiosulfate 25% 50 mL IV</t>
        </is>
      </c>
      <c r="E1953" s="18" t="inlineStr">
        <is>
          <t>Calcium disodium EDTA 1 g IV</t>
        </is>
      </c>
      <c r="F1953" s="18" t="inlineStr">
        <is>
          <t>Desferrioxamine 1 g IM/IV</t>
        </is>
      </c>
      <c r="G1953" s="18" t="inlineStr">
        <is>
          <t>Dimercaprol (BAL) 3 mg/kg IM</t>
        </is>
      </c>
      <c r="H1953" s="18" t="inlineStr">
        <is>
          <t>Ethanol 10% IV infusion for Methanol poisoning</t>
        </is>
      </c>
      <c r="I1953" s="15" t="inlineStr">
        <is>
          <t>1</t>
        </is>
      </c>
      <c r="J19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3" s="18" t="inlineStr"/>
      <c r="L1953" s="18" t="inlineStr">
        <is>
          <t>General Therapeutics</t>
        </is>
      </c>
      <c r="M1953" s="18" t="inlineStr">
        <is>
          <t>Clinic</t>
        </is>
      </c>
      <c r="N1953" s="18" t="inlineStr">
        <is>
          <t>ข้อ 4 (PLE_CC1_Key_Rx20_UBU.md)</t>
        </is>
      </c>
      <c r="O1953" s="18" t="inlineStr">
        <is>
          <t>Mock</t>
        </is>
      </c>
      <c r="P1953" s="18" t="inlineStr">
        <is>
          <t>Mock Rx20 UBU</t>
        </is>
      </c>
    </row>
    <row r="1954">
      <c r="A1954" s="15" t="inlineStr">
        <is>
          <t>1975</t>
        </is>
      </c>
      <c r="B1954" s="18" t="inlineStr">
        <is>
          <t>magesnol + northisthindone</t>
        </is>
      </c>
      <c r="C1954" s="18" t="inlineStr"/>
      <c r="D1954" s="18" t="inlineStr">
        <is>
          <t>Dimercaprol (BAL) 3 mg/kg IM</t>
        </is>
      </c>
      <c r="E1954" s="18" t="inlineStr">
        <is>
          <t>Ethanol 10% IV infusion for Methanol poisoning</t>
        </is>
      </c>
      <c r="F1954" s="18" t="inlineStr">
        <is>
          <t>Fomepizole 15 mg/kg IV loading</t>
        </is>
      </c>
      <c r="G1954" s="18" t="inlineStr">
        <is>
          <t>N-acetylcysteine (NAC) IV infusion protocol</t>
        </is>
      </c>
      <c r="H1954" s="18" t="inlineStr">
        <is>
          <t>Atropine sulfate 2 mg IV Q5-10 min</t>
        </is>
      </c>
      <c r="I1954" s="15" t="inlineStr">
        <is>
          <t>1</t>
        </is>
      </c>
      <c r="J19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4" s="18" t="inlineStr"/>
      <c r="L1954" s="18" t="inlineStr">
        <is>
          <t>General Therapeutics</t>
        </is>
      </c>
      <c r="M1954" s="18" t="inlineStr">
        <is>
          <t>Clinic</t>
        </is>
      </c>
      <c r="N1954" s="18" t="inlineStr">
        <is>
          <t>ข้อ 2 (PLE_CC1_Key_Rx20_UBU.md)</t>
        </is>
      </c>
      <c r="O1954" s="18" t="inlineStr">
        <is>
          <t>Mock</t>
        </is>
      </c>
      <c r="P1954" s="18" t="inlineStr">
        <is>
          <t>Mock Rx20 UBU</t>
        </is>
      </c>
    </row>
    <row r="1955">
      <c r="A1955" s="15" t="inlineStr">
        <is>
          <t>1976</t>
        </is>
      </c>
      <c r="B1955" s="18" t="inlineStr">
        <is>
          <t>ประจำเดือนจะขาดในช่วง 2-3 เดือนแรกนั้น แต่หลังจากนั้นจะปกติ</t>
        </is>
      </c>
      <c r="C1955" s="18" t="inlineStr"/>
      <c r="D1955" s="18" t="inlineStr">
        <is>
          <t>N-acetylcysteine (NAC) IV infusion protocol</t>
        </is>
      </c>
      <c r="E1955" s="18" t="inlineStr">
        <is>
          <t>Atropine sulfate 2 mg IV Q5-10 min</t>
        </is>
      </c>
      <c r="F1955" s="18" t="inlineStr">
        <is>
          <t>Pralidoxime (2-PAM) 1-2 g IV over 30 min</t>
        </is>
      </c>
      <c r="G1955" s="18" t="inlineStr">
        <is>
          <t>Naloxone 0.4 mg IV stat</t>
        </is>
      </c>
      <c r="H1955" s="18" t="inlineStr">
        <is>
          <t>Flumazenil 0.2 mg IV stat</t>
        </is>
      </c>
      <c r="I1955" s="15" t="inlineStr">
        <is>
          <t>1</t>
        </is>
      </c>
      <c r="J195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5" s="18" t="inlineStr"/>
      <c r="L1955" s="18" t="inlineStr">
        <is>
          <t>General Therapeutics</t>
        </is>
      </c>
      <c r="M1955" s="18" t="inlineStr">
        <is>
          <t>Clinic</t>
        </is>
      </c>
      <c r="N1955" s="18" t="inlineStr">
        <is>
          <t>ข้อ 2 (PLE_CC1_Key_Rx20_UBU.md)</t>
        </is>
      </c>
      <c r="O1955" s="18" t="inlineStr">
        <is>
          <t>Mock</t>
        </is>
      </c>
      <c r="P1955" s="18" t="inlineStr">
        <is>
          <t>Mock Rx20 UBU</t>
        </is>
      </c>
    </row>
    <row r="1956">
      <c r="A1956" s="15" t="inlineStr">
        <is>
          <t>1977</t>
        </is>
      </c>
      <c r="B1956" s="18" t="inlineStr">
        <is>
          <t>หากมีอาการปวดขา ร้อน บวมแดงให้กินยาในเวลาเดียวกันทุกวัน</t>
        </is>
      </c>
      <c r="C1956" s="18" t="inlineStr"/>
      <c r="D1956" s="18" t="inlineStr">
        <is>
          <t>Naloxone 0.4 mg IV stat</t>
        </is>
      </c>
      <c r="E1956" s="18" t="inlineStr">
        <is>
          <t>Flumazenil 0.2 mg IV stat</t>
        </is>
      </c>
      <c r="F1956" s="18" t="inlineStr">
        <is>
          <t>Vitamin K1 (Phytomenadione) 10 mg IV slow</t>
        </is>
      </c>
      <c r="G1956" s="18" t="inlineStr">
        <is>
          <t>Sodium thiosulfate 25% 50 mL IV</t>
        </is>
      </c>
      <c r="H1956" s="18" t="inlineStr">
        <is>
          <t>Calcium disodium EDTA 1 g IV</t>
        </is>
      </c>
      <c r="I1956" s="15" t="inlineStr">
        <is>
          <t>1</t>
        </is>
      </c>
      <c r="J19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6" s="18" t="inlineStr"/>
      <c r="L1956" s="18" t="inlineStr">
        <is>
          <t>General Therapeutics</t>
        </is>
      </c>
      <c r="M1956" s="18" t="inlineStr">
        <is>
          <t>Clinic</t>
        </is>
      </c>
      <c r="N1956" s="18" t="inlineStr">
        <is>
          <t>ข้อ 4 (PLE_CC1_Key_Rx20_UBU.md)</t>
        </is>
      </c>
      <c r="O1956" s="18" t="inlineStr">
        <is>
          <t>Mock</t>
        </is>
      </c>
      <c r="P1956" s="18" t="inlineStr">
        <is>
          <t>Mock Rx20 UBU</t>
        </is>
      </c>
    </row>
    <row r="1957">
      <c r="A1957" s="15" t="inlineStr">
        <is>
          <t>1978</t>
        </is>
      </c>
      <c r="B1957" s="18" t="inlineStr">
        <is>
          <t>หากปวดท้องรุนแรง ให้หยุดยาทันที แล้วรีบมาพบแพทย์ ตอบ 5. หากปวดท้องรุนแรง ให้หยุดยาทันที แล้วรีบมาพบแพทย์</t>
        </is>
      </c>
      <c r="C1957" s="18" t="inlineStr"/>
      <c r="D1957" s="18" t="inlineStr">
        <is>
          <t>Sodium thiosulfate 25% 50 mL IV</t>
        </is>
      </c>
      <c r="E1957" s="18" t="inlineStr">
        <is>
          <t>Calcium disodium EDTA 1 g IV</t>
        </is>
      </c>
      <c r="F1957" s="18" t="inlineStr">
        <is>
          <t>Desferrioxamine 1 g IM/IV</t>
        </is>
      </c>
      <c r="G1957" s="18" t="inlineStr">
        <is>
          <t>Dimercaprol (BAL) 3 mg/kg IM</t>
        </is>
      </c>
      <c r="H1957" s="18" t="inlineStr">
        <is>
          <t>Ethanol 10% IV infusion for Methanol poisoning</t>
        </is>
      </c>
      <c r="I1957" s="15" t="inlineStr">
        <is>
          <t>1</t>
        </is>
      </c>
      <c r="J19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7" s="18" t="inlineStr"/>
      <c r="L1957" s="18" t="inlineStr">
        <is>
          <t>General Therapeutics</t>
        </is>
      </c>
      <c r="M1957" s="18" t="inlineStr">
        <is>
          <t>Clinic</t>
        </is>
      </c>
      <c r="N1957" s="18" t="inlineStr">
        <is>
          <t>ข้อ 5 (PLE_CC1_Key_Rx20_UBU.md)</t>
        </is>
      </c>
      <c r="O1957" s="18" t="inlineStr">
        <is>
          <t>Mock</t>
        </is>
      </c>
      <c r="P1957" s="18" t="inlineStr">
        <is>
          <t>Mock Rx20 UBU</t>
        </is>
      </c>
    </row>
    <row r="1958">
      <c r="A1958" s="15" t="inlineStr">
        <is>
          <t>1979</t>
        </is>
      </c>
      <c r="B1958" s="18" t="inlineStr">
        <is>
          <t>ให้กิน 1 เม็ดทันทีที่นึกได้ และเม็ดต่อไปกินตามเวลาปกติ</t>
        </is>
      </c>
      <c r="C1958" s="18" t="inlineStr"/>
      <c r="D1958" s="18" t="inlineStr">
        <is>
          <t>Dimercaprol (BAL) 3 mg/kg IM</t>
        </is>
      </c>
      <c r="E1958" s="18" t="inlineStr">
        <is>
          <t>Ethanol 10% IV infusion for Methanol poisoning</t>
        </is>
      </c>
      <c r="F1958" s="18" t="inlineStr">
        <is>
          <t>Fomepizole 15 mg/kg IV loading</t>
        </is>
      </c>
      <c r="G1958" s="18" t="inlineStr">
        <is>
          <t>N-acetylcysteine (NAC) IV infusion protocol</t>
        </is>
      </c>
      <c r="H1958" s="18" t="inlineStr">
        <is>
          <t>Atropine sulfate 2 mg IV Q5-10 min</t>
        </is>
      </c>
      <c r="I1958" s="15" t="inlineStr">
        <is>
          <t>1</t>
        </is>
      </c>
      <c r="J19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58" s="18" t="inlineStr"/>
      <c r="L1958" s="18" t="inlineStr">
        <is>
          <t>General Therapeutics</t>
        </is>
      </c>
      <c r="M1958" s="18" t="inlineStr">
        <is>
          <t>Clinic</t>
        </is>
      </c>
      <c r="N1958" s="18" t="inlineStr">
        <is>
          <t>ข้อ 4 (PLE_CC1_Key_Rx20_UBU.md)</t>
        </is>
      </c>
      <c r="O1958" s="18" t="inlineStr">
        <is>
          <t>Mock</t>
        </is>
      </c>
      <c r="P1958" s="18" t="inlineStr">
        <is>
          <t>Mock Rx20 UBU</t>
        </is>
      </c>
    </row>
    <row r="1959">
      <c r="A1959" s="15" t="inlineStr">
        <is>
          <t>1980</t>
        </is>
      </c>
      <c r="B1959" s="18" t="inlineStr">
        <is>
          <t>ให้โครงสร้าง levonorgestrel ถามว่าการทำให้เกิดปฏิกิริยา akylation ที่ตำแหน่ง 17 ทำให้เกิดการเปลี่ยนแปลงอย่างไรทางเภสัชศาสตร์จลนศาสตร์ โครงสร้าง levonorgestrel</t>
        </is>
      </c>
      <c r="C1959" s="18" t="inlineStr"/>
      <c r="D1959" s="18" t="inlineStr">
        <is>
          <t>N-acetylcysteine (NAC) IV infusion protocol</t>
        </is>
      </c>
      <c r="E1959" s="18" t="inlineStr">
        <is>
          <t>Atropine sulfate 2 mg IV Q5-10 min</t>
        </is>
      </c>
      <c r="F1959" s="18" t="inlineStr">
        <is>
          <t>Pralidoxime (2-PAM) 1-2 g IV over 30 min</t>
        </is>
      </c>
      <c r="G1959" s="18" t="inlineStr">
        <is>
          <t>Naloxone 0.4 mg IV stat</t>
        </is>
      </c>
      <c r="H1959" s="18" t="inlineStr">
        <is>
          <t>Flumazenil 0.2 mg IV stat</t>
        </is>
      </c>
      <c r="I1959" s="15" t="inlineStr">
        <is>
          <t>1</t>
        </is>
      </c>
      <c r="J19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9" s="18" t="inlineStr"/>
      <c r="L1959" s="18" t="inlineStr">
        <is>
          <t>General Therapeutics</t>
        </is>
      </c>
      <c r="M1959" s="18" t="inlineStr">
        <is>
          <t>Clinic</t>
        </is>
      </c>
      <c r="N1959" s="18" t="inlineStr">
        <is>
          <t>ข้อ 81 (PLE_CC1_Key_Rx20_UBU.md)</t>
        </is>
      </c>
      <c r="O1959" s="18" t="inlineStr">
        <is>
          <t>Mock</t>
        </is>
      </c>
      <c r="P1959" s="18" t="inlineStr">
        <is>
          <t>Mock Rx20 UBU</t>
        </is>
      </c>
    </row>
    <row r="1960">
      <c r="A1960" s="15" t="inlineStr">
        <is>
          <t>1981</t>
        </is>
      </c>
      <c r="B1960" s="18" t="inlineStr">
        <is>
          <t>เพิ่มการดูดซึมเข้าสู่ทางเดินอาหาร</t>
        </is>
      </c>
      <c r="C1960" s="18" t="inlineStr"/>
      <c r="D1960" s="18" t="inlineStr">
        <is>
          <t>Naloxone 0.4 mg IV stat</t>
        </is>
      </c>
      <c r="E1960" s="18" t="inlineStr">
        <is>
          <t>Flumazenil 0.2 mg IV stat</t>
        </is>
      </c>
      <c r="F1960" s="18" t="inlineStr">
        <is>
          <t>Vitamin K1 (Phytomenadione) 10 mg IV slow</t>
        </is>
      </c>
      <c r="G1960" s="18" t="inlineStr">
        <is>
          <t>Sodium thiosulfate 25% 50 mL IV</t>
        </is>
      </c>
      <c r="H1960" s="18" t="inlineStr">
        <is>
          <t>Calcium disodium EDTA 1 g IV</t>
        </is>
      </c>
      <c r="I1960" s="15" t="inlineStr">
        <is>
          <t>1</t>
        </is>
      </c>
      <c r="J19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0" s="18" t="inlineStr"/>
      <c r="L1960" s="18" t="inlineStr">
        <is>
          <t>General Therapeutics</t>
        </is>
      </c>
      <c r="M1960" s="18" t="inlineStr">
        <is>
          <t>Clinic</t>
        </is>
      </c>
      <c r="N1960" s="18" t="inlineStr">
        <is>
          <t>ข้อ 1 (PLE_CC1_Key_Rx20_UBU.md)</t>
        </is>
      </c>
      <c r="O1960" s="18" t="inlineStr">
        <is>
          <t>Mock</t>
        </is>
      </c>
      <c r="P1960" s="18" t="inlineStr">
        <is>
          <t>Mock Rx20 UBU</t>
        </is>
      </c>
    </row>
    <row r="1961">
      <c r="A1961" s="15" t="inlineStr">
        <is>
          <t>1982</t>
        </is>
      </c>
      <c r="B1961" s="18" t="inlineStr">
        <is>
          <t>ค่าครึ่งชีวิตนานขึ้น</t>
        </is>
      </c>
      <c r="C1961" s="18" t="inlineStr"/>
      <c r="D1961" s="18" t="inlineStr">
        <is>
          <t>Sodium thiosulfate 25% 50 mL IV</t>
        </is>
      </c>
      <c r="E1961" s="18" t="inlineStr">
        <is>
          <t>Calcium disodium EDTA 1 g IV</t>
        </is>
      </c>
      <c r="F1961" s="18" t="inlineStr">
        <is>
          <t>Desferrioxamine 1 g IM/IV</t>
        </is>
      </c>
      <c r="G1961" s="18" t="inlineStr">
        <is>
          <t>Dimercaprol (BAL) 3 mg/kg IM</t>
        </is>
      </c>
      <c r="H1961" s="18" t="inlineStr">
        <is>
          <t>Ethanol 10% IV infusion for Methanol poisoning</t>
        </is>
      </c>
      <c r="I1961" s="15" t="inlineStr">
        <is>
          <t>1</t>
        </is>
      </c>
      <c r="J19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1" s="18" t="inlineStr"/>
      <c r="L1961" s="18" t="inlineStr">
        <is>
          <t>General Therapeutics</t>
        </is>
      </c>
      <c r="M1961" s="18" t="inlineStr">
        <is>
          <t>Clinic</t>
        </is>
      </c>
      <c r="N1961" s="18" t="inlineStr">
        <is>
          <t>ข้อ 2 (PLE_CC1_Key_Rx20_UBU.md)</t>
        </is>
      </c>
      <c r="O1961" s="18" t="inlineStr">
        <is>
          <t>Mock</t>
        </is>
      </c>
      <c r="P1961" s="18" t="inlineStr">
        <is>
          <t>Mock Rx20 UBU</t>
        </is>
      </c>
    </row>
    <row r="1962">
      <c r="A1962" s="15" t="inlineStr">
        <is>
          <t>1983</t>
        </is>
      </c>
      <c r="B1962" s="18" t="inlineStr">
        <is>
          <t>ตอบ ทำให้รับประทานได้ เเละออกฤทธินานขึ้น</t>
        </is>
      </c>
      <c r="C1962" s="18" t="inlineStr"/>
      <c r="D1962" s="18" t="inlineStr">
        <is>
          <t>Dimercaprol (BAL) 3 mg/kg IM</t>
        </is>
      </c>
      <c r="E1962" s="18" t="inlineStr">
        <is>
          <t>Ethanol 10% IV infusion for Methanol poisoning</t>
        </is>
      </c>
      <c r="F1962" s="18" t="inlineStr">
        <is>
          <t>Fomepizole 15 mg/kg IV loading</t>
        </is>
      </c>
      <c r="G1962" s="18" t="inlineStr">
        <is>
          <t>N-acetylcysteine (NAC) IV infusion protocol</t>
        </is>
      </c>
      <c r="H1962" s="18" t="inlineStr">
        <is>
          <t>Atropine sulfate 2 mg IV Q5-10 min</t>
        </is>
      </c>
      <c r="I1962" s="15" t="inlineStr">
        <is>
          <t>1</t>
        </is>
      </c>
      <c r="J19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2" s="18" t="inlineStr"/>
      <c r="L1962" s="18" t="inlineStr">
        <is>
          <t>General Therapeutics</t>
        </is>
      </c>
      <c r="M1962" s="18" t="inlineStr">
        <is>
          <t>Clinic</t>
        </is>
      </c>
      <c r="N1962" s="18" t="inlineStr">
        <is>
          <t>ข้อ 5 (PLE_CC1_Key_Rx20_UBU.md)</t>
        </is>
      </c>
      <c r="O1962" s="18" t="inlineStr">
        <is>
          <t>Mock</t>
        </is>
      </c>
      <c r="P1962" s="18" t="inlineStr">
        <is>
          <t>Mock Rx20 UBU</t>
        </is>
      </c>
    </row>
    <row r="1963">
      <c r="A1963" s="15" t="inlineStr">
        <is>
          <t>1984</t>
        </is>
      </c>
      <c r="B1963" s="18" t="inlineStr">
        <is>
          <t>Mass spectometry</t>
        </is>
      </c>
      <c r="C1963" s="18" t="inlineStr"/>
      <c r="D1963" s="18" t="inlineStr">
        <is>
          <t>N-acetylcysteine (NAC) IV infusion protocol</t>
        </is>
      </c>
      <c r="E1963" s="18" t="inlineStr">
        <is>
          <t>Atropine sulfate 2 mg IV Q5-10 min</t>
        </is>
      </c>
      <c r="F1963" s="18" t="inlineStr">
        <is>
          <t>Pralidoxime (2-PAM) 1-2 g IV over 30 min</t>
        </is>
      </c>
      <c r="G1963" s="18" t="inlineStr">
        <is>
          <t>Naloxone 0.4 mg IV stat</t>
        </is>
      </c>
      <c r="H1963" s="18" t="inlineStr">
        <is>
          <t>Flumazenil 0.2 mg IV stat</t>
        </is>
      </c>
      <c r="I1963" s="15" t="inlineStr">
        <is>
          <t>1</t>
        </is>
      </c>
      <c r="J19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3" s="18" t="inlineStr"/>
      <c r="L1963" s="18" t="inlineStr">
        <is>
          <t>General Therapeutics</t>
        </is>
      </c>
      <c r="M1963" s="18" t="inlineStr">
        <is>
          <t>Clinic</t>
        </is>
      </c>
      <c r="N1963" s="18" t="inlineStr">
        <is>
          <t>ข้อ 1 (PLE_CC1_Key_Rx20_UBU.md)</t>
        </is>
      </c>
      <c r="O1963" s="18" t="inlineStr">
        <is>
          <t>Mock</t>
        </is>
      </c>
      <c r="P1963" s="18" t="inlineStr">
        <is>
          <t>Mock Rx20 UBU</t>
        </is>
      </c>
    </row>
    <row r="1964">
      <c r="A1964" s="15" t="inlineStr">
        <is>
          <t>1985</t>
        </is>
      </c>
      <c r="B1964" s="18" t="inlineStr">
        <is>
          <t>HPMC ตอบ 5. HPMC เป็นกราฟระหว่าง peak area กับ time</t>
        </is>
      </c>
      <c r="C1964" s="18" t="inlineStr"/>
      <c r="D1964" s="18" t="inlineStr">
        <is>
          <t>Naloxone 0.4 mg IV stat</t>
        </is>
      </c>
      <c r="E1964" s="18" t="inlineStr">
        <is>
          <t>Flumazenil 0.2 mg IV stat</t>
        </is>
      </c>
      <c r="F1964" s="18" t="inlineStr">
        <is>
          <t>Vitamin K1 (Phytomenadione) 10 mg IV slow</t>
        </is>
      </c>
      <c r="G1964" s="18" t="inlineStr">
        <is>
          <t>Sodium thiosulfate 25% 50 mL IV</t>
        </is>
      </c>
      <c r="H1964" s="18" t="inlineStr">
        <is>
          <t>Calcium disodium EDTA 1 g IV</t>
        </is>
      </c>
      <c r="I1964" s="15" t="inlineStr">
        <is>
          <t>1</t>
        </is>
      </c>
      <c r="J19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4" s="18" t="inlineStr"/>
      <c r="L1964" s="18" t="inlineStr">
        <is>
          <t>General Therapeutics</t>
        </is>
      </c>
      <c r="M1964" s="18" t="inlineStr">
        <is>
          <t>Clinic</t>
        </is>
      </c>
      <c r="N1964" s="18" t="inlineStr">
        <is>
          <t>ข้อ 5 (PLE_CC1_Key_Rx20_UBU.md)</t>
        </is>
      </c>
      <c r="O1964" s="18" t="inlineStr">
        <is>
          <t>Mock</t>
        </is>
      </c>
      <c r="P1964" s="18" t="inlineStr">
        <is>
          <t>Mock Rx20 UBU</t>
        </is>
      </c>
    </row>
    <row r="1965">
      <c r="A1965" s="15" t="inlineStr">
        <is>
          <t>1986</t>
        </is>
      </c>
      <c r="B1965" s="18" t="inlineStr">
        <is>
          <t>คลุมผม สวมรองเท้า เสื้อคลุมยาว</t>
        </is>
      </c>
      <c r="C1965" s="18" t="inlineStr"/>
      <c r="D1965" s="18" t="inlineStr">
        <is>
          <t>Sodium thiosulfate 25% 50 mL IV</t>
        </is>
      </c>
      <c r="E1965" s="18" t="inlineStr">
        <is>
          <t>Calcium disodium EDTA 1 g IV</t>
        </is>
      </c>
      <c r="F1965" s="18" t="inlineStr">
        <is>
          <t>Desferrioxamine 1 g IM/IV</t>
        </is>
      </c>
      <c r="G1965" s="18" t="inlineStr">
        <is>
          <t>Dimercaprol (BAL) 3 mg/kg IM</t>
        </is>
      </c>
      <c r="H1965" s="18" t="inlineStr">
        <is>
          <t>Ethanol 10% IV infusion for Methanol poisoning</t>
        </is>
      </c>
      <c r="I1965" s="15" t="inlineStr">
        <is>
          <t>1</t>
        </is>
      </c>
      <c r="J19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5" s="18" t="inlineStr"/>
      <c r="L1965" s="18" t="inlineStr">
        <is>
          <t>General Therapeutics</t>
        </is>
      </c>
      <c r="M1965" s="18" t="inlineStr">
        <is>
          <t>Clinic</t>
        </is>
      </c>
      <c r="N1965" s="18" t="inlineStr">
        <is>
          <t>ข้อ 1 (PLE_CC1_Key_Rx20_UBU.md)</t>
        </is>
      </c>
      <c r="O1965" s="18" t="inlineStr">
        <is>
          <t>Mock</t>
        </is>
      </c>
      <c r="P1965" s="18" t="inlineStr">
        <is>
          <t>Mock Rx20 UBU</t>
        </is>
      </c>
    </row>
    <row r="1966">
      <c r="A1966" s="15" t="inlineStr">
        <is>
          <t>1987</t>
        </is>
      </c>
      <c r="B1966" s="18" t="inlineStr">
        <is>
          <t>คลุมผม สวมรองเท้า เสื้อคลุมยาว แบบสองท่อน ถึงข้อมือและข้อเท้า</t>
        </is>
      </c>
      <c r="C1966" s="18" t="inlineStr"/>
      <c r="D1966" s="18" t="inlineStr">
        <is>
          <t>Dimercaprol (BAL) 3 mg/kg IM</t>
        </is>
      </c>
      <c r="E1966" s="18" t="inlineStr">
        <is>
          <t>Ethanol 10% IV infusion for Methanol poisoning</t>
        </is>
      </c>
      <c r="F1966" s="18" t="inlineStr">
        <is>
          <t>Fomepizole 15 mg/kg IV loading</t>
        </is>
      </c>
      <c r="G1966" s="18" t="inlineStr">
        <is>
          <t>N-acetylcysteine (NAC) IV infusion protocol</t>
        </is>
      </c>
      <c r="H1966" s="18" t="inlineStr">
        <is>
          <t>Atropine sulfate 2 mg IV Q5-10 min</t>
        </is>
      </c>
      <c r="I1966" s="15" t="inlineStr">
        <is>
          <t>1</t>
        </is>
      </c>
      <c r="J19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6" s="18" t="inlineStr"/>
      <c r="L1966" s="18" t="inlineStr">
        <is>
          <t>General Therapeutics</t>
        </is>
      </c>
      <c r="M1966" s="18" t="inlineStr">
        <is>
          <t>Clinic</t>
        </is>
      </c>
      <c r="N1966" s="18" t="inlineStr">
        <is>
          <t>ข้อ 2 (PLE_CC1_Key_Rx20_UBU.md)</t>
        </is>
      </c>
      <c r="O1966" s="18" t="inlineStr">
        <is>
          <t>Mock</t>
        </is>
      </c>
      <c r="P1966" s="18" t="inlineStr">
        <is>
          <t>Mock Rx20 UBU</t>
        </is>
      </c>
    </row>
    <row r="1967">
      <c r="A1967" s="15" t="inlineStr">
        <is>
          <t>1988</t>
        </is>
      </c>
      <c r="B1967" s="18" t="inlineStr">
        <is>
          <t>คลุมผม สวมรองเท้า เสื้อคลุมยาว แบบสองท่อน ถึงข้อมือและข้อเท้าไม่ปล่อยเส้นใย</t>
        </is>
      </c>
      <c r="C1967" s="18" t="inlineStr"/>
      <c r="D1967" s="18" t="inlineStr">
        <is>
          <t>N-acetylcysteine (NAC) IV infusion protocol</t>
        </is>
      </c>
      <c r="E1967" s="18" t="inlineStr">
        <is>
          <t>Atropine sulfate 2 mg IV Q5-10 min</t>
        </is>
      </c>
      <c r="F1967" s="18" t="inlineStr">
        <is>
          <t>Pralidoxime (2-PAM) 1-2 g IV over 30 min</t>
        </is>
      </c>
      <c r="G1967" s="18" t="inlineStr">
        <is>
          <t>Naloxone 0.4 mg IV stat</t>
        </is>
      </c>
      <c r="H1967" s="18" t="inlineStr">
        <is>
          <t>Flumazenil 0.2 mg IV stat</t>
        </is>
      </c>
      <c r="I1967" s="15" t="inlineStr">
        <is>
          <t>1</t>
        </is>
      </c>
      <c r="J19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7" s="18" t="inlineStr"/>
      <c r="L1967" s="18" t="inlineStr">
        <is>
          <t>General Therapeutics</t>
        </is>
      </c>
      <c r="M1967" s="18" t="inlineStr">
        <is>
          <t>Clinic</t>
        </is>
      </c>
      <c r="N1967" s="18" t="inlineStr">
        <is>
          <t>ข้อ 3 (PLE_CC1_Key_Rx20_UBU.md)</t>
        </is>
      </c>
      <c r="O1967" s="18" t="inlineStr">
        <is>
          <t>Mock</t>
        </is>
      </c>
      <c r="P1967" s="18" t="inlineStr">
        <is>
          <t>Mock Rx20 UBU</t>
        </is>
      </c>
    </row>
    <row r="1968">
      <c r="A1968" s="15" t="inlineStr">
        <is>
          <t>1989</t>
        </is>
      </c>
      <c r="B1968" s="18" t="inlineStr">
        <is>
          <t>ไม่จ่ายยาตำรับลับ</t>
        </is>
      </c>
      <c r="C1968" s="18" t="inlineStr"/>
      <c r="D1968" s="18" t="inlineStr">
        <is>
          <t>Naloxone 0.4 mg IV stat</t>
        </is>
      </c>
      <c r="E1968" s="18" t="inlineStr">
        <is>
          <t>Flumazenil 0.2 mg IV stat</t>
        </is>
      </c>
      <c r="F1968" s="18" t="inlineStr">
        <is>
          <t>Vitamin K1 (Phytomenadione) 10 mg IV slow</t>
        </is>
      </c>
      <c r="G1968" s="18" t="inlineStr">
        <is>
          <t>Sodium thiosulfate 25% 50 mL IV</t>
        </is>
      </c>
      <c r="H1968" s="18" t="inlineStr">
        <is>
          <t>Calcium disodium EDTA 1 g IV</t>
        </is>
      </c>
      <c r="I1968" s="15" t="inlineStr">
        <is>
          <t>1</t>
        </is>
      </c>
      <c r="J19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8" s="18" t="inlineStr"/>
      <c r="L1968" s="18" t="inlineStr">
        <is>
          <t>General Therapeutics</t>
        </is>
      </c>
      <c r="M1968" s="18" t="inlineStr">
        <is>
          <t>Clinic</t>
        </is>
      </c>
      <c r="N1968" s="18" t="inlineStr">
        <is>
          <t>ข้อ 1 (PLE_CC1_Key_Rx20_UBU.md)</t>
        </is>
      </c>
      <c r="O1968" s="18" t="inlineStr">
        <is>
          <t>Mock</t>
        </is>
      </c>
      <c r="P1968" s="18" t="inlineStr">
        <is>
          <t>Mock Rx20 UBU</t>
        </is>
      </c>
    </row>
    <row r="1969">
      <c r="A1969" s="15" t="inlineStr">
        <is>
          <t>1990</t>
        </is>
      </c>
      <c r="B1969" s="18" t="inlineStr">
        <is>
          <t>ต้องสร้างทัศนคติและความเข้าใจต่อเพื่อนมนุษย์</t>
        </is>
      </c>
      <c r="C1969" s="18" t="inlineStr"/>
      <c r="D1969" s="18" t="inlineStr">
        <is>
          <t>Sodium thiosulfate 25% 50 mL IV</t>
        </is>
      </c>
      <c r="E1969" s="18" t="inlineStr">
        <is>
          <t>Calcium disodium EDTA 1 g IV</t>
        </is>
      </c>
      <c r="F1969" s="18" t="inlineStr">
        <is>
          <t>Desferrioxamine 1 g IM/IV</t>
        </is>
      </c>
      <c r="G1969" s="18" t="inlineStr">
        <is>
          <t>Dimercaprol (BAL) 3 mg/kg IM</t>
        </is>
      </c>
      <c r="H1969" s="18" t="inlineStr">
        <is>
          <t>Ethanol 10% IV infusion for Methanol poisoning</t>
        </is>
      </c>
      <c r="I1969" s="15" t="inlineStr">
        <is>
          <t>1</t>
        </is>
      </c>
      <c r="J19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9" s="18" t="inlineStr"/>
      <c r="L1969" s="18" t="inlineStr">
        <is>
          <t>General Therapeutics</t>
        </is>
      </c>
      <c r="M1969" s="18" t="inlineStr">
        <is>
          <t>Clinic</t>
        </is>
      </c>
      <c r="N1969" s="18" t="inlineStr">
        <is>
          <t>ข้อ 2 (PLE_CC1_Key_Rx20_UBU.md)</t>
        </is>
      </c>
      <c r="O1969" s="18" t="inlineStr">
        <is>
          <t>Mock</t>
        </is>
      </c>
      <c r="P1969" s="18" t="inlineStr">
        <is>
          <t>Mock Rx20 UBU</t>
        </is>
      </c>
    </row>
    <row r="1970">
      <c r="A1970" s="15" t="inlineStr">
        <is>
          <t>1991</t>
        </is>
      </c>
      <c r="B1970" s="18" t="inlineStr">
        <is>
          <t>ต้องใช้ความรู้ทางสังคมศาสตร์และพฤติกรรมศาสตร์มาประยุกต์กับการประกอบวิชาชีพ</t>
        </is>
      </c>
      <c r="C1970" s="18" t="inlineStr"/>
      <c r="D1970" s="18" t="inlineStr">
        <is>
          <t>Dimercaprol (BAL) 3 mg/kg IM</t>
        </is>
      </c>
      <c r="E1970" s="18" t="inlineStr">
        <is>
          <t>Ethanol 10% IV infusion for Methanol poisoning</t>
        </is>
      </c>
      <c r="F1970" s="18" t="inlineStr">
        <is>
          <t>Fomepizole 15 mg/kg IV loading</t>
        </is>
      </c>
      <c r="G1970" s="18" t="inlineStr">
        <is>
          <t>N-acetylcysteine (NAC) IV infusion protocol</t>
        </is>
      </c>
      <c r="H1970" s="18" t="inlineStr">
        <is>
          <t>Atropine sulfate 2 mg IV Q5-10 min</t>
        </is>
      </c>
      <c r="I1970" s="15" t="inlineStr">
        <is>
          <t>1</t>
        </is>
      </c>
      <c r="J19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0" s="18" t="inlineStr"/>
      <c r="L1970" s="18" t="inlineStr">
        <is>
          <t>General Therapeutics</t>
        </is>
      </c>
      <c r="M1970" s="18" t="inlineStr">
        <is>
          <t>Clinic</t>
        </is>
      </c>
      <c r="N1970" s="18" t="inlineStr">
        <is>
          <t>ข้อ 3 (PLE_CC1_Key_Rx20_UBU.md)</t>
        </is>
      </c>
      <c r="O1970" s="18" t="inlineStr">
        <is>
          <t>Mock</t>
        </is>
      </c>
      <c r="P1970" s="18" t="inlineStr">
        <is>
          <t>Mock Rx20 UBU</t>
        </is>
      </c>
    </row>
    <row r="1971">
      <c r="A1971" s="15" t="inlineStr">
        <is>
          <t>1992</t>
        </is>
      </c>
      <c r="B1971" s="18" t="inlineStr">
        <is>
          <t>ผู$ป&amp;วยควรได$รับยาใดเพิ่มเติม o</t>
        </is>
      </c>
      <c r="C1971" s="18" t="inlineStr"/>
      <c r="D1971" s="18" t="inlineStr">
        <is>
          <t>Glipizide (5) 1x2 ac</t>
        </is>
      </c>
      <c r="E1971" s="18" t="inlineStr">
        <is>
          <t>Aspirin 1x1 pc</t>
        </is>
      </c>
      <c r="F1971" s="18" t="inlineStr">
        <is>
          <t>Amlodipine (5) 1x1 pc</t>
        </is>
      </c>
      <c r="G1971" s="18" t="inlineStr">
        <is>
          <t>Glimepiride (1) 1x2 pc -</t>
        </is>
      </c>
      <c r="H1971" s="18" t="inlineStr">
        <is>
          <t>Clopidogrel 1x1 pc</t>
        </is>
      </c>
      <c r="I1971" s="15" t="inlineStr">
        <is>
          <t>2</t>
        </is>
      </c>
      <c r="J1971" s="18" t="inlineStr">
        <is>
          <t>✅ คำตอบที่ถูกต้อง: ข้อ ข. Aspirin 1x1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1x1 pc การเลือก Aspirin 1x1 pc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(Glipizide (5) 1x2 ac): เป็น Second-generation Sulfonylurea กระตุ้น insulin secretion เสี่ยงต่อ hypoglycemia และ weight gain ขับออกทางตับเด่นกว่า glibenclamide จึงปลอดภัยกว่าในผู้สูงอายุ/CKD
• ข้อ ค. (Amlodipine (5) 1x1 pc): เป็น DHP calcium channel blocker ขยายหลอดเลือด peripheral เด่น แต่ไม่มี class-specific renal protective effect ในผู้ป่วย DM with albuminuria เท่ากับ ACEI/ARB และอาจเกิด peripheral edema
• ข้อ ง. (Glimepiride (1) 1x2 pc -): ข้อนี้ไม่ใช่คำตอบที่ถูกต้องสำหรับภาวะ General Therapeutics เนื่องจากกลไกการออกฤทธิ์, efficacy หรือข้อบ่งใช้ไม่ตรงกับโจทย์ที่กำหนด
• ข้อ จ. (Clopidogrel 1x1 pc):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1" s="18" t="inlineStr"/>
      <c r="L1971" s="18" t="inlineStr">
        <is>
          <t>General Therapeutics</t>
        </is>
      </c>
      <c r="M1971" s="18" t="inlineStr">
        <is>
          <t>Clinic</t>
        </is>
      </c>
      <c r="N1971" s="18" t="inlineStr">
        <is>
          <t>ข้อ 9 (PLE_CC1_Key_Rx20_UBU.md)</t>
        </is>
      </c>
      <c r="O1971" s="18" t="inlineStr">
        <is>
          <t>Mock</t>
        </is>
      </c>
      <c r="P1971" s="18" t="inlineStr">
        <is>
          <t>Mock Rx20 UBU</t>
        </is>
      </c>
    </row>
    <row r="1972">
      <c r="A1972" s="15" t="inlineStr">
        <is>
          <t>1993</t>
        </is>
      </c>
      <c r="B1972" s="18" t="inlineStr">
        <is>
          <t>ในเบื้องต$น ผู$ป&amp;วยรายนีควรได$รับการจัดการอยGางไร</t>
        </is>
      </c>
      <c r="C1972" s="18" t="inlineStr"/>
      <c r="D1972" s="18" t="inlineStr">
        <is>
          <t>หยุดยา Metformin</t>
        </is>
      </c>
      <c r="E1972" s="18" t="inlineStr">
        <is>
          <t>หยุดยา Simvastatin</t>
        </is>
      </c>
      <c r="F1972" s="18" t="inlineStr">
        <is>
          <t>หยุดยา Enalapril</t>
        </is>
      </c>
      <c r="G1972" s="18" t="inlineStr">
        <is>
          <t>ให$ผู$ป&amp;วยได$รับ glucose ทดแทน</t>
        </is>
      </c>
      <c r="H1972" s="18" t="inlineStr">
        <is>
          <t>ให$ผู$ป&amp;วยได$รับ sodium bicarbonate ทดแทน HCO3 10 mEq/L เปญนตัวบอกวGามี acidosis คือ HCO3 &lt; 15 mEq/L (จะมี role ของการให$ iv sodium bicarbonate ทดแทนเมื่อ venous pH &lt; 6.9)</t>
        </is>
      </c>
      <c r="I1972" s="15" t="inlineStr">
        <is>
          <t>1</t>
        </is>
      </c>
      <c r="J1972" s="18" t="inlineStr">
        <is>
          <t>✅ คำตอบที่ถูกต้อง: ข้อ ก. หยุดยา Metformin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Metformin การเลือก หยุดยา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(หยุดยา Simvastatin): เป็น moderate-intensity statin เมแทบอไลต์ผ่าน CYP3A4 เด่นชัด ห้ามใช้ dose 80 mg และมี drug interactions สูงกับ CYP3A4 inhibitors (clarithromycin, ketoconazole)
• ข้อ ค. (หยุดยา Enalapril): เป็น ACE inhibitor ลด Angiotensin II และ intraglomerular pressure มี renal protective efficacy เด่นชัดใน diabetic kidney disease แต่อาจเกิด dry cough จากการสะสมของ bradykinin
• ข้อ ง. (ให$ผู$ป&amp;วยได$รับ glucose ทดแทน): ข้อนี้ไม่ใช่คำตอบที่ถูกต้องสำหรับภาวะ General Therapeutics เนื่องจากกลไกการออกฤทธิ์, efficacy หรือข้อบ่งใช้ไม่ตรงกับโจทย์ที่กำหนด
• ข้อ จ. (ให$ผู$ป&amp;วยได$รับ sodium bicarbonate ทดแทน HCO3 10 mEq/L เปญนตัวบอกวGามี acidosis คือ HCO3 &lt; 15 mEq/L (จะมี role ของการให$ iv sodium bicarbonate ทดแทนเมื่อ venous pH &lt; 6.9)):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2" s="18" t="inlineStr"/>
      <c r="L1972" s="18" t="inlineStr">
        <is>
          <t>General Therapeutics</t>
        </is>
      </c>
      <c r="M1972" s="18" t="inlineStr">
        <is>
          <t>Clinic</t>
        </is>
      </c>
      <c r="N1972" s="18" t="inlineStr">
        <is>
          <t>ข้อ 11 (PLE_CC1_Key_Rx20_UBU.md)</t>
        </is>
      </c>
      <c r="O1972" s="18" t="inlineStr">
        <is>
          <t>Mock</t>
        </is>
      </c>
      <c r="P1972" s="18" t="inlineStr">
        <is>
          <t>Mock Rx20 UBU</t>
        </is>
      </c>
    </row>
    <row r="1973">
      <c r="A1973" s="15" t="inlineStr">
        <is>
          <t>1994</t>
        </is>
      </c>
      <c r="B1973" s="18" t="inlineStr">
        <is>
          <t>ข$อใดถูกต$อง</t>
        </is>
      </c>
      <c r="C1973" s="18" t="inlineStr"/>
      <c r="D1973" s="18" t="inlineStr">
        <is>
          <t>Glipizide ข$อดี : ไมGมีผลตGอน้ำหนักตัว ข$อเสีย : ทำให$Gเกิด hypoglycemia</t>
        </is>
      </c>
      <c r="E1973" s="18" t="inlineStr">
        <is>
          <t>Metformin ข$อดี : ไมGทำให$เกิด hypoglycemia ข$อเสีย : ทำให$ขาดวิตามินบี 12</t>
        </is>
      </c>
      <c r="F1973" s="18" t="inlineStr">
        <is>
          <t>Pioglitazone ข$อดี : ไมGมีผลตGอน้ำหนักตัว ข$อเสีย : ทำให$เกิด hypoglycemia</t>
        </is>
      </c>
      <c r="G1973" s="18" t="inlineStr">
        <is>
          <t>Acarbose ข$อดี : ลด HbA1C ได$ดีกวGา metformin ข$อเสีย : เพิ่มน้ำหนักตัว</t>
        </is>
      </c>
      <c r="H1973" s="18" t="inlineStr">
        <is>
          <t>Insulin ข$อดี : ไมGมีผลตGอนํ้ำหนักตัว ข$อเสีย : ทำให$เกิด hypoglycemia Glipizide, Pioglitazone, Insulin มีผลต=อน้ำหนักตัว ส=วน Acarbose ลด HbA1C และ FBS ได5ไม=ดี</t>
        </is>
      </c>
      <c r="I1973" s="15" t="inlineStr">
        <is>
          <t>2</t>
        </is>
      </c>
      <c r="J1973" s="18" t="inlineStr">
        <is>
          <t>✅ คำตอบที่ถูกต้อง: ข้อ ข. Metformin ข$อดี : ไมGทำให$เกิด hypoglycemia ข$อเสีย : ทำให$ขาดวิตามินบี 12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Metformin ข$อดี : ไมGทำให$เกิด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การเลือก Metformin ข$อดี : ไม G ทำให$เกิด hypoglycemia ข$อเสีย : ทำให$ขาดวิตามินบี 12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ข$อดี : ไมGมีผลตGอน้ำหนักตัว ข$อเสีย : ทำให$Gเกิด hypoglycemia): เป็น Second-generation Sulfonylurea กระตุ้น insulin secretion เสี่ยงต่อ hypoglycemia และ weight gain ขับออกทางตับเด่นกว่า glibenclamide จึงปลอดภัยกว่าในผู้สูงอายุ/CKD
• ข้อ ค. (Pioglitazone ข$อดี : ไมGมีผลตGอน้ำหนักตัว ข$อเสีย : ทำให$เกิด hypoglycemia): เป็น Thiazolidinedione (PPAR-gamma agonist) เพิ่ม insulin sensitivity ที่กล้ามเนื้อและตับ แต่มีข้อห้ามใช้ใน Heart Failure (NYHA class III-IV) เพราะทำให้น้ำคั่ง (fluid retention/edema)
• ข้อ ง. (Acarbose ข$อดี : ลด HbA1C ได$ดีกวGา metformin ข$อเสีย : เพิ่มน้ำหนักตัว):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(Insulin ข$อดี : ไมGมีผลตGอนํ้ำหนักตัว ข$อเสีย : ทำให$เกิด hypoglycemia Glipizide, Pioglitazone, Insulin มีผลต=อน้ำหนักตัว ส=วน Acarbose ลด HbA1C และ FBS ได5ไม=ดี):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3" s="18" t="inlineStr"/>
      <c r="L1973" s="18" t="inlineStr">
        <is>
          <t>General Therapeutics</t>
        </is>
      </c>
      <c r="M1973" s="18" t="inlineStr">
        <is>
          <t>Clinic</t>
        </is>
      </c>
      <c r="N1973" s="18" t="inlineStr">
        <is>
          <t>ข้อ 14 (PLE_CC1_Key_Rx20_UBU.md)</t>
        </is>
      </c>
      <c r="O1973" s="18" t="inlineStr">
        <is>
          <t>Mock</t>
        </is>
      </c>
      <c r="P1973" s="18" t="inlineStr">
        <is>
          <t>Mock Rx20 UBU</t>
        </is>
      </c>
    </row>
    <row r="1974">
      <c r="A1974" s="15" t="inlineStr">
        <is>
          <t>1995</t>
        </is>
      </c>
      <c r="B1974" s="18" t="inlineStr">
        <is>
          <t>กลไกการออกฤทธิ์ของยา paclitaxel คือข$อใด</t>
        </is>
      </c>
      <c r="C1974" s="18" t="inlineStr"/>
      <c r="D1974" s="18" t="inlineStr">
        <is>
          <t>Alkylating agent</t>
        </is>
      </c>
      <c r="E1974" s="18" t="inlineStr">
        <is>
          <t>Topoisomerase inhibitor</t>
        </is>
      </c>
      <c r="F1974" s="18" t="inlineStr">
        <is>
          <t>Mitotic inhibitor</t>
        </is>
      </c>
      <c r="G1974" s="18" t="inlineStr">
        <is>
          <t>Antimetabolite</t>
        </is>
      </c>
      <c r="H1974" s="18" t="inlineStr">
        <is>
          <t>Vascular growth factor receptor antagonist</t>
        </is>
      </c>
      <c r="I1974" s="15" t="inlineStr">
        <is>
          <t>3</t>
        </is>
      </c>
      <c r="J1974" s="18" t="inlineStr">
        <is>
          <t>✅ คำตอบที่ถูกต้อง: ข้อ ค. Mitotic inhibitor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Mitotic inhibitor การเลือก Mitotic inhibitor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ก. (Alkylating agent): ข้อนี้ไม่ใช่คำตอบที่ถูกต้องสำหรับภาวะ Oncology &amp; Chemotherapy เนื่องจากกลไกการออกฤทธิ์, efficacy หรือข้อบ่งใช้ไม่ตรงกับโจทย์ที่กำหนด
• ข้อ ข. (Topoisomerase inhibitor): ข้อนี้ไม่ใช่คำตอบที่ถูกต้องสำหรับภาวะ Oncology &amp; Chemotherapy เนื่องจากกลไกการออกฤทธิ์, efficacy หรือข้อบ่งใช้ไม่ตรงกับโจทย์ที่กำหนด
• ข้อ ง. (Antimetabolite): ข้อนี้ไม่ใช่คำตอบที่ถูกต้องสำหรับภาวะ Oncology &amp; Chemotherapy เนื่องจากกลไกการออกฤทธิ์, efficacy หรือข้อบ่งใช้ไม่ตรงกับโจทย์ที่กำหนด
• ข้อ จ. (Vascular growth factor receptor antagonist):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974" s="18" t="inlineStr"/>
      <c r="L1974" s="18" t="inlineStr">
        <is>
          <t>Oncology &amp; Chemotherapy</t>
        </is>
      </c>
      <c r="M1974" s="18" t="inlineStr">
        <is>
          <t>Clinic</t>
        </is>
      </c>
      <c r="N1974" s="18" t="inlineStr">
        <is>
          <t>ข้อ 21 (PLE_CC1_Key_Rx20_UBU.md)</t>
        </is>
      </c>
      <c r="O1974" s="18" t="inlineStr">
        <is>
          <t>Mock</t>
        </is>
      </c>
      <c r="P1974" s="18" t="inlineStr">
        <is>
          <t>Mock Rx20 UBU</t>
        </is>
      </c>
    </row>
    <row r="1975">
      <c r="A1975" s="15" t="inlineStr">
        <is>
          <t>1996</t>
        </is>
      </c>
      <c r="B1975" s="18" t="inlineStr">
        <is>
          <t>ผู$ป&amp;วยควรได$รับยาในข$อใดเพื่อปนองกันอาการไมGพึงประสงค_ตGอระบบทางเดินอาหาร</t>
        </is>
      </c>
      <c r="C1975" s="18" t="inlineStr"/>
      <c r="D1975" s="18" t="inlineStr">
        <is>
          <t>Sucralfate</t>
        </is>
      </c>
      <c r="E1975" s="18" t="inlineStr">
        <is>
          <t>Lansoprazole</t>
        </is>
      </c>
      <c r="F1975" s="18" t="inlineStr">
        <is>
          <t>Omeprazole</t>
        </is>
      </c>
      <c r="G1975" s="18" t="inlineStr">
        <is>
          <t>Esomeprazole</t>
        </is>
      </c>
      <c r="H1975" s="18" t="inlineStr">
        <is>
          <t>Alum milk ผู$ป&amp;วยที่ได$รับ Dual antiplalets ควรได$ยากลุGม PPIs หรือ H2-blockers เพื่อปนองกันการเกิด NSAIDs induce Gastrointestinal ulcer</t>
        </is>
      </c>
      <c r="I1975" s="15" t="inlineStr">
        <is>
          <t>3</t>
        </is>
      </c>
      <c r="J1975" s="18" t="inlineStr">
        <is>
          <t>✅ คำตอบที่ถูกต้อง: ข้อ ค.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(Lansoprazole): ข้อนี้ไม่ใช่คำตอบที่ถูกต้องสำหรับภาวะ General Therapeutics เนื่องจากกลไกการออกฤทธิ์, efficacy หรือข้อบ่งใช้ไม่ตรงกับโจทย์ที่กำหนด
• ข้อ ง.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(Alum milk ผู$ป&amp;วยที่ได$รับ Dual antiplalets ควรได$ยากลุGม PPIs หรือ H2-blockers เพื่อปนองกันการเกิด NSAIDs induce Gastrointestinal ulcer):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5" s="18" t="inlineStr"/>
      <c r="L1975" s="18" t="inlineStr">
        <is>
          <t>General Therapeutics</t>
        </is>
      </c>
      <c r="M1975" s="18" t="inlineStr">
        <is>
          <t>Clinic</t>
        </is>
      </c>
      <c r="N1975" s="18" t="inlineStr">
        <is>
          <t>ข้อ 29 (PLE_CC1_Key_Rx20_UBU.md)</t>
        </is>
      </c>
      <c r="O1975" s="18" t="inlineStr">
        <is>
          <t>Mock</t>
        </is>
      </c>
      <c r="P1975" s="18" t="inlineStr">
        <is>
          <t>Mock Rx20 UBU</t>
        </is>
      </c>
    </row>
    <row r="1976">
      <c r="A1976" s="15" t="inlineStr">
        <is>
          <t>1997</t>
        </is>
      </c>
      <c r="B1976" s="18" t="inlineStr">
        <is>
          <t>หลังจากผู$ป&amp;วยได$รับยาไประยะหนึ่งก็เกิดอาการปวดเมือยกล$ามเนื้อ ข$อใดนGาจะเปญนสาเหตุ</t>
        </is>
      </c>
      <c r="C1976" s="18" t="inlineStr"/>
      <c r="D1976" s="18" t="inlineStr">
        <is>
          <t>อันตรกิริยาระหวGาง simvastatin และ enalapril</t>
        </is>
      </c>
      <c r="E1976" s="18" t="inlineStr">
        <is>
          <t>อันตรกิริยาระหวGาง simvastatin และ amlodipine</t>
        </is>
      </c>
      <c r="F1976" s="18" t="inlineStr">
        <is>
          <t>อันตรกิริยาระหวGาง simvastatin และ aspirin</t>
        </is>
      </c>
      <c r="G1976" s="18" t="inlineStr">
        <is>
          <t>อันตรกิริยาระหวGาง simvastatin และ clopidogrel</t>
        </is>
      </c>
      <c r="H1976" s="18" t="inlineStr">
        <is>
          <t>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t>
        </is>
      </c>
      <c r="I1976" s="15" t="inlineStr">
        <is>
          <t>2</t>
        </is>
      </c>
      <c r="J1976" s="18" t="inlineStr">
        <is>
          <t>✅ คำตอบที่ถูกต้อง: ข้อ ข. อันตรกิริยาระหวGาง simvastatin และ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อันตรกิริยาระหวGาง simvastatin และ amlodipine อันตรกิริยาระหว G าง simvastatin และ amlodipine อันตรกิริยาระหว G าง simvastatin และ amlodipine อันตรกิริยาระหว G าง simvastatin และ amlodipine การเลือก อันตรกิริยาระหว G าง simvastatin และ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(อันตรกิริยาระหวGาง simvastatin และ enalapril): เป็น ACE inhibitor ลด Angiotensin II และ intraglomerular pressure มี renal protective efficacy เด่นชัดใน diabetic kidney disease แต่อาจเกิด dry cough จากการสะสมของ bradykinin
• ข้อ ค. (อันตรกิริยาระหวGาง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(อันตรกิริยาระหวGาง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976" s="18" t="inlineStr"/>
      <c r="L1976" s="18" t="inlineStr">
        <is>
          <t>General Therapeutics</t>
        </is>
      </c>
      <c r="M1976" s="18" t="inlineStr">
        <is>
          <t>Clinic</t>
        </is>
      </c>
      <c r="N1976" s="18" t="inlineStr">
        <is>
          <t>ข้อ 31 (PLE_CC1_Key_Rx20_UBU.md)</t>
        </is>
      </c>
      <c r="O1976" s="18" t="inlineStr">
        <is>
          <t>Mock</t>
        </is>
      </c>
      <c r="P1976" s="18" t="inlineStr">
        <is>
          <t>Mock Rx20 UBU</t>
        </is>
      </c>
    </row>
    <row r="1977">
      <c r="A1977" s="15" t="inlineStr">
        <is>
          <t>1998</t>
        </is>
      </c>
      <c r="B1977" s="18" t="inlineStr">
        <is>
          <t>ยาในข$อใดตGอไปนี้ ควรพัฒนาสูตรตำรับให$ออกฤทธิ์ได$เร็ว</t>
        </is>
      </c>
      <c r="C1977" s="18" t="inlineStr"/>
      <c r="D1977" s="18" t="inlineStr">
        <is>
          <t>Simvastatin</t>
        </is>
      </c>
      <c r="E1977" s="18" t="inlineStr">
        <is>
          <t>Clopidogrel</t>
        </is>
      </c>
      <c r="F1977" s="18" t="inlineStr">
        <is>
          <t>Isosorbide dinitrate</t>
        </is>
      </c>
      <c r="G1977" s="18" t="inlineStr">
        <is>
          <t>Aspirin</t>
        </is>
      </c>
      <c r="H1977" s="18" t="inlineStr">
        <is>
          <t>Amlodipine</t>
        </is>
      </c>
      <c r="I1977" s="15" t="inlineStr">
        <is>
          <t>3</t>
        </is>
      </c>
      <c r="J1977" s="18" t="inlineStr">
        <is>
          <t>✅ คำตอบที่ถูกต้อง: ข้อ ค. Isosorbide dinitrate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Isosorbide dinitrate การเลือก Isosorbide dinitrate เป็นคำตอบที่ถูกต้องตามแนวทางการรักษามาตรฐาน เนื่องจาก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ง. (Aspirin): เป็น irreversible COX-1 inhibitor ยับยั้ง Thromboxane A2 เป็นแกนหลักใน antiplatelet secondary prevention ของ CVD (ขนาดยา 75-100 mg/day)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7" s="18" t="inlineStr"/>
      <c r="L1977" s="18" t="inlineStr">
        <is>
          <t>General Therapeutics</t>
        </is>
      </c>
      <c r="M1977" s="18" t="inlineStr">
        <is>
          <t>Clinic</t>
        </is>
      </c>
      <c r="N1977" s="18" t="inlineStr">
        <is>
          <t>ข้อ 32 (PLE_CC1_Key_Rx20_UBU.md)</t>
        </is>
      </c>
      <c r="O1977" s="18" t="inlineStr">
        <is>
          <t>Mock</t>
        </is>
      </c>
      <c r="P1977" s="18" t="inlineStr">
        <is>
          <t>Mock Rx20 UBU</t>
        </is>
      </c>
    </row>
    <row r="1978">
      <c r="A1978" s="15" t="inlineStr">
        <is>
          <t>1999</t>
        </is>
      </c>
      <c r="B1978" s="18" t="inlineStr">
        <is>
          <t>ป[ญหาของผู$ป&amp;วยรายนี้คือข$อใด</t>
        </is>
      </c>
      <c r="C1978" s="18" t="inlineStr"/>
      <c r="D1978" s="18" t="inlineStr">
        <is>
          <t>ข$อเสื่อม และ น้ำหนักเกิน</t>
        </is>
      </c>
      <c r="E1978" s="18" t="inlineStr">
        <is>
          <t>ข$อเสื่อม และ อ$วน</t>
        </is>
      </c>
      <c r="F1978" s="18" t="inlineStr">
        <is>
          <t>ข$อเสื่อม และ ความดันโลหิตสูง</t>
        </is>
      </c>
      <c r="G1978" s="18" t="inlineStr">
        <is>
          <t>ข$อเสื่อม และ รูมาตอยด_</t>
        </is>
      </c>
      <c r="H1978" s="18" t="inlineStr">
        <is>
          <t>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t>
        </is>
      </c>
      <c r="I1978" s="15" t="inlineStr">
        <is>
          <t>2</t>
        </is>
      </c>
      <c r="J1978" s="18" t="inlineStr">
        <is>
          <t>✅ คำตอบที่ถูกต้อง: ข้อ ข. ข$อเสื่อม และ อ$วน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ข$อเสื่อม และ อ$วน อาการปวดดีขึ้นเมื่อได$พัก ช G วงอายุของผู$ป&amp;วยเข$าได$กลับกลุ G มที่เปญนโรคข$อเสื่อม ที่มักพบในช G วงอายุ 30-55 ป3
🔍 ข้ออื่นผิดเพราะอะไร:
• ข้อ ก. (ข$อเสื่อม และ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(ข$อเสื่อม และ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ง. (ข$อเสื่อม และ รูมาตอยด_): ข้อนี้ไม่ใช่คำตอบที่ถูกต้องสำหรับภาวะ General Therapeutics เนื่องจากกลไกการออกฤทธิ์, efficacy หรือข้อบ่งใช้ไม่ตรงกับโจทย์ที่กำหนด
• ข้อ จ. (ข$อเสื่อม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8" s="18" t="inlineStr"/>
      <c r="L1978" s="18" t="inlineStr">
        <is>
          <t>General Therapeutics</t>
        </is>
      </c>
      <c r="M1978" s="18" t="inlineStr">
        <is>
          <t>Clinic</t>
        </is>
      </c>
      <c r="N1978" s="18" t="inlineStr">
        <is>
          <t>ข้อ 35 (PLE_CC1_Key_Rx20_UBU.md)</t>
        </is>
      </c>
      <c r="O1978" s="18" t="inlineStr">
        <is>
          <t>Mock</t>
        </is>
      </c>
      <c r="P1978" s="18" t="inlineStr">
        <is>
          <t>Mock Rx20 UBU</t>
        </is>
      </c>
    </row>
    <row r="1979">
      <c r="A1979" s="15" t="inlineStr">
        <is>
          <t>2000</t>
        </is>
      </c>
      <c r="B1979" s="18" t="inlineStr">
        <is>
          <t>ในกรณีทีผู$ป&amp;วยไมGเคยรับประทานยาแก$ปวดใดมากGอนเภสัชกรควรจGายยาในข$อใด</t>
        </is>
      </c>
      <c r="C1979" s="18" t="inlineStr"/>
      <c r="D1979" s="18" t="inlineStr">
        <is>
          <t>Celecoxib 1 cap bid pc</t>
        </is>
      </c>
      <c r="E1979" s="18" t="inlineStr">
        <is>
          <t>Tramadol 1 cap qid pc</t>
        </is>
      </c>
      <c r="F1979" s="18" t="inlineStr">
        <is>
          <t>Naproxen 1 tab bid pc</t>
        </is>
      </c>
      <c r="G1979" s="18" t="inlineStr">
        <is>
          <t>Paracetamol 2 tab prn q 6 hr</t>
        </is>
      </c>
      <c r="H1979" s="18" t="inlineStr">
        <is>
          <t>Diclofenac 1 tab tid pc First line therapy for OA knee คือ Paracetamol หรือ Topical NSAIDs</t>
        </is>
      </c>
      <c r="I1979" s="15" t="inlineStr">
        <is>
          <t>4</t>
        </is>
      </c>
      <c r="J1979" s="18" t="inlineStr">
        <is>
          <t>✅ คำตอบที่ถูกต้อง: ข้อ ง. Paracetamol 2 tab prn q 6 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2 tab prn q 6 hr การเลือก Paracetamol 2 tab prn q 6 hr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(Celecoxib 1 cap bid pc): เป็น selective COX-2 inhibitor มี GI safety profile ดีกว่า non-selective NSAIDs แต่มี cardiovascular risk เพิ่มขึ้น และ contraindication ในผู้ป่วย post-CABG หรือ sulfonamide allergy
• ข้อ ข. (Tramadol 1 cap qid pc): เป็น weak mu-opioid agonist และ SNRI เป็นเพียง second-line / add-on สำหรับ pain relief ไม่มีฤทธิ์ลดการอักเสบ (no anti-inflammatory efficacy) และเสี่ยงต่อ serotonin syndrome และชัก
• ข้อ ค. (Naproxen 1 tab bid pc): เป็น non-selective NSAID ที่มี cardiovascular safety profile ดีที่สุด และมี efficacy สูงในการระงับ acute inflammation
• ข้อ จ. (Diclofenac 1 tab tid pc First line therapy for OA knee คือ Paracetamol หรือ Topical NSAIDs):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9" s="18" t="inlineStr"/>
      <c r="L1979" s="18" t="inlineStr">
        <is>
          <t>General Therapeutics</t>
        </is>
      </c>
      <c r="M1979" s="18" t="inlineStr">
        <is>
          <t>Clinic</t>
        </is>
      </c>
      <c r="N1979" s="18" t="inlineStr">
        <is>
          <t>ข้อ 36 (PLE_CC1_Key_Rx20_UBU.md)</t>
        </is>
      </c>
      <c r="O1979" s="18" t="inlineStr">
        <is>
          <t>Mock</t>
        </is>
      </c>
      <c r="P1979" s="18" t="inlineStr">
        <is>
          <t>Mock Rx20 UBU</t>
        </is>
      </c>
    </row>
    <row r="1980">
      <c r="A1980" s="15" t="inlineStr">
        <is>
          <t>2001</t>
        </is>
      </c>
      <c r="B1980" s="18" t="inlineStr">
        <is>
          <t>อนุภาคที่อยูGใน sieve ข$อใดมีโอกาสเกิด oxidation ได$มากทีสุด</t>
        </is>
      </c>
      <c r="C1980" s="18" t="inlineStr"/>
      <c r="D1980" s="18" t="inlineStr">
        <is>
          <t>Moisture Sorption Isotherm analysis</t>
        </is>
      </c>
      <c r="E1980" s="18" t="inlineStr">
        <is>
          <t>Good Manufacturing Practice (GMP PIC/S)</t>
        </is>
      </c>
      <c r="F1980" s="18" t="inlineStr">
        <is>
          <t>Standard Operating Procedure (SOP) Validation</t>
        </is>
      </c>
      <c r="G1980" s="18" t="inlineStr">
        <is>
          <t>High-Density Polyethylene (HDPE) Container</t>
        </is>
      </c>
      <c r="H1980" s="18" t="inlineStr">
        <is>
          <t>Type I Borosilicate Glass Ampoule</t>
        </is>
      </c>
      <c r="I1980" s="15" t="inlineStr">
        <is>
          <t>2</t>
        </is>
      </c>
      <c r="J1980" s="18" t="inlineStr">
        <is>
          <t>✅ คำตอบที่ถูกต้อง: ข้อ ข.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ก.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0" s="18" t="inlineStr"/>
      <c r="L1980" s="18" t="inlineStr">
        <is>
          <t>Preformulation &amp; Stability</t>
        </is>
      </c>
      <c r="M1980" s="18" t="inlineStr">
        <is>
          <t>Product</t>
        </is>
      </c>
      <c r="N1980" s="18" t="inlineStr">
        <is>
          <t>ข้อ 45 (PLE_CC1_Key_Rx20_UBU.md)</t>
        </is>
      </c>
      <c r="O1980" s="18" t="inlineStr">
        <is>
          <t>Mock</t>
        </is>
      </c>
      <c r="P1980" s="18" t="inlineStr">
        <is>
          <t>Mock Rx20 UBU</t>
        </is>
      </c>
    </row>
    <row r="1981">
      <c r="A1981" s="15" t="inlineStr">
        <is>
          <t>2002</t>
        </is>
      </c>
      <c r="B1981" s="18" t="inlineStr">
        <is>
          <t>ข$อใดถูกต$องเกี่ยวกับวิธีการใช$ Seretideห Accuhaler (1) เปØดฝาครอบปากขวดยาพGนออก ควํ่าขวดยาพGนลงเขยGาในแนวตั้ง 3 - 4 ครัง (2) หายใจออกให$สุดผGานหลอดพGนยา (3) ใช$ริมฝ3ปากอมรอบปากกระบอกให$สนิท (4) สูดลมหายใจเข$าทางปากโดยผGานเครื่องมือให$เร็ว แรงและลึกที่สุด พร$อมกดหลอดยาพGน 1 ครัง (5) การหายใจต$องสัมพันธ_กับการกดหลอดพGนยา</t>
        </is>
      </c>
      <c r="C1981" s="18" t="inlineStr"/>
      <c r="D1981" s="18" t="inlineStr">
        <is>
          <t>Theophylline 200 mg BID</t>
        </is>
      </c>
      <c r="E1981" s="18" t="inlineStr">
        <is>
          <t>Prednisolone 40 mg OD x 5 days</t>
        </is>
      </c>
      <c r="F1981" s="18" t="inlineStr">
        <is>
          <t>N-acetylcysteine 600 mg OD</t>
        </is>
      </c>
      <c r="G1981" s="18" t="inlineStr">
        <is>
          <t>Beclomethasone MDI 100 mcg BID</t>
        </is>
      </c>
      <c r="H1981" s="18" t="inlineStr">
        <is>
          <t>Salbutamol MDI 2 puffs PRN</t>
        </is>
      </c>
      <c r="I1981" s="15" t="inlineStr">
        <is>
          <t>1</t>
        </is>
      </c>
      <c r="J1981" s="18"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1" s="18" t="inlineStr"/>
      <c r="L1981" s="18" t="inlineStr">
        <is>
          <t>Pulmonary Diseases</t>
        </is>
      </c>
      <c r="M1981" s="18" t="inlineStr">
        <is>
          <t>Clinic</t>
        </is>
      </c>
      <c r="N1981" s="18" t="inlineStr">
        <is>
          <t>ข้อ 48 (PLE_CC1_Key_Rx20_UBU.md)</t>
        </is>
      </c>
      <c r="O1981" s="18" t="inlineStr">
        <is>
          <t>Mock</t>
        </is>
      </c>
      <c r="P1981" s="18" t="inlineStr">
        <is>
          <t>Mock Rx20 UBU</t>
        </is>
      </c>
    </row>
    <row r="1982">
      <c r="A1982" s="15" t="inlineStr">
        <is>
          <t>2003</t>
        </is>
      </c>
      <c r="B1982" s="18" t="inlineStr">
        <is>
          <t>ร$านขายยาแหGงหนึง ติดปนายเวลาทำการของเภสัชกรไว$เปญนเวลา 17.00 - 20.00 น. ผ$ป&amp;วยรายหนึงเดินเข$าไปในร$านยาดังกลGาว เพื่อขอซื้อยา simethicone 1 แผงเวลา 15.00 น. ซึ่งในเวลาดังกลGาวไมGมีเภสัชกรปฏิบัติงาน มีเพียงเจ$าของร$านผ$ูรับอนุญาตซึ่งไมGใชGเภสัชกร เจ$าของร$านสามารถจำหนGายยา simethicone ให$ผ$ูป&amp;วยรายนี้ได$หรือไมG เพราะเหตุใด (1) ได$ เพราะ เปญนยาสามัญประจำบ$าน (2) ได$ ถึงแม$จะเปญนอันตราย แตGร$านขายยาดังกลGาวเปญ นร$านทีได$รับอนุญาต (3) ไมGได$ เพราะ เปญนยาอันตราย (4) ไมGได$ เพราะ ไมGมีเภสัชกรปฏิบัติงาน (5) ไมGได$ ถึงแม$จะเปญนยาสามัญประจำบ$าน แตGในชGวงเวลาดังกลGาวไมGมีเภสัชกรปฏิบัติงาน ชนิดแคปซูลบรรจุแผงอะลูมิเนียมหรือแผงพลาสติก ขนาดบรรจุ 10 เม็ด เปญนยาสามัญประจำบ$าน ร$านยา ขย.1 สามารถจGายได$</t>
        </is>
      </c>
      <c r="C1982" s="18" t="inlineStr"/>
      <c r="D1982" s="18" t="inlineStr">
        <is>
          <t>เกณฑ์จริยธรรมว่าด้วยการส่งเสริมการขายยาของกระทรวงสาธารณสุข</t>
        </is>
      </c>
      <c r="E1982" s="18" t="inlineStr">
        <is>
          <t>พ.ร.บ. ยา พ.ศ. 2510 (การจำหน่ายยาอันตรายและยาควบคุมพิเศษ)</t>
        </is>
      </c>
      <c r="F1982" s="18" t="inlineStr">
        <is>
          <t>พ.ร.บ. ยาเสพติดให้โทษ พ.ศ. 2522 (ยาเสพติดให้โทษประเภท 2 และ 3)</t>
        </is>
      </c>
      <c r="G1982" s="18" t="inlineStr">
        <is>
          <t>พ.ร.บ. วัตถุที่ออกฤทธิ์ต่อจิตและประสาท พ.ศ. 2559 (ประเภท 2 และ 4)</t>
        </is>
      </c>
      <c r="H1982" s="18" t="inlineStr">
        <is>
          <t>พ.ร.บ. วิชาชีพเภสัชกรรม พ.ศ. 2537 และข้อบังคับจรรยาบรรณวิชาชีพ</t>
        </is>
      </c>
      <c r="I1982" s="15" t="inlineStr">
        <is>
          <t>5</t>
        </is>
      </c>
      <c r="J1982" s="18" t="inlineStr">
        <is>
          <t>✅ คำตอบที่ถูกต้อง: ข้อ จ.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2" s="18" t="inlineStr"/>
      <c r="L1982" s="18" t="inlineStr">
        <is>
          <t>Pharmacy Laws &amp; Ethics</t>
        </is>
      </c>
      <c r="M1982" s="18" t="inlineStr">
        <is>
          <t>SAP</t>
        </is>
      </c>
      <c r="N1982" s="18" t="inlineStr">
        <is>
          <t>ข้อ 62 (PLE_CC1_Key_Rx20_UBU.md)</t>
        </is>
      </c>
      <c r="O1982" s="18" t="inlineStr">
        <is>
          <t>Mock</t>
        </is>
      </c>
      <c r="P1982" s="18" t="inlineStr">
        <is>
          <t>Mock Rx20 UBU</t>
        </is>
      </c>
    </row>
    <row r="1983">
      <c r="A1983" s="15" t="inlineStr">
        <is>
          <t>2004</t>
        </is>
      </c>
      <c r="B1983" s="18" t="inlineStr">
        <is>
          <t>ในใบสังยาของแพทย_สัง Epinephrine ความเข$มข$น 100 mcg/mL จะผสมยาอยGางไร หากผลิตภัณฑ_ยาทีมีในโรงพยาบาลเปญน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ปรับปริมาตรให$ได$ 100 mL C1V1 = C2V2 11 = 0.1V V = 10 ml ดังนั้น ต$องใช$ NSS อีก 10-1 = 9 ml</t>
        </is>
      </c>
      <c r="C1983" s="18" t="inlineStr"/>
      <c r="D1983" s="18" t="inlineStr">
        <is>
          <t>พ.ร.บ. วัตถุที่ออกฤทธิ์ต่อจิตและประสาท พ.ศ. 2559 (ประเภท 2 และ 4)</t>
        </is>
      </c>
      <c r="E1983" s="18" t="inlineStr">
        <is>
          <t>พ.ร.บ. วิชาชีพเภสัชกรรม พ.ศ. 2537 และข้อบังคับจรรยาบรรณวิชาชีพ</t>
        </is>
      </c>
      <c r="F1983" s="18" t="inlineStr">
        <is>
          <t>พ.ร.บ. ผลิตภัณฑ์สมุนไพร พ.ศ. 2562</t>
        </is>
      </c>
      <c r="G1983" s="18" t="inlineStr">
        <is>
          <t>พ.ร.บ. เครื่องสำอาง พ.ศ. 2558</t>
        </is>
      </c>
      <c r="H1983" s="18" t="inlineStr">
        <is>
          <t>พ.ร.บ. หลักประกันสุขภาพแห่งชาติ พ.ศ. 2545</t>
        </is>
      </c>
      <c r="I1983" s="15" t="inlineStr">
        <is>
          <t>1</t>
        </is>
      </c>
      <c r="J1983"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3" s="18" t="inlineStr"/>
      <c r="L1983" s="18" t="inlineStr">
        <is>
          <t>Pharmacy Laws &amp; Ethics</t>
        </is>
      </c>
      <c r="M1983" s="18" t="inlineStr">
        <is>
          <t>SAP</t>
        </is>
      </c>
      <c r="N1983" s="18" t="inlineStr">
        <is>
          <t>ข้อ 81 (PLE_CC1_Key_Rx20_UBU.md)</t>
        </is>
      </c>
      <c r="O1983" s="18" t="inlineStr">
        <is>
          <t>Mock</t>
        </is>
      </c>
      <c r="P1983" s="18" t="inlineStr">
        <is>
          <t>Mock Rx20 UBU</t>
        </is>
      </c>
    </row>
    <row r="1984">
      <c r="A1984" s="15" t="inlineStr">
        <is>
          <t>2005</t>
        </is>
      </c>
      <c r="B1984" s="18" t="inlineStr">
        <is>
          <t>Unspecified (papule &amp; pustule)จำนวนไมGมากเกิน 10 จุด อาจมีตุGมหนองตื้นๆบ$างเล็กน$อย</t>
        </is>
      </c>
      <c r="C1984" s="18" t="inlineStr"/>
      <c r="D1984" s="18" t="inlineStr">
        <is>
          <t>Naloxone 0.4 mg IV stat</t>
        </is>
      </c>
      <c r="E1984" s="18" t="inlineStr">
        <is>
          <t>Flumazenil 0.2 mg IV stat</t>
        </is>
      </c>
      <c r="F1984" s="18" t="inlineStr">
        <is>
          <t>Vitamin K1 (Phytomenadione) 10 mg IV slow</t>
        </is>
      </c>
      <c r="G1984" s="18" t="inlineStr">
        <is>
          <t>Sodium thiosulfate 25% 50 mL IV</t>
        </is>
      </c>
      <c r="H1984" s="18" t="inlineStr">
        <is>
          <t>Calcium disodium EDTA 1 g IV</t>
        </is>
      </c>
      <c r="I1984" s="15" t="inlineStr">
        <is>
          <t>2</t>
        </is>
      </c>
      <c r="J1984" s="18"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984" s="18" t="inlineStr"/>
      <c r="L1984" s="18" t="inlineStr">
        <is>
          <t>General Therapeutics</t>
        </is>
      </c>
      <c r="M1984" s="18" t="inlineStr">
        <is>
          <t>Clinic</t>
        </is>
      </c>
      <c r="N1984" s="18" t="inlineStr">
        <is>
          <t>ข้อ 5 (PLE_CC1_Key_Rx20_UBU.md)</t>
        </is>
      </c>
      <c r="O1984" s="18" t="inlineStr">
        <is>
          <t>Mock</t>
        </is>
      </c>
      <c r="P1984" s="18" t="inlineStr">
        <is>
          <t>Mock Rx20 UBU</t>
        </is>
      </c>
    </row>
    <row r="1985">
      <c r="A1985" s="15" t="inlineStr">
        <is>
          <t>2006</t>
        </is>
      </c>
      <c r="B1985" s="18" t="inlineStr">
        <is>
          <t>Topical isotetinoin</t>
        </is>
      </c>
      <c r="C1985" s="18" t="inlineStr"/>
      <c r="D1985" s="18" t="inlineStr">
        <is>
          <t>Sodium thiosulfate 25% 50 mL IV</t>
        </is>
      </c>
      <c r="E1985" s="18" t="inlineStr">
        <is>
          <t>Calcium disodium EDTA 1 g IV</t>
        </is>
      </c>
      <c r="F1985" s="18" t="inlineStr">
        <is>
          <t>Desferrioxamine 1 g IM/IV</t>
        </is>
      </c>
      <c r="G1985" s="18" t="inlineStr">
        <is>
          <t>Dimercaprol (BAL) 3 mg/kg IM</t>
        </is>
      </c>
      <c r="H1985" s="18" t="inlineStr">
        <is>
          <t>Ethanol 10% IV infusion for Methanol poisoning</t>
        </is>
      </c>
      <c r="I1985" s="15" t="inlineStr">
        <is>
          <t>1</t>
        </is>
      </c>
      <c r="J19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5" s="18" t="inlineStr"/>
      <c r="L1985" s="18" t="inlineStr">
        <is>
          <t>General Therapeutics</t>
        </is>
      </c>
      <c r="M1985" s="18" t="inlineStr">
        <is>
          <t>Clinic</t>
        </is>
      </c>
      <c r="N1985" s="18" t="inlineStr">
        <is>
          <t>ข้อ 3 (PLE_CC1_Key_Rx20_UBU.md)</t>
        </is>
      </c>
      <c r="O1985" s="18" t="inlineStr">
        <is>
          <t>Mock</t>
        </is>
      </c>
      <c r="P1985" s="18" t="inlineStr">
        <is>
          <t>Mock Rx20 UBU</t>
        </is>
      </c>
    </row>
    <row r="1986">
      <c r="A1986" s="15" t="inlineStr">
        <is>
          <t>2007</t>
        </is>
      </c>
      <c r="B1986" s="18" t="inlineStr">
        <is>
          <t>Topical clindamycin</t>
        </is>
      </c>
      <c r="C1986" s="18" t="inlineStr"/>
      <c r="D1986" s="18" t="inlineStr">
        <is>
          <t>Dimercaprol (BAL) 3 mg/kg IM</t>
        </is>
      </c>
      <c r="E1986" s="18" t="inlineStr">
        <is>
          <t>Ethanol 10% IV infusion for Methanol poisoning</t>
        </is>
      </c>
      <c r="F1986" s="18" t="inlineStr">
        <is>
          <t>Fomepizole 15 mg/kg IV loading</t>
        </is>
      </c>
      <c r="G1986" s="18" t="inlineStr">
        <is>
          <t>N-acetylcysteine (NAC) IV infusion protocol</t>
        </is>
      </c>
      <c r="H1986" s="18" t="inlineStr">
        <is>
          <t>Atropine sulfate 2 mg IV Q5-10 min</t>
        </is>
      </c>
      <c r="I1986" s="15" t="inlineStr">
        <is>
          <t>1</t>
        </is>
      </c>
      <c r="J19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6" s="18" t="inlineStr"/>
      <c r="L1986" s="18" t="inlineStr">
        <is>
          <t>General Therapeutics</t>
        </is>
      </c>
      <c r="M1986" s="18" t="inlineStr">
        <is>
          <t>Clinic</t>
        </is>
      </c>
      <c r="N1986" s="18" t="inlineStr">
        <is>
          <t>ข้อ 4 (PLE_CC1_Key_Rx20_UBU.md)</t>
        </is>
      </c>
      <c r="O1986" s="18" t="inlineStr">
        <is>
          <t>Mock</t>
        </is>
      </c>
      <c r="P1986" s="18" t="inlineStr">
        <is>
          <t>Mock Rx20 UBU</t>
        </is>
      </c>
    </row>
    <row r="1987">
      <c r="A1987" s="15" t="inlineStr">
        <is>
          <t>2008</t>
        </is>
      </c>
      <c r="B1987" s="18" t="inlineStr">
        <is>
          <t>Unspecified</t>
        </is>
      </c>
      <c r="C1987" s="18" t="inlineStr"/>
      <c r="D1987" s="18" t="inlineStr">
        <is>
          <t>N-acetylcysteine (NAC) IV infusion protocol</t>
        </is>
      </c>
      <c r="E1987" s="18" t="inlineStr">
        <is>
          <t>Atropine sulfate 2 mg IV Q5-10 min</t>
        </is>
      </c>
      <c r="F1987" s="18" t="inlineStr">
        <is>
          <t>Pralidoxime (2-PAM) 1-2 g IV over 30 min</t>
        </is>
      </c>
      <c r="G1987" s="18" t="inlineStr">
        <is>
          <t>Naloxone 0.4 mg IV stat</t>
        </is>
      </c>
      <c r="H1987" s="18" t="inlineStr">
        <is>
          <t>Flumazenil 0.2 mg IV stat</t>
        </is>
      </c>
      <c r="I1987" s="15" t="inlineStr">
        <is>
          <t>2</t>
        </is>
      </c>
      <c r="J1987" s="18"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987" s="18" t="inlineStr"/>
      <c r="L1987" s="18" t="inlineStr">
        <is>
          <t>General Therapeutics</t>
        </is>
      </c>
      <c r="M1987" s="18" t="inlineStr">
        <is>
          <t>Clinic</t>
        </is>
      </c>
      <c r="N1987" s="18" t="inlineStr">
        <is>
          <t>ข้อ 5 (PLE_CC1_Key_Rx20_UBU.md)</t>
        </is>
      </c>
      <c r="O1987" s="18" t="inlineStr">
        <is>
          <t>Mock</t>
        </is>
      </c>
      <c r="P1987" s="18" t="inlineStr">
        <is>
          <t>Mock Rx20 UBU</t>
        </is>
      </c>
    </row>
    <row r="1988">
      <c r="A1988" s="15" t="inlineStr">
        <is>
          <t>2009</t>
        </is>
      </c>
      <c r="B1988" s="18" t="inlineStr">
        <is>
          <t>ยาที่ใช$รักษาเปญนอันดับแรก คือ</t>
        </is>
      </c>
      <c r="C1988" s="18" t="inlineStr"/>
      <c r="D1988" s="18" t="inlineStr">
        <is>
          <t>Naloxone 0.4 mg IV stat</t>
        </is>
      </c>
      <c r="E1988" s="18" t="inlineStr">
        <is>
          <t>Flumazenil 0.2 mg IV stat</t>
        </is>
      </c>
      <c r="F1988" s="18" t="inlineStr">
        <is>
          <t>Vitamin K1 (Phytomenadione) 10 mg IV slow</t>
        </is>
      </c>
      <c r="G1988" s="18" t="inlineStr">
        <is>
          <t>Sodium thiosulfate 25% 50 mL IV</t>
        </is>
      </c>
      <c r="H1988" s="18" t="inlineStr">
        <is>
          <t>Calcium disodium EDTA 1 g IV</t>
        </is>
      </c>
      <c r="I1988" s="15" t="inlineStr">
        <is>
          <t>1</t>
        </is>
      </c>
      <c r="J19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88" s="18" t="inlineStr"/>
      <c r="L1988" s="18" t="inlineStr">
        <is>
          <t>General Therapeutics</t>
        </is>
      </c>
      <c r="M1988" s="18" t="inlineStr">
        <is>
          <t>Clinic</t>
        </is>
      </c>
      <c r="N1988" s="18" t="inlineStr">
        <is>
          <t>ข้อ 5 (PLE_CC1_Key_Rx20_UBU.md)</t>
        </is>
      </c>
      <c r="O1988" s="18" t="inlineStr">
        <is>
          <t>Mock</t>
        </is>
      </c>
      <c r="P1988" s="18" t="inlineStr">
        <is>
          <t>Mock Rx20 UBU</t>
        </is>
      </c>
    </row>
    <row r="1989">
      <c r="A1989" s="15" t="inlineStr">
        <is>
          <t>2010</t>
        </is>
      </c>
      <c r="B1989" s="18" t="inlineStr">
        <is>
          <t>Salicylic acid + BP</t>
        </is>
      </c>
      <c r="C1989" s="18" t="inlineStr"/>
      <c r="D1989" s="18" t="inlineStr">
        <is>
          <t>Sodium thiosulfate 25% 50 mL IV</t>
        </is>
      </c>
      <c r="E1989" s="18" t="inlineStr">
        <is>
          <t>Calcium disodium EDTA 1 g IV</t>
        </is>
      </c>
      <c r="F1989" s="18" t="inlineStr">
        <is>
          <t>Desferrioxamine 1 g IM/IV</t>
        </is>
      </c>
      <c r="G1989" s="18" t="inlineStr">
        <is>
          <t>Dimercaprol (BAL) 3 mg/kg IM</t>
        </is>
      </c>
      <c r="H1989" s="18" t="inlineStr">
        <is>
          <t>Ethanol 10% IV infusion for Methanol poisoning</t>
        </is>
      </c>
      <c r="I1989" s="15" t="inlineStr">
        <is>
          <t>1</t>
        </is>
      </c>
      <c r="J19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9" s="18" t="inlineStr"/>
      <c r="L1989" s="18" t="inlineStr">
        <is>
          <t>General Therapeutics</t>
        </is>
      </c>
      <c r="M1989" s="18" t="inlineStr">
        <is>
          <t>Clinic</t>
        </is>
      </c>
      <c r="N1989" s="18" t="inlineStr">
        <is>
          <t>ข้อ 2 (PLE_CC1_Key_Rx20_UBU.md)</t>
        </is>
      </c>
      <c r="O1989" s="18" t="inlineStr">
        <is>
          <t>Mock</t>
        </is>
      </c>
      <c r="P1989" s="18" t="inlineStr">
        <is>
          <t>Mock Rx20 UBU</t>
        </is>
      </c>
    </row>
    <row r="1990">
      <c r="A1990" s="15" t="inlineStr">
        <is>
          <t>2011</t>
        </is>
      </c>
      <c r="B1990" s="18" t="inlineStr">
        <is>
          <t>Topical isotetinoin + BP</t>
        </is>
      </c>
      <c r="C1990" s="18" t="inlineStr"/>
      <c r="D1990" s="18" t="inlineStr">
        <is>
          <t>Dimercaprol (BAL) 3 mg/kg IM</t>
        </is>
      </c>
      <c r="E1990" s="18" t="inlineStr">
        <is>
          <t>Ethanol 10% IV infusion for Methanol poisoning</t>
        </is>
      </c>
      <c r="F1990" s="18" t="inlineStr">
        <is>
          <t>Fomepizole 15 mg/kg IV loading</t>
        </is>
      </c>
      <c r="G1990" s="18" t="inlineStr">
        <is>
          <t>N-acetylcysteine (NAC) IV infusion protocol</t>
        </is>
      </c>
      <c r="H1990" s="18" t="inlineStr">
        <is>
          <t>Atropine sulfate 2 mg IV Q5-10 min</t>
        </is>
      </c>
      <c r="I1990" s="15" t="inlineStr">
        <is>
          <t>1</t>
        </is>
      </c>
      <c r="J19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0" s="18" t="inlineStr"/>
      <c r="L1990" s="18" t="inlineStr">
        <is>
          <t>General Therapeutics</t>
        </is>
      </c>
      <c r="M1990" s="18" t="inlineStr">
        <is>
          <t>Clinic</t>
        </is>
      </c>
      <c r="N1990" s="18" t="inlineStr">
        <is>
          <t>ข้อ 3 (PLE_CC1_Key_Rx20_UBU.md)</t>
        </is>
      </c>
      <c r="O1990" s="18" t="inlineStr">
        <is>
          <t>Mock</t>
        </is>
      </c>
      <c r="P1990" s="18" t="inlineStr">
        <is>
          <t>Mock Rx20 UBU</t>
        </is>
      </c>
    </row>
    <row r="1991">
      <c r="A1991" s="15" t="inlineStr">
        <is>
          <t>2012</t>
        </is>
      </c>
      <c r="B1991" s="18" t="inlineStr">
        <is>
          <t>Doxycyclin + Topical isotetinoin</t>
        </is>
      </c>
      <c r="C1991" s="18" t="inlineStr"/>
      <c r="D1991" s="18" t="inlineStr">
        <is>
          <t>N-acetylcysteine (NAC) IV infusion protocol</t>
        </is>
      </c>
      <c r="E1991" s="18" t="inlineStr">
        <is>
          <t>Atropine sulfate 2 mg IV Q5-10 min</t>
        </is>
      </c>
      <c r="F1991" s="18" t="inlineStr">
        <is>
          <t>Pralidoxime (2-PAM) 1-2 g IV over 30 min</t>
        </is>
      </c>
      <c r="G1991" s="18" t="inlineStr">
        <is>
          <t>Naloxone 0.4 mg IV stat</t>
        </is>
      </c>
      <c r="H1991" s="18" t="inlineStr">
        <is>
          <t>Flumazenil 0.2 mg IV stat</t>
        </is>
      </c>
      <c r="I1991" s="15" t="inlineStr">
        <is>
          <t>1</t>
        </is>
      </c>
      <c r="J19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1" s="18" t="inlineStr"/>
      <c r="L1991" s="18" t="inlineStr">
        <is>
          <t>General Therapeutics</t>
        </is>
      </c>
      <c r="M1991" s="18" t="inlineStr">
        <is>
          <t>Clinic</t>
        </is>
      </c>
      <c r="N1991" s="18" t="inlineStr">
        <is>
          <t>ข้อ 4 (PLE_CC1_Key_Rx20_UBU.md)</t>
        </is>
      </c>
      <c r="O1991" s="18" t="inlineStr">
        <is>
          <t>Mock</t>
        </is>
      </c>
      <c r="P1991" s="18" t="inlineStr">
        <is>
          <t>Mock Rx20 UBU</t>
        </is>
      </c>
    </row>
    <row r="1992">
      <c r="A1992" s="15" t="inlineStr">
        <is>
          <t>2013</t>
        </is>
      </c>
      <c r="B1992" s="18" t="inlineStr">
        <is>
          <t>ควรหลีกเลี่ยงแสงแดด</t>
        </is>
      </c>
      <c r="C1992" s="18" t="inlineStr"/>
      <c r="D1992" s="18" t="inlineStr">
        <is>
          <t>Naloxone 0.4 mg IV stat</t>
        </is>
      </c>
      <c r="E1992" s="18" t="inlineStr">
        <is>
          <t>Flumazenil 0.2 mg IV stat</t>
        </is>
      </c>
      <c r="F1992" s="18" t="inlineStr">
        <is>
          <t>Vitamin K1 (Phytomenadione) 10 mg IV slow</t>
        </is>
      </c>
      <c r="G1992" s="18" t="inlineStr">
        <is>
          <t>Sodium thiosulfate 25% 50 mL IV</t>
        </is>
      </c>
      <c r="H1992" s="18" t="inlineStr">
        <is>
          <t>Calcium disodium EDTA 1 g IV</t>
        </is>
      </c>
      <c r="I1992" s="15" t="inlineStr">
        <is>
          <t>1</t>
        </is>
      </c>
      <c r="J19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2" s="18" t="inlineStr"/>
      <c r="L1992" s="18" t="inlineStr">
        <is>
          <t>General Therapeutics</t>
        </is>
      </c>
      <c r="M1992" s="18" t="inlineStr">
        <is>
          <t>Clinic</t>
        </is>
      </c>
      <c r="N1992" s="18" t="inlineStr">
        <is>
          <t>ข้อ 1 (PLE_CC1_Key_Rx20_UBU.md)</t>
        </is>
      </c>
      <c r="O1992" s="18" t="inlineStr">
        <is>
          <t>Mock</t>
        </is>
      </c>
      <c r="P1992" s="18" t="inlineStr">
        <is>
          <t>Mock Rx20 UBU</t>
        </is>
      </c>
    </row>
    <row r="1993">
      <c r="A1993" s="15" t="inlineStr">
        <is>
          <t>2014</t>
        </is>
      </c>
      <c r="B1993" s="18" t="inlineStr">
        <is>
          <t>ยากำจัดผGานทางตับ</t>
        </is>
      </c>
      <c r="C1993" s="18" t="inlineStr"/>
      <c r="D1993" s="18" t="inlineStr">
        <is>
          <t>Sodium thiosulfate 25% 50 mL IV</t>
        </is>
      </c>
      <c r="E1993" s="18" t="inlineStr">
        <is>
          <t>Calcium disodium EDTA 1 g IV</t>
        </is>
      </c>
      <c r="F1993" s="18" t="inlineStr">
        <is>
          <t>Desferrioxamine 1 g IM/IV</t>
        </is>
      </c>
      <c r="G1993" s="18" t="inlineStr">
        <is>
          <t>Dimercaprol (BAL) 3 mg/kg IM</t>
        </is>
      </c>
      <c r="H1993" s="18" t="inlineStr">
        <is>
          <t>Ethanol 10% IV infusion for Methanol poisoning</t>
        </is>
      </c>
      <c r="I1993" s="15" t="inlineStr">
        <is>
          <t>1</t>
        </is>
      </c>
      <c r="J19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3" s="18" t="inlineStr"/>
      <c r="L1993" s="18" t="inlineStr">
        <is>
          <t>General Therapeutics</t>
        </is>
      </c>
      <c r="M1993" s="18" t="inlineStr">
        <is>
          <t>Clinic</t>
        </is>
      </c>
      <c r="N1993" s="18" t="inlineStr">
        <is>
          <t>ข้อ 2 (PLE_CC1_Key_Rx20_UBU.md)</t>
        </is>
      </c>
      <c r="O1993" s="18" t="inlineStr">
        <is>
          <t>Mock</t>
        </is>
      </c>
      <c r="P1993" s="18" t="inlineStr">
        <is>
          <t>Mock Rx20 UBU</t>
        </is>
      </c>
    </row>
    <row r="1994">
      <c r="A1994" s="15" t="inlineStr">
        <is>
          <t>2015</t>
        </is>
      </c>
      <c r="B1994" s="18" t="inlineStr">
        <is>
          <t>หากต$องการตั้งครรภ_หยุดใช$ยาอยGางน$อย 1 สัปดาห_</t>
        </is>
      </c>
      <c r="C1994" s="18" t="inlineStr"/>
      <c r="D1994" s="18" t="inlineStr">
        <is>
          <t>Dimercaprol (BAL) 3 mg/kg IM</t>
        </is>
      </c>
      <c r="E1994" s="18" t="inlineStr">
        <is>
          <t>Ethanol 10% IV infusion for Methanol poisoning</t>
        </is>
      </c>
      <c r="F1994" s="18" t="inlineStr">
        <is>
          <t>Fomepizole 15 mg/kg IV loading</t>
        </is>
      </c>
      <c r="G1994" s="18" t="inlineStr">
        <is>
          <t>N-acetylcysteine (NAC) IV infusion protocol</t>
        </is>
      </c>
      <c r="H1994" s="18" t="inlineStr">
        <is>
          <t>Atropine sulfate 2 mg IV Q5-10 min</t>
        </is>
      </c>
      <c r="I1994" s="15" t="inlineStr">
        <is>
          <t>1</t>
        </is>
      </c>
      <c r="J19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4" s="18" t="inlineStr"/>
      <c r="L1994" s="18" t="inlineStr">
        <is>
          <t>General Therapeutics</t>
        </is>
      </c>
      <c r="M1994" s="18" t="inlineStr">
        <is>
          <t>Clinic</t>
        </is>
      </c>
      <c r="N1994" s="18" t="inlineStr">
        <is>
          <t>ข้อ 4 (PLE_CC1_Key_Rx20_UBU.md)</t>
        </is>
      </c>
      <c r="O1994" s="18" t="inlineStr">
        <is>
          <t>Mock</t>
        </is>
      </c>
      <c r="P1994" s="18" t="inlineStr">
        <is>
          <t>Mock Rx20 UBU</t>
        </is>
      </c>
    </row>
    <row r="1995">
      <c r="A1995" s="15" t="inlineStr">
        <is>
          <t>2016</t>
        </is>
      </c>
      <c r="B1995" s="18" t="inlineStr">
        <is>
          <t>ได$ เพราะเปญนยาใช$ภายนอก</t>
        </is>
      </c>
      <c r="C1995" s="18" t="inlineStr"/>
      <c r="D1995" s="18" t="inlineStr">
        <is>
          <t>N-acetylcysteine (NAC) IV infusion protocol</t>
        </is>
      </c>
      <c r="E1995" s="18" t="inlineStr">
        <is>
          <t>Atropine sulfate 2 mg IV Q5-10 min</t>
        </is>
      </c>
      <c r="F1995" s="18" t="inlineStr">
        <is>
          <t>Pralidoxime (2-PAM) 1-2 g IV over 30 min</t>
        </is>
      </c>
      <c r="G1995" s="18" t="inlineStr">
        <is>
          <t>Naloxone 0.4 mg IV stat</t>
        </is>
      </c>
      <c r="H1995" s="18" t="inlineStr">
        <is>
          <t>Flumazenil 0.2 mg IV stat</t>
        </is>
      </c>
      <c r="I1995" s="15" t="inlineStr">
        <is>
          <t>1</t>
        </is>
      </c>
      <c r="J19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5" s="18" t="inlineStr"/>
      <c r="L1995" s="18" t="inlineStr">
        <is>
          <t>General Therapeutics</t>
        </is>
      </c>
      <c r="M1995" s="18" t="inlineStr">
        <is>
          <t>Clinic</t>
        </is>
      </c>
      <c r="N1995" s="18" t="inlineStr">
        <is>
          <t>ข้อ 1 (PLE_CC1_Key_Rx20_UBU.md)</t>
        </is>
      </c>
      <c r="O1995" s="18" t="inlineStr">
        <is>
          <t>Mock</t>
        </is>
      </c>
      <c r="P1995" s="18" t="inlineStr">
        <is>
          <t>Mock Rx20 UBU</t>
        </is>
      </c>
    </row>
    <row r="1996">
      <c r="A1996" s="15" t="inlineStr">
        <is>
          <t>2017</t>
        </is>
      </c>
      <c r="B1996" s="18" t="inlineStr">
        <is>
          <t>ไมGได$ เพราะเปญนโรคที่รัฐมนตรีประกาศห$ามโฆษณา</t>
        </is>
      </c>
      <c r="C1996" s="18" t="inlineStr"/>
      <c r="D1996" s="18" t="inlineStr">
        <is>
          <t>Naloxone 0.4 mg IV stat</t>
        </is>
      </c>
      <c r="E1996" s="18" t="inlineStr">
        <is>
          <t>Flumazenil 0.2 mg IV stat</t>
        </is>
      </c>
      <c r="F1996" s="18" t="inlineStr">
        <is>
          <t>Vitamin K1 (Phytomenadione) 10 mg IV slow</t>
        </is>
      </c>
      <c r="G1996" s="18" t="inlineStr">
        <is>
          <t>Sodium thiosulfate 25% 50 mL IV</t>
        </is>
      </c>
      <c r="H1996" s="18" t="inlineStr">
        <is>
          <t>Calcium disodium EDTA 1 g IV</t>
        </is>
      </c>
      <c r="I1996" s="15" t="inlineStr">
        <is>
          <t>1</t>
        </is>
      </c>
      <c r="J19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6" s="18" t="inlineStr"/>
      <c r="L1996" s="18" t="inlineStr">
        <is>
          <t>General Therapeutics</t>
        </is>
      </c>
      <c r="M1996" s="18" t="inlineStr">
        <is>
          <t>Clinic</t>
        </is>
      </c>
      <c r="N1996" s="18" t="inlineStr">
        <is>
          <t>ข้อ 3 (PLE_CC1_Key_Rx20_UBU.md)</t>
        </is>
      </c>
      <c r="O1996" s="18" t="inlineStr">
        <is>
          <t>Mock</t>
        </is>
      </c>
      <c r="P1996" s="18" t="inlineStr">
        <is>
          <t>Mock Rx20 UBU</t>
        </is>
      </c>
    </row>
    <row r="1997">
      <c r="A1997" s="15" t="inlineStr">
        <is>
          <t>2018</t>
        </is>
      </c>
      <c r="B1997" s="18" t="inlineStr">
        <is>
          <t>ไมGได$ เพราะเปญนสรรพคุณของยาอันตราย</t>
        </is>
      </c>
      <c r="C1997" s="18" t="inlineStr"/>
      <c r="D1997" s="18" t="inlineStr">
        <is>
          <t>พ.ร.บ. ผลิตภัณฑ์สมุนไพร พ.ศ. 2562</t>
        </is>
      </c>
      <c r="E1997" s="18" t="inlineStr">
        <is>
          <t>พ.ร.บ. เครื่องสำอาง พ.ศ. 2558</t>
        </is>
      </c>
      <c r="F1997" s="18" t="inlineStr">
        <is>
          <t>พ.ร.บ. หลักประกันสุขภาพแห่งชาติ พ.ศ. 2545</t>
        </is>
      </c>
      <c r="G1997" s="18" t="inlineStr">
        <is>
          <t>การปฏิบัติทางเภสัชกรรมชุมชน (Good Pharmacy Practice: GPP)</t>
        </is>
      </c>
      <c r="H1997" s="18" t="inlineStr">
        <is>
          <t>บัญชียาหลักแห่งชาติ (National List of Essential Medicines: NLEM)</t>
        </is>
      </c>
      <c r="I1997" s="15" t="inlineStr">
        <is>
          <t>1</t>
        </is>
      </c>
      <c r="J1997"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7" s="18" t="inlineStr"/>
      <c r="L1997" s="18" t="inlineStr">
        <is>
          <t>Pharmacy Laws &amp; Ethics</t>
        </is>
      </c>
      <c r="M1997" s="18" t="inlineStr">
        <is>
          <t>SAP</t>
        </is>
      </c>
      <c r="N1997" s="18" t="inlineStr">
        <is>
          <t>ข้อ 4 (PLE_CC1_Key_Rx20_UBU.md)</t>
        </is>
      </c>
      <c r="O1997" s="18" t="inlineStr">
        <is>
          <t>Mock</t>
        </is>
      </c>
      <c r="P1997" s="18" t="inlineStr">
        <is>
          <t>Mock Rx20 UBU</t>
        </is>
      </c>
    </row>
    <row r="1998">
      <c r="A1998" s="15" t="inlineStr">
        <is>
          <t>2019</t>
        </is>
      </c>
      <c r="B1998" s="18" t="inlineStr">
        <is>
          <t>ยาอันตราย-ยาอันตราย</t>
        </is>
      </c>
      <c r="C1998" s="18" t="inlineStr"/>
      <c r="D1998" s="18" t="inlineStr">
        <is>
          <t>การปฏิบัติทางเภสัชกรรมชุมชน (Good Pharmacy Practice: GPP)</t>
        </is>
      </c>
      <c r="E1998" s="18" t="inlineStr">
        <is>
          <t>บัญชียาหลักแห่งชาติ (National List of Essential Medicines: NLEM)</t>
        </is>
      </c>
      <c r="F1998" s="18" t="inlineStr">
        <is>
          <t>เกณฑ์จริยธรรมว่าด้วยการส่งเสริมการขายยาของกระทรวงสาธารณสุข</t>
        </is>
      </c>
      <c r="G1998" s="18" t="inlineStr">
        <is>
          <t>พ.ร.บ. ยา พ.ศ. 2510 (การจำหน่ายยาอันตรายและยาควบคุมพิเศษ)</t>
        </is>
      </c>
      <c r="H1998" s="18" t="inlineStr">
        <is>
          <t>พ.ร.บ. ยาเสพติดให้โทษ พ.ศ. 2522 (ยาเสพติดให้โทษประเภท 2 และ 3)</t>
        </is>
      </c>
      <c r="I1998" s="15" t="inlineStr">
        <is>
          <t>1</t>
        </is>
      </c>
      <c r="J1998"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8" s="18" t="inlineStr"/>
      <c r="L1998" s="18" t="inlineStr">
        <is>
          <t>Pharmacy Laws &amp; Ethics</t>
        </is>
      </c>
      <c r="M1998" s="18" t="inlineStr">
        <is>
          <t>SAP</t>
        </is>
      </c>
      <c r="N1998" s="18" t="inlineStr">
        <is>
          <t>ข้อ 1 (PLE_CC1_Key_Rx20_UBU.md)</t>
        </is>
      </c>
      <c r="O1998" s="18" t="inlineStr">
        <is>
          <t>Mock</t>
        </is>
      </c>
      <c r="P1998" s="18" t="inlineStr">
        <is>
          <t>Mock Rx20 UBU</t>
        </is>
      </c>
    </row>
    <row r="1999">
      <c r="A1999" s="15" t="inlineStr">
        <is>
          <t>2020</t>
        </is>
      </c>
      <c r="B1999" s="18" t="inlineStr">
        <is>
          <t>ยาอันตราย-ยาควบคุมพิเศษ</t>
        </is>
      </c>
      <c r="C1999" s="18" t="inlineStr"/>
      <c r="D1999" s="18" t="inlineStr">
        <is>
          <t>พ.ร.บ. ยา พ.ศ. 2510 (การจำหน่ายยาอันตรายและยาควบคุมพิเศษ)</t>
        </is>
      </c>
      <c r="E1999" s="18" t="inlineStr">
        <is>
          <t>พ.ร.บ. ยาเสพติดให้โทษ พ.ศ. 2522 (ยาเสพติดให้โทษประเภท 2 และ 3)</t>
        </is>
      </c>
      <c r="F1999" s="18" t="inlineStr">
        <is>
          <t>พ.ร.บ. วัตถุที่ออกฤทธิ์ต่อจิตและประสาท พ.ศ. 2559 (ประเภท 2 และ 4)</t>
        </is>
      </c>
      <c r="G1999" s="18" t="inlineStr">
        <is>
          <t>พ.ร.บ. วิชาชีพเภสัชกรรม พ.ศ. 2537 และข้อบังคับจรรยาบรรณวิชาชีพ</t>
        </is>
      </c>
      <c r="H1999" s="18" t="inlineStr">
        <is>
          <t>พ.ร.บ. ผลิตภัณฑ์สมุนไพร พ.ศ. 2562</t>
        </is>
      </c>
      <c r="I1999" s="15" t="inlineStr">
        <is>
          <t>1</t>
        </is>
      </c>
      <c r="J1999"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9" s="18" t="inlineStr"/>
      <c r="L1999" s="18" t="inlineStr">
        <is>
          <t>Pharmacy Laws &amp; Ethics</t>
        </is>
      </c>
      <c r="M1999" s="18" t="inlineStr">
        <is>
          <t>SAP</t>
        </is>
      </c>
      <c r="N1999" s="18" t="inlineStr">
        <is>
          <t>ข้อ 2 (PLE_CC1_Key_Rx20_UBU.md)</t>
        </is>
      </c>
      <c r="O1999" s="18" t="inlineStr">
        <is>
          <t>Mock</t>
        </is>
      </c>
      <c r="P1999" s="18" t="inlineStr">
        <is>
          <t>Mock Rx20 UBU</t>
        </is>
      </c>
    </row>
    <row r="2000">
      <c r="A2000" s="15" t="inlineStr">
        <is>
          <t>2021</t>
        </is>
      </c>
      <c r="B2000" s="18" t="inlineStr">
        <is>
          <t>ยาควบคุมพิเศษ-ยาอันตราย</t>
        </is>
      </c>
      <c r="C2000" s="18" t="inlineStr"/>
      <c r="D2000" s="18" t="inlineStr">
        <is>
          <t>พ.ร.บ. วิชาชีพเภสัชกรรม พ.ศ. 2537 และข้อบังคับจรรยาบรรณวิชาชีพ</t>
        </is>
      </c>
      <c r="E2000" s="18" t="inlineStr">
        <is>
          <t>พ.ร.บ. ผลิตภัณฑ์สมุนไพร พ.ศ. 2562</t>
        </is>
      </c>
      <c r="F2000" s="18" t="inlineStr">
        <is>
          <t>พ.ร.บ. เครื่องสำอาง พ.ศ. 2558</t>
        </is>
      </c>
      <c r="G2000" s="18" t="inlineStr">
        <is>
          <t>พ.ร.บ. หลักประกันสุขภาพแห่งชาติ พ.ศ. 2545</t>
        </is>
      </c>
      <c r="H2000" s="18" t="inlineStr">
        <is>
          <t>การปฏิบัติทางเภสัชกรรมชุมชน (Good Pharmacy Practice: GPP)</t>
        </is>
      </c>
      <c r="I2000" s="15" t="inlineStr">
        <is>
          <t>1</t>
        </is>
      </c>
      <c r="J2000"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0" s="18" t="inlineStr"/>
      <c r="L2000" s="18" t="inlineStr">
        <is>
          <t>Pharmacy Laws &amp; Ethics</t>
        </is>
      </c>
      <c r="M2000" s="18" t="inlineStr">
        <is>
          <t>SAP</t>
        </is>
      </c>
      <c r="N2000" s="18" t="inlineStr">
        <is>
          <t>ข้อ 3 (PLE_CC1_Key_Rx20_UBU.md)</t>
        </is>
      </c>
      <c r="O2000" s="18" t="inlineStr">
        <is>
          <t>Mock</t>
        </is>
      </c>
      <c r="P2000" s="18" t="inlineStr">
        <is>
          <t>Mock Rx20 UBU</t>
        </is>
      </c>
    </row>
    <row r="2001">
      <c r="A2001" s="15" t="inlineStr">
        <is>
          <t>2022</t>
        </is>
      </c>
      <c r="B2001" s="18" t="inlineStr">
        <is>
          <t>ยาอันตราย-ยาควบคุมพิเศษใช$เฉพาะสถานพยาบาล</t>
        </is>
      </c>
      <c r="C2001" s="18" t="inlineStr"/>
      <c r="D2001" s="18" t="inlineStr">
        <is>
          <t>พ.ร.บ. หลักประกันสุขภาพแห่งชาติ พ.ศ. 2545</t>
        </is>
      </c>
      <c r="E2001" s="18" t="inlineStr">
        <is>
          <t>การปฏิบัติทางเภสัชกรรมชุมชน (Good Pharmacy Practice: GPP)</t>
        </is>
      </c>
      <c r="F2001" s="18" t="inlineStr">
        <is>
          <t>บัญชียาหลักแห่งชาติ (National List of Essential Medicines: NLEM)</t>
        </is>
      </c>
      <c r="G2001" s="18" t="inlineStr">
        <is>
          <t>เกณฑ์จริยธรรมว่าด้วยการส่งเสริมการขายยาของกระทรวงสาธารณสุข</t>
        </is>
      </c>
      <c r="H2001" s="18" t="inlineStr">
        <is>
          <t>พ.ร.บ. ยา พ.ศ. 2510 (การจำหน่ายยาอันตรายและยาควบคุมพิเศษ)</t>
        </is>
      </c>
      <c r="I2001" s="15" t="inlineStr">
        <is>
          <t>1</t>
        </is>
      </c>
      <c r="J200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1" s="18" t="inlineStr"/>
      <c r="L2001" s="18" t="inlineStr">
        <is>
          <t>Pharmacy Laws &amp; Ethics</t>
        </is>
      </c>
      <c r="M2001" s="18" t="inlineStr">
        <is>
          <t>SAP</t>
        </is>
      </c>
      <c r="N2001" s="18" t="inlineStr">
        <is>
          <t>ข้อ 4 (PLE_CC1_Key_Rx20_UBU.md)</t>
        </is>
      </c>
      <c r="O2001" s="18" t="inlineStr">
        <is>
          <t>Mock</t>
        </is>
      </c>
      <c r="P2001" s="18" t="inlineStr">
        <is>
          <t>Mock Rx20 UBU</t>
        </is>
      </c>
    </row>
    <row r="2002">
      <c r="A2002" s="15" t="inlineStr">
        <is>
          <t>2023</t>
        </is>
      </c>
      <c r="B2002" s="18" t="inlineStr">
        <is>
          <t>ผู$ป&amp;วยควรได$รับการรักษาด$วยยาสูตรใด</t>
        </is>
      </c>
      <c r="C2002" s="18" t="inlineStr"/>
      <c r="D2002" s="18" t="inlineStr">
        <is>
          <t>2HRZE/4HR</t>
        </is>
      </c>
      <c r="E2002" s="18" t="inlineStr">
        <is>
          <t>2HRZS/4HR</t>
        </is>
      </c>
      <c r="F2002" s="18" t="inlineStr">
        <is>
          <t>2HRZE/6HR</t>
        </is>
      </c>
      <c r="G2002" s="18" t="inlineStr">
        <is>
          <t>2HRZES/ 1HRZE/ 5HRE</t>
        </is>
      </c>
      <c r="H2002" s="18" t="inlineStr">
        <is>
          <t>สูตร MDR TB เนื่องจาก re-treatment regimen with first-line drugs = 2HRZES / 1HRZE / 5HRE</t>
        </is>
      </c>
      <c r="I2002" s="15" t="inlineStr">
        <is>
          <t>2</t>
        </is>
      </c>
      <c r="J2002" s="18" t="inlineStr">
        <is>
          <t>✅ คำตอบที่ถูกต้อง: ข้อ ข. 2HRZS/4HR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2HRZS/4HR การเลือก 2HRZS/4HR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(2HRZE/4HR): ข้อนี้ไม่ใช่คำตอบที่ถูกต้องสำหรับภาวะ General Therapeutics เนื่องจากกลไกการออกฤทธิ์, efficacy หรือข้อบ่งใช้ไม่ตรงกับโจทย์ที่กำหนด
• ข้อ ค. (2HRZE/6HR): ข้อนี้ไม่ใช่คำตอบที่ถูกต้องสำหรับภาวะ General Therapeutics เนื่องจากกลไกการออกฤทธิ์, efficacy หรือข้อบ่งใช้ไม่ตรงกับโจทย์ที่กำหนด
• ข้อ ง. (2HRZES/ 1HRZE/ 5HRE): ข้อนี้ไม่ใช่คำตอบที่ถูกต้องสำหรับภาวะ General Therapeutics เนื่องจากกลไกการออกฤทธิ์, efficacy หรือข้อบ่งใช้ไม่ตรงกับโจทย์ที่กำหนด
• ข้อ จ. (สูตร MDR TB เนื่องจาก re-treatment regimen with first-line drugs = 2HRZES / 1HRZE / 5HRE):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2" s="18" t="inlineStr"/>
      <c r="L2002" s="18" t="inlineStr">
        <is>
          <t>General Therapeutics</t>
        </is>
      </c>
      <c r="M2002" s="18" t="inlineStr">
        <is>
          <t>Clinic</t>
        </is>
      </c>
      <c r="N2002" s="18" t="inlineStr">
        <is>
          <t>ข้อ 11 (PLE_CC1_Key_Rx20_UBU.md)</t>
        </is>
      </c>
      <c r="O2002" s="18" t="inlineStr">
        <is>
          <t>Mock</t>
        </is>
      </c>
      <c r="P2002" s="18" t="inlineStr">
        <is>
          <t>Mock Rx20 UBU</t>
        </is>
      </c>
    </row>
    <row r="2003">
      <c r="A2003" s="15" t="inlineStr">
        <is>
          <t>2024</t>
        </is>
      </c>
      <c r="B2003" s="18" t="inlineStr">
        <is>
          <t>อาการและอาการแสดงของผู$ป&amp;วยรายนี้ เข$ากับโรคในข$อใด</t>
        </is>
      </c>
      <c r="C2003" s="18" t="inlineStr"/>
      <c r="D2003" s="18" t="inlineStr">
        <is>
          <t>N-acetylcysteine (NAC) IV infusion protocol</t>
        </is>
      </c>
      <c r="E2003" s="18" t="inlineStr">
        <is>
          <t>Atropine sulfate 2 mg IV Q5-10 min</t>
        </is>
      </c>
      <c r="F2003" s="18" t="inlineStr">
        <is>
          <t>Pralidoxime (2-PAM) 1-2 g IV over 30 min</t>
        </is>
      </c>
      <c r="G2003" s="18" t="inlineStr">
        <is>
          <t>Naloxone 0.4 mg IV stat</t>
        </is>
      </c>
      <c r="H2003" s="18" t="inlineStr">
        <is>
          <t>Flumazenil 0.2 mg IV stat</t>
        </is>
      </c>
      <c r="I2003" s="15" t="inlineStr">
        <is>
          <t>1</t>
        </is>
      </c>
      <c r="J200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3" s="18" t="inlineStr"/>
      <c r="L2003" s="18" t="inlineStr">
        <is>
          <t>General Therapeutics</t>
        </is>
      </c>
      <c r="M2003" s="18" t="inlineStr">
        <is>
          <t>Clinic</t>
        </is>
      </c>
      <c r="N2003" s="18" t="inlineStr">
        <is>
          <t>ข้อ 21 (PLE_CC1_Key_Rx20_UBU.md)</t>
        </is>
      </c>
      <c r="O2003" s="18" t="inlineStr">
        <is>
          <t>Mock</t>
        </is>
      </c>
      <c r="P2003" s="18" t="inlineStr">
        <is>
          <t>Mock Rx20 UBU</t>
        </is>
      </c>
    </row>
    <row r="2004">
      <c r="A2004" s="15" t="inlineStr">
        <is>
          <t>2025</t>
        </is>
      </c>
      <c r="B2004" s="18" t="inlineStr">
        <is>
          <t>Stye (ตากุ$งยิง)</t>
        </is>
      </c>
      <c r="C2004" s="18" t="inlineStr"/>
      <c r="D2004" s="18" t="inlineStr">
        <is>
          <t>Naloxone 0.4 mg IV stat</t>
        </is>
      </c>
      <c r="E2004" s="18" t="inlineStr">
        <is>
          <t>Flumazenil 0.2 mg IV stat</t>
        </is>
      </c>
      <c r="F2004" s="18" t="inlineStr">
        <is>
          <t>Vitamin K1 (Phytomenadione) 10 mg IV slow</t>
        </is>
      </c>
      <c r="G2004" s="18" t="inlineStr">
        <is>
          <t>Sodium thiosulfate 25% 50 mL IV</t>
        </is>
      </c>
      <c r="H2004" s="18" t="inlineStr">
        <is>
          <t>Calcium disodium EDTA 1 g IV</t>
        </is>
      </c>
      <c r="I2004" s="15" t="inlineStr">
        <is>
          <t>2</t>
        </is>
      </c>
      <c r="J2004" s="18"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04" s="18" t="inlineStr"/>
      <c r="L2004" s="18" t="inlineStr">
        <is>
          <t>General Therapeutics</t>
        </is>
      </c>
      <c r="M2004" s="18" t="inlineStr">
        <is>
          <t>Clinic</t>
        </is>
      </c>
      <c r="N2004" s="18" t="inlineStr">
        <is>
          <t>ข้อ 5 (PLE_CC1_Key_Rx20_UBU.md)</t>
        </is>
      </c>
      <c r="O2004" s="18" t="inlineStr">
        <is>
          <t>Mock</t>
        </is>
      </c>
      <c r="P2004" s="18" t="inlineStr">
        <is>
          <t>Mock Rx20 UBU</t>
        </is>
      </c>
    </row>
    <row r="2005">
      <c r="A2005" s="15" t="inlineStr">
        <is>
          <t>2026</t>
        </is>
      </c>
      <c r="B2005" s="18" t="inlineStr">
        <is>
          <t>เก็บไว$ที่อุณหภูมิห$อง และเก็บให$พ$นแสง</t>
        </is>
      </c>
      <c r="C2005" s="18" t="inlineStr"/>
      <c r="D2005" s="18" t="inlineStr">
        <is>
          <t>Sodium thiosulfate 25% 50 mL IV</t>
        </is>
      </c>
      <c r="E2005" s="18" t="inlineStr">
        <is>
          <t>Calcium disodium EDTA 1 g IV</t>
        </is>
      </c>
      <c r="F2005" s="18" t="inlineStr">
        <is>
          <t>Desferrioxamine 1 g IM/IV</t>
        </is>
      </c>
      <c r="G2005" s="18" t="inlineStr">
        <is>
          <t>Dimercaprol (BAL) 3 mg/kg IM</t>
        </is>
      </c>
      <c r="H2005" s="18" t="inlineStr">
        <is>
          <t>Ethanol 10% IV infusion for Methanol poisoning</t>
        </is>
      </c>
      <c r="I2005" s="15" t="inlineStr">
        <is>
          <t>1</t>
        </is>
      </c>
      <c r="J20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5" s="18" t="inlineStr"/>
      <c r="L2005" s="18" t="inlineStr">
        <is>
          <t>General Therapeutics</t>
        </is>
      </c>
      <c r="M2005" s="18" t="inlineStr">
        <is>
          <t>Clinic</t>
        </is>
      </c>
      <c r="N2005" s="18" t="inlineStr">
        <is>
          <t>ข้อ 1 (PLE_CC1_Key_Rx20_UBU.md)</t>
        </is>
      </c>
      <c r="O2005" s="18" t="inlineStr">
        <is>
          <t>Mock</t>
        </is>
      </c>
      <c r="P2005" s="18" t="inlineStr">
        <is>
          <t>Mock Rx20 UBU</t>
        </is>
      </c>
    </row>
    <row r="2006">
      <c r="A2006" s="15" t="inlineStr">
        <is>
          <t>2027</t>
        </is>
      </c>
      <c r="B2006" s="18" t="inlineStr">
        <is>
          <t>อาจมีอาการขมคอ การกดที่หัวตาหลังหยอดยาจะชGวยลดอาการได$</t>
        </is>
      </c>
      <c r="C2006" s="18" t="inlineStr"/>
      <c r="D2006" s="18" t="inlineStr">
        <is>
          <t>Dimercaprol (BAL) 3 mg/kg IM</t>
        </is>
      </c>
      <c r="E2006" s="18" t="inlineStr">
        <is>
          <t>Ethanol 10% IV infusion for Methanol poisoning</t>
        </is>
      </c>
      <c r="F2006" s="18" t="inlineStr">
        <is>
          <t>Fomepizole 15 mg/kg IV loading</t>
        </is>
      </c>
      <c r="G2006" s="18" t="inlineStr">
        <is>
          <t>N-acetylcysteine (NAC) IV infusion protocol</t>
        </is>
      </c>
      <c r="H2006" s="18" t="inlineStr">
        <is>
          <t>Atropine sulfate 2 mg IV Q5-10 min</t>
        </is>
      </c>
      <c r="I2006" s="15" t="inlineStr">
        <is>
          <t>1</t>
        </is>
      </c>
      <c r="J20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06" s="18" t="inlineStr"/>
      <c r="L2006" s="18" t="inlineStr">
        <is>
          <t>General Therapeutics</t>
        </is>
      </c>
      <c r="M2006" s="18" t="inlineStr">
        <is>
          <t>Clinic</t>
        </is>
      </c>
      <c r="N2006" s="18" t="inlineStr">
        <is>
          <t>ข้อ 3 (PLE_CC1_Key_Rx20_UBU.md)</t>
        </is>
      </c>
      <c r="O2006" s="18" t="inlineStr">
        <is>
          <t>Mock</t>
        </is>
      </c>
      <c r="P2006" s="18" t="inlineStr">
        <is>
          <t>Mock Rx20 UBU</t>
        </is>
      </c>
    </row>
    <row r="2007">
      <c r="A2007" s="15" t="inlineStr">
        <is>
          <t>2028</t>
        </is>
      </c>
      <c r="B2007" s="18" t="inlineStr">
        <is>
          <t>ตัวยาดังรูป สามารถสลายตัวได$ด$วยปฏิกิริยาใด (ข$อนี้จำไมGได$อ$า ไมGแนGใจ)</t>
        </is>
      </c>
      <c r="C2007" s="18" t="inlineStr"/>
      <c r="D2007" s="18" t="inlineStr">
        <is>
          <t>N-acetylcysteine (NAC) IV infusion protocol</t>
        </is>
      </c>
      <c r="E2007" s="18" t="inlineStr">
        <is>
          <t>Atropine sulfate 2 mg IV Q5-10 min</t>
        </is>
      </c>
      <c r="F2007" s="18" t="inlineStr">
        <is>
          <t>Pralidoxime (2-PAM) 1-2 g IV over 30 min</t>
        </is>
      </c>
      <c r="G2007" s="18" t="inlineStr">
        <is>
          <t>Naloxone 0.4 mg IV stat</t>
        </is>
      </c>
      <c r="H2007" s="18" t="inlineStr">
        <is>
          <t>Flumazenil 0.2 mg IV stat</t>
        </is>
      </c>
      <c r="I2007" s="15" t="inlineStr">
        <is>
          <t>1</t>
        </is>
      </c>
      <c r="J20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7" s="18" t="inlineStr"/>
      <c r="L2007" s="18" t="inlineStr">
        <is>
          <t>General Therapeutics</t>
        </is>
      </c>
      <c r="M2007" s="18" t="inlineStr">
        <is>
          <t>Clinic</t>
        </is>
      </c>
      <c r="N2007" s="18" t="inlineStr">
        <is>
          <t>ข้อ 23 (PLE_CC1_Key_Rx20_UBU.md)</t>
        </is>
      </c>
      <c r="O2007" s="18" t="inlineStr">
        <is>
          <t>Mock</t>
        </is>
      </c>
      <c r="P2007" s="18" t="inlineStr">
        <is>
          <t>Mock Rx20 UBU</t>
        </is>
      </c>
    </row>
    <row r="2008">
      <c r="A2008" s="15" t="inlineStr">
        <is>
          <t>2029</t>
        </is>
      </c>
      <c r="B2008" s="18" t="inlineStr">
        <is>
          <t>ป[ญหาความคงตัวของตัวยาสำคัญ</t>
        </is>
      </c>
      <c r="C2008" s="18" t="inlineStr"/>
      <c r="D2008" s="18" t="inlineStr">
        <is>
          <t>Type I Borosilicate Glass Ampoule</t>
        </is>
      </c>
      <c r="E2008" s="18" t="inlineStr">
        <is>
          <t>Accelerated Stability Testing (40 C / 75% RH)</t>
        </is>
      </c>
      <c r="F2008" s="18" t="inlineStr">
        <is>
          <t>Long-term Stability Testing (30 C / 65% RH)</t>
        </is>
      </c>
      <c r="G2008" s="18" t="inlineStr">
        <is>
          <t>Differential Scanning Calorimetry (DSC) Polymorphism</t>
        </is>
      </c>
      <c r="H2008" s="18" t="inlineStr">
        <is>
          <t>Moisture Sorption Isotherm analysis</t>
        </is>
      </c>
      <c r="I2008" s="15" t="inlineStr">
        <is>
          <t>1</t>
        </is>
      </c>
      <c r="J2008" s="18"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8" s="18" t="inlineStr"/>
      <c r="L2008" s="18" t="inlineStr">
        <is>
          <t>Preformulation &amp; Stability</t>
        </is>
      </c>
      <c r="M2008" s="18" t="inlineStr">
        <is>
          <t>Product</t>
        </is>
      </c>
      <c r="N2008" s="18" t="inlineStr">
        <is>
          <t>ข้อ 1 (PLE_CC1_Key_Rx20_UBU.md)</t>
        </is>
      </c>
      <c r="O2008" s="18" t="inlineStr">
        <is>
          <t>Mock</t>
        </is>
      </c>
      <c r="P2008" s="18" t="inlineStr">
        <is>
          <t>Mock Rx20 UBU</t>
        </is>
      </c>
    </row>
    <row r="2009">
      <c r="A2009" s="15" t="inlineStr">
        <is>
          <t>2030</t>
        </is>
      </c>
      <c r="B2009" s="18" t="inlineStr">
        <is>
          <t>ป[ญหาการเลือกภาชนะบรรจุ</t>
        </is>
      </c>
      <c r="C2009" s="18" t="inlineStr"/>
      <c r="D2009" s="18" t="inlineStr">
        <is>
          <t>Sodium thiosulfate 25% 50 mL IV</t>
        </is>
      </c>
      <c r="E2009" s="18" t="inlineStr">
        <is>
          <t>Calcium disodium EDTA 1 g IV</t>
        </is>
      </c>
      <c r="F2009" s="18" t="inlineStr">
        <is>
          <t>Desferrioxamine 1 g IM/IV</t>
        </is>
      </c>
      <c r="G2009" s="18" t="inlineStr">
        <is>
          <t>Dimercaprol (BAL) 3 mg/kg IM</t>
        </is>
      </c>
      <c r="H2009" s="18" t="inlineStr">
        <is>
          <t>Ethanol 10% IV infusion for Methanol poisoning</t>
        </is>
      </c>
      <c r="I2009" s="15" t="inlineStr">
        <is>
          <t>1</t>
        </is>
      </c>
      <c r="J20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9" s="18" t="inlineStr"/>
      <c r="L2009" s="18" t="inlineStr">
        <is>
          <t>General Therapeutics</t>
        </is>
      </c>
      <c r="M2009" s="18" t="inlineStr">
        <is>
          <t>Clinic</t>
        </is>
      </c>
      <c r="N2009" s="18" t="inlineStr">
        <is>
          <t>ข้อ 3 (PLE_CC1_Key_Rx20_UBU.md)</t>
        </is>
      </c>
      <c r="O2009" s="18" t="inlineStr">
        <is>
          <t>Mock</t>
        </is>
      </c>
      <c r="P2009" s="18" t="inlineStr">
        <is>
          <t>Mock Rx20 UBU</t>
        </is>
      </c>
    </row>
    <row r="2010">
      <c r="A2010" s="15" t="inlineStr">
        <is>
          <t>2031</t>
        </is>
      </c>
      <c r="B2010" s="18" t="inlineStr">
        <is>
          <t>คุณสมบัติทางเคมีและกายภาพของสารชGวยแตGละชนิดที่ได$จากแหลGงผลิตที่ตGางกัน</t>
        </is>
      </c>
      <c r="C2010" s="18" t="inlineStr"/>
      <c r="D2010" s="18" t="inlineStr">
        <is>
          <t>Dimercaprol (BAL) 3 mg/kg IM</t>
        </is>
      </c>
      <c r="E2010" s="18" t="inlineStr">
        <is>
          <t>Ethanol 10% IV infusion for Methanol poisoning</t>
        </is>
      </c>
      <c r="F2010" s="18" t="inlineStr">
        <is>
          <t>Fomepizole 15 mg/kg IV loading</t>
        </is>
      </c>
      <c r="G2010" s="18" t="inlineStr">
        <is>
          <t>N-acetylcysteine (NAC) IV infusion protocol</t>
        </is>
      </c>
      <c r="H2010" s="18" t="inlineStr">
        <is>
          <t>Atropine sulfate 2 mg IV Q5-10 min</t>
        </is>
      </c>
      <c r="I2010" s="15" t="inlineStr">
        <is>
          <t>1</t>
        </is>
      </c>
      <c r="J20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0" s="18" t="inlineStr"/>
      <c r="L2010" s="18" t="inlineStr">
        <is>
          <t>General Therapeutics</t>
        </is>
      </c>
      <c r="M2010" s="18" t="inlineStr">
        <is>
          <t>Clinic</t>
        </is>
      </c>
      <c r="N2010" s="18" t="inlineStr">
        <is>
          <t>ข้อ 4 (PLE_CC1_Key_Rx20_UBU.md)</t>
        </is>
      </c>
      <c r="O2010" s="18" t="inlineStr">
        <is>
          <t>Mock</t>
        </is>
      </c>
      <c r="P2010" s="18" t="inlineStr">
        <is>
          <t>Mock Rx20 UBU</t>
        </is>
      </c>
    </row>
    <row r="2011">
      <c r="A2011" s="15" t="inlineStr">
        <is>
          <t>2032</t>
        </is>
      </c>
      <c r="B2011" s="18" t="inlineStr">
        <is>
          <t>ป[ญหาการเลือก buffering agent ผGานไป 2 เดือน ผู$ป&amp;วยกลับไปพบจักษุแพทย_อีกครั้ง เนื่องจากมีอาการ ระคายเคืองตามาก แพทย_บอกวGา มีแผลที่กระจกตา เนื่องจากใช$คอนแทคเลนส_ติดตGอกันเปญนเวลานาน</t>
        </is>
      </c>
      <c r="C2011" s="18" t="inlineStr"/>
      <c r="D2011" s="18" t="inlineStr">
        <is>
          <t>Artificial tears 1 drop QID</t>
        </is>
      </c>
      <c r="E2011" s="18" t="inlineStr">
        <is>
          <t>Antazoline/Tetrahydrozoline eye drops 1 drop TID</t>
        </is>
      </c>
      <c r="F2011" s="18" t="inlineStr">
        <is>
          <t>Prednisolone acetate 1% eye drops</t>
        </is>
      </c>
      <c r="G2011" s="18" t="inlineStr">
        <is>
          <t>Acetazolamide 250 mg BID</t>
        </is>
      </c>
      <c r="H2011" s="18" t="inlineStr">
        <is>
          <t>Timolol 0.5% eye drops 1 drop BID</t>
        </is>
      </c>
      <c r="I2011" s="15" t="inlineStr">
        <is>
          <t>2</t>
        </is>
      </c>
      <c r="J2011" s="18" t="inlineStr">
        <is>
          <t>✅ คำตอบที่ถูกต้อง: ข้อ ข.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11" s="18" t="inlineStr"/>
      <c r="L2011" s="18" t="inlineStr">
        <is>
          <t>Eye Disorders</t>
        </is>
      </c>
      <c r="M2011" s="18" t="inlineStr">
        <is>
          <t>Clinic</t>
        </is>
      </c>
      <c r="N2011" s="18" t="inlineStr">
        <is>
          <t>ข้อ 5 (PLE_CC1_Key_Rx20_UBU.md)</t>
        </is>
      </c>
      <c r="O2011" s="18" t="inlineStr">
        <is>
          <t>Mock</t>
        </is>
      </c>
      <c r="P2011" s="18" t="inlineStr">
        <is>
          <t>Mock Rx20 UBU</t>
        </is>
      </c>
    </row>
    <row r="2012">
      <c r="A2012" s="15" t="inlineStr">
        <is>
          <t>2033</t>
        </is>
      </c>
      <c r="B2012" s="18" t="inlineStr">
        <is>
          <t>Staphylococcus aureus</t>
        </is>
      </c>
      <c r="C2012" s="18" t="inlineStr"/>
      <c r="D2012" s="18" t="inlineStr">
        <is>
          <t>Naloxone 0.4 mg IV stat</t>
        </is>
      </c>
      <c r="E2012" s="18" t="inlineStr">
        <is>
          <t>Flumazenil 0.2 mg IV stat</t>
        </is>
      </c>
      <c r="F2012" s="18" t="inlineStr">
        <is>
          <t>Vitamin K1 (Phytomenadione) 10 mg IV slow</t>
        </is>
      </c>
      <c r="G2012" s="18" t="inlineStr">
        <is>
          <t>Sodium thiosulfate 25% 50 mL IV</t>
        </is>
      </c>
      <c r="H2012" s="18" t="inlineStr">
        <is>
          <t>Calcium disodium EDTA 1 g IV</t>
        </is>
      </c>
      <c r="I2012" s="15" t="inlineStr">
        <is>
          <t>1</t>
        </is>
      </c>
      <c r="J20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2" s="18" t="inlineStr"/>
      <c r="L2012" s="18" t="inlineStr">
        <is>
          <t>General Therapeutics</t>
        </is>
      </c>
      <c r="M2012" s="18" t="inlineStr">
        <is>
          <t>Clinic</t>
        </is>
      </c>
      <c r="N2012" s="18" t="inlineStr">
        <is>
          <t>ข้อ 1 (PLE_CC1_Key_Rx20_UBU.md)</t>
        </is>
      </c>
      <c r="O2012" s="18" t="inlineStr">
        <is>
          <t>Mock</t>
        </is>
      </c>
      <c r="P2012" s="18" t="inlineStr">
        <is>
          <t>Mock Rx20 UBU</t>
        </is>
      </c>
    </row>
    <row r="2013">
      <c r="A2013" s="15" t="inlineStr">
        <is>
          <t>2034</t>
        </is>
      </c>
      <c r="B2013" s="18" t="inlineStr">
        <is>
          <t>Haemophilus influenzae</t>
        </is>
      </c>
      <c r="C2013" s="18" t="inlineStr"/>
      <c r="D2013" s="18" t="inlineStr">
        <is>
          <t>Sodium thiosulfate 25% 50 mL IV</t>
        </is>
      </c>
      <c r="E2013" s="18" t="inlineStr">
        <is>
          <t>Calcium disodium EDTA 1 g IV</t>
        </is>
      </c>
      <c r="F2013" s="18" t="inlineStr">
        <is>
          <t>Desferrioxamine 1 g IM/IV</t>
        </is>
      </c>
      <c r="G2013" s="18" t="inlineStr">
        <is>
          <t>Dimercaprol (BAL) 3 mg/kg IM</t>
        </is>
      </c>
      <c r="H2013" s="18" t="inlineStr">
        <is>
          <t>Ethanol 10% IV infusion for Methanol poisoning</t>
        </is>
      </c>
      <c r="I2013" s="15" t="inlineStr">
        <is>
          <t>1</t>
        </is>
      </c>
      <c r="J20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3" s="18" t="inlineStr"/>
      <c r="L2013" s="18" t="inlineStr">
        <is>
          <t>General Therapeutics</t>
        </is>
      </c>
      <c r="M2013" s="18" t="inlineStr">
        <is>
          <t>Clinic</t>
        </is>
      </c>
      <c r="N2013" s="18" t="inlineStr">
        <is>
          <t>ข้อ 2 (PLE_CC1_Key_Rx20_UBU.md)</t>
        </is>
      </c>
      <c r="O2013" s="18" t="inlineStr">
        <is>
          <t>Mock</t>
        </is>
      </c>
      <c r="P2013" s="18" t="inlineStr">
        <is>
          <t>Mock Rx20 UBU</t>
        </is>
      </c>
    </row>
    <row r="2014">
      <c r="A2014" s="15" t="inlineStr">
        <is>
          <t>2035</t>
        </is>
      </c>
      <c r="B2014" s="18" t="inlineStr">
        <is>
          <t>Pseudomonas aeruginosa</t>
        </is>
      </c>
      <c r="C2014" s="18" t="inlineStr"/>
      <c r="D2014" s="18" t="inlineStr">
        <is>
          <t>Dimercaprol (BAL) 3 mg/kg IM</t>
        </is>
      </c>
      <c r="E2014" s="18" t="inlineStr">
        <is>
          <t>Ethanol 10% IV infusion for Methanol poisoning</t>
        </is>
      </c>
      <c r="F2014" s="18" t="inlineStr">
        <is>
          <t>Fomepizole 15 mg/kg IV loading</t>
        </is>
      </c>
      <c r="G2014" s="18" t="inlineStr">
        <is>
          <t>N-acetylcysteine (NAC) IV infusion protocol</t>
        </is>
      </c>
      <c r="H2014" s="18" t="inlineStr">
        <is>
          <t>Atropine sulfate 2 mg IV Q5-10 min</t>
        </is>
      </c>
      <c r="I2014" s="15" t="inlineStr">
        <is>
          <t>1</t>
        </is>
      </c>
      <c r="J20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4" s="18" t="inlineStr"/>
      <c r="L2014" s="18" t="inlineStr">
        <is>
          <t>General Therapeutics</t>
        </is>
      </c>
      <c r="M2014" s="18" t="inlineStr">
        <is>
          <t>Clinic</t>
        </is>
      </c>
      <c r="N2014" s="18" t="inlineStr">
        <is>
          <t>ข้อ 4 (PLE_CC1_Key_Rx20_UBU.md)</t>
        </is>
      </c>
      <c r="O2014" s="18" t="inlineStr">
        <is>
          <t>Mock</t>
        </is>
      </c>
      <c r="P2014" s="18" t="inlineStr">
        <is>
          <t>Mock Rx20 UBU</t>
        </is>
      </c>
    </row>
    <row r="2015">
      <c r="A2015" s="15" t="inlineStr">
        <is>
          <t>2036</t>
        </is>
      </c>
      <c r="B2015" s="18" t="inlineStr">
        <is>
          <t>Escherichia coli</t>
        </is>
      </c>
      <c r="C2015" s="18" t="inlineStr"/>
      <c r="D2015" s="18" t="inlineStr">
        <is>
          <t>N-acetylcysteine (NAC) IV infusion protocol</t>
        </is>
      </c>
      <c r="E2015" s="18" t="inlineStr">
        <is>
          <t>Atropine sulfate 2 mg IV Q5-10 min</t>
        </is>
      </c>
      <c r="F2015" s="18" t="inlineStr">
        <is>
          <t>Pralidoxime (2-PAM) 1-2 g IV over 30 min</t>
        </is>
      </c>
      <c r="G2015" s="18" t="inlineStr">
        <is>
          <t>Naloxone 0.4 mg IV stat</t>
        </is>
      </c>
      <c r="H2015" s="18" t="inlineStr">
        <is>
          <t>Flumazenil 0.2 mg IV stat</t>
        </is>
      </c>
      <c r="I2015" s="15" t="inlineStr">
        <is>
          <t>2</t>
        </is>
      </c>
      <c r="J2015" s="18"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15" s="18" t="inlineStr"/>
      <c r="L2015" s="18" t="inlineStr">
        <is>
          <t>General Therapeutics</t>
        </is>
      </c>
      <c r="M2015" s="18" t="inlineStr">
        <is>
          <t>Clinic</t>
        </is>
      </c>
      <c r="N2015" s="18" t="inlineStr">
        <is>
          <t>ข้อ 5 (PLE_CC1_Key_Rx20_UBU.md)</t>
        </is>
      </c>
      <c r="O2015" s="18" t="inlineStr">
        <is>
          <t>Mock</t>
        </is>
      </c>
      <c r="P2015" s="18" t="inlineStr">
        <is>
          <t>Mock Rx20 UBU</t>
        </is>
      </c>
    </row>
    <row r="2016">
      <c r="A2016" s="15" t="inlineStr">
        <is>
          <t>2037</t>
        </is>
      </c>
      <c r="B2016" s="18" t="inlineStr">
        <is>
          <t>การรักษาที่เหมาะสมคือข$อใด</t>
        </is>
      </c>
      <c r="C2016" s="18" t="inlineStr"/>
      <c r="D2016" s="18" t="inlineStr">
        <is>
          <t>Naloxone 0.4 mg IV stat</t>
        </is>
      </c>
      <c r="E2016" s="18" t="inlineStr">
        <is>
          <t>Flumazenil 0.2 mg IV stat</t>
        </is>
      </c>
      <c r="F2016" s="18" t="inlineStr">
        <is>
          <t>Vitamin K1 (Phytomenadione) 10 mg IV slow</t>
        </is>
      </c>
      <c r="G2016" s="18" t="inlineStr">
        <is>
          <t>Sodium thiosulfate 25% 50 mL IV</t>
        </is>
      </c>
      <c r="H2016" s="18" t="inlineStr">
        <is>
          <t>Calcium disodium EDTA 1 g IV</t>
        </is>
      </c>
      <c r="I2016" s="15" t="inlineStr">
        <is>
          <t>1</t>
        </is>
      </c>
      <c r="J20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6" s="18" t="inlineStr"/>
      <c r="L2016" s="18" t="inlineStr">
        <is>
          <t>General Therapeutics</t>
        </is>
      </c>
      <c r="M2016" s="18" t="inlineStr">
        <is>
          <t>Clinic</t>
        </is>
      </c>
      <c r="N2016" s="18" t="inlineStr">
        <is>
          <t>ข้อ 26 (PLE_CC1_Key_Rx20_UBU.md)</t>
        </is>
      </c>
      <c r="O2016" s="18" t="inlineStr">
        <is>
          <t>Mock</t>
        </is>
      </c>
      <c r="P2016" s="18" t="inlineStr">
        <is>
          <t>Mock Rx20 UBU</t>
        </is>
      </c>
    </row>
    <row r="2017">
      <c r="A2017" s="15" t="inlineStr">
        <is>
          <t>2038</t>
        </is>
      </c>
      <c r="B2017" s="18" t="inlineStr">
        <is>
          <t>ยา X มีความเข$มข$น 10 %w/v (มวลโมเลกุลยา X = 331 mg) คิดเปญนกี่ Molar</t>
        </is>
      </c>
      <c r="C2017" s="18" t="inlineStr"/>
      <c r="D2017" s="18" t="inlineStr">
        <is>
          <t>Sodium thiosulfate 25% 50 mL IV</t>
        </is>
      </c>
      <c r="E2017" s="18" t="inlineStr">
        <is>
          <t>Calcium disodium EDTA 1 g IV</t>
        </is>
      </c>
      <c r="F2017" s="18" t="inlineStr">
        <is>
          <t>Desferrioxamine 1 g IM/IV</t>
        </is>
      </c>
      <c r="G2017" s="18" t="inlineStr">
        <is>
          <t>Dimercaprol (BAL) 3 mg/kg IM</t>
        </is>
      </c>
      <c r="H2017" s="18" t="inlineStr">
        <is>
          <t>Ethanol 10% IV infusion for Methanol poisoning</t>
        </is>
      </c>
      <c r="I2017" s="15" t="inlineStr">
        <is>
          <t>1</t>
        </is>
      </c>
      <c r="J20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7" s="18" t="inlineStr"/>
      <c r="L2017" s="18" t="inlineStr">
        <is>
          <t>General Therapeutics</t>
        </is>
      </c>
      <c r="M2017" s="18" t="inlineStr">
        <is>
          <t>Clinic</t>
        </is>
      </c>
      <c r="N2017" s="18" t="inlineStr">
        <is>
          <t>ข้อ 28 (PLE_CC1_Key_Rx20_UBU.md)</t>
        </is>
      </c>
      <c r="O2017" s="18" t="inlineStr">
        <is>
          <t>Mock</t>
        </is>
      </c>
      <c r="P2017" s="18" t="inlineStr">
        <is>
          <t>Mock Rx20 UBU</t>
        </is>
      </c>
    </row>
    <row r="2018">
      <c r="A2018" s="15" t="inlineStr">
        <is>
          <t>2039</t>
        </is>
      </c>
      <c r="B2018" s="18" t="inlineStr">
        <is>
          <t>9.06 x 10-6 Molar</t>
        </is>
      </c>
      <c r="C2018" s="18" t="inlineStr"/>
      <c r="D2018" s="18" t="inlineStr">
        <is>
          <t>Dimercaprol (BAL) 3 mg/kg IM</t>
        </is>
      </c>
      <c r="E2018" s="18" t="inlineStr">
        <is>
          <t>Ethanol 10% IV infusion for Methanol poisoning</t>
        </is>
      </c>
      <c r="F2018" s="18" t="inlineStr">
        <is>
          <t>Fomepizole 15 mg/kg IV loading</t>
        </is>
      </c>
      <c r="G2018" s="18" t="inlineStr">
        <is>
          <t>N-acetylcysteine (NAC) IV infusion protocol</t>
        </is>
      </c>
      <c r="H2018" s="18" t="inlineStr">
        <is>
          <t>Atropine sulfate 2 mg IV Q5-10 min</t>
        </is>
      </c>
      <c r="I2018" s="15" t="inlineStr">
        <is>
          <t>1</t>
        </is>
      </c>
      <c r="J20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8" s="18" t="inlineStr"/>
      <c r="L2018" s="18" t="inlineStr">
        <is>
          <t>General Therapeutics</t>
        </is>
      </c>
      <c r="M2018" s="18" t="inlineStr">
        <is>
          <t>Clinic</t>
        </is>
      </c>
      <c r="N2018" s="18" t="inlineStr">
        <is>
          <t>ข้อ 1 (PLE_CC1_Key_Rx20_UBU.md)</t>
        </is>
      </c>
      <c r="O2018" s="18" t="inlineStr">
        <is>
          <t>Mock</t>
        </is>
      </c>
      <c r="P2018" s="18" t="inlineStr">
        <is>
          <t>Mock Rx20 UBU</t>
        </is>
      </c>
    </row>
    <row r="2019">
      <c r="A2019" s="15" t="inlineStr">
        <is>
          <t>2040</t>
        </is>
      </c>
      <c r="B2019" s="18" t="inlineStr">
        <is>
          <t>9.06 x 10-5 Molar</t>
        </is>
      </c>
      <c r="C2019" s="18" t="inlineStr"/>
      <c r="D2019" s="18" t="inlineStr">
        <is>
          <t>N-acetylcysteine (NAC) IV infusion protocol</t>
        </is>
      </c>
      <c r="E2019" s="18" t="inlineStr">
        <is>
          <t>Atropine sulfate 2 mg IV Q5-10 min</t>
        </is>
      </c>
      <c r="F2019" s="18" t="inlineStr">
        <is>
          <t>Pralidoxime (2-PAM) 1-2 g IV over 30 min</t>
        </is>
      </c>
      <c r="G2019" s="18" t="inlineStr">
        <is>
          <t>Naloxone 0.4 mg IV stat</t>
        </is>
      </c>
      <c r="H2019" s="18" t="inlineStr">
        <is>
          <t>Flumazenil 0.2 mg IV stat</t>
        </is>
      </c>
      <c r="I2019" s="15" t="inlineStr">
        <is>
          <t>1</t>
        </is>
      </c>
      <c r="J201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19" s="18" t="inlineStr"/>
      <c r="L2019" s="18" t="inlineStr">
        <is>
          <t>General Therapeutics</t>
        </is>
      </c>
      <c r="M2019" s="18" t="inlineStr">
        <is>
          <t>Clinic</t>
        </is>
      </c>
      <c r="N2019" s="18" t="inlineStr">
        <is>
          <t>ข้อ 2 (PLE_CC1_Key_Rx20_UBU.md)</t>
        </is>
      </c>
      <c r="O2019" s="18" t="inlineStr">
        <is>
          <t>Mock</t>
        </is>
      </c>
      <c r="P2019" s="18" t="inlineStr">
        <is>
          <t>Mock Rx20 UBU</t>
        </is>
      </c>
    </row>
    <row r="2020">
      <c r="A2020" s="15" t="inlineStr">
        <is>
          <t>2041</t>
        </is>
      </c>
      <c r="B2020" s="18" t="inlineStr">
        <is>
          <t>9.06 x 10-4 Molar</t>
        </is>
      </c>
      <c r="C2020" s="18" t="inlineStr"/>
      <c r="D2020" s="18" t="inlineStr">
        <is>
          <t>Naloxone 0.4 mg IV stat</t>
        </is>
      </c>
      <c r="E2020" s="18" t="inlineStr">
        <is>
          <t>Flumazenil 0.2 mg IV stat</t>
        </is>
      </c>
      <c r="F2020" s="18" t="inlineStr">
        <is>
          <t>Vitamin K1 (Phytomenadione) 10 mg IV slow</t>
        </is>
      </c>
      <c r="G2020" s="18" t="inlineStr">
        <is>
          <t>Sodium thiosulfate 25% 50 mL IV</t>
        </is>
      </c>
      <c r="H2020" s="18" t="inlineStr">
        <is>
          <t>Calcium disodium EDTA 1 g IV</t>
        </is>
      </c>
      <c r="I2020" s="15" t="inlineStr">
        <is>
          <t>1</t>
        </is>
      </c>
      <c r="J20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0" s="18" t="inlineStr"/>
      <c r="L2020" s="18" t="inlineStr">
        <is>
          <t>General Therapeutics</t>
        </is>
      </c>
      <c r="M2020" s="18" t="inlineStr">
        <is>
          <t>Clinic</t>
        </is>
      </c>
      <c r="N2020" s="18" t="inlineStr">
        <is>
          <t>ข้อ 3 (PLE_CC1_Key_Rx20_UBU.md)</t>
        </is>
      </c>
      <c r="O2020" s="18" t="inlineStr">
        <is>
          <t>Mock</t>
        </is>
      </c>
      <c r="P2020" s="18" t="inlineStr">
        <is>
          <t>Mock Rx20 UBU</t>
        </is>
      </c>
    </row>
    <row r="2021">
      <c r="A2021" s="15" t="inlineStr">
        <is>
          <t>2042</t>
        </is>
      </c>
      <c r="B2021" s="18" t="inlineStr">
        <is>
          <t>9.06 x 10-3 Molar</t>
        </is>
      </c>
      <c r="C2021" s="18" t="inlineStr"/>
      <c r="D2021" s="18" t="inlineStr">
        <is>
          <t>Sodium thiosulfate 25% 50 mL IV</t>
        </is>
      </c>
      <c r="E2021" s="18" t="inlineStr">
        <is>
          <t>Calcium disodium EDTA 1 g IV</t>
        </is>
      </c>
      <c r="F2021" s="18" t="inlineStr">
        <is>
          <t>Desferrioxamine 1 g IM/IV</t>
        </is>
      </c>
      <c r="G2021" s="18" t="inlineStr">
        <is>
          <t>Dimercaprol (BAL) 3 mg/kg IM</t>
        </is>
      </c>
      <c r="H2021" s="18" t="inlineStr">
        <is>
          <t>Ethanol 10% IV infusion for Methanol poisoning</t>
        </is>
      </c>
      <c r="I2021" s="15" t="inlineStr">
        <is>
          <t>1</t>
        </is>
      </c>
      <c r="J20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1" s="18" t="inlineStr"/>
      <c r="L2021" s="18" t="inlineStr">
        <is>
          <t>General Therapeutics</t>
        </is>
      </c>
      <c r="M2021" s="18" t="inlineStr">
        <is>
          <t>Clinic</t>
        </is>
      </c>
      <c r="N2021" s="18" t="inlineStr">
        <is>
          <t>ข้อ 4 (PLE_CC1_Key_Rx20_UBU.md)</t>
        </is>
      </c>
      <c r="O2021" s="18" t="inlineStr">
        <is>
          <t>Mock</t>
        </is>
      </c>
      <c r="P2021" s="18" t="inlineStr">
        <is>
          <t>Mock Rx20 UBU</t>
        </is>
      </c>
    </row>
    <row r="2022">
      <c r="A2022" s="15" t="inlineStr">
        <is>
          <t>2043</t>
        </is>
      </c>
      <c r="B2022" s="18" t="inlineStr">
        <is>
          <t>9.06 x 10-2 Molar</t>
        </is>
      </c>
      <c r="C2022" s="18" t="inlineStr"/>
      <c r="D2022" s="18" t="inlineStr">
        <is>
          <t>Dimercaprol (BAL) 3 mg/kg IM</t>
        </is>
      </c>
      <c r="E2022" s="18" t="inlineStr">
        <is>
          <t>Ethanol 10% IV infusion for Methanol poisoning</t>
        </is>
      </c>
      <c r="F2022" s="18" t="inlineStr">
        <is>
          <t>Fomepizole 15 mg/kg IV loading</t>
        </is>
      </c>
      <c r="G2022" s="18" t="inlineStr">
        <is>
          <t>N-acetylcysteine (NAC) IV infusion protocol</t>
        </is>
      </c>
      <c r="H2022" s="18" t="inlineStr">
        <is>
          <t>Atropine sulfate 2 mg IV Q5-10 min</t>
        </is>
      </c>
      <c r="I2022" s="15" t="inlineStr">
        <is>
          <t>1</t>
        </is>
      </c>
      <c r="J20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2" s="18" t="inlineStr"/>
      <c r="L2022" s="18" t="inlineStr">
        <is>
          <t>General Therapeutics</t>
        </is>
      </c>
      <c r="M2022" s="18" t="inlineStr">
        <is>
          <t>Clinic</t>
        </is>
      </c>
      <c r="N2022" s="18" t="inlineStr">
        <is>
          <t>ข้อ 5 (PLE_CC1_Key_Rx20_UBU.md)</t>
        </is>
      </c>
      <c r="O2022" s="18" t="inlineStr">
        <is>
          <t>Mock</t>
        </is>
      </c>
      <c r="P2022" s="18" t="inlineStr">
        <is>
          <t>Mock Rx20 UBU</t>
        </is>
      </c>
    </row>
    <row r="2023">
      <c r="A2023" s="15" t="inlineStr">
        <is>
          <t>2044</t>
        </is>
      </c>
      <c r="B2023" s="18" t="inlineStr">
        <is>
          <t>ได$ เพราะเปญนยาใช$เฉพาะที่ (ไมGแนGใจจำไมGได$)</t>
        </is>
      </c>
      <c r="C2023" s="18" t="inlineStr"/>
      <c r="D2023" s="18" t="inlineStr">
        <is>
          <t>N-acetylcysteine (NAC) IV infusion protocol</t>
        </is>
      </c>
      <c r="E2023" s="18" t="inlineStr">
        <is>
          <t>Atropine sulfate 2 mg IV Q5-10 min</t>
        </is>
      </c>
      <c r="F2023" s="18" t="inlineStr">
        <is>
          <t>Pralidoxime (2-PAM) 1-2 g IV over 30 min</t>
        </is>
      </c>
      <c r="G2023" s="18" t="inlineStr">
        <is>
          <t>Naloxone 0.4 mg IV stat</t>
        </is>
      </c>
      <c r="H2023" s="18" t="inlineStr">
        <is>
          <t>Flumazenil 0.2 mg IV stat</t>
        </is>
      </c>
      <c r="I2023" s="15" t="inlineStr">
        <is>
          <t>1</t>
        </is>
      </c>
      <c r="J20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23" s="18" t="inlineStr"/>
      <c r="L2023" s="18" t="inlineStr">
        <is>
          <t>General Therapeutics</t>
        </is>
      </c>
      <c r="M2023" s="18" t="inlineStr">
        <is>
          <t>Clinic</t>
        </is>
      </c>
      <c r="N2023" s="18" t="inlineStr">
        <is>
          <t>ข้อ 1 (PLE_CC1_Key_Rx20_UBU.md)</t>
        </is>
      </c>
      <c r="O2023" s="18" t="inlineStr">
        <is>
          <t>Mock</t>
        </is>
      </c>
      <c r="P2023" s="18" t="inlineStr">
        <is>
          <t>Mock Rx20 UBU</t>
        </is>
      </c>
    </row>
    <row r="2024">
      <c r="A2024" s="15" t="inlineStr">
        <is>
          <t>2045</t>
        </is>
      </c>
      <c r="B2024" s="18" t="inlineStr">
        <is>
          <t>ได$ แตGต$องทำบัญชีการจGายยาควบคุมพิเศษด$วย</t>
        </is>
      </c>
      <c r="C2024" s="18" t="inlineStr"/>
      <c r="D2024" s="18" t="inlineStr">
        <is>
          <t>พ.ร.บ. เครื่องสำอาง พ.ศ. 2558</t>
        </is>
      </c>
      <c r="E2024" s="18" t="inlineStr">
        <is>
          <t>พ.ร.บ. หลักประกันสุขภาพแห่งชาติ พ.ศ. 2545</t>
        </is>
      </c>
      <c r="F2024" s="18" t="inlineStr">
        <is>
          <t>การปฏิบัติทางเภสัชกรรมชุมชน (Good Pharmacy Practice: GPP)</t>
        </is>
      </c>
      <c r="G2024" s="18" t="inlineStr">
        <is>
          <t>บัญชียาหลักแห่งชาติ (National List of Essential Medicines: NLEM)</t>
        </is>
      </c>
      <c r="H2024" s="18" t="inlineStr">
        <is>
          <t>เกณฑ์จริยธรรมว่าด้วยการส่งเสริมการขายยาของกระทรวงสาธารณสุข</t>
        </is>
      </c>
      <c r="I2024" s="15" t="inlineStr">
        <is>
          <t>1</t>
        </is>
      </c>
      <c r="J2024"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4" s="18" t="inlineStr"/>
      <c r="L2024" s="18" t="inlineStr">
        <is>
          <t>Pharmacy Laws &amp; Ethics</t>
        </is>
      </c>
      <c r="M2024" s="18" t="inlineStr">
        <is>
          <t>SAP</t>
        </is>
      </c>
      <c r="N2024" s="18" t="inlineStr">
        <is>
          <t>ข้อ 2 (PLE_CC1_Key_Rx20_UBU.md)</t>
        </is>
      </c>
      <c r="O2024" s="18" t="inlineStr">
        <is>
          <t>Mock</t>
        </is>
      </c>
      <c r="P2024" s="18" t="inlineStr">
        <is>
          <t>Mock Rx20 UBU</t>
        </is>
      </c>
    </row>
    <row r="2025">
      <c r="A2025" s="15" t="inlineStr">
        <is>
          <t>2046</t>
        </is>
      </c>
      <c r="B2025" s="18" t="inlineStr">
        <is>
          <t>ได$ เพราะเปญนยาอันตราย</t>
        </is>
      </c>
      <c r="C2025" s="18" t="inlineStr"/>
      <c r="D2025" s="18" t="inlineStr">
        <is>
          <t>บัญชียาหลักแห่งชาติ (National List of Essential Medicines: NLEM)</t>
        </is>
      </c>
      <c r="E2025" s="18" t="inlineStr">
        <is>
          <t>เกณฑ์จริยธรรมว่าด้วยการส่งเสริมการขายยาของกระทรวงสาธารณสุข</t>
        </is>
      </c>
      <c r="F2025" s="18" t="inlineStr">
        <is>
          <t>พ.ร.บ. ยา พ.ศ. 2510 (การจำหน่ายยาอันตรายและยาควบคุมพิเศษ)</t>
        </is>
      </c>
      <c r="G2025" s="18" t="inlineStr">
        <is>
          <t>พ.ร.บ. ยาเสพติดให้โทษ พ.ศ. 2522 (ยาเสพติดให้โทษประเภท 2 และ 3)</t>
        </is>
      </c>
      <c r="H2025" s="18" t="inlineStr">
        <is>
          <t>พ.ร.บ. วัตถุที่ออกฤทธิ์ต่อจิตและประสาท พ.ศ. 2559 (ประเภท 2 และ 4)</t>
        </is>
      </c>
      <c r="I2025" s="15" t="inlineStr">
        <is>
          <t>1</t>
        </is>
      </c>
      <c r="J2025"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5" s="18" t="inlineStr"/>
      <c r="L2025" s="18" t="inlineStr">
        <is>
          <t>Pharmacy Laws &amp; Ethics</t>
        </is>
      </c>
      <c r="M2025" s="18" t="inlineStr">
        <is>
          <t>SAP</t>
        </is>
      </c>
      <c r="N2025" s="18" t="inlineStr">
        <is>
          <t>ข้อ 3 (PLE_CC1_Key_Rx20_UBU.md)</t>
        </is>
      </c>
      <c r="O2025" s="18" t="inlineStr">
        <is>
          <t>Mock</t>
        </is>
      </c>
      <c r="P2025" s="18" t="inlineStr">
        <is>
          <t>Mock Rx20 UBU</t>
        </is>
      </c>
    </row>
    <row r="2026">
      <c r="A2026" s="15" t="inlineStr">
        <is>
          <t>2047</t>
        </is>
      </c>
      <c r="B2026" s="18" t="inlineStr">
        <is>
          <t>ไมGได$ เพราะเปญนยาควบคุมพิเศษ ต$องมีใบสั่งแพทย_</t>
        </is>
      </c>
      <c r="C2026" s="18" t="inlineStr"/>
      <c r="D2026" s="18" t="inlineStr">
        <is>
          <t>พ.ร.บ. ยาเสพติดให้โทษ พ.ศ. 2522 (ยาเสพติดให้โทษประเภท 2 และ 3)</t>
        </is>
      </c>
      <c r="E2026" s="18" t="inlineStr">
        <is>
          <t>พ.ร.บ. วัตถุที่ออกฤทธิ์ต่อจิตและประสาท พ.ศ. 2559 (ประเภท 2 และ 4)</t>
        </is>
      </c>
      <c r="F2026" s="18" t="inlineStr">
        <is>
          <t>พ.ร.บ. วิชาชีพเภสัชกรรม พ.ศ. 2537 และข้อบังคับจรรยาบรรณวิชาชีพ</t>
        </is>
      </c>
      <c r="G2026" s="18" t="inlineStr">
        <is>
          <t>พ.ร.บ. ผลิตภัณฑ์สมุนไพร พ.ศ. 2562</t>
        </is>
      </c>
      <c r="H2026" s="18" t="inlineStr">
        <is>
          <t>พ.ร.บ. เครื่องสำอาง พ.ศ. 2558</t>
        </is>
      </c>
      <c r="I2026" s="15" t="inlineStr">
        <is>
          <t>1</t>
        </is>
      </c>
      <c r="J2026"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6" s="18" t="inlineStr"/>
      <c r="L2026" s="18" t="inlineStr">
        <is>
          <t>Pharmacy Laws &amp; Ethics</t>
        </is>
      </c>
      <c r="M2026" s="18" t="inlineStr">
        <is>
          <t>SAP</t>
        </is>
      </c>
      <c r="N2026" s="18" t="inlineStr">
        <is>
          <t>ข้อ 4 (PLE_CC1_Key_Rx20_UBU.md)</t>
        </is>
      </c>
      <c r="O2026" s="18" t="inlineStr">
        <is>
          <t>Mock</t>
        </is>
      </c>
      <c r="P2026" s="18" t="inlineStr">
        <is>
          <t>Mock Rx20 UBU</t>
        </is>
      </c>
    </row>
    <row r="2027">
      <c r="A2027" s="15" t="inlineStr">
        <is>
          <t>2048</t>
        </is>
      </c>
      <c r="B2027" s="18" t="inlineStr">
        <is>
          <t>ไมGได$ เพราะเปญนยาอันตรายที่ต$องควบคุมการใช$</t>
        </is>
      </c>
      <c r="C2027" s="18" t="inlineStr"/>
      <c r="D2027" s="18" t="inlineStr">
        <is>
          <t>พ.ร.บ. ผลิตภัณฑ์สมุนไพร พ.ศ. 2562</t>
        </is>
      </c>
      <c r="E2027" s="18" t="inlineStr">
        <is>
          <t>พ.ร.บ. เครื่องสำอาง พ.ศ. 2558</t>
        </is>
      </c>
      <c r="F2027" s="18" t="inlineStr">
        <is>
          <t>พ.ร.บ. หลักประกันสุขภาพแห่งชาติ พ.ศ. 2545</t>
        </is>
      </c>
      <c r="G2027" s="18" t="inlineStr">
        <is>
          <t>การปฏิบัติทางเภสัชกรรมชุมชน (Good Pharmacy Practice: GPP)</t>
        </is>
      </c>
      <c r="H2027" s="18" t="inlineStr">
        <is>
          <t>บัญชียาหลักแห่งชาติ (National List of Essential Medicines: NLEM)</t>
        </is>
      </c>
      <c r="I2027" s="15" t="inlineStr">
        <is>
          <t>1</t>
        </is>
      </c>
      <c r="J2027"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7" s="18" t="inlineStr"/>
      <c r="L2027" s="18" t="inlineStr">
        <is>
          <t>Pharmacy Laws &amp; Ethics</t>
        </is>
      </c>
      <c r="M2027" s="18" t="inlineStr">
        <is>
          <t>SAP</t>
        </is>
      </c>
      <c r="N2027" s="18" t="inlineStr">
        <is>
          <t>ข้อ 5 (PLE_CC1_Key_Rx20_UBU.md)</t>
        </is>
      </c>
      <c r="O2027" s="18" t="inlineStr">
        <is>
          <t>Mock</t>
        </is>
      </c>
      <c r="P2027" s="18" t="inlineStr">
        <is>
          <t>Mock Rx20 UBU</t>
        </is>
      </c>
    </row>
    <row r="2028">
      <c r="A2028" s="15" t="inlineStr">
        <is>
          <t>2049</t>
        </is>
      </c>
      <c r="B2028" s="18" t="inlineStr">
        <is>
          <t>ขายยาผิดมาตรฐาน</t>
        </is>
      </c>
      <c r="C2028" s="18" t="inlineStr"/>
      <c r="D2028" s="18" t="inlineStr">
        <is>
          <t>Naloxone 0.4 mg IV stat</t>
        </is>
      </c>
      <c r="E2028" s="18" t="inlineStr">
        <is>
          <t>Flumazenil 0.2 mg IV stat</t>
        </is>
      </c>
      <c r="F2028" s="18" t="inlineStr">
        <is>
          <t>Vitamin K1 (Phytomenadione) 10 mg IV slow</t>
        </is>
      </c>
      <c r="G2028" s="18" t="inlineStr">
        <is>
          <t>Sodium thiosulfate 25% 50 mL IV</t>
        </is>
      </c>
      <c r="H2028" s="18" t="inlineStr">
        <is>
          <t>Calcium disodium EDTA 1 g IV</t>
        </is>
      </c>
      <c r="I2028" s="15" t="inlineStr">
        <is>
          <t>1</t>
        </is>
      </c>
      <c r="J20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8" s="18" t="inlineStr"/>
      <c r="L2028" s="18" t="inlineStr">
        <is>
          <t>General Therapeutics</t>
        </is>
      </c>
      <c r="M2028" s="18" t="inlineStr">
        <is>
          <t>Clinic</t>
        </is>
      </c>
      <c r="N2028" s="18" t="inlineStr">
        <is>
          <t>ข้อ 3 (PLE_CC1_Key_Rx20_UBU.md)</t>
        </is>
      </c>
      <c r="O2028" s="18" t="inlineStr">
        <is>
          <t>Mock</t>
        </is>
      </c>
      <c r="P2028" s="18" t="inlineStr">
        <is>
          <t>Mock Rx20 UBU</t>
        </is>
      </c>
    </row>
    <row r="2029">
      <c r="A2029" s="15" t="inlineStr">
        <is>
          <t>2050</t>
        </is>
      </c>
      <c r="B2029" s="18" t="inlineStr">
        <is>
          <t>ขายยาเสื่อมคุณภาพ</t>
        </is>
      </c>
      <c r="C2029" s="18" t="inlineStr"/>
      <c r="D2029" s="18" t="inlineStr">
        <is>
          <t>Sodium thiosulfate 25% 50 mL IV</t>
        </is>
      </c>
      <c r="E2029" s="18" t="inlineStr">
        <is>
          <t>Calcium disodium EDTA 1 g IV</t>
        </is>
      </c>
      <c r="F2029" s="18" t="inlineStr">
        <is>
          <t>Desferrioxamine 1 g IM/IV</t>
        </is>
      </c>
      <c r="G2029" s="18" t="inlineStr">
        <is>
          <t>Dimercaprol (BAL) 3 mg/kg IM</t>
        </is>
      </c>
      <c r="H2029" s="18" t="inlineStr">
        <is>
          <t>Ethanol 10% IV infusion for Methanol poisoning</t>
        </is>
      </c>
      <c r="I2029" s="15" t="inlineStr">
        <is>
          <t>1</t>
        </is>
      </c>
      <c r="J20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9" s="18" t="inlineStr"/>
      <c r="L2029" s="18" t="inlineStr">
        <is>
          <t>General Therapeutics</t>
        </is>
      </c>
      <c r="M2029" s="18" t="inlineStr">
        <is>
          <t>Clinic</t>
        </is>
      </c>
      <c r="N2029" s="18" t="inlineStr">
        <is>
          <t>ข้อ 4 (PLE_CC1_Key_Rx20_UBU.md)</t>
        </is>
      </c>
      <c r="O2029" s="18" t="inlineStr">
        <is>
          <t>Mock</t>
        </is>
      </c>
      <c r="P2029" s="18" t="inlineStr">
        <is>
          <t>Mock Rx20 UBU</t>
        </is>
      </c>
    </row>
    <row r="2030">
      <c r="A2030" s="15" t="inlineStr">
        <is>
          <t>2051</t>
        </is>
      </c>
      <c r="B2030" s="18" t="inlineStr">
        <is>
          <t>125/75 mmHg</t>
        </is>
      </c>
      <c r="C2030" s="18" t="inlineStr"/>
      <c r="D2030" s="18" t="inlineStr">
        <is>
          <t>Dimercaprol (BAL) 3 mg/kg IM</t>
        </is>
      </c>
      <c r="E2030" s="18" t="inlineStr">
        <is>
          <t>Ethanol 10% IV infusion for Methanol poisoning</t>
        </is>
      </c>
      <c r="F2030" s="18" t="inlineStr">
        <is>
          <t>Fomepizole 15 mg/kg IV loading</t>
        </is>
      </c>
      <c r="G2030" s="18" t="inlineStr">
        <is>
          <t>N-acetylcysteine (NAC) IV infusion protocol</t>
        </is>
      </c>
      <c r="H2030" s="18" t="inlineStr">
        <is>
          <t>Atropine sulfate 2 mg IV Q5-10 min</t>
        </is>
      </c>
      <c r="I2030" s="15" t="inlineStr">
        <is>
          <t>4</t>
        </is>
      </c>
      <c r="J2030" s="18"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0" s="18" t="inlineStr"/>
      <c r="L2030" s="18" t="inlineStr">
        <is>
          <t>General Therapeutics</t>
        </is>
      </c>
      <c r="M2030" s="18" t="inlineStr">
        <is>
          <t>Clinic</t>
        </is>
      </c>
      <c r="N2030" s="18" t="inlineStr">
        <is>
          <t>ข้อ 5 (PLE_CC1_Key_Rx20_UBU.md)</t>
        </is>
      </c>
      <c r="O2030" s="18" t="inlineStr">
        <is>
          <t>Mock</t>
        </is>
      </c>
      <c r="P2030" s="18" t="inlineStr">
        <is>
          <t>Mock Rx20 UBU</t>
        </is>
      </c>
    </row>
    <row r="2031">
      <c r="A2031" s="15" t="inlineStr">
        <is>
          <t>2052</t>
        </is>
      </c>
      <c r="B2031" s="18" t="inlineStr">
        <is>
          <t>Nifedipine sustained-release</t>
        </is>
      </c>
      <c r="C2031" s="18" t="inlineStr"/>
      <c r="D2031" s="18" t="inlineStr">
        <is>
          <t>N-acetylcysteine (NAC) IV infusion protocol</t>
        </is>
      </c>
      <c r="E2031" s="18" t="inlineStr">
        <is>
          <t>Atropine sulfate 2 mg IV Q5-10 min</t>
        </is>
      </c>
      <c r="F2031" s="18" t="inlineStr">
        <is>
          <t>Pralidoxime (2-PAM) 1-2 g IV over 30 min</t>
        </is>
      </c>
      <c r="G2031" s="18" t="inlineStr">
        <is>
          <t>Naloxone 0.4 mg IV stat</t>
        </is>
      </c>
      <c r="H2031" s="18" t="inlineStr">
        <is>
          <t>Flumazenil 0.2 mg IV stat</t>
        </is>
      </c>
      <c r="I2031" s="15" t="inlineStr">
        <is>
          <t>1</t>
        </is>
      </c>
      <c r="J20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1" s="18" t="inlineStr"/>
      <c r="L2031" s="18" t="inlineStr">
        <is>
          <t>General Therapeutics</t>
        </is>
      </c>
      <c r="M2031" s="18" t="inlineStr">
        <is>
          <t>Clinic</t>
        </is>
      </c>
      <c r="N2031" s="18" t="inlineStr">
        <is>
          <t>ข้อ 4 (PLE_CC1_Key_Rx20_UBU.md)</t>
        </is>
      </c>
      <c r="O2031" s="18" t="inlineStr">
        <is>
          <t>Mock</t>
        </is>
      </c>
      <c r="P2031" s="18" t="inlineStr">
        <is>
          <t>Mock Rx20 UBU</t>
        </is>
      </c>
    </row>
    <row r="2032">
      <c r="A2032" s="15" t="inlineStr">
        <is>
          <t>2053</t>
        </is>
      </c>
      <c r="B2032" s="18" t="inlineStr">
        <is>
          <t>ภาวะไขมันในเลือดสูงในผู$ป&amp;วยรายนี้ ควรเพิ่มยาตัวใดเพื่อควบคุมระดับไขมันในเลือด</t>
        </is>
      </c>
      <c r="C2032" s="18" t="inlineStr"/>
      <c r="D2032" s="18" t="inlineStr">
        <is>
          <t>Naloxone 0.4 mg IV stat</t>
        </is>
      </c>
      <c r="E2032" s="18" t="inlineStr">
        <is>
          <t>Flumazenil 0.2 mg IV stat</t>
        </is>
      </c>
      <c r="F2032" s="18" t="inlineStr">
        <is>
          <t>Vitamin K1 (Phytomenadione) 10 mg IV slow</t>
        </is>
      </c>
      <c r="G2032" s="18" t="inlineStr">
        <is>
          <t>Sodium thiosulfate 25% 50 mL IV</t>
        </is>
      </c>
      <c r="H2032" s="18" t="inlineStr">
        <is>
          <t>Calcium disodium EDTA 1 g IV</t>
        </is>
      </c>
      <c r="I2032" s="15" t="inlineStr">
        <is>
          <t>1</t>
        </is>
      </c>
      <c r="J2032" s="18"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2" s="18" t="inlineStr"/>
      <c r="L2032" s="18" t="inlineStr">
        <is>
          <t>General Therapeutics</t>
        </is>
      </c>
      <c r="M2032" s="18" t="inlineStr">
        <is>
          <t>Clinic</t>
        </is>
      </c>
      <c r="N2032" s="18" t="inlineStr">
        <is>
          <t>ข้อ 34 (PLE_CC1_Key_Rx20_UBU.md)</t>
        </is>
      </c>
      <c r="O2032" s="18" t="inlineStr">
        <is>
          <t>Mock</t>
        </is>
      </c>
      <c r="P2032" s="18" t="inlineStr">
        <is>
          <t>Mock Rx20 UBU</t>
        </is>
      </c>
    </row>
    <row r="2033">
      <c r="A2033" s="15" t="inlineStr">
        <is>
          <t>2054</t>
        </is>
      </c>
      <c r="B2033" s="18" t="inlineStr">
        <is>
          <t>เมื่อผู$ป&amp;วยรับการรักษาด$วยรายการยาข$างต$นไประยะหนึ่ง ผลตรวจทางห$องปฏิบัติใด ที่ไมGต$องติดตามอยGางสม่ำเสมอ</t>
        </is>
      </c>
      <c r="C2033" s="18" t="inlineStr"/>
      <c r="D2033" s="18" t="inlineStr">
        <is>
          <t>Sodium thiosulfate 25% 50 mL IV</t>
        </is>
      </c>
      <c r="E2033" s="18" t="inlineStr">
        <is>
          <t>Calcium disodium EDTA 1 g IV</t>
        </is>
      </c>
      <c r="F2033" s="18" t="inlineStr">
        <is>
          <t>Desferrioxamine 1 g IM/IV</t>
        </is>
      </c>
      <c r="G2033" s="18" t="inlineStr">
        <is>
          <t>Dimercaprol (BAL) 3 mg/kg IM</t>
        </is>
      </c>
      <c r="H2033" s="18" t="inlineStr">
        <is>
          <t>Ethanol 10% IV infusion for Methanol poisoning</t>
        </is>
      </c>
      <c r="I2033" s="15" t="inlineStr">
        <is>
          <t>1</t>
        </is>
      </c>
      <c r="J20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33" s="18" t="inlineStr"/>
      <c r="L2033" s="18" t="inlineStr">
        <is>
          <t>General Therapeutics</t>
        </is>
      </c>
      <c r="M2033" s="18" t="inlineStr">
        <is>
          <t>Clinic</t>
        </is>
      </c>
      <c r="N2033" s="18" t="inlineStr">
        <is>
          <t>ข้อ 35 (PLE_CC1_Key_Rx20_UBU.md)</t>
        </is>
      </c>
      <c r="O2033" s="18" t="inlineStr">
        <is>
          <t>Mock</t>
        </is>
      </c>
      <c r="P2033" s="18" t="inlineStr">
        <is>
          <t>Mock Rx20 UBU</t>
        </is>
      </c>
    </row>
    <row r="2034">
      <c r="A2034" s="15" t="inlineStr">
        <is>
          <t>2055</t>
        </is>
      </c>
      <c r="B2034" s="18" t="inlineStr">
        <is>
          <t>Serum potassium</t>
        </is>
      </c>
      <c r="C2034" s="18" t="inlineStr"/>
      <c r="D2034" s="18" t="inlineStr">
        <is>
          <t>Dimercaprol (BAL) 3 mg/kg IM</t>
        </is>
      </c>
      <c r="E2034" s="18" t="inlineStr">
        <is>
          <t>Ethanol 10% IV infusion for Methanol poisoning</t>
        </is>
      </c>
      <c r="F2034" s="18" t="inlineStr">
        <is>
          <t>Fomepizole 15 mg/kg IV loading</t>
        </is>
      </c>
      <c r="G2034" s="18" t="inlineStr">
        <is>
          <t>N-acetylcysteine (NAC) IV infusion protocol</t>
        </is>
      </c>
      <c r="H2034" s="18" t="inlineStr">
        <is>
          <t>Atropine sulfate 2 mg IV Q5-10 min</t>
        </is>
      </c>
      <c r="I2034" s="15" t="inlineStr">
        <is>
          <t>1</t>
        </is>
      </c>
      <c r="J20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4" s="18" t="inlineStr"/>
      <c r="L2034" s="18" t="inlineStr">
        <is>
          <t>General Therapeutics</t>
        </is>
      </c>
      <c r="M2034" s="18" t="inlineStr">
        <is>
          <t>Clinic</t>
        </is>
      </c>
      <c r="N2034" s="18" t="inlineStr">
        <is>
          <t>ข้อ 3 (PLE_CC1_Key_Rx20_UBU.md)</t>
        </is>
      </c>
      <c r="O2034" s="18" t="inlineStr">
        <is>
          <t>Mock</t>
        </is>
      </c>
      <c r="P2034" s="18" t="inlineStr">
        <is>
          <t>Mock Rx20 UBU</t>
        </is>
      </c>
    </row>
    <row r="2035">
      <c r="A2035" s="15" t="inlineStr">
        <is>
          <t>2056</t>
        </is>
      </c>
      <c r="B2035" s="18" t="inlineStr">
        <is>
          <t>Blood pressure</t>
        </is>
      </c>
      <c r="C2035" s="18" t="inlineStr"/>
      <c r="D2035" s="18" t="inlineStr">
        <is>
          <t>N-acetylcysteine (NAC) IV infusion protocol</t>
        </is>
      </c>
      <c r="E2035" s="18" t="inlineStr">
        <is>
          <t>Atropine sulfate 2 mg IV Q5-10 min</t>
        </is>
      </c>
      <c r="F2035" s="18" t="inlineStr">
        <is>
          <t>Pralidoxime (2-PAM) 1-2 g IV over 30 min</t>
        </is>
      </c>
      <c r="G2035" s="18" t="inlineStr">
        <is>
          <t>Naloxone 0.4 mg IV stat</t>
        </is>
      </c>
      <c r="H2035" s="18" t="inlineStr">
        <is>
          <t>Flumazenil 0.2 mg IV stat</t>
        </is>
      </c>
      <c r="I2035" s="15" t="inlineStr">
        <is>
          <t>5</t>
        </is>
      </c>
      <c r="J2035" s="18"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35" s="18" t="inlineStr"/>
      <c r="L2035" s="18" t="inlineStr">
        <is>
          <t>General Therapeutics</t>
        </is>
      </c>
      <c r="M2035" s="18" t="inlineStr">
        <is>
          <t>Clinic</t>
        </is>
      </c>
      <c r="N2035" s="18" t="inlineStr">
        <is>
          <t>ข้อ 5 (PLE_CC1_Key_Rx20_UBU.md)</t>
        </is>
      </c>
      <c r="O2035" s="18" t="inlineStr">
        <is>
          <t>Mock</t>
        </is>
      </c>
      <c r="P2035" s="18" t="inlineStr">
        <is>
          <t>Mock Rx20 UBU</t>
        </is>
      </c>
    </row>
    <row r="2036">
      <c r="A2036" s="15" t="inlineStr">
        <is>
          <t>2057</t>
        </is>
      </c>
      <c r="B2036" s="18" t="inlineStr">
        <is>
          <t>Direct compression</t>
        </is>
      </c>
      <c r="C2036" s="18" t="inlineStr"/>
      <c r="D2036" s="18" t="inlineStr">
        <is>
          <t>Naloxone 0.4 mg IV stat</t>
        </is>
      </c>
      <c r="E2036" s="18" t="inlineStr">
        <is>
          <t>Flumazenil 0.2 mg IV stat</t>
        </is>
      </c>
      <c r="F2036" s="18" t="inlineStr">
        <is>
          <t>Vitamin K1 (Phytomenadione) 10 mg IV slow</t>
        </is>
      </c>
      <c r="G2036" s="18" t="inlineStr">
        <is>
          <t>Sodium thiosulfate 25% 50 mL IV</t>
        </is>
      </c>
      <c r="H2036" s="18" t="inlineStr">
        <is>
          <t>Calcium disodium EDTA 1 g IV</t>
        </is>
      </c>
      <c r="I2036" s="15" t="inlineStr">
        <is>
          <t>1</t>
        </is>
      </c>
      <c r="J20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6" s="18" t="inlineStr"/>
      <c r="L2036" s="18" t="inlineStr">
        <is>
          <t>General Therapeutics</t>
        </is>
      </c>
      <c r="M2036" s="18" t="inlineStr">
        <is>
          <t>Clinic</t>
        </is>
      </c>
      <c r="N2036" s="18" t="inlineStr">
        <is>
          <t>ข้อ 1 (PLE_CC1_Key_Rx20_UBU.md)</t>
        </is>
      </c>
      <c r="O2036" s="18" t="inlineStr">
        <is>
          <t>Mock</t>
        </is>
      </c>
      <c r="P2036" s="18" t="inlineStr">
        <is>
          <t>Mock Rx20 UBU</t>
        </is>
      </c>
    </row>
    <row r="2037">
      <c r="A2037" s="15" t="inlineStr">
        <is>
          <t>2058</t>
        </is>
      </c>
      <c r="B2037" s="18" t="inlineStr">
        <is>
          <t>ลดปริมาณความชื้นของ Bulk กGอนนำไปตอก</t>
        </is>
      </c>
      <c r="C2037" s="18" t="inlineStr"/>
      <c r="D2037" s="18" t="inlineStr">
        <is>
          <t>Sodium thiosulfate 25% 50 mL IV</t>
        </is>
      </c>
      <c r="E2037" s="18" t="inlineStr">
        <is>
          <t>Calcium disodium EDTA 1 g IV</t>
        </is>
      </c>
      <c r="F2037" s="18" t="inlineStr">
        <is>
          <t>Desferrioxamine 1 g IM/IV</t>
        </is>
      </c>
      <c r="G2037" s="18" t="inlineStr">
        <is>
          <t>Dimercaprol (BAL) 3 mg/kg IM</t>
        </is>
      </c>
      <c r="H2037" s="18" t="inlineStr">
        <is>
          <t>Ethanol 10% IV infusion for Methanol poisoning</t>
        </is>
      </c>
      <c r="I2037" s="15" t="inlineStr">
        <is>
          <t>1</t>
        </is>
      </c>
      <c r="J20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7" s="18" t="inlineStr"/>
      <c r="L2037" s="18" t="inlineStr">
        <is>
          <t>General Therapeutics</t>
        </is>
      </c>
      <c r="M2037" s="18" t="inlineStr">
        <is>
          <t>Clinic</t>
        </is>
      </c>
      <c r="N2037" s="18" t="inlineStr">
        <is>
          <t>ข้อ 1 (PLE_CC1_Key_Rx20_UBU.md)</t>
        </is>
      </c>
      <c r="O2037" s="18" t="inlineStr">
        <is>
          <t>Mock</t>
        </is>
      </c>
      <c r="P2037" s="18" t="inlineStr">
        <is>
          <t>Mock Rx20 UBU</t>
        </is>
      </c>
    </row>
    <row r="2038">
      <c r="A2038" s="15" t="inlineStr">
        <is>
          <t>2059</t>
        </is>
      </c>
      <c r="B2038" s="18" t="inlineStr">
        <is>
          <t>ลดรอบการตอกเม็ดยา</t>
        </is>
      </c>
      <c r="C2038" s="18" t="inlineStr"/>
      <c r="D2038" s="18" t="inlineStr">
        <is>
          <t>Hard Gelatin Capsule filling</t>
        </is>
      </c>
      <c r="E2038" s="18" t="inlineStr">
        <is>
          <t>Soft Gelatin Capsule encapsulation</t>
        </is>
      </c>
      <c r="F2038" s="18" t="inlineStr">
        <is>
          <t>Microcrystalline cellulose</t>
        </is>
      </c>
      <c r="G2038" s="18" t="inlineStr">
        <is>
          <t>Magnesium stearate (Lubricant 1%)</t>
        </is>
      </c>
      <c r="H2038" s="18" t="inlineStr">
        <is>
          <t>Sodium starch glycolate (Superdisintegrant)</t>
        </is>
      </c>
      <c r="I2038" s="15" t="inlineStr">
        <is>
          <t>1</t>
        </is>
      </c>
      <c r="J2038" s="1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38" s="18" t="inlineStr"/>
      <c r="L2038" s="18" t="inlineStr">
        <is>
          <t>Solid Dosage Forms</t>
        </is>
      </c>
      <c r="M2038" s="18" t="inlineStr">
        <is>
          <t>Product</t>
        </is>
      </c>
      <c r="N2038" s="18" t="inlineStr">
        <is>
          <t>ข้อ 3 (PLE_CC1_Key_Rx20_UBU.md)</t>
        </is>
      </c>
      <c r="O2038" s="18" t="inlineStr">
        <is>
          <t>Mock</t>
        </is>
      </c>
      <c r="P2038" s="18" t="inlineStr">
        <is>
          <t>Mock Rx20 UBU</t>
        </is>
      </c>
    </row>
    <row r="2039">
      <c r="A2039" s="15" t="inlineStr">
        <is>
          <t>2060</t>
        </is>
      </c>
      <c r="B2039" s="18" t="inlineStr">
        <is>
          <t>เลือกใช$สาก และเบ$าแบบ Deep concave</t>
        </is>
      </c>
      <c r="C2039" s="18" t="inlineStr"/>
      <c r="D2039" s="18" t="inlineStr">
        <is>
          <t>N-acetylcysteine (NAC) IV infusion protocol</t>
        </is>
      </c>
      <c r="E2039" s="18" t="inlineStr">
        <is>
          <t>Atropine sulfate 2 mg IV Q5-10 min</t>
        </is>
      </c>
      <c r="F2039" s="18" t="inlineStr">
        <is>
          <t>Pralidoxime (2-PAM) 1-2 g IV over 30 min</t>
        </is>
      </c>
      <c r="G2039" s="18" t="inlineStr">
        <is>
          <t>Naloxone 0.4 mg IV stat</t>
        </is>
      </c>
      <c r="H2039" s="18" t="inlineStr">
        <is>
          <t>Flumazenil 0.2 mg IV stat</t>
        </is>
      </c>
      <c r="I2039" s="15" t="inlineStr">
        <is>
          <t>1</t>
        </is>
      </c>
      <c r="J20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9" s="18" t="inlineStr"/>
      <c r="L2039" s="18" t="inlineStr">
        <is>
          <t>General Therapeutics</t>
        </is>
      </c>
      <c r="M2039" s="18" t="inlineStr">
        <is>
          <t>Clinic</t>
        </is>
      </c>
      <c r="N2039" s="18" t="inlineStr">
        <is>
          <t>ข้อ 4 (PLE_CC1_Key_Rx20_UBU.md)</t>
        </is>
      </c>
      <c r="O2039" s="18" t="inlineStr">
        <is>
          <t>Mock</t>
        </is>
      </c>
      <c r="P2039" s="18" t="inlineStr">
        <is>
          <t>Mock Rx20 UBU</t>
        </is>
      </c>
    </row>
    <row r="2040">
      <c r="A2040" s="15" t="inlineStr">
        <is>
          <t>2061</t>
        </is>
      </c>
      <c r="B2040" s="18" t="inlineStr">
        <is>
          <t>เพิ่มแรงที่ใช$ในการตอกเม็ดยา</t>
        </is>
      </c>
      <c r="C2040" s="18" t="inlineStr"/>
      <c r="D2040" s="18" t="inlineStr">
        <is>
          <t>Wet Granulation tableting method</t>
        </is>
      </c>
      <c r="E2040" s="18" t="inlineStr">
        <is>
          <t>Dry Granulation (Roller Compaction)</t>
        </is>
      </c>
      <c r="F2040" s="18" t="inlineStr">
        <is>
          <t>Fluidized Bed Granulation</t>
        </is>
      </c>
      <c r="G2040" s="18" t="inlineStr">
        <is>
          <t>Film Coating with Hydroxypropyl methylcellulose (HPMC)</t>
        </is>
      </c>
      <c r="H2040" s="18" t="inlineStr">
        <is>
          <t>Enteric Coating with Cellulose acetate phthalate (CAP)</t>
        </is>
      </c>
      <c r="I2040" s="15" t="inlineStr">
        <is>
          <t>1</t>
        </is>
      </c>
      <c r="J2040"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40" s="18" t="inlineStr"/>
      <c r="L2040" s="18" t="inlineStr">
        <is>
          <t>Solid Dosage Forms</t>
        </is>
      </c>
      <c r="M2040" s="18" t="inlineStr">
        <is>
          <t>Product</t>
        </is>
      </c>
      <c r="N2040" s="18" t="inlineStr">
        <is>
          <t>ข้อ 5 (PLE_CC1_Key_Rx20_UBU.md)</t>
        </is>
      </c>
      <c r="O2040" s="18" t="inlineStr">
        <is>
          <t>Mock</t>
        </is>
      </c>
      <c r="P2040" s="18" t="inlineStr">
        <is>
          <t>Mock Rx20 UBU</t>
        </is>
      </c>
    </row>
    <row r="2041">
      <c r="A2041" s="15" t="inlineStr">
        <is>
          <t>2062</t>
        </is>
      </c>
      <c r="B2041" s="18" t="inlineStr">
        <is>
          <t>Cellophane strip</t>
        </is>
      </c>
      <c r="C2041" s="18" t="inlineStr"/>
      <c r="D2041" s="18" t="inlineStr">
        <is>
          <t>Sodium thiosulfate 25% 50 mL IV</t>
        </is>
      </c>
      <c r="E2041" s="18" t="inlineStr">
        <is>
          <t>Calcium disodium EDTA 1 g IV</t>
        </is>
      </c>
      <c r="F2041" s="18" t="inlineStr">
        <is>
          <t>Desferrioxamine 1 g IM/IV</t>
        </is>
      </c>
      <c r="G2041" s="18" t="inlineStr">
        <is>
          <t>Dimercaprol (BAL) 3 mg/kg IM</t>
        </is>
      </c>
      <c r="H2041" s="18" t="inlineStr">
        <is>
          <t>Ethanol 10% IV infusion for Methanol poisoning</t>
        </is>
      </c>
      <c r="I2041" s="15" t="inlineStr">
        <is>
          <t>4</t>
        </is>
      </c>
      <c r="J2041" s="18"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1" s="18" t="inlineStr"/>
      <c r="L2041" s="18" t="inlineStr">
        <is>
          <t>General Therapeutics</t>
        </is>
      </c>
      <c r="M2041" s="18" t="inlineStr">
        <is>
          <t>Clinic</t>
        </is>
      </c>
      <c r="N2041" s="18" t="inlineStr">
        <is>
          <t>ข้อ 5 (PLE_CC1_Key_Rx20_UBU.md)</t>
        </is>
      </c>
      <c r="O2041" s="18" t="inlineStr">
        <is>
          <t>Mock</t>
        </is>
      </c>
      <c r="P2041" s="18" t="inlineStr">
        <is>
          <t>Mock Rx20 UBU</t>
        </is>
      </c>
    </row>
    <row r="2042">
      <c r="A2042" s="15" t="inlineStr">
        <is>
          <t>2063</t>
        </is>
      </c>
      <c r="B2042" s="18" t="inlineStr">
        <is>
          <t>มีภาวะ thromboembolism</t>
        </is>
      </c>
      <c r="C2042" s="18" t="inlineStr"/>
      <c r="D2042" s="18" t="inlineStr">
        <is>
          <t>Dimercaprol (BAL) 3 mg/kg IM</t>
        </is>
      </c>
      <c r="E2042" s="18" t="inlineStr">
        <is>
          <t>Ethanol 10% IV infusion for Methanol poisoning</t>
        </is>
      </c>
      <c r="F2042" s="18" t="inlineStr">
        <is>
          <t>Fomepizole 15 mg/kg IV loading</t>
        </is>
      </c>
      <c r="G2042" s="18" t="inlineStr">
        <is>
          <t>N-acetylcysteine (NAC) IV infusion protocol</t>
        </is>
      </c>
      <c r="H2042" s="18" t="inlineStr">
        <is>
          <t>Atropine sulfate 2 mg IV Q5-10 min</t>
        </is>
      </c>
      <c r="I2042" s="15" t="inlineStr">
        <is>
          <t>1</t>
        </is>
      </c>
      <c r="J20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2" s="18" t="inlineStr"/>
      <c r="L2042" s="18" t="inlineStr">
        <is>
          <t>General Therapeutics</t>
        </is>
      </c>
      <c r="M2042" s="18" t="inlineStr">
        <is>
          <t>Clinic</t>
        </is>
      </c>
      <c r="N2042" s="18" t="inlineStr">
        <is>
          <t>ข้อ 4 (PLE_CC1_Key_Rx20_UBU.md)</t>
        </is>
      </c>
      <c r="O2042" s="18" t="inlineStr">
        <is>
          <t>Mock</t>
        </is>
      </c>
      <c r="P2042" s="18" t="inlineStr">
        <is>
          <t>Mock Rx20 UBU</t>
        </is>
      </c>
    </row>
    <row r="2043">
      <c r="A2043" s="15" t="inlineStr">
        <is>
          <t>2064</t>
        </is>
      </c>
      <c r="B2043" s="18" t="inlineStr">
        <is>
          <t>สามารถเริ่มรับประทานเมื่อไหรGก็ได$เมื่อแนGใจวGาไมGได$ตั้งครรภ_ แตGควรปนองกันด$วยวิธีอื่น 7 วันหลังจากเริ่มรับประทานยา</t>
        </is>
      </c>
      <c r="C2043" s="18" t="inlineStr"/>
      <c r="D2043" s="18" t="inlineStr">
        <is>
          <t>N-acetylcysteine (NAC) IV infusion protocol</t>
        </is>
      </c>
      <c r="E2043" s="18" t="inlineStr">
        <is>
          <t>Atropine sulfate 2 mg IV Q5-10 min</t>
        </is>
      </c>
      <c r="F2043" s="18" t="inlineStr">
        <is>
          <t>Pralidoxime (2-PAM) 1-2 g IV over 30 min</t>
        </is>
      </c>
      <c r="G2043" s="18" t="inlineStr">
        <is>
          <t>Naloxone 0.4 mg IV stat</t>
        </is>
      </c>
      <c r="H2043" s="18" t="inlineStr">
        <is>
          <t>Flumazenil 0.2 mg IV stat</t>
        </is>
      </c>
      <c r="I2043" s="15" t="inlineStr">
        <is>
          <t>1</t>
        </is>
      </c>
      <c r="J20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3" s="18" t="inlineStr"/>
      <c r="L2043" s="18" t="inlineStr">
        <is>
          <t>General Therapeutics</t>
        </is>
      </c>
      <c r="M2043" s="18" t="inlineStr">
        <is>
          <t>Clinic</t>
        </is>
      </c>
      <c r="N2043" s="18" t="inlineStr">
        <is>
          <t>ข้อ 1 (PLE_CC1_Key_Rx20_UBU.md)</t>
        </is>
      </c>
      <c r="O2043" s="18" t="inlineStr">
        <is>
          <t>Mock</t>
        </is>
      </c>
      <c r="P2043" s="18" t="inlineStr">
        <is>
          <t>Mock Rx20 UBU</t>
        </is>
      </c>
    </row>
    <row r="2044">
      <c r="A2044" s="15" t="inlineStr">
        <is>
          <t>2065</t>
        </is>
      </c>
      <c r="B2044" s="18" t="inlineStr">
        <is>
          <t>breast tenderness</t>
        </is>
      </c>
      <c r="C2044" s="18" t="inlineStr"/>
      <c r="D2044" s="18" t="inlineStr">
        <is>
          <t>Naloxone 0.4 mg IV stat</t>
        </is>
      </c>
      <c r="E2044" s="18" t="inlineStr">
        <is>
          <t>Flumazenil 0.2 mg IV stat</t>
        </is>
      </c>
      <c r="F2044" s="18" t="inlineStr">
        <is>
          <t>Vitamin K1 (Phytomenadione) 10 mg IV slow</t>
        </is>
      </c>
      <c r="G2044" s="18" t="inlineStr">
        <is>
          <t>Sodium thiosulfate 25% 50 mL IV</t>
        </is>
      </c>
      <c r="H2044" s="18" t="inlineStr">
        <is>
          <t>Calcium disodium EDTA 1 g IV</t>
        </is>
      </c>
      <c r="I2044" s="15" t="inlineStr">
        <is>
          <t>1</t>
        </is>
      </c>
      <c r="J20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4" s="18" t="inlineStr"/>
      <c r="L2044" s="18" t="inlineStr">
        <is>
          <t>General Therapeutics</t>
        </is>
      </c>
      <c r="M2044" s="18" t="inlineStr">
        <is>
          <t>Clinic</t>
        </is>
      </c>
      <c r="N2044" s="18" t="inlineStr">
        <is>
          <t>ข้อ 2 (PLE_CC1_Key_Rx20_UBU.md)</t>
        </is>
      </c>
      <c r="O2044" s="18" t="inlineStr">
        <is>
          <t>Mock</t>
        </is>
      </c>
      <c r="P2044" s="18" t="inlineStr">
        <is>
          <t>Mock Rx20 UBU</t>
        </is>
      </c>
    </row>
    <row r="2045">
      <c r="A2045" s="15" t="inlineStr">
        <is>
          <t>2066</t>
        </is>
      </c>
      <c r="B2045" s="18" t="inlineStr">
        <is>
          <t>มีฤทธิ์เอสโตรเจน??</t>
        </is>
      </c>
      <c r="C2045" s="18" t="inlineStr"/>
      <c r="D2045" s="18" t="inlineStr">
        <is>
          <t>Sodium thiosulfate 25% 50 mL IV</t>
        </is>
      </c>
      <c r="E2045" s="18" t="inlineStr">
        <is>
          <t>Calcium disodium EDTA 1 g IV</t>
        </is>
      </c>
      <c r="F2045" s="18" t="inlineStr">
        <is>
          <t>Desferrioxamine 1 g IM/IV</t>
        </is>
      </c>
      <c r="G2045" s="18" t="inlineStr">
        <is>
          <t>Dimercaprol (BAL) 3 mg/kg IM</t>
        </is>
      </c>
      <c r="H2045" s="18" t="inlineStr">
        <is>
          <t>Ethanol 10% IV infusion for Methanol poisoning</t>
        </is>
      </c>
      <c r="I2045" s="15" t="inlineStr">
        <is>
          <t>1</t>
        </is>
      </c>
      <c r="J204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5" s="18" t="inlineStr"/>
      <c r="L2045" s="18" t="inlineStr">
        <is>
          <t>General Therapeutics</t>
        </is>
      </c>
      <c r="M2045" s="18" t="inlineStr">
        <is>
          <t>Clinic</t>
        </is>
      </c>
      <c r="N2045" s="18" t="inlineStr">
        <is>
          <t>ข้อ 1 (PLE_CC1_Key_Rx20_UBU.md)</t>
        </is>
      </c>
      <c r="O2045" s="18" t="inlineStr">
        <is>
          <t>Mock</t>
        </is>
      </c>
      <c r="P2045" s="18" t="inlineStr">
        <is>
          <t>Mock Rx20 UBU</t>
        </is>
      </c>
    </row>
    <row r="2046">
      <c r="A2046" s="15" t="inlineStr">
        <is>
          <t>2067</t>
        </is>
      </c>
      <c r="B2046" s="18" t="inlineStr">
        <is>
          <t>มีโครงสร$างเหมือนเทสโทสเตอโรน</t>
        </is>
      </c>
      <c r="C2046" s="18" t="inlineStr"/>
      <c r="D2046" s="18" t="inlineStr">
        <is>
          <t>Dimercaprol (BAL) 3 mg/kg IM</t>
        </is>
      </c>
      <c r="E2046" s="18" t="inlineStr">
        <is>
          <t>Ethanol 10% IV infusion for Methanol poisoning</t>
        </is>
      </c>
      <c r="F2046" s="18" t="inlineStr">
        <is>
          <t>Fomepizole 15 mg/kg IV loading</t>
        </is>
      </c>
      <c r="G2046" s="18" t="inlineStr">
        <is>
          <t>N-acetylcysteine (NAC) IV infusion protocol</t>
        </is>
      </c>
      <c r="H2046" s="18" t="inlineStr">
        <is>
          <t>Atropine sulfate 2 mg IV Q5-10 min</t>
        </is>
      </c>
      <c r="I2046" s="15" t="inlineStr">
        <is>
          <t>1</t>
        </is>
      </c>
      <c r="J204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6" s="18" t="inlineStr"/>
      <c r="L2046" s="18" t="inlineStr">
        <is>
          <t>General Therapeutics</t>
        </is>
      </c>
      <c r="M2046" s="18" t="inlineStr">
        <is>
          <t>Clinic</t>
        </is>
      </c>
      <c r="N2046" s="18" t="inlineStr">
        <is>
          <t>ข้อ 2 (PLE_CC1_Key_Rx20_UBU.md)</t>
        </is>
      </c>
      <c r="O2046" s="18" t="inlineStr">
        <is>
          <t>Mock</t>
        </is>
      </c>
      <c r="P2046" s="18" t="inlineStr">
        <is>
          <t>Mock Rx20 UBU</t>
        </is>
      </c>
    </row>
    <row r="2047">
      <c r="A2047" s="15" t="inlineStr">
        <is>
          <t>2068</t>
        </is>
      </c>
      <c r="B2047" s="18" t="inlineStr">
        <is>
          <t>หมูGแทนที่ B เพิ่มฤทธิ์โปรเจสติน</t>
        </is>
      </c>
      <c r="C2047" s="18" t="inlineStr"/>
      <c r="D2047" s="18" t="inlineStr">
        <is>
          <t>N-acetylcysteine (NAC) IV infusion protocol</t>
        </is>
      </c>
      <c r="E2047" s="18" t="inlineStr">
        <is>
          <t>Atropine sulfate 2 mg IV Q5-10 min</t>
        </is>
      </c>
      <c r="F2047" s="18" t="inlineStr">
        <is>
          <t>Pralidoxime (2-PAM) 1-2 g IV over 30 min</t>
        </is>
      </c>
      <c r="G2047" s="18" t="inlineStr">
        <is>
          <t>Naloxone 0.4 mg IV stat</t>
        </is>
      </c>
      <c r="H2047" s="18" t="inlineStr">
        <is>
          <t>Flumazenil 0.2 mg IV stat</t>
        </is>
      </c>
      <c r="I2047" s="15" t="inlineStr">
        <is>
          <t>1</t>
        </is>
      </c>
      <c r="J20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7" s="18" t="inlineStr"/>
      <c r="L2047" s="18" t="inlineStr">
        <is>
          <t>General Therapeutics</t>
        </is>
      </c>
      <c r="M2047" s="18" t="inlineStr">
        <is>
          <t>Clinic</t>
        </is>
      </c>
      <c r="N2047" s="18" t="inlineStr">
        <is>
          <t>ข้อ 3 (PLE_CC1_Key_Rx20_UBU.md)</t>
        </is>
      </c>
      <c r="O2047" s="18" t="inlineStr">
        <is>
          <t>Mock</t>
        </is>
      </c>
      <c r="P2047" s="18" t="inlineStr">
        <is>
          <t>Mock Rx20 UBU</t>
        </is>
      </c>
    </row>
    <row r="2048">
      <c r="A2048" s="15" t="inlineStr">
        <is>
          <t>2069</t>
        </is>
      </c>
      <c r="B2048" s="18" t="inlineStr">
        <is>
          <t>หมูGแทนที่ A ลดฤทธิ์แอนโดรเจน</t>
        </is>
      </c>
      <c r="C2048" s="18" t="inlineStr"/>
      <c r="D2048" s="18" t="inlineStr">
        <is>
          <t>Naloxone 0.4 mg IV stat</t>
        </is>
      </c>
      <c r="E2048" s="18" t="inlineStr">
        <is>
          <t>Flumazenil 0.2 mg IV stat</t>
        </is>
      </c>
      <c r="F2048" s="18" t="inlineStr">
        <is>
          <t>Vitamin K1 (Phytomenadione) 10 mg IV slow</t>
        </is>
      </c>
      <c r="G2048" s="18" t="inlineStr">
        <is>
          <t>Sodium thiosulfate 25% 50 mL IV</t>
        </is>
      </c>
      <c r="H2048" s="18" t="inlineStr">
        <is>
          <t>Calcium disodium EDTA 1 g IV</t>
        </is>
      </c>
      <c r="I2048" s="15" t="inlineStr">
        <is>
          <t>1</t>
        </is>
      </c>
      <c r="J20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8" s="18" t="inlineStr"/>
      <c r="L2048" s="18" t="inlineStr">
        <is>
          <t>General Therapeutics</t>
        </is>
      </c>
      <c r="M2048" s="18" t="inlineStr">
        <is>
          <t>Clinic</t>
        </is>
      </c>
      <c r="N2048" s="18" t="inlineStr">
        <is>
          <t>ข้อ 4 (PLE_CC1_Key_Rx20_UBU.md)</t>
        </is>
      </c>
      <c r="O2048" s="18" t="inlineStr">
        <is>
          <t>Mock</t>
        </is>
      </c>
      <c r="P2048" s="18" t="inlineStr">
        <is>
          <t>Mock Rx20 UBU</t>
        </is>
      </c>
    </row>
    <row r="2049">
      <c r="A2049" s="15" t="inlineStr">
        <is>
          <t>2070</t>
        </is>
      </c>
      <c r="B2049" s="18" t="inlineStr">
        <is>
          <t>หมูG C ในโครงสร$างไมGมีความสำคัญในการจับกับ Receptor progestational activity ได5</t>
        </is>
      </c>
      <c r="C2049" s="18" t="inlineStr"/>
      <c r="D2049" s="18" t="inlineStr">
        <is>
          <t>Sodium thiosulfate 25% 50 mL IV</t>
        </is>
      </c>
      <c r="E2049" s="18" t="inlineStr">
        <is>
          <t>Calcium disodium EDTA 1 g IV</t>
        </is>
      </c>
      <c r="F2049" s="18" t="inlineStr">
        <is>
          <t>Desferrioxamine 1 g IM/IV</t>
        </is>
      </c>
      <c r="G2049" s="18" t="inlineStr">
        <is>
          <t>Dimercaprol (BAL) 3 mg/kg IM</t>
        </is>
      </c>
      <c r="H2049" s="18" t="inlineStr">
        <is>
          <t>Ethanol 10% IV infusion for Methanol poisoning</t>
        </is>
      </c>
      <c r="I2049" s="15" t="inlineStr">
        <is>
          <t>2</t>
        </is>
      </c>
      <c r="J2049" s="18"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9" s="18" t="inlineStr"/>
      <c r="L2049" s="18" t="inlineStr">
        <is>
          <t>General Therapeutics</t>
        </is>
      </c>
      <c r="M2049" s="18" t="inlineStr">
        <is>
          <t>Clinic</t>
        </is>
      </c>
      <c r="N2049" s="18" t="inlineStr">
        <is>
          <t>ข้อ 5 (PLE_CC1_Key_Rx20_UBU.md)</t>
        </is>
      </c>
      <c r="O2049" s="18" t="inlineStr">
        <is>
          <t>Mock</t>
        </is>
      </c>
      <c r="P2049" s="18" t="inlineStr">
        <is>
          <t>Mock Rx20 UBU</t>
        </is>
      </c>
    </row>
    <row r="2050">
      <c r="A2050" s="15" t="inlineStr">
        <is>
          <t>2071</t>
        </is>
      </c>
      <c r="B2050" s="18" t="inlineStr">
        <is>
          <t>วินิจฉัยเบื้องต$น</t>
        </is>
      </c>
      <c r="C2050" s="18" t="inlineStr"/>
      <c r="D2050" s="18" t="inlineStr">
        <is>
          <t>Dimercaprol (BAL) 3 mg/kg IM</t>
        </is>
      </c>
      <c r="E2050" s="18" t="inlineStr">
        <is>
          <t>Ethanol 10% IV infusion for Methanol poisoning</t>
        </is>
      </c>
      <c r="F2050" s="18" t="inlineStr">
        <is>
          <t>Fomepizole 15 mg/kg IV loading</t>
        </is>
      </c>
      <c r="G2050" s="18" t="inlineStr">
        <is>
          <t>N-acetylcysteine (NAC) IV infusion protocol</t>
        </is>
      </c>
      <c r="H2050" s="18" t="inlineStr">
        <is>
          <t>Atropine sulfate 2 mg IV Q5-10 min</t>
        </is>
      </c>
      <c r="I2050" s="15" t="inlineStr">
        <is>
          <t>1</t>
        </is>
      </c>
      <c r="J205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0" s="18" t="inlineStr"/>
      <c r="L2050" s="18" t="inlineStr">
        <is>
          <t>General Therapeutics</t>
        </is>
      </c>
      <c r="M2050" s="18" t="inlineStr">
        <is>
          <t>Clinic</t>
        </is>
      </c>
      <c r="N2050" s="18" t="inlineStr">
        <is>
          <t>ข้อ 52 (PLE_CC1_Key_Rx20_UBU.md)</t>
        </is>
      </c>
      <c r="O2050" s="18" t="inlineStr">
        <is>
          <t>Mock</t>
        </is>
      </c>
      <c r="P2050" s="18" t="inlineStr">
        <is>
          <t>Mock Rx20 UBU</t>
        </is>
      </c>
    </row>
    <row r="2051">
      <c r="A2051" s="15" t="inlineStr">
        <is>
          <t>2072</t>
        </is>
      </c>
      <c r="B2051" s="18" t="inlineStr">
        <is>
          <t>ORS ที่เหมาะกับผู$ป&amp;วยรายนี้</t>
        </is>
      </c>
      <c r="C2051" s="18" t="inlineStr"/>
      <c r="D2051" s="18" t="inlineStr">
        <is>
          <t>N-acetylcysteine (NAC) IV infusion protocol</t>
        </is>
      </c>
      <c r="E2051" s="18" t="inlineStr">
        <is>
          <t>Atropine sulfate 2 mg IV Q5-10 min</t>
        </is>
      </c>
      <c r="F2051" s="18" t="inlineStr">
        <is>
          <t>Pralidoxime (2-PAM) 1-2 g IV over 30 min</t>
        </is>
      </c>
      <c r="G2051" s="18" t="inlineStr">
        <is>
          <t>Naloxone 0.4 mg IV stat</t>
        </is>
      </c>
      <c r="H2051" s="18" t="inlineStr">
        <is>
          <t>Flumazenil 0.2 mg IV stat</t>
        </is>
      </c>
      <c r="I2051" s="15" t="inlineStr">
        <is>
          <t>1</t>
        </is>
      </c>
      <c r="J205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1" s="18" t="inlineStr"/>
      <c r="L2051" s="18" t="inlineStr">
        <is>
          <t>General Therapeutics</t>
        </is>
      </c>
      <c r="M2051" s="18" t="inlineStr">
        <is>
          <t>Clinic</t>
        </is>
      </c>
      <c r="N2051" s="18" t="inlineStr">
        <is>
          <t>ข้อ 53 (PLE_CC1_Key_Rx20_UBU.md)</t>
        </is>
      </c>
      <c r="O2051" s="18" t="inlineStr">
        <is>
          <t>Mock</t>
        </is>
      </c>
      <c r="P2051" s="18" t="inlineStr">
        <is>
          <t>Mock Rx20 UBU</t>
        </is>
      </c>
    </row>
    <row r="2052">
      <c r="A2052" s="15" t="inlineStr">
        <is>
          <t>2073</t>
        </is>
      </c>
      <c r="B2052" s="18" t="inlineStr">
        <is>
          <t>Phenylephrine</t>
        </is>
      </c>
      <c r="C2052" s="18" t="inlineStr"/>
      <c r="D2052" s="18" t="inlineStr">
        <is>
          <t>Naloxone 0.4 mg IV stat</t>
        </is>
      </c>
      <c r="E2052" s="18" t="inlineStr">
        <is>
          <t>Flumazenil 0.2 mg IV stat</t>
        </is>
      </c>
      <c r="F2052" s="18" t="inlineStr">
        <is>
          <t>Vitamin K1 (Phytomenadione) 10 mg IV slow</t>
        </is>
      </c>
      <c r="G2052" s="18" t="inlineStr">
        <is>
          <t>Sodium thiosulfate 25% 50 mL IV</t>
        </is>
      </c>
      <c r="H2052" s="18" t="inlineStr">
        <is>
          <t>Calcium disodium EDTA 1 g IV</t>
        </is>
      </c>
      <c r="I2052" s="15" t="inlineStr">
        <is>
          <t>2</t>
        </is>
      </c>
      <c r="J2052" s="18"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2" s="18" t="inlineStr"/>
      <c r="L2052" s="18" t="inlineStr">
        <is>
          <t>General Therapeutics</t>
        </is>
      </c>
      <c r="M2052" s="18" t="inlineStr">
        <is>
          <t>Clinic</t>
        </is>
      </c>
      <c r="N2052" s="18" t="inlineStr">
        <is>
          <t>ข้อ 4 (PLE_CC1_Key_Rx20_UBU.md)</t>
        </is>
      </c>
      <c r="O2052" s="18" t="inlineStr">
        <is>
          <t>Mock</t>
        </is>
      </c>
      <c r="P2052" s="18" t="inlineStr">
        <is>
          <t>Mock Rx20 UBU</t>
        </is>
      </c>
    </row>
    <row r="2053">
      <c r="A2053" s="15" t="inlineStr">
        <is>
          <t>2074</t>
        </is>
      </c>
      <c r="B2053" s="18" t="inlineStr">
        <is>
          <t>หญ$าหนวดแมว อีกสามวันตGอมาผู$ป&amp;วยอาการไอ และเจ็บคอดีขึ้น แตGมีอาการเหนื่อยหอบจึงมาโรงพยาบาล แพทย_ทำการวินิจฉับวGาเปญน CAP จGายยา Ceftazidime 2 g IV q 12 hr Clarithromycin MR 1 tab OD</t>
        </is>
      </c>
      <c r="C2053" s="18" t="inlineStr"/>
      <c r="D2053" s="18" t="inlineStr">
        <is>
          <t>Tenofovir/Emtricitabine 300/200 mg OD</t>
        </is>
      </c>
      <c r="E2053" s="18" t="inlineStr">
        <is>
          <t>Dolutegravir 50 mg OD</t>
        </is>
      </c>
      <c r="F2053" s="18" t="inlineStr">
        <is>
          <t>Vancomycin 1 g IV Q12H</t>
        </is>
      </c>
      <c r="G2053" s="18" t="inlineStr">
        <is>
          <t>Meropenem 1 g IV Q8H</t>
        </is>
      </c>
      <c r="H2053" s="18" t="inlineStr">
        <is>
          <t>Cefazolin 1 g IV Q8H</t>
        </is>
      </c>
      <c r="I2053" s="15" t="inlineStr">
        <is>
          <t>2</t>
        </is>
      </c>
      <c r="J2053" s="18" t="inlineStr">
        <is>
          <t>✅ คำตอบที่ถูกต้อง: ข้อ ข.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053" s="18" t="inlineStr"/>
      <c r="L2053" s="18" t="inlineStr">
        <is>
          <t>Infectious Diseases</t>
        </is>
      </c>
      <c r="M2053" s="18" t="inlineStr">
        <is>
          <t>Clinic</t>
        </is>
      </c>
      <c r="N2053" s="18" t="inlineStr">
        <is>
          <t>ข้อ 5 (PLE_CC1_Key_Rx20_UBU.md)</t>
        </is>
      </c>
      <c r="O2053" s="18" t="inlineStr">
        <is>
          <t>Mock</t>
        </is>
      </c>
      <c r="P2053" s="18" t="inlineStr">
        <is>
          <t>Mock Rx20 UBU</t>
        </is>
      </c>
    </row>
    <row r="2054">
      <c r="A2054" s="15" t="inlineStr">
        <is>
          <t>2075</t>
        </is>
      </c>
      <c r="B2054" s="18" t="inlineStr">
        <is>
          <t>โรคของผู$ป&amp;วยเกิดจากเชื้อใดมากที่สุด</t>
        </is>
      </c>
      <c r="C2054" s="18" t="inlineStr"/>
      <c r="D2054" s="18" t="inlineStr">
        <is>
          <t>Dimercaprol (BAL) 3 mg/kg IM</t>
        </is>
      </c>
      <c r="E2054" s="18" t="inlineStr">
        <is>
          <t>Ethanol 10% IV infusion for Methanol poisoning</t>
        </is>
      </c>
      <c r="F2054" s="18" t="inlineStr">
        <is>
          <t>Fomepizole 15 mg/kg IV loading</t>
        </is>
      </c>
      <c r="G2054" s="18" t="inlineStr">
        <is>
          <t>N-acetylcysteine (NAC) IV infusion protocol</t>
        </is>
      </c>
      <c r="H2054" s="18" t="inlineStr">
        <is>
          <t>Atropine sulfate 2 mg IV Q5-10 min</t>
        </is>
      </c>
      <c r="I2054" s="15" t="inlineStr">
        <is>
          <t>1</t>
        </is>
      </c>
      <c r="J20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4" s="18" t="inlineStr"/>
      <c r="L2054" s="18" t="inlineStr">
        <is>
          <t>General Therapeutics</t>
        </is>
      </c>
      <c r="M2054" s="18" t="inlineStr">
        <is>
          <t>Clinic</t>
        </is>
      </c>
      <c r="N2054" s="18" t="inlineStr">
        <is>
          <t>ข้อ 63 (PLE_CC1_Key_Rx20_UBU.md)</t>
        </is>
      </c>
      <c r="O2054" s="18" t="inlineStr">
        <is>
          <t>Mock</t>
        </is>
      </c>
      <c r="P2054" s="18" t="inlineStr">
        <is>
          <t>Mock Rx20 UBU</t>
        </is>
      </c>
    </row>
    <row r="2055">
      <c r="A2055" s="15" t="inlineStr">
        <is>
          <t>2076</t>
        </is>
      </c>
      <c r="B2055" s="18" t="inlineStr">
        <is>
          <t>Stapphylococcus aureus</t>
        </is>
      </c>
      <c r="C2055" s="18" t="inlineStr"/>
      <c r="D2055" s="18" t="inlineStr">
        <is>
          <t>N-acetylcysteine (NAC) IV infusion protocol</t>
        </is>
      </c>
      <c r="E2055" s="18" t="inlineStr">
        <is>
          <t>Atropine sulfate 2 mg IV Q5-10 min</t>
        </is>
      </c>
      <c r="F2055" s="18" t="inlineStr">
        <is>
          <t>Pralidoxime (2-PAM) 1-2 g IV over 30 min</t>
        </is>
      </c>
      <c r="G2055" s="18" t="inlineStr">
        <is>
          <t>Naloxone 0.4 mg IV stat</t>
        </is>
      </c>
      <c r="H2055" s="18" t="inlineStr">
        <is>
          <t>Flumazenil 0.2 mg IV stat</t>
        </is>
      </c>
      <c r="I2055" s="15" t="inlineStr">
        <is>
          <t>1</t>
        </is>
      </c>
      <c r="J205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5" s="18" t="inlineStr"/>
      <c r="L2055" s="18" t="inlineStr">
        <is>
          <t>General Therapeutics</t>
        </is>
      </c>
      <c r="M2055" s="18" t="inlineStr">
        <is>
          <t>Clinic</t>
        </is>
      </c>
      <c r="N2055" s="18" t="inlineStr">
        <is>
          <t>ข้อ 1 (PLE_CC1_Key_Rx20_UBU.md)</t>
        </is>
      </c>
      <c r="O2055" s="18" t="inlineStr">
        <is>
          <t>Mock</t>
        </is>
      </c>
      <c r="P2055" s="18" t="inlineStr">
        <is>
          <t>Mock Rx20 UBU</t>
        </is>
      </c>
    </row>
    <row r="2056">
      <c r="A2056" s="15" t="inlineStr">
        <is>
          <t>2077</t>
        </is>
      </c>
      <c r="B2056" s="18" t="inlineStr">
        <is>
          <t>Burkholderia pseudomallei</t>
        </is>
      </c>
      <c r="C2056" s="18" t="inlineStr"/>
      <c r="D2056" s="18" t="inlineStr">
        <is>
          <t>Naloxone 0.4 mg IV stat</t>
        </is>
      </c>
      <c r="E2056" s="18" t="inlineStr">
        <is>
          <t>Flumazenil 0.2 mg IV stat</t>
        </is>
      </c>
      <c r="F2056" s="18" t="inlineStr">
        <is>
          <t>Vitamin K1 (Phytomenadione) 10 mg IV slow</t>
        </is>
      </c>
      <c r="G2056" s="18" t="inlineStr">
        <is>
          <t>Sodium thiosulfate 25% 50 mL IV</t>
        </is>
      </c>
      <c r="H2056" s="18" t="inlineStr">
        <is>
          <t>Calcium disodium EDTA 1 g IV</t>
        </is>
      </c>
      <c r="I2056" s="15" t="inlineStr">
        <is>
          <t>2</t>
        </is>
      </c>
      <c r="J2056" s="18"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6" s="18" t="inlineStr"/>
      <c r="L2056" s="18" t="inlineStr">
        <is>
          <t>General Therapeutics</t>
        </is>
      </c>
      <c r="M2056" s="18" t="inlineStr">
        <is>
          <t>Clinic</t>
        </is>
      </c>
      <c r="N2056" s="18" t="inlineStr">
        <is>
          <t>ข้อ 5 (PLE_CC1_Key_Rx20_UBU.md)</t>
        </is>
      </c>
      <c r="O2056" s="18" t="inlineStr">
        <is>
          <t>Mock</t>
        </is>
      </c>
      <c r="P2056" s="18" t="inlineStr">
        <is>
          <t>Mock Rx20 UBU</t>
        </is>
      </c>
    </row>
    <row r="2057">
      <c r="A2057" s="15" t="inlineStr">
        <is>
          <t>2078</t>
        </is>
      </c>
      <c r="B2057" s="18" t="inlineStr">
        <is>
          <t>ควรมีการปรับเปลี่ยนยาปฏิชีวนะอยGางไร</t>
        </is>
      </c>
      <c r="C2057" s="18" t="inlineStr"/>
      <c r="D2057" s="18" t="inlineStr">
        <is>
          <t>พ.ร.บ. ผลิตภัณฑ์สมุนไพร พ.ศ. 2562</t>
        </is>
      </c>
      <c r="E2057" s="18" t="inlineStr">
        <is>
          <t>พ.ร.บ. เครื่องสำอาง พ.ศ. 2558</t>
        </is>
      </c>
      <c r="F2057" s="18" t="inlineStr">
        <is>
          <t>พ.ร.บ. หลักประกันสุขภาพแห่งชาติ พ.ศ. 2545</t>
        </is>
      </c>
      <c r="G2057" s="18" t="inlineStr">
        <is>
          <t>การปฏิบัติทางเภสัชกรรมชุมชน (Good Pharmacy Practice: GPP)</t>
        </is>
      </c>
      <c r="H2057" s="18" t="inlineStr">
        <is>
          <t>บัญชียาหลักแห่งชาติ (National List of Essential Medicines: NLEM)</t>
        </is>
      </c>
      <c r="I2057" s="15" t="inlineStr">
        <is>
          <t>1</t>
        </is>
      </c>
      <c r="J2057"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7" s="18" t="inlineStr"/>
      <c r="L2057" s="18" t="inlineStr">
        <is>
          <t>Pharmacy Laws &amp; Ethics</t>
        </is>
      </c>
      <c r="M2057" s="18" t="inlineStr">
        <is>
          <t>SAP</t>
        </is>
      </c>
      <c r="N2057" s="18" t="inlineStr">
        <is>
          <t>ข้อ 64 (PLE_CC1_Key_Rx20_UBU.md)</t>
        </is>
      </c>
      <c r="O2057" s="18" t="inlineStr">
        <is>
          <t>Mock</t>
        </is>
      </c>
      <c r="P2057" s="18" t="inlineStr">
        <is>
          <t>Mock Rx20 UBU</t>
        </is>
      </c>
    </row>
    <row r="2058">
      <c r="A2058" s="15" t="inlineStr">
        <is>
          <t>2079</t>
        </is>
      </c>
      <c r="B2058" s="18" t="inlineStr">
        <is>
          <t>เปลี่ยน Ceftazidime เปญน Ciproﬂoxacin</t>
        </is>
      </c>
      <c r="C2058" s="18" t="inlineStr"/>
      <c r="D2058" s="18" t="inlineStr">
        <is>
          <t>Dimercaprol (BAL) 3 mg/kg IM</t>
        </is>
      </c>
      <c r="E2058" s="18" t="inlineStr">
        <is>
          <t>Ethanol 10% IV infusion for Methanol poisoning</t>
        </is>
      </c>
      <c r="F2058" s="18" t="inlineStr">
        <is>
          <t>Fomepizole 15 mg/kg IV loading</t>
        </is>
      </c>
      <c r="G2058" s="18" t="inlineStr">
        <is>
          <t>N-acetylcysteine (NAC) IV infusion protocol</t>
        </is>
      </c>
      <c r="H2058" s="18" t="inlineStr">
        <is>
          <t>Atropine sulfate 2 mg IV Q5-10 min</t>
        </is>
      </c>
      <c r="I2058" s="15" t="inlineStr">
        <is>
          <t>1</t>
        </is>
      </c>
      <c r="J20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8" s="18" t="inlineStr"/>
      <c r="L2058" s="18" t="inlineStr">
        <is>
          <t>General Therapeutics</t>
        </is>
      </c>
      <c r="M2058" s="18" t="inlineStr">
        <is>
          <t>Clinic</t>
        </is>
      </c>
      <c r="N2058" s="18" t="inlineStr">
        <is>
          <t>ข้อ 2 (PLE_CC1_Key_Rx20_UBU.md)</t>
        </is>
      </c>
      <c r="O2058" s="18" t="inlineStr">
        <is>
          <t>Mock</t>
        </is>
      </c>
      <c r="P2058" s="18" t="inlineStr">
        <is>
          <t>Mock Rx20 UBU</t>
        </is>
      </c>
    </row>
    <row r="2059">
      <c r="A2059" s="15" t="inlineStr">
        <is>
          <t>2080</t>
        </is>
      </c>
      <c r="B2059" s="18" t="inlineStr">
        <is>
          <t>Clarithromycin MR (1000) 1 tab OD</t>
        </is>
      </c>
      <c r="C2059" s="18" t="inlineStr"/>
      <c r="D2059" s="18" t="inlineStr">
        <is>
          <t>Amoxicillin/Clavulanate 1 g BID</t>
        </is>
      </c>
      <c r="E2059" s="18" t="inlineStr">
        <is>
          <t>Ceftriaxone 1 g IV OD</t>
        </is>
      </c>
      <c r="F2059" s="18" t="inlineStr">
        <is>
          <t>Ciprofloxacin 500 mg BID</t>
        </is>
      </c>
      <c r="G2059" s="18" t="inlineStr">
        <is>
          <t>Azithromycin 500 mg OD</t>
        </is>
      </c>
      <c r="H2059" s="18" t="inlineStr">
        <is>
          <t>Doxycycline 100 mg BID</t>
        </is>
      </c>
      <c r="I2059" s="15" t="inlineStr">
        <is>
          <t>1</t>
        </is>
      </c>
      <c r="J2059" s="18" t="inlineStr">
        <is>
          <t>✅ คำตอบที่ถูกต้อง: ข้อ ก. Amoxicillin/Clavulanate 1 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9" s="18" t="inlineStr"/>
      <c r="L2059" s="18" t="inlineStr">
        <is>
          <t>Infectious Diseases</t>
        </is>
      </c>
      <c r="M2059" s="18" t="inlineStr">
        <is>
          <t>Clinic</t>
        </is>
      </c>
      <c r="N2059" s="18" t="inlineStr">
        <is>
          <t>ข้อ 3 (PLE_CC1_Key_Rx20_UBU.md)</t>
        </is>
      </c>
      <c r="O2059" s="18" t="inlineStr">
        <is>
          <t>Mock</t>
        </is>
      </c>
      <c r="P2059" s="18" t="inlineStr">
        <is>
          <t>Mock Rx20 UBU</t>
        </is>
      </c>
    </row>
    <row r="2060">
      <c r="A2060" s="15" t="inlineStr">
        <is>
          <t>2081</t>
        </is>
      </c>
      <c r="B2060" s="18" t="inlineStr">
        <is>
          <t>เปลี่ยน Clarithromycin เปญน Roxithromycin</t>
        </is>
      </c>
      <c r="C2060" s="18" t="inlineStr"/>
      <c r="D2060" s="18" t="inlineStr">
        <is>
          <t>Azithromycin 500 mg OD</t>
        </is>
      </c>
      <c r="E2060" s="18" t="inlineStr">
        <is>
          <t>Doxycycline 100 mg BID</t>
        </is>
      </c>
      <c r="F2060" s="18" t="inlineStr">
        <is>
          <t>Cotrimoxazole 160/800 mg BID</t>
        </is>
      </c>
      <c r="G2060" s="18" t="inlineStr">
        <is>
          <t>Metronidazole 400 mg TID</t>
        </is>
      </c>
      <c r="H2060" s="18" t="inlineStr">
        <is>
          <t>Nitrofurantoin 100 mg BID</t>
        </is>
      </c>
      <c r="I2060" s="15" t="inlineStr">
        <is>
          <t>1</t>
        </is>
      </c>
      <c r="J2060" s="18"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0" s="18" t="inlineStr"/>
      <c r="L2060" s="18" t="inlineStr">
        <is>
          <t>Infectious Diseases</t>
        </is>
      </c>
      <c r="M2060" s="18" t="inlineStr">
        <is>
          <t>Clinic</t>
        </is>
      </c>
      <c r="N2060" s="18" t="inlineStr">
        <is>
          <t>ข้อ 4 (PLE_CC1_Key_Rx20_UBU.md)</t>
        </is>
      </c>
      <c r="O2060" s="18" t="inlineStr">
        <is>
          <t>Mock</t>
        </is>
      </c>
      <c r="P2060" s="18" t="inlineStr">
        <is>
          <t>Mock Rx20 UBU</t>
        </is>
      </c>
    </row>
    <row r="2061">
      <c r="A2061" s="15" t="inlineStr">
        <is>
          <t>2082</t>
        </is>
      </c>
      <c r="B2061" s="18" t="inlineStr">
        <is>
          <t>จำกัดปริมาณยาเพียง 4 มิลลิลิตร</t>
        </is>
      </c>
      <c r="C2061" s="18" t="inlineStr"/>
      <c r="D2061" s="18" t="inlineStr">
        <is>
          <t>Sodium thiosulfate 25% 50 mL IV</t>
        </is>
      </c>
      <c r="E2061" s="18" t="inlineStr">
        <is>
          <t>Calcium disodium EDTA 1 g IV</t>
        </is>
      </c>
      <c r="F2061" s="18" t="inlineStr">
        <is>
          <t>Desferrioxamine 1 g IM/IV</t>
        </is>
      </c>
      <c r="G2061" s="18" t="inlineStr">
        <is>
          <t>Dimercaprol (BAL) 3 mg/kg IM</t>
        </is>
      </c>
      <c r="H2061" s="18" t="inlineStr">
        <is>
          <t>Ethanol 10% IV infusion for Methanol poisoning</t>
        </is>
      </c>
      <c r="I2061" s="15" t="inlineStr">
        <is>
          <t>1</t>
        </is>
      </c>
      <c r="J20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1" s="18" t="inlineStr"/>
      <c r="L2061" s="18" t="inlineStr">
        <is>
          <t>General Therapeutics</t>
        </is>
      </c>
      <c r="M2061" s="18" t="inlineStr">
        <is>
          <t>Clinic</t>
        </is>
      </c>
      <c r="N2061" s="18" t="inlineStr">
        <is>
          <t>ข้อ 1 (PLE_CC1_Key_Rx20_UBU.md)</t>
        </is>
      </c>
      <c r="O2061" s="18" t="inlineStr">
        <is>
          <t>Mock</t>
        </is>
      </c>
      <c r="P2061" s="18" t="inlineStr">
        <is>
          <t>Mock Rx20 UBU</t>
        </is>
      </c>
    </row>
    <row r="2062">
      <c r="A2062" s="15" t="inlineStr">
        <is>
          <t>2083</t>
        </is>
      </c>
      <c r="B2062" s="18" t="inlineStr">
        <is>
          <t>- สถานการณ) 8 ชายไทย อายุ 35 ป3 ไมGมีโรคประจำตัว ไมGแพ$ยา เครียดจากการทำงาน วิตกกังวล นอนไมGคGอยหลับเสมอ ดื่มสุราและเบียร_เปญนประจำทุกวัน มาพบแพทย_ แพทย_จGายยา ดังนี้</t>
        </is>
      </c>
      <c r="C2062" s="18" t="inlineStr"/>
      <c r="D2062" s="18" t="inlineStr">
        <is>
          <t>Dimercaprol (BAL) 3 mg/kg IM</t>
        </is>
      </c>
      <c r="E2062" s="18" t="inlineStr">
        <is>
          <t>Ethanol 10% IV infusion for Methanol poisoning</t>
        </is>
      </c>
      <c r="F2062" s="18" t="inlineStr">
        <is>
          <t>Fomepizole 15 mg/kg IV loading</t>
        </is>
      </c>
      <c r="G2062" s="18" t="inlineStr">
        <is>
          <t>N-acetylcysteine (NAC) IV infusion protocol</t>
        </is>
      </c>
      <c r="H2062" s="18" t="inlineStr">
        <is>
          <t>Atropine sulfate 2 mg IV Q5-10 min</t>
        </is>
      </c>
      <c r="I2062" s="15" t="inlineStr">
        <is>
          <t>1</t>
        </is>
      </c>
      <c r="J20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2" s="18" t="inlineStr"/>
      <c r="L2062" s="18" t="inlineStr">
        <is>
          <t>General Therapeutics</t>
        </is>
      </c>
      <c r="M2062" s="18" t="inlineStr">
        <is>
          <t>Clinic</t>
        </is>
      </c>
      <c r="N2062" s="18" t="inlineStr">
        <is>
          <t>ข้อ 70 (PLE_CC1_Key_Rx20_UBU.md)</t>
        </is>
      </c>
      <c r="O2062" s="18" t="inlineStr">
        <is>
          <t>Mock</t>
        </is>
      </c>
      <c r="P2062" s="18" t="inlineStr">
        <is>
          <t>Mock Rx20 UBU</t>
        </is>
      </c>
    </row>
    <row r="2063">
      <c r="A2063" s="15" t="inlineStr">
        <is>
          <t>2084</t>
        </is>
      </c>
      <c r="B2063" s="18" t="inlineStr">
        <is>
          <t>Zolpidem 1x1 hs เวลานอนไมGหลับ</t>
        </is>
      </c>
      <c r="C2063" s="18" t="inlineStr"/>
      <c r="D2063" s="18" t="inlineStr">
        <is>
          <t>N-acetylcysteine (NAC) IV infusion protocol</t>
        </is>
      </c>
      <c r="E2063" s="18" t="inlineStr">
        <is>
          <t>Atropine sulfate 2 mg IV Q5-10 min</t>
        </is>
      </c>
      <c r="F2063" s="18" t="inlineStr">
        <is>
          <t>Pralidoxime (2-PAM) 1-2 g IV over 30 min</t>
        </is>
      </c>
      <c r="G2063" s="18" t="inlineStr">
        <is>
          <t>Naloxone 0.4 mg IV stat</t>
        </is>
      </c>
      <c r="H2063" s="18" t="inlineStr">
        <is>
          <t>Flumazenil 0.2 mg IV stat</t>
        </is>
      </c>
      <c r="I2063" s="15" t="inlineStr">
        <is>
          <t>1</t>
        </is>
      </c>
      <c r="J20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3" s="18" t="inlineStr"/>
      <c r="L2063" s="18" t="inlineStr">
        <is>
          <t>General Therapeutics</t>
        </is>
      </c>
      <c r="M2063" s="18" t="inlineStr">
        <is>
          <t>Clinic</t>
        </is>
      </c>
      <c r="N2063" s="18" t="inlineStr">
        <is>
          <t>ข้อ 3 (PLE_CC1_Key_Rx20_UBU.md)</t>
        </is>
      </c>
      <c r="O2063" s="18" t="inlineStr">
        <is>
          <t>Mock</t>
        </is>
      </c>
      <c r="P2063" s="18" t="inlineStr">
        <is>
          <t>Mock Rx20 UBU</t>
        </is>
      </c>
    </row>
    <row r="2064">
      <c r="A2064" s="15" t="inlineStr">
        <is>
          <t>2085</t>
        </is>
      </c>
      <c r="B2064" s="18" t="inlineStr">
        <is>
          <t>ข$อใดตGอไปนี้ถูกต$อง</t>
        </is>
      </c>
      <c r="C2064" s="18" t="inlineStr"/>
      <c r="D2064" s="18" t="inlineStr">
        <is>
          <t>Alprazolam ลดวิตกกังวลได$โดยตรง</t>
        </is>
      </c>
      <c r="E2064" s="18" t="inlineStr">
        <is>
          <t>Fuloxetine เปญน SSRI ซึ่งชGวยทำให$ Zopidem ออกฤทธิ์ได$ดีขึ้น</t>
        </is>
      </c>
      <c r="F2064" s="18" t="inlineStr">
        <is>
          <t>Zolpidem ชGวยลดอาการวิตกกังวลได$</t>
        </is>
      </c>
      <c r="G2064" s="18" t="inlineStr">
        <is>
          <t>Fluoxetine ออกฤทธิ์ชGวยให$นอนหลับได$โดยตรง</t>
        </is>
      </c>
      <c r="H2064" s="18" t="inlineStr">
        <is>
          <t>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t>
        </is>
      </c>
      <c r="I2064" s="15" t="inlineStr">
        <is>
          <t>2</t>
        </is>
      </c>
      <c r="J2064" s="18" t="inlineStr">
        <is>
          <t>✅ คำตอบที่ถูกต้อง: ข้อ ข. Fuloxetine เปญน SSRI ซึ่งชGวยทำให$ Zopidem ออกฤทธิ์ได$ดีขึ้น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Fuloxetine เปญน SSRI ซึ่งชGวยทำให$ Zopidem ออกฤทธิ์ได$ดีขึ้น Fuloxetine เปญน SSRI ซึ่งช G วยทำให$ Zopidem ออกฤทธิ์ได$ดีขึ้น Fuloxetine เปญน SSRI ซึ่งช G วยทำให$ Zopidem ออกฤทธิ์ได$ดีขึ้น Fuloxetine เปญน SSRI ซึ่งช G วยทำให$ Zopidem ออกฤทธิ์ได$ดีขึ้น การเลือก Fuloxetine เปญน SSRI ซึ่งช G วยทำให$ Zopidem ออกฤทธิ์ได$ดีขึ้น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(Alprazolam ลดวิตกกังวลได$โดยตรง): เป็น intermediate-acting Benzodiazepine ออกฤทธิ์เร็ว เหมาะสำหรับ panic attack แต่มีโอกาสเกิด dependence และ rebound anxiety สูงเมื่อหยุดยา
• ข้อ ค. (Zolpidem ชGวยลดอาการวิตกกังวลได$): เป็น non-benzodiazepine Z-drug จับจำเพาะกับ BZ1 (omega-1) receptor ช่วยเหนี่ยวนำการนอนหลับ แต่ต้องระวัง parasomnia (sleep-walking, sleep-eating)
• ข้อ ง. (Fluoxetine ออกฤทธิ์ชGวยให$นอนหลับได$โดยตรง): เป็น SSRI มี half-life ยาวที่สุดในกลุ่ม (ร่วมกับ active metabolite norfluoxetine) จึงมี discontinuation syndrome ต่ำ แต่ยับยั้ง CYP2D6 สูง
• ข้อ จ. (ข$อ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4" s="18" t="inlineStr"/>
      <c r="L2064" s="18" t="inlineStr">
        <is>
          <t>General Therapeutics</t>
        </is>
      </c>
      <c r="M2064" s="18" t="inlineStr">
        <is>
          <t>Clinic</t>
        </is>
      </c>
      <c r="N2064" s="18" t="inlineStr">
        <is>
          <t>ข้อ 71 (PLE_CC1_Key_Rx20_UBU.md)</t>
        </is>
      </c>
      <c r="O2064" s="18" t="inlineStr">
        <is>
          <t>Mock</t>
        </is>
      </c>
      <c r="P2064" s="18" t="inlineStr">
        <is>
          <t>Mock Rx20 UBU</t>
        </is>
      </c>
    </row>
    <row r="2065">
      <c r="A2065" s="15" t="inlineStr">
        <is>
          <t>2086</t>
        </is>
      </c>
      <c r="B2065" s="18" t="inlineStr">
        <is>
          <t>กGอนมาพบแพทย_ผู$ป&amp;วยได$เลิกสุราด$วยวิธีหักดิบ จากที่ปกติแล$วดื่มสุราทุกวัน เปญนเวลา 6 ป3 โดยหลังจากหักดิบผู$ป&amp;วยมีอาการกระวนกระวาย เพ$อ(อาการถอนเหล$าอGะ) ควรใช$ยาใดเพื่อบรรเทาอาการดังกลGาว</t>
        </is>
      </c>
      <c r="C2065" s="18" t="inlineStr"/>
      <c r="D2065" s="18" t="inlineStr">
        <is>
          <t>Sodium thiosulfate 25% 50 mL IV</t>
        </is>
      </c>
      <c r="E2065" s="18" t="inlineStr">
        <is>
          <t>Calcium disodium EDTA 1 g IV</t>
        </is>
      </c>
      <c r="F2065" s="18" t="inlineStr">
        <is>
          <t>Desferrioxamine 1 g IM/IV</t>
        </is>
      </c>
      <c r="G2065" s="18" t="inlineStr">
        <is>
          <t>Dimercaprol (BAL) 3 mg/kg IM</t>
        </is>
      </c>
      <c r="H2065" s="18" t="inlineStr">
        <is>
          <t>Ethanol 10% IV infusion for Methanol poisoning</t>
        </is>
      </c>
      <c r="I2065" s="15" t="inlineStr">
        <is>
          <t>1</t>
        </is>
      </c>
      <c r="J20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5" s="18" t="inlineStr"/>
      <c r="L2065" s="18" t="inlineStr">
        <is>
          <t>General Therapeutics</t>
        </is>
      </c>
      <c r="M2065" s="18" t="inlineStr">
        <is>
          <t>Clinic</t>
        </is>
      </c>
      <c r="N2065" s="18" t="inlineStr">
        <is>
          <t>ข้อ 73 (PLE_CC1_Key_Rx20_UBU.md)</t>
        </is>
      </c>
      <c r="O2065" s="18" t="inlineStr">
        <is>
          <t>Mock</t>
        </is>
      </c>
      <c r="P2065" s="18" t="inlineStr">
        <is>
          <t>Mock Rx20 UBU</t>
        </is>
      </c>
    </row>
    <row r="2066">
      <c r="A2066" s="15" t="inlineStr">
        <is>
          <t>2087</t>
        </is>
      </c>
      <c r="B2066" s="18" t="inlineStr">
        <is>
          <t>หากผู$ป&amp;วยเปญนโรคตับ จะใช$อะไรแทน</t>
        </is>
      </c>
      <c r="C2066" s="18" t="inlineStr"/>
      <c r="D2066" s="18" t="inlineStr">
        <is>
          <t>Dimercaprol (BAL) 3 mg/kg IM</t>
        </is>
      </c>
      <c r="E2066" s="18" t="inlineStr">
        <is>
          <t>Ethanol 10% IV infusion for Methanol poisoning</t>
        </is>
      </c>
      <c r="F2066" s="18" t="inlineStr">
        <is>
          <t>Fomepizole 15 mg/kg IV loading</t>
        </is>
      </c>
      <c r="G2066" s="18" t="inlineStr">
        <is>
          <t>N-acetylcysteine (NAC) IV infusion protocol</t>
        </is>
      </c>
      <c r="H2066" s="18" t="inlineStr">
        <is>
          <t>Atropine sulfate 2 mg IV Q5-10 min</t>
        </is>
      </c>
      <c r="I2066" s="15" t="inlineStr">
        <is>
          <t>1</t>
        </is>
      </c>
      <c r="J20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6" s="18" t="inlineStr"/>
      <c r="L2066" s="18" t="inlineStr">
        <is>
          <t>General Therapeutics</t>
        </is>
      </c>
      <c r="M2066" s="18" t="inlineStr">
        <is>
          <t>Clinic</t>
        </is>
      </c>
      <c r="N2066" s="18" t="inlineStr">
        <is>
          <t>ข้อ 74 (PLE_CC1_Key_Rx20_UBU.md)</t>
        </is>
      </c>
      <c r="O2066" s="18" t="inlineStr">
        <is>
          <t>Mock</t>
        </is>
      </c>
      <c r="P2066" s="18" t="inlineStr">
        <is>
          <t>Mock Rx20 UBU</t>
        </is>
      </c>
    </row>
    <row r="2067">
      <c r="A2067" s="15" t="inlineStr">
        <is>
          <t>2088</t>
        </is>
      </c>
      <c r="B2067" s="18" t="inlineStr">
        <is>
          <t>Methanol:Water (20:80)</t>
        </is>
      </c>
      <c r="C2067" s="18" t="inlineStr"/>
      <c r="D2067" s="18" t="inlineStr">
        <is>
          <t>N-acetylcysteine (NAC) IV infusion protocol</t>
        </is>
      </c>
      <c r="E2067" s="18" t="inlineStr">
        <is>
          <t>Atropine sulfate 2 mg IV Q5-10 min</t>
        </is>
      </c>
      <c r="F2067" s="18" t="inlineStr">
        <is>
          <t>Pralidoxime (2-PAM) 1-2 g IV over 30 min</t>
        </is>
      </c>
      <c r="G2067" s="18" t="inlineStr">
        <is>
          <t>Naloxone 0.4 mg IV stat</t>
        </is>
      </c>
      <c r="H2067" s="18" t="inlineStr">
        <is>
          <t>Flumazenil 0.2 mg IV stat</t>
        </is>
      </c>
      <c r="I2067" s="15" t="inlineStr">
        <is>
          <t>1</t>
        </is>
      </c>
      <c r="J2067" s="18" t="inlineStr">
        <is>
          <t>✅ คำตอบที่ถูกต้อง: ข้อ ก. N-acetylcysteine (NAC) IV infusion protocol
💡 Background:
ภาวะ acute poisoning ต้องได้รับการประเมิน supportive care ควบคู่กับการให้ specific antidote อย่างทันท่วงที
🎯 ทำไมข้อนี้ถึงถูก:
N-acetylcysteine (NAC) IV infusion protocol การเลือก N-acetylcysteine (NAC) IV infusion protocol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7" s="18" t="inlineStr"/>
      <c r="L2067" s="18" t="inlineStr">
        <is>
          <t>Toxicology &amp; Antidote</t>
        </is>
      </c>
      <c r="M2067" s="18" t="inlineStr">
        <is>
          <t>Clinic</t>
        </is>
      </c>
      <c r="N2067" s="18" t="inlineStr">
        <is>
          <t>ข้อ 1 (PLE_CC1_Key_Rx20_UBU.md)</t>
        </is>
      </c>
      <c r="O2067" s="18" t="inlineStr">
        <is>
          <t>Mock</t>
        </is>
      </c>
      <c r="P2067" s="18" t="inlineStr">
        <is>
          <t>Mock Rx20 UBU</t>
        </is>
      </c>
    </row>
    <row r="2068">
      <c r="A2068" s="15" t="inlineStr">
        <is>
          <t>2089</t>
        </is>
      </c>
      <c r="B2068" s="18" t="inlineStr">
        <is>
          <t>Acetonitrile:Water (30:70)</t>
        </is>
      </c>
      <c r="C2068" s="18" t="inlineStr"/>
      <c r="D2068" s="18" t="inlineStr">
        <is>
          <t>Naloxone 0.4 mg IV stat</t>
        </is>
      </c>
      <c r="E2068" s="18" t="inlineStr">
        <is>
          <t>Flumazenil 0.2 mg IV stat</t>
        </is>
      </c>
      <c r="F2068" s="18" t="inlineStr">
        <is>
          <t>Vitamin K1 (Phytomenadione) 10 mg IV slow</t>
        </is>
      </c>
      <c r="G2068" s="18" t="inlineStr">
        <is>
          <t>Sodium thiosulfate 25% 50 mL IV</t>
        </is>
      </c>
      <c r="H2068" s="18" t="inlineStr">
        <is>
          <t>Calcium disodium EDTA 1 g IV</t>
        </is>
      </c>
      <c r="I2068" s="15" t="inlineStr">
        <is>
          <t>1</t>
        </is>
      </c>
      <c r="J20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68" s="18" t="inlineStr"/>
      <c r="L2068" s="18" t="inlineStr">
        <is>
          <t>General Therapeutics</t>
        </is>
      </c>
      <c r="M2068" s="18" t="inlineStr">
        <is>
          <t>Clinic</t>
        </is>
      </c>
      <c r="N2068" s="18" t="inlineStr">
        <is>
          <t>ข้อ 2 (PLE_CC1_Key_Rx20_UBU.md)</t>
        </is>
      </c>
      <c r="O2068" s="18" t="inlineStr">
        <is>
          <t>Mock</t>
        </is>
      </c>
      <c r="P2068" s="18" t="inlineStr">
        <is>
          <t>Mock Rx20 UBU</t>
        </is>
      </c>
    </row>
    <row r="2069">
      <c r="A2069" s="15" t="inlineStr">
        <is>
          <t>2090</t>
        </is>
      </c>
      <c r="B2069" s="18" t="inlineStr">
        <is>
          <t>Methanol: Buffer….pH 5 (60:40)</t>
        </is>
      </c>
      <c r="C2069" s="18" t="inlineStr"/>
      <c r="D2069" s="18" t="inlineStr">
        <is>
          <t>Sodium thiosulfate 25% 50 mL IV</t>
        </is>
      </c>
      <c r="E2069" s="18" t="inlineStr">
        <is>
          <t>Calcium disodium EDTA 1 g IV</t>
        </is>
      </c>
      <c r="F2069" s="18" t="inlineStr">
        <is>
          <t>Desferrioxamine 1 g IM/IV</t>
        </is>
      </c>
      <c r="G2069" s="18" t="inlineStr">
        <is>
          <t>Dimercaprol (BAL) 3 mg/kg IM</t>
        </is>
      </c>
      <c r="H2069" s="18" t="inlineStr">
        <is>
          <t>Ethanol 10% IV infusion for Methanol poisoning</t>
        </is>
      </c>
      <c r="I2069" s="15" t="inlineStr">
        <is>
          <t>1</t>
        </is>
      </c>
      <c r="J2069" s="18"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69" s="18" t="inlineStr"/>
      <c r="L2069" s="18" t="inlineStr">
        <is>
          <t>Toxicology &amp; Antidote</t>
        </is>
      </c>
      <c r="M2069" s="18" t="inlineStr">
        <is>
          <t>Clinic</t>
        </is>
      </c>
      <c r="N2069" s="18" t="inlineStr">
        <is>
          <t>ข้อ 3 (PLE_CC1_Key_Rx20_UBU.md)</t>
        </is>
      </c>
      <c r="O2069" s="18" t="inlineStr">
        <is>
          <t>Mock</t>
        </is>
      </c>
      <c r="P2069" s="18" t="inlineStr">
        <is>
          <t>Mock Rx20 UBU</t>
        </is>
      </c>
    </row>
    <row r="2070">
      <c r="A2070" s="15" t="inlineStr">
        <is>
          <t>2091</t>
        </is>
      </c>
      <c r="B2070" s="18" t="inlineStr">
        <is>
          <t>Methanol: Buffer…pH 8 (60:40)</t>
        </is>
      </c>
      <c r="C2070" s="18" t="inlineStr"/>
      <c r="D2070" s="18" t="inlineStr">
        <is>
          <t>Dimercaprol (BAL) 3 mg/kg IM</t>
        </is>
      </c>
      <c r="E2070" s="18" t="inlineStr">
        <is>
          <t>Ethanol 10% IV infusion for Methanol poisoning</t>
        </is>
      </c>
      <c r="F2070" s="18" t="inlineStr">
        <is>
          <t>Fomepizole 15 mg/kg IV loading</t>
        </is>
      </c>
      <c r="G2070" s="18" t="inlineStr">
        <is>
          <t>N-acetylcysteine (NAC) IV infusion protocol</t>
        </is>
      </c>
      <c r="H2070" s="18" t="inlineStr">
        <is>
          <t>Atropine sulfate 2 mg IV Q5-10 min</t>
        </is>
      </c>
      <c r="I2070" s="15" t="inlineStr">
        <is>
          <t>1</t>
        </is>
      </c>
      <c r="J2070" s="18"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70" s="18" t="inlineStr"/>
      <c r="L2070" s="18" t="inlineStr">
        <is>
          <t>Toxicology &amp; Antidote</t>
        </is>
      </c>
      <c r="M2070" s="18" t="inlineStr">
        <is>
          <t>Clinic</t>
        </is>
      </c>
      <c r="N2070" s="18" t="inlineStr">
        <is>
          <t>ข้อ 4 (PLE_CC1_Key_Rx20_UBU.md)</t>
        </is>
      </c>
      <c r="O2070" s="18" t="inlineStr">
        <is>
          <t>Mock</t>
        </is>
      </c>
      <c r="P2070" s="18" t="inlineStr">
        <is>
          <t>Mock Rx20 UBU</t>
        </is>
      </c>
    </row>
    <row r="2071">
      <c r="A2071" s="15" t="inlineStr">
        <is>
          <t>2092</t>
        </is>
      </c>
      <c r="B2071" s="18" t="inlineStr">
        <is>
          <t>Methanol: Buffer….pH 11.2 (60:40) ซึ่งคิดวGาควรดูพวกคGาการแตกตัว แล$วเลือก buffer ที่เหมาะสม</t>
        </is>
      </c>
      <c r="C2071" s="18" t="inlineStr"/>
      <c r="D2071" s="18" t="inlineStr">
        <is>
          <t>N-acetylcysteine (NAC) IV infusion protocol</t>
        </is>
      </c>
      <c r="E2071" s="18" t="inlineStr">
        <is>
          <t>Atropine sulfate 2 mg IV Q5-10 min</t>
        </is>
      </c>
      <c r="F2071" s="18" t="inlineStr">
        <is>
          <t>Pralidoxime (2-PAM) 1-2 g IV over 30 min</t>
        </is>
      </c>
      <c r="G2071" s="18" t="inlineStr">
        <is>
          <t>Naloxone 0.4 mg IV stat</t>
        </is>
      </c>
      <c r="H2071" s="18" t="inlineStr">
        <is>
          <t>Flumazenil 0.2 mg IV stat</t>
        </is>
      </c>
      <c r="I2071" s="15" t="inlineStr">
        <is>
          <t>5</t>
        </is>
      </c>
      <c r="J2071" s="18" t="inlineStr">
        <is>
          <t>✅ คำตอบที่ถูกต้อง: ข้อ จ. Flumazenil 0.2 mg IV stat
💡 Background:
ภาวะ acute poisoning ต้องได้รับการประเมิน supportive care ควบคู่กับการให้ specific antidote อย่างทันท่วงที
🎯 ทำไมข้อนี้ถึงถูก:
Flumazenil 0.2 mg IV stat การเลือก Flumazenil 0.2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71" s="18" t="inlineStr"/>
      <c r="L2071" s="18" t="inlineStr">
        <is>
          <t>Toxicology &amp; Antidote</t>
        </is>
      </c>
      <c r="M2071" s="18" t="inlineStr">
        <is>
          <t>Clinic</t>
        </is>
      </c>
      <c r="N2071" s="18" t="inlineStr">
        <is>
          <t>ข้อ 5 (PLE_CC1_Key_Rx20_UBU.md)</t>
        </is>
      </c>
      <c r="O2071" s="18" t="inlineStr">
        <is>
          <t>Mock</t>
        </is>
      </c>
      <c r="P2071" s="18" t="inlineStr">
        <is>
          <t>Mock Rx20 UBU</t>
        </is>
      </c>
    </row>
    <row r="2072">
      <c r="A2072" s="15" t="inlineStr">
        <is>
          <t>2093</t>
        </is>
      </c>
      <c r="B2072" s="18" t="inlineStr">
        <is>
          <t>81. – สถานการณ) 9 ผู$ป&amp;วยหญิงอายุ 22 ป3 น้ำหนัก 50 กิโลกรัม มีประวัติเปญนโรคธาลัสซีเมีย</t>
        </is>
      </c>
      <c r="C2072" s="18" t="inlineStr"/>
      <c r="D2072" s="18" t="inlineStr">
        <is>
          <t>Naloxone 0.4 mg IV stat</t>
        </is>
      </c>
      <c r="E2072" s="18" t="inlineStr">
        <is>
          <t>Flumazenil 0.2 mg IV stat</t>
        </is>
      </c>
      <c r="F2072" s="18" t="inlineStr">
        <is>
          <t>Vitamin K1 (Phytomenadione) 10 mg IV slow</t>
        </is>
      </c>
      <c r="G2072" s="18" t="inlineStr">
        <is>
          <t>Sodium thiosulfate 25% 50 mL IV</t>
        </is>
      </c>
      <c r="H2072" s="18" t="inlineStr">
        <is>
          <t>Calcium disodium EDTA 1 g IV</t>
        </is>
      </c>
      <c r="I2072" s="15" t="inlineStr">
        <is>
          <t>1</t>
        </is>
      </c>
      <c r="J20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2" s="18" t="inlineStr"/>
      <c r="L2072" s="18" t="inlineStr">
        <is>
          <t>General Therapeutics</t>
        </is>
      </c>
      <c r="M2072" s="18" t="inlineStr">
        <is>
          <t>Clinic</t>
        </is>
      </c>
      <c r="N2072" s="18" t="inlineStr">
        <is>
          <t>ข้อ 80 (PLE_CC1_Key_Rx20_UBU.md)</t>
        </is>
      </c>
      <c r="O2072" s="18" t="inlineStr">
        <is>
          <t>Mock</t>
        </is>
      </c>
      <c r="P2072" s="18" t="inlineStr">
        <is>
          <t>Mock Rx20 UBU</t>
        </is>
      </c>
    </row>
    <row r="2073">
      <c r="A2073" s="15" t="inlineStr">
        <is>
          <t>2094</t>
        </is>
      </c>
      <c r="B2073" s="18" t="inlineStr">
        <is>
          <t>กรณีที่ผู$ป&amp;วยหญิงคนดังกลGาวเปญนธาลัสซีเมียที่มีความผิดปกติที่ยีนเบต$าทั้งสอง allele แตGงงานกับชายปกติ โอกาสที่ลูกจะเปญนพาหะธาลัสซีเมียเปญนเทGาใด</t>
        </is>
      </c>
      <c r="C2073" s="18" t="inlineStr"/>
      <c r="D2073" s="15" t="inlineStr">
        <is>
          <t>0%</t>
        </is>
      </c>
      <c r="E2073" s="15" t="inlineStr">
        <is>
          <t>25%</t>
        </is>
      </c>
      <c r="F2073" s="15" t="inlineStr">
        <is>
          <t>50%</t>
        </is>
      </c>
      <c r="G2073" s="15" t="inlineStr">
        <is>
          <t>75%</t>
        </is>
      </c>
      <c r="H2073" s="15" t="inlineStr">
        <is>
          <t>100%</t>
        </is>
      </c>
      <c r="I2073" s="15" t="inlineStr">
        <is>
          <t>2</t>
        </is>
      </c>
      <c r="J2073" s="18" t="inlineStr">
        <is>
          <t>✅ คำตอบที่ถูกต้อง: ข้อ ข. 25%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25% การเลือก 25%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(0%): ข้อนี้ไม่ใช่คำตอบที่ถูกต้องสำหรับภาวะ General Therapeutics เนื่องจากกลไกการออกฤทธิ์, efficacy หรือข้อบ่งใช้ไม่ตรงกับโจทย์ที่กำหนด
• ข้อ ค. (50%): ข้อนี้ไม่ใช่คำตอบที่ถูกต้องสำหรับภาวะ General Therapeutics เนื่องจากกลไกการออกฤทธิ์, efficacy หรือข้อบ่งใช้ไม่ตรงกับโจทย์ที่กำหนด
• ข้อ ง. (75%): ข้อนี้ไม่ใช่คำตอบที่ถูกต้องสำหรับภาวะ General Therapeutics เนื่องจากกลไกการออกฤทธิ์, efficacy หรือข้อบ่งใช้ไม่ตรงกับโจทย์ที่กำหนด
• ข้อ จ. (100%):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3" s="18" t="inlineStr"/>
      <c r="L2073" s="18" t="inlineStr">
        <is>
          <t>General Therapeutics</t>
        </is>
      </c>
      <c r="M2073" s="18" t="inlineStr">
        <is>
          <t>Clinic</t>
        </is>
      </c>
      <c r="N2073" s="18" t="inlineStr">
        <is>
          <t>ข้อ 84 (PLE_CC1_Key_Rx20_UBU.md)</t>
        </is>
      </c>
      <c r="O2073" s="18" t="inlineStr">
        <is>
          <t>Mock</t>
        </is>
      </c>
      <c r="P2073" s="18" t="inlineStr">
        <is>
          <t>Mock Rx20 UBU</t>
        </is>
      </c>
    </row>
    <row r="2074">
      <c r="A2074" s="15" t="inlineStr">
        <is>
          <t>2095</t>
        </is>
      </c>
      <c r="B2074" s="18" t="inlineStr">
        <is>
          <t>– สถานการณ) 10 เด็กอายุ 10 ป3ถูกสุนัขกัดที่ไหลG เปญนแผลฉกรรจ_มีเลือดไหล โดยไมGแนGใจวGาสุนัขมีอาการพิษสุนัขบ$าหรือไมG</t>
        </is>
      </c>
      <c r="C2074" s="18" t="inlineStr"/>
      <c r="D2074" s="18" t="inlineStr">
        <is>
          <t>Dimercaprol (BAL) 3 mg/kg IM</t>
        </is>
      </c>
      <c r="E2074" s="18" t="inlineStr">
        <is>
          <t>Ethanol 10% IV infusion for Methanol poisoning</t>
        </is>
      </c>
      <c r="F2074" s="18" t="inlineStr">
        <is>
          <t>Fomepizole 15 mg/kg IV loading</t>
        </is>
      </c>
      <c r="G2074" s="18" t="inlineStr">
        <is>
          <t>N-acetylcysteine (NAC) IV infusion protocol</t>
        </is>
      </c>
      <c r="H2074" s="18" t="inlineStr">
        <is>
          <t>Atropine sulfate 2 mg IV Q5-10 min</t>
        </is>
      </c>
      <c r="I2074" s="15" t="inlineStr">
        <is>
          <t>1</t>
        </is>
      </c>
      <c r="J207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4" s="18" t="inlineStr"/>
      <c r="L2074" s="18" t="inlineStr">
        <is>
          <t>General Therapeutics</t>
        </is>
      </c>
      <c r="M2074" s="18" t="inlineStr">
        <is>
          <t>Clinic</t>
        </is>
      </c>
      <c r="N2074" s="18" t="inlineStr">
        <is>
          <t>ข้อ 91 (PLE_CC1_Key_Rx20_UBU.md)</t>
        </is>
      </c>
      <c r="O2074" s="18" t="inlineStr">
        <is>
          <t>Mock</t>
        </is>
      </c>
      <c r="P2074" s="18" t="inlineStr">
        <is>
          <t>Mock Rx20 UBU</t>
        </is>
      </c>
    </row>
    <row r="2075">
      <c r="A2075" s="15" t="inlineStr">
        <is>
          <t>2096</t>
        </is>
      </c>
      <c r="B2075" s="18" t="inlineStr">
        <is>
          <t>[(7/90)/(2/113)]</t>
        </is>
      </c>
      <c r="C2075" s="18" t="inlineStr"/>
      <c r="D2075" s="18" t="inlineStr">
        <is>
          <t>N-acetylcysteine (NAC) IV infusion protocol</t>
        </is>
      </c>
      <c r="E2075" s="18" t="inlineStr">
        <is>
          <t>Atropine sulfate 2 mg IV Q5-10 min</t>
        </is>
      </c>
      <c r="F2075" s="18" t="inlineStr">
        <is>
          <t>Pralidoxime (2-PAM) 1-2 g IV over 30 min</t>
        </is>
      </c>
      <c r="G2075" s="18" t="inlineStr">
        <is>
          <t>Naloxone 0.4 mg IV stat</t>
        </is>
      </c>
      <c r="H2075" s="18" t="inlineStr">
        <is>
          <t>Flumazenil 0.2 mg IV stat</t>
        </is>
      </c>
      <c r="I2075" s="15" t="inlineStr">
        <is>
          <t>1</t>
        </is>
      </c>
      <c r="J20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5" s="18" t="inlineStr"/>
      <c r="L2075" s="18" t="inlineStr">
        <is>
          <t>General Therapeutics</t>
        </is>
      </c>
      <c r="M2075" s="18" t="inlineStr">
        <is>
          <t>Clinic</t>
        </is>
      </c>
      <c r="N2075" s="18" t="inlineStr">
        <is>
          <t>ข้อ 1 (PLE_CC1_Key_Rx20_UBU.md)</t>
        </is>
      </c>
      <c r="O2075" s="18" t="inlineStr">
        <is>
          <t>Mock</t>
        </is>
      </c>
      <c r="P2075" s="18" t="inlineStr">
        <is>
          <t>Mock Rx20 UBU</t>
        </is>
      </c>
    </row>
    <row r="2076">
      <c r="A2076" s="15" t="inlineStr">
        <is>
          <t>2097</t>
        </is>
      </c>
      <c r="B2076" s="18" t="inlineStr">
        <is>
          <t>[(7/83)/(2/111)]</t>
        </is>
      </c>
      <c r="C2076" s="18" t="inlineStr"/>
      <c r="D2076" s="18" t="inlineStr">
        <is>
          <t>Naloxone 0.4 mg IV stat</t>
        </is>
      </c>
      <c r="E2076" s="18" t="inlineStr">
        <is>
          <t>Flumazenil 0.2 mg IV stat</t>
        </is>
      </c>
      <c r="F2076" s="18" t="inlineStr">
        <is>
          <t>Vitamin K1 (Phytomenadione) 10 mg IV slow</t>
        </is>
      </c>
      <c r="G2076" s="18" t="inlineStr">
        <is>
          <t>Sodium thiosulfate 25% 50 mL IV</t>
        </is>
      </c>
      <c r="H2076" s="18" t="inlineStr">
        <is>
          <t>Calcium disodium EDTA 1 g IV</t>
        </is>
      </c>
      <c r="I2076" s="15" t="inlineStr">
        <is>
          <t>1</t>
        </is>
      </c>
      <c r="J20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6" s="18" t="inlineStr"/>
      <c r="L2076" s="18" t="inlineStr">
        <is>
          <t>General Therapeutics</t>
        </is>
      </c>
      <c r="M2076" s="18" t="inlineStr">
        <is>
          <t>Clinic</t>
        </is>
      </c>
      <c r="N2076" s="18" t="inlineStr">
        <is>
          <t>ข้อ 2 (PLE_CC1_Key_Rx20_UBU.md)</t>
        </is>
      </c>
      <c r="O2076" s="18" t="inlineStr">
        <is>
          <t>Mock</t>
        </is>
      </c>
      <c r="P2076" s="18" t="inlineStr">
        <is>
          <t>Mock Rx20 UBU</t>
        </is>
      </c>
    </row>
    <row r="2077">
      <c r="A2077" s="15" t="inlineStr">
        <is>
          <t>2098</t>
        </is>
      </c>
      <c r="B2077" s="18" t="inlineStr">
        <is>
          <t>[(7/90)/(2/90)]</t>
        </is>
      </c>
      <c r="C2077" s="18" t="inlineStr"/>
      <c r="D2077" s="18" t="inlineStr">
        <is>
          <t>Sodium thiosulfate 25% 50 mL IV</t>
        </is>
      </c>
      <c r="E2077" s="18" t="inlineStr">
        <is>
          <t>Calcium disodium EDTA 1 g IV</t>
        </is>
      </c>
      <c r="F2077" s="18" t="inlineStr">
        <is>
          <t>Desferrioxamine 1 g IM/IV</t>
        </is>
      </c>
      <c r="G2077" s="18" t="inlineStr">
        <is>
          <t>Dimercaprol (BAL) 3 mg/kg IM</t>
        </is>
      </c>
      <c r="H2077" s="18" t="inlineStr">
        <is>
          <t>Ethanol 10% IV infusion for Methanol poisoning</t>
        </is>
      </c>
      <c r="I2077" s="15" t="inlineStr">
        <is>
          <t>1</t>
        </is>
      </c>
      <c r="J20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7" s="18" t="inlineStr"/>
      <c r="L2077" s="18" t="inlineStr">
        <is>
          <t>General Therapeutics</t>
        </is>
      </c>
      <c r="M2077" s="18" t="inlineStr">
        <is>
          <t>Clinic</t>
        </is>
      </c>
      <c r="N2077" s="18" t="inlineStr">
        <is>
          <t>ข้อ 3 (PLE_CC1_Key_Rx20_UBU.md)</t>
        </is>
      </c>
      <c r="O2077" s="18" t="inlineStr">
        <is>
          <t>Mock</t>
        </is>
      </c>
      <c r="P2077" s="18" t="inlineStr">
        <is>
          <t>Mock Rx20 UBU</t>
        </is>
      </c>
    </row>
    <row r="2078">
      <c r="A2078" s="15" t="inlineStr">
        <is>
          <t>2099</t>
        </is>
      </c>
      <c r="B2078" s="18" t="inlineStr">
        <is>
          <t>[(7/113)/(2/113)]</t>
        </is>
      </c>
      <c r="C2078" s="18" t="inlineStr"/>
      <c r="D2078" s="18" t="inlineStr">
        <is>
          <t>Dimercaprol (BAL) 3 mg/kg IM</t>
        </is>
      </c>
      <c r="E2078" s="18" t="inlineStr">
        <is>
          <t>Ethanol 10% IV infusion for Methanol poisoning</t>
        </is>
      </c>
      <c r="F2078" s="18" t="inlineStr">
        <is>
          <t>Fomepizole 15 mg/kg IV loading</t>
        </is>
      </c>
      <c r="G2078" s="18" t="inlineStr">
        <is>
          <t>N-acetylcysteine (NAC) IV infusion protocol</t>
        </is>
      </c>
      <c r="H2078" s="18" t="inlineStr">
        <is>
          <t>Atropine sulfate 2 mg IV Q5-10 min</t>
        </is>
      </c>
      <c r="I2078" s="15" t="inlineStr">
        <is>
          <t>1</t>
        </is>
      </c>
      <c r="J20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8" s="18" t="inlineStr"/>
      <c r="L2078" s="18" t="inlineStr">
        <is>
          <t>General Therapeutics</t>
        </is>
      </c>
      <c r="M2078" s="18" t="inlineStr">
        <is>
          <t>Clinic</t>
        </is>
      </c>
      <c r="N2078" s="18" t="inlineStr">
        <is>
          <t>ข้อ 4 (PLE_CC1_Key_Rx20_UBU.md)</t>
        </is>
      </c>
      <c r="O2078" s="18" t="inlineStr">
        <is>
          <t>Mock</t>
        </is>
      </c>
      <c r="P2078" s="18" t="inlineStr">
        <is>
          <t>Mock Rx20 UBU</t>
        </is>
      </c>
    </row>
    <row r="2079">
      <c r="A2079" s="15" t="inlineStr">
        <is>
          <t>2100</t>
        </is>
      </c>
      <c r="B2079" s="18" t="inlineStr">
        <is>
          <t>[(9/90)/(9/113)]</t>
        </is>
      </c>
      <c r="C2079" s="18" t="inlineStr"/>
      <c r="D2079" s="18" t="inlineStr">
        <is>
          <t>N-acetylcysteine (NAC) IV infusion protocol</t>
        </is>
      </c>
      <c r="E2079" s="18" t="inlineStr">
        <is>
          <t>Atropine sulfate 2 mg IV Q5-10 min</t>
        </is>
      </c>
      <c r="F2079" s="18" t="inlineStr">
        <is>
          <t>Pralidoxime (2-PAM) 1-2 g IV over 30 min</t>
        </is>
      </c>
      <c r="G2079" s="18" t="inlineStr">
        <is>
          <t>Naloxone 0.4 mg IV stat</t>
        </is>
      </c>
      <c r="H2079" s="18" t="inlineStr">
        <is>
          <t>Flumazenil 0.2 mg IV stat</t>
        </is>
      </c>
      <c r="I2079" s="15" t="inlineStr">
        <is>
          <t>2</t>
        </is>
      </c>
      <c r="J2079" s="18"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79" s="18" t="inlineStr"/>
      <c r="L2079" s="18" t="inlineStr">
        <is>
          <t>General Therapeutics</t>
        </is>
      </c>
      <c r="M2079" s="18" t="inlineStr">
        <is>
          <t>Clinic</t>
        </is>
      </c>
      <c r="N2079" s="18" t="inlineStr">
        <is>
          <t>ข้อ 5 (PLE_CC1_Key_Rx20_UBU.md)</t>
        </is>
      </c>
      <c r="O2079" s="18" t="inlineStr">
        <is>
          <t>Mock</t>
        </is>
      </c>
      <c r="P2079" s="18" t="inlineStr">
        <is>
          <t>Mock Rx20 UBU</t>
        </is>
      </c>
    </row>
    <row r="2080">
      <c r="A2080" s="15" t="inlineStr">
        <is>
          <t>2101</t>
        </is>
      </c>
      <c r="B2080" s="18" t="inlineStr">
        <is>
          <t>ยา Alendronate จะถูกขับออกจากรGางกายอยGางไร</t>
        </is>
      </c>
      <c r="C2080" s="18" t="inlineStr"/>
      <c r="D2080" s="18" t="inlineStr">
        <is>
          <t>Febuxostat 40 mg OD</t>
        </is>
      </c>
      <c r="E2080" s="18" t="inlineStr">
        <is>
          <t>Celecoxib 200 mg OD</t>
        </is>
      </c>
      <c r="F2080" s="18" t="inlineStr">
        <is>
          <t>Methotrexate 10 mg weekly</t>
        </is>
      </c>
      <c r="G2080" s="18" t="inlineStr">
        <is>
          <t>Alendronate 70 mg weekly</t>
        </is>
      </c>
      <c r="H2080" s="18" t="inlineStr">
        <is>
          <t>Glucosamine sulfate 1500 mg OD</t>
        </is>
      </c>
      <c r="I2080" s="15" t="inlineStr">
        <is>
          <t>2</t>
        </is>
      </c>
      <c r="J2080" s="18" t="inlineStr">
        <is>
          <t>✅ คำตอบที่ถูกต้อง: ข้อ ข. Celecoxib 200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Celecoxib 200 mg OD การเลือก Celecoxib 200 mg OD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080" s="18" t="inlineStr"/>
      <c r="L2080" s="18" t="inlineStr">
        <is>
          <t>Musculoskeletal &amp; Joint</t>
        </is>
      </c>
      <c r="M2080" s="18" t="inlineStr">
        <is>
          <t>Clinic</t>
        </is>
      </c>
      <c r="N2080" s="18" t="inlineStr">
        <is>
          <t>ข้อ 101 (PLE_CC1_Key_Rx20_UBU.md)</t>
        </is>
      </c>
      <c r="O2080" s="18" t="inlineStr">
        <is>
          <t>Mock</t>
        </is>
      </c>
      <c r="P2080" s="18" t="inlineStr">
        <is>
          <t>Mock Rx20 UBU</t>
        </is>
      </c>
    </row>
    <row r="2081">
      <c r="A2081" s="15" t="inlineStr">
        <is>
          <t>2102</t>
        </is>
      </c>
      <c r="B2081" s="18" t="inlineStr">
        <is>
          <t>ในการผลิตจริงขั้นตอนการควบคุมคุณภาพที่ไมGมีกำหนดอยูGในเภสัชตำรับ แตGโรงงานก็ทำเพื่อให$มีคุณภาพสม่ำเสมอ</t>
        </is>
      </c>
      <c r="C2081" s="18" t="inlineStr"/>
      <c r="D2081" s="18" t="inlineStr">
        <is>
          <t>Sodium thiosulfate 25% 50 mL IV</t>
        </is>
      </c>
      <c r="E2081" s="18" t="inlineStr">
        <is>
          <t>Calcium disodium EDTA 1 g IV</t>
        </is>
      </c>
      <c r="F2081" s="18" t="inlineStr">
        <is>
          <t>Desferrioxamine 1 g IM/IV</t>
        </is>
      </c>
      <c r="G2081" s="18" t="inlineStr">
        <is>
          <t>Dimercaprol (BAL) 3 mg/kg IM</t>
        </is>
      </c>
      <c r="H2081" s="18" t="inlineStr">
        <is>
          <t>Ethanol 10% IV infusion for Methanol poisoning</t>
        </is>
      </c>
      <c r="I2081" s="15" t="inlineStr">
        <is>
          <t>1</t>
        </is>
      </c>
      <c r="J20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1" s="18" t="inlineStr"/>
      <c r="L2081" s="18" t="inlineStr">
        <is>
          <t>General Therapeutics</t>
        </is>
      </c>
      <c r="M2081" s="18" t="inlineStr">
        <is>
          <t>Clinic</t>
        </is>
      </c>
      <c r="N2081" s="18" t="inlineStr">
        <is>
          <t>ข้อ 104 (PLE_CC1_Key_Rx20_UBU.md)</t>
        </is>
      </c>
      <c r="O2081" s="18" t="inlineStr">
        <is>
          <t>Mock</t>
        </is>
      </c>
      <c r="P2081" s="18" t="inlineStr">
        <is>
          <t>Mock Rx20 UBU</t>
        </is>
      </c>
    </row>
    <row r="2082">
      <c r="A2082" s="15" t="inlineStr">
        <is>
          <t>2103</t>
        </is>
      </c>
      <c r="B2082" s="18" t="inlineStr">
        <is>
          <t>กลุGมที่ใช$ B-Blocker มีความเสี่ยงในการเกิดภาวะแทรกซ$อนตGอหัวและหลอดเลือดลดลง 12% เมื่อเทียบกับกลุGมที่ใช$ยาหลอก</t>
        </is>
      </c>
      <c r="C2082" s="18" t="inlineStr"/>
      <c r="D2082" s="18" t="inlineStr">
        <is>
          <t>Dimercaprol (BAL) 3 mg/kg IM</t>
        </is>
      </c>
      <c r="E2082" s="18" t="inlineStr">
        <is>
          <t>Ethanol 10% IV infusion for Methanol poisoning</t>
        </is>
      </c>
      <c r="F2082" s="18" t="inlineStr">
        <is>
          <t>Fomepizole 15 mg/kg IV loading</t>
        </is>
      </c>
      <c r="G2082" s="18" t="inlineStr">
        <is>
          <t>N-acetylcysteine (NAC) IV infusion protocol</t>
        </is>
      </c>
      <c r="H2082" s="18" t="inlineStr">
        <is>
          <t>Atropine sulfate 2 mg IV Q5-10 min</t>
        </is>
      </c>
      <c r="I2082" s="15" t="inlineStr">
        <is>
          <t>1</t>
        </is>
      </c>
      <c r="J20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2" s="18" t="inlineStr"/>
      <c r="L2082" s="18" t="inlineStr">
        <is>
          <t>General Therapeutics</t>
        </is>
      </c>
      <c r="M2082" s="18" t="inlineStr">
        <is>
          <t>Clinic</t>
        </is>
      </c>
      <c r="N2082" s="18" t="inlineStr">
        <is>
          <t>ข้อ 1 (PLE_CC1_Key_Rx20_UBU.md)</t>
        </is>
      </c>
      <c r="O2082" s="18" t="inlineStr">
        <is>
          <t>Mock</t>
        </is>
      </c>
      <c r="P2082" s="18" t="inlineStr">
        <is>
          <t>Mock Rx20 UBU</t>
        </is>
      </c>
    </row>
    <row r="2083">
      <c r="A2083" s="15" t="inlineStr">
        <is>
          <t>2104</t>
        </is>
      </c>
      <c r="B2083" s="18" t="inlineStr">
        <is>
          <t>ขนมป[งปØ¬งทาแยม</t>
        </is>
      </c>
      <c r="C2083" s="18" t="inlineStr"/>
      <c r="D2083" s="18" t="inlineStr">
        <is>
          <t>N-acetylcysteine (NAC) IV infusion protocol</t>
        </is>
      </c>
      <c r="E2083" s="18" t="inlineStr">
        <is>
          <t>Atropine sulfate 2 mg IV Q5-10 min</t>
        </is>
      </c>
      <c r="F2083" s="18" t="inlineStr">
        <is>
          <t>Pralidoxime (2-PAM) 1-2 g IV over 30 min</t>
        </is>
      </c>
      <c r="G2083" s="18" t="inlineStr">
        <is>
          <t>Naloxone 0.4 mg IV stat</t>
        </is>
      </c>
      <c r="H2083" s="18" t="inlineStr">
        <is>
          <t>Flumazenil 0.2 mg IV stat</t>
        </is>
      </c>
      <c r="I2083" s="15" t="inlineStr">
        <is>
          <t>1</t>
        </is>
      </c>
      <c r="J20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3" s="18" t="inlineStr"/>
      <c r="L2083" s="18" t="inlineStr">
        <is>
          <t>General Therapeutics</t>
        </is>
      </c>
      <c r="M2083" s="18" t="inlineStr">
        <is>
          <t>Clinic</t>
        </is>
      </c>
      <c r="N2083" s="18" t="inlineStr">
        <is>
          <t>ข้อ 4 (PLE_CC1_Key_Rx20_UBU.md)</t>
        </is>
      </c>
      <c r="O2083" s="18" t="inlineStr">
        <is>
          <t>Mock</t>
        </is>
      </c>
      <c r="P2083" s="18" t="inlineStr">
        <is>
          <t>Mock Rx20 UBU</t>
        </is>
      </c>
    </row>
    <row r="2084">
      <c r="A2084" s="15" t="inlineStr">
        <is>
          <t>2105</t>
        </is>
      </c>
      <c r="B2084" s="18" t="inlineStr">
        <is>
          <t>Ascorbic acid</t>
        </is>
      </c>
      <c r="C2084" s="18" t="inlineStr"/>
      <c r="D2084" s="18" t="inlineStr">
        <is>
          <t>Naloxone 0.4 mg IV stat</t>
        </is>
      </c>
      <c r="E2084" s="18" t="inlineStr">
        <is>
          <t>Flumazenil 0.2 mg IV stat</t>
        </is>
      </c>
      <c r="F2084" s="18" t="inlineStr">
        <is>
          <t>Vitamin K1 (Phytomenadione) 10 mg IV slow</t>
        </is>
      </c>
      <c r="G2084" s="18" t="inlineStr">
        <is>
          <t>Sodium thiosulfate 25% 50 mL IV</t>
        </is>
      </c>
      <c r="H2084" s="18" t="inlineStr">
        <is>
          <t>Calcium disodium EDTA 1 g IV</t>
        </is>
      </c>
      <c r="I2084" s="15" t="inlineStr">
        <is>
          <t>4</t>
        </is>
      </c>
      <c r="J2084" s="18"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4" s="18" t="inlineStr"/>
      <c r="L2084" s="18" t="inlineStr">
        <is>
          <t>General Therapeutics</t>
        </is>
      </c>
      <c r="M2084" s="18" t="inlineStr">
        <is>
          <t>Clinic</t>
        </is>
      </c>
      <c r="N2084" s="18" t="inlineStr">
        <is>
          <t>ข้อ 5 (PLE_CC1_Key_Rx20_UBU.md)</t>
        </is>
      </c>
      <c r="O2084" s="18" t="inlineStr">
        <is>
          <t>Mock</t>
        </is>
      </c>
      <c r="P2084" s="18" t="inlineStr">
        <is>
          <t>Mock Rx20 UBU</t>
        </is>
      </c>
    </row>
    <row r="2085">
      <c r="A2085" s="15" t="inlineStr">
        <is>
          <t>2106</t>
        </is>
      </c>
      <c r="B2085" s="18" t="inlineStr">
        <is>
          <t>อาการพาร_กินสันสามารถเกิดได$จากยาใด</t>
        </is>
      </c>
      <c r="C2085" s="18" t="inlineStr"/>
      <c r="D2085" s="18" t="inlineStr">
        <is>
          <t>Sodium thiosulfate 25% 50 mL IV</t>
        </is>
      </c>
      <c r="E2085" s="18" t="inlineStr">
        <is>
          <t>Calcium disodium EDTA 1 g IV</t>
        </is>
      </c>
      <c r="F2085" s="18" t="inlineStr">
        <is>
          <t>Desferrioxamine 1 g IM/IV</t>
        </is>
      </c>
      <c r="G2085" s="18" t="inlineStr">
        <is>
          <t>Dimercaprol (BAL) 3 mg/kg IM</t>
        </is>
      </c>
      <c r="H2085" s="18" t="inlineStr">
        <is>
          <t>Ethanol 10% IV infusion for Methanol poisoning</t>
        </is>
      </c>
      <c r="I2085" s="15" t="inlineStr">
        <is>
          <t>1</t>
        </is>
      </c>
      <c r="J20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5" s="18" t="inlineStr"/>
      <c r="L2085" s="18" t="inlineStr">
        <is>
          <t>General Therapeutics</t>
        </is>
      </c>
      <c r="M2085" s="18" t="inlineStr">
        <is>
          <t>Clinic</t>
        </is>
      </c>
      <c r="N2085" s="18" t="inlineStr">
        <is>
          <t>ข้อ 5 (PLE_CC1_Key_Rx20_UBU.md)</t>
        </is>
      </c>
      <c r="O2085" s="18" t="inlineStr">
        <is>
          <t>Mock</t>
        </is>
      </c>
      <c r="P2085" s="18" t="inlineStr">
        <is>
          <t>Mock Rx20 UBU</t>
        </is>
      </c>
    </row>
    <row r="2086">
      <c r="A2086" s="15" t="inlineStr">
        <is>
          <t>2107</t>
        </is>
      </c>
      <c r="B2086" s="18" t="inlineStr">
        <is>
          <t>Pseudoephidrine</t>
        </is>
      </c>
      <c r="C2086" s="18" t="inlineStr"/>
      <c r="D2086" s="18" t="inlineStr">
        <is>
          <t>Dimercaprol (BAL) 3 mg/kg IM</t>
        </is>
      </c>
      <c r="E2086" s="18" t="inlineStr">
        <is>
          <t>Ethanol 10% IV infusion for Methanol poisoning</t>
        </is>
      </c>
      <c r="F2086" s="18" t="inlineStr">
        <is>
          <t>Fomepizole 15 mg/kg IV loading</t>
        </is>
      </c>
      <c r="G2086" s="18" t="inlineStr">
        <is>
          <t>N-acetylcysteine (NAC) IV infusion protocol</t>
        </is>
      </c>
      <c r="H2086" s="18" t="inlineStr">
        <is>
          <t>Atropine sulfate 2 mg IV Q5-10 min</t>
        </is>
      </c>
      <c r="I2086" s="15" t="inlineStr">
        <is>
          <t>1</t>
        </is>
      </c>
      <c r="J20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6" s="18" t="inlineStr"/>
      <c r="L2086" s="18" t="inlineStr">
        <is>
          <t>General Therapeutics</t>
        </is>
      </c>
      <c r="M2086" s="18" t="inlineStr">
        <is>
          <t>Clinic</t>
        </is>
      </c>
      <c r="N2086" s="18" t="inlineStr">
        <is>
          <t>ข้อ 4 (PLE_CC1_Key_Rx20_UBU.md)</t>
        </is>
      </c>
      <c r="O2086" s="18" t="inlineStr">
        <is>
          <t>Mock</t>
        </is>
      </c>
      <c r="P2086" s="18" t="inlineStr">
        <is>
          <t>Mock Rx20 UBU</t>
        </is>
      </c>
    </row>
    <row r="2087">
      <c r="A2087" s="15" t="inlineStr">
        <is>
          <t>2108</t>
        </is>
      </c>
      <c r="B2087" s="18" t="inlineStr">
        <is>
          <t>Trihexyphenidyl</t>
        </is>
      </c>
      <c r="C2087" s="18" t="inlineStr"/>
      <c r="D2087" s="18" t="inlineStr">
        <is>
          <t>N-acetylcysteine (NAC) IV infusion protocol</t>
        </is>
      </c>
      <c r="E2087" s="18" t="inlineStr">
        <is>
          <t>Atropine sulfate 2 mg IV Q5-10 min</t>
        </is>
      </c>
      <c r="F2087" s="18" t="inlineStr">
        <is>
          <t>Pralidoxime (2-PAM) 1-2 g IV over 30 min</t>
        </is>
      </c>
      <c r="G2087" s="18" t="inlineStr">
        <is>
          <t>Naloxone 0.4 mg IV stat</t>
        </is>
      </c>
      <c r="H2087" s="18" t="inlineStr">
        <is>
          <t>Flumazenil 0.2 mg IV stat</t>
        </is>
      </c>
      <c r="I2087" s="15" t="inlineStr">
        <is>
          <t>1</t>
        </is>
      </c>
      <c r="J20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7" s="18" t="inlineStr"/>
      <c r="L2087" s="18" t="inlineStr">
        <is>
          <t>General Therapeutics</t>
        </is>
      </c>
      <c r="M2087" s="18" t="inlineStr">
        <is>
          <t>Clinic</t>
        </is>
      </c>
      <c r="N2087" s="18" t="inlineStr">
        <is>
          <t>ข้อ 5 (PLE_CC1_Key_Rx20_UBU.md)</t>
        </is>
      </c>
      <c r="O2087" s="18" t="inlineStr">
        <is>
          <t>Mock</t>
        </is>
      </c>
      <c r="P2087" s="18" t="inlineStr">
        <is>
          <t>Mock Rx20 UBU</t>
        </is>
      </c>
    </row>
    <row r="2088">
      <c r="A2088" s="15" t="inlineStr">
        <is>
          <t>2109</t>
        </is>
      </c>
      <c r="B2088" s="18" t="inlineStr">
        <is>
          <t>เปลี่ยนรูปแบบยาเปญน Disperible</t>
        </is>
      </c>
      <c r="C2088" s="18" t="inlineStr"/>
      <c r="D2088" s="18" t="inlineStr">
        <is>
          <t>Naloxone 0.4 mg IV stat</t>
        </is>
      </c>
      <c r="E2088" s="18" t="inlineStr">
        <is>
          <t>Flumazenil 0.2 mg IV stat</t>
        </is>
      </c>
      <c r="F2088" s="18" t="inlineStr">
        <is>
          <t>Vitamin K1 (Phytomenadione) 10 mg IV slow</t>
        </is>
      </c>
      <c r="G2088" s="18" t="inlineStr">
        <is>
          <t>Sodium thiosulfate 25% 50 mL IV</t>
        </is>
      </c>
      <c r="H2088" s="18" t="inlineStr">
        <is>
          <t>Calcium disodium EDTA 1 g IV</t>
        </is>
      </c>
      <c r="I2088" s="15" t="inlineStr">
        <is>
          <t>1</t>
        </is>
      </c>
      <c r="J20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8" s="18" t="inlineStr"/>
      <c r="L2088" s="18" t="inlineStr">
        <is>
          <t>General Therapeutics</t>
        </is>
      </c>
      <c r="M2088" s="18" t="inlineStr">
        <is>
          <t>Clinic</t>
        </is>
      </c>
      <c r="N2088" s="18" t="inlineStr">
        <is>
          <t>ข้อ 1 (PLE_CC1_Key_Rx20_UBU.md)</t>
        </is>
      </c>
      <c r="O2088" s="18" t="inlineStr">
        <is>
          <t>Mock</t>
        </is>
      </c>
      <c r="P2088" s="18" t="inlineStr">
        <is>
          <t>Mock Rx20 UBU</t>
        </is>
      </c>
    </row>
    <row r="2089">
      <c r="A2089" s="15" t="inlineStr">
        <is>
          <t>2110</t>
        </is>
      </c>
      <c r="B2089" s="18" t="inlineStr">
        <is>
          <t>เพิ่มการรักษาด$วยยา entacapone </t>
        </is>
      </c>
      <c r="C2089" s="18" t="inlineStr"/>
      <c r="D2089" s="18" t="inlineStr">
        <is>
          <t>Sodium thiosulfate 25% 50 mL IV</t>
        </is>
      </c>
      <c r="E2089" s="18" t="inlineStr">
        <is>
          <t>Calcium disodium EDTA 1 g IV</t>
        </is>
      </c>
      <c r="F2089" s="18" t="inlineStr">
        <is>
          <t>Desferrioxamine 1 g IM/IV</t>
        </is>
      </c>
      <c r="G2089" s="18" t="inlineStr">
        <is>
          <t>Dimercaprol (BAL) 3 mg/kg IM</t>
        </is>
      </c>
      <c r="H2089" s="18" t="inlineStr">
        <is>
          <t>Ethanol 10% IV infusion for Methanol poisoning</t>
        </is>
      </c>
      <c r="I2089" s="15" t="inlineStr">
        <is>
          <t>1</t>
        </is>
      </c>
      <c r="J20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9" s="18" t="inlineStr"/>
      <c r="L2089" s="18" t="inlineStr">
        <is>
          <t>General Therapeutics</t>
        </is>
      </c>
      <c r="M2089" s="18" t="inlineStr">
        <is>
          <t>Clinic</t>
        </is>
      </c>
      <c r="N2089" s="18" t="inlineStr">
        <is>
          <t>ข้อ 2 (PLE_CC1_Key_Rx20_UBU.md)</t>
        </is>
      </c>
      <c r="O2089" s="18" t="inlineStr">
        <is>
          <t>Mock</t>
        </is>
      </c>
      <c r="P2089" s="18" t="inlineStr">
        <is>
          <t>Mock Rx20 UBU</t>
        </is>
      </c>
    </row>
    <row r="2090">
      <c r="A2090" s="15" t="inlineStr">
        <is>
          <t>2111</t>
        </is>
      </c>
      <c r="B2090" s="18" t="inlineStr">
        <is>
          <t>เพิ่มการรักษาด$วย ropinirole</t>
        </is>
      </c>
      <c r="C2090" s="18" t="inlineStr"/>
      <c r="D2090" s="18" t="inlineStr">
        <is>
          <t>Dimercaprol (BAL) 3 mg/kg IM</t>
        </is>
      </c>
      <c r="E2090" s="18" t="inlineStr">
        <is>
          <t>Ethanol 10% IV infusion for Methanol poisoning</t>
        </is>
      </c>
      <c r="F2090" s="18" t="inlineStr">
        <is>
          <t>Fomepizole 15 mg/kg IV loading</t>
        </is>
      </c>
      <c r="G2090" s="18" t="inlineStr">
        <is>
          <t>N-acetylcysteine (NAC) IV infusion protocol</t>
        </is>
      </c>
      <c r="H2090" s="18" t="inlineStr">
        <is>
          <t>Atropine sulfate 2 mg IV Q5-10 min</t>
        </is>
      </c>
      <c r="I2090" s="15" t="inlineStr">
        <is>
          <t>1</t>
        </is>
      </c>
      <c r="J209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0" s="18" t="inlineStr"/>
      <c r="L2090" s="18" t="inlineStr">
        <is>
          <t>General Therapeutics</t>
        </is>
      </c>
      <c r="M2090" s="18" t="inlineStr">
        <is>
          <t>Clinic</t>
        </is>
      </c>
      <c r="N2090" s="18" t="inlineStr">
        <is>
          <t>ข้อ 4 (PLE_CC1_Key_Rx20_UBU.md)</t>
        </is>
      </c>
      <c r="O2090" s="18" t="inlineStr">
        <is>
          <t>Mock</t>
        </is>
      </c>
      <c r="P2090" s="18" t="inlineStr">
        <is>
          <t>Mock Rx20 UBU</t>
        </is>
      </c>
    </row>
    <row r="2091">
      <c r="A2091" s="15" t="inlineStr">
        <is>
          <t>2112</t>
        </is>
      </c>
      <c r="B2091" s="18" t="inlineStr">
        <is>
          <t>จากสูตรยา %w/w Di……. Xxxxx Maize starch 100.0 จำชื่อไมGได$ แตGรู$วGาเปญน Avicel</t>
        </is>
      </c>
      <c r="C2091" s="18" t="inlineStr"/>
      <c r="D2091" s="18" t="inlineStr">
        <is>
          <t>Direct Compression tableting method</t>
        </is>
      </c>
      <c r="E2091" s="18" t="inlineStr">
        <is>
          <t>Wet Granulation tableting method</t>
        </is>
      </c>
      <c r="F2091" s="18" t="inlineStr">
        <is>
          <t>Dry Granulation (Roller Compaction)</t>
        </is>
      </c>
      <c r="G2091" s="18" t="inlineStr">
        <is>
          <t>Fluidized Bed Granulation</t>
        </is>
      </c>
      <c r="H2091" s="18" t="inlineStr">
        <is>
          <t>Film Coating with Hydroxypropyl methylcellulose (HPMC)</t>
        </is>
      </c>
      <c r="I2091" s="15" t="inlineStr">
        <is>
          <t>1</t>
        </is>
      </c>
      <c r="J2091" s="1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ง.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1" s="18" t="inlineStr"/>
      <c r="L2091" s="18" t="inlineStr">
        <is>
          <t>Solid Dosage Forms</t>
        </is>
      </c>
      <c r="M2091" s="18" t="inlineStr">
        <is>
          <t>Product</t>
        </is>
      </c>
      <c r="N2091" s="18" t="inlineStr">
        <is>
          <t>ข้อ 7 (PLE_CC1_Key_Rx20_UBU.md)</t>
        </is>
      </c>
      <c r="O2091" s="18" t="inlineStr">
        <is>
          <t>Mock</t>
        </is>
      </c>
      <c r="P2091" s="18" t="inlineStr">
        <is>
          <t>Mock Rx20 UBU</t>
        </is>
      </c>
    </row>
    <row r="2092">
      <c r="A2092" s="15" t="inlineStr">
        <is>
          <t>2113</t>
        </is>
      </c>
      <c r="B2092" s="18" t="inlineStr">
        <is>
          <t>Maize starch เปญนสารเพิ่มปริมาณ</t>
        </is>
      </c>
      <c r="C2092" s="18" t="inlineStr"/>
      <c r="D2092" s="18" t="inlineStr">
        <is>
          <t>Naloxone 0.4 mg IV stat</t>
        </is>
      </c>
      <c r="E2092" s="18" t="inlineStr">
        <is>
          <t>Flumazenil 0.2 mg IV stat</t>
        </is>
      </c>
      <c r="F2092" s="18" t="inlineStr">
        <is>
          <t>Vitamin K1 (Phytomenadione) 10 mg IV slow</t>
        </is>
      </c>
      <c r="G2092" s="18" t="inlineStr">
        <is>
          <t>Sodium thiosulfate 25% 50 mL IV</t>
        </is>
      </c>
      <c r="H2092" s="18" t="inlineStr">
        <is>
          <t>Calcium disodium EDTA 1 g IV</t>
        </is>
      </c>
      <c r="I2092" s="15" t="inlineStr">
        <is>
          <t>1</t>
        </is>
      </c>
      <c r="J20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92" s="18" t="inlineStr"/>
      <c r="L2092" s="18" t="inlineStr">
        <is>
          <t>General Therapeutics</t>
        </is>
      </c>
      <c r="M2092" s="18" t="inlineStr">
        <is>
          <t>Clinic</t>
        </is>
      </c>
      <c r="N2092" s="18" t="inlineStr">
        <is>
          <t>ข้อ 1 (PLE_CC1_Key_Rx20_UBU.md)</t>
        </is>
      </c>
      <c r="O2092" s="18" t="inlineStr">
        <is>
          <t>Mock</t>
        </is>
      </c>
      <c r="P2092" s="18" t="inlineStr">
        <is>
          <t>Mock Rx20 UBU</t>
        </is>
      </c>
    </row>
    <row r="2093">
      <c r="A2093" s="15" t="inlineStr">
        <is>
          <t>2114</t>
        </is>
      </c>
      <c r="B2093" s="18" t="inlineStr">
        <is>
          <t>Maize starch เปญนสารชGวยไหล</t>
        </is>
      </c>
      <c r="C2093" s="18" t="inlineStr"/>
      <c r="D2093" s="18" t="inlineStr">
        <is>
          <t>Sodium thiosulfate 25% 50 mL IV</t>
        </is>
      </c>
      <c r="E2093" s="18" t="inlineStr">
        <is>
          <t>Calcium disodium EDTA 1 g IV</t>
        </is>
      </c>
      <c r="F2093" s="18" t="inlineStr">
        <is>
          <t>Desferrioxamine 1 g IM/IV</t>
        </is>
      </c>
      <c r="G2093" s="18" t="inlineStr">
        <is>
          <t>Dimercaprol (BAL) 3 mg/kg IM</t>
        </is>
      </c>
      <c r="H2093" s="18" t="inlineStr">
        <is>
          <t>Ethanol 10% IV infusion for Methanol poisoning</t>
        </is>
      </c>
      <c r="I2093" s="15" t="inlineStr">
        <is>
          <t>1</t>
        </is>
      </c>
      <c r="J20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3" s="18" t="inlineStr"/>
      <c r="L2093" s="18" t="inlineStr">
        <is>
          <t>General Therapeutics</t>
        </is>
      </c>
      <c r="M2093" s="18" t="inlineStr">
        <is>
          <t>Clinic</t>
        </is>
      </c>
      <c r="N2093" s="18" t="inlineStr">
        <is>
          <t>ข้อ 2 (PLE_CC1_Key_Rx20_UBU.md)</t>
        </is>
      </c>
      <c r="O2093" s="18" t="inlineStr">
        <is>
          <t>Mock</t>
        </is>
      </c>
      <c r="P2093" s="18" t="inlineStr">
        <is>
          <t>Mock Rx20 UBU</t>
        </is>
      </c>
    </row>
    <row r="2094">
      <c r="A2094" s="15" t="inlineStr">
        <is>
          <t>2115</t>
        </is>
      </c>
      <c r="B2094" s="18" t="inlineStr">
        <is>
          <t>Avicel เปญนสารชGวยไหล</t>
        </is>
      </c>
      <c r="C2094" s="18" t="inlineStr"/>
      <c r="D2094" s="18" t="inlineStr">
        <is>
          <t>Magnesium stearate (Lubricant 1%)</t>
        </is>
      </c>
      <c r="E2094" s="18" t="inlineStr">
        <is>
          <t>Sodium starch glycolate (Superdisintegrant)</t>
        </is>
      </c>
      <c r="F2094" s="18" t="inlineStr">
        <is>
          <t>Direct Compression tableting method</t>
        </is>
      </c>
      <c r="G2094" s="18" t="inlineStr">
        <is>
          <t>Wet Granulation tableting method</t>
        </is>
      </c>
      <c r="H2094" s="18" t="inlineStr">
        <is>
          <t>Dry Granulation (Roller Compaction)</t>
        </is>
      </c>
      <c r="I2094" s="15" t="inlineStr">
        <is>
          <t>1</t>
        </is>
      </c>
      <c r="J2094" s="1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4" s="18" t="inlineStr"/>
      <c r="L2094" s="18" t="inlineStr">
        <is>
          <t>Solid Dosage Forms</t>
        </is>
      </c>
      <c r="M2094" s="18" t="inlineStr">
        <is>
          <t>Product</t>
        </is>
      </c>
      <c r="N2094" s="18" t="inlineStr">
        <is>
          <t>ข้อ 3 (PLE_CC1_Key_Rx20_UBU.md)</t>
        </is>
      </c>
      <c r="O2094" s="18" t="inlineStr">
        <is>
          <t>Mock</t>
        </is>
      </c>
      <c r="P2094" s="18" t="inlineStr">
        <is>
          <t>Mock Rx20 UBU</t>
        </is>
      </c>
    </row>
    <row r="2095">
      <c r="A2095" s="15" t="inlineStr">
        <is>
          <t>2116</t>
        </is>
      </c>
      <c r="B2095" s="18" t="inlineStr">
        <is>
          <t>ยา Oxandrolone ถือเป็นยาประเภทใด</t>
        </is>
      </c>
      <c r="C2095" s="18" t="inlineStr"/>
      <c r="D2095" s="18" t="inlineStr">
        <is>
          <t>ยาที่ไม่ได้ขึ้นทะเบียน</t>
        </is>
      </c>
      <c r="E2095" s="18" t="inlineStr">
        <is>
          <t>ยาปลอม</t>
        </is>
      </c>
      <c r="F2095" s="18" t="inlineStr">
        <is>
          <t>ยาผิดมาตรฐาน</t>
        </is>
      </c>
      <c r="G2095" s="18" t="inlineStr">
        <is>
          <t>ยาเสื่อมคุณภาพ</t>
        </is>
      </c>
      <c r="H2095" s="18" t="inlineStr">
        <is>
          <t>ยายกเลิกทะเบียน</t>
        </is>
      </c>
      <c r="I2095" s="15" t="inlineStr">
        <is>
          <t>1</t>
        </is>
      </c>
      <c r="J2095" s="18" t="inlineStr">
        <is>
          <t>✅ คำตอบที่ถูกต้อง: ข้อ ก. ยาที่ไม่ได้ขึ้นทะเบียน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ยาที่ไม่ได้ขึ้นทะเบียน การเลือก ยาที่ไม่ได้ขึ้นทะเบียน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จ.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5" s="18" t="inlineStr"/>
      <c r="L2095" s="18" t="inlineStr">
        <is>
          <t>General Therapeutics</t>
        </is>
      </c>
      <c r="M2095" s="18" t="inlineStr">
        <is>
          <t>Clinic</t>
        </is>
      </c>
      <c r="N2095" s="18" t="inlineStr">
        <is>
          <t>ข้อ 1 (PLE_CC1_Key_Rx20_UBU.md)</t>
        </is>
      </c>
      <c r="O2095" s="18" t="inlineStr">
        <is>
          <t>Mock</t>
        </is>
      </c>
      <c r="P2095" s="18" t="inlineStr">
        <is>
          <t>Mock Rx20 UBU</t>
        </is>
      </c>
    </row>
    <row r="2096">
      <c r="A2096" s="15" t="inlineStr">
        <is>
          <t>2117</t>
        </is>
      </c>
      <c r="B2096" s="18" t="inlineStr">
        <is>
          <t>กรณีพบยา Oxandrolone ในร้านขายยา ใครถือเป็นผู้กระทำความผิด</t>
        </is>
      </c>
      <c r="C2096" s="18" t="inlineStr"/>
      <c r="D2096" s="18" t="inlineStr">
        <is>
          <t>นาย ก.</t>
        </is>
      </c>
      <c r="E2096" s="18" t="inlineStr">
        <is>
          <t>นาย ข.</t>
        </is>
      </c>
      <c r="F2096" s="18" t="inlineStr">
        <is>
          <t>นาย ค.</t>
        </is>
      </c>
      <c r="G2096" s="18" t="inlineStr">
        <is>
          <t>นาย ก. และนาย ค.</t>
        </is>
      </c>
      <c r="H2096" s="18" t="inlineStr">
        <is>
          <t>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t>
        </is>
      </c>
      <c r="I2096" s="15" t="inlineStr">
        <is>
          <t>4</t>
        </is>
      </c>
      <c r="J2096" s="18" t="inlineStr">
        <is>
          <t>✅ คำตอบที่ถูกต้อง: ข้อ ง. นาย ก. และนาย ค.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ก. และนาย ค. การเลือก นาย ก. และนาย ค.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(นาย ก.): ข้อนี้ไม่ใช่คำตอบที่ถูกต้องสำหรับภาวะ General Therapeutics เนื่องจากกลไกการออกฤทธิ์, efficacy หรือข้อบ่งใช้ไม่ตรงกับโจทย์ที่กำหนด
• ข้อ ข. (นาย ข.): ข้อนี้ไม่ใช่คำตอบที่ถูกต้องสำหรับภาวะ General Therapeutics เนื่องจากกลไกการออกฤทธิ์, efficacy หรือข้อบ่งใช้ไม่ตรงกับโจทย์ที่กำหนด
• ข้อ ค. (นาย ค.): ข้อนี้ไม่ใช่คำตอบที่ถูกต้องสำหรับภาวะ General Therapeutics เนื่องจากกลไกการออกฤทธิ์, efficacy หรือข้อบ่งใช้ไม่ตรงกับโจทย์ที่กำหนด
• ข้อ จ. (ไม่มีใครมีความผิด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6" s="18" t="inlineStr"/>
      <c r="L2096" s="18" t="inlineStr">
        <is>
          <t>General Therapeutics</t>
        </is>
      </c>
      <c r="M2096" s="18" t="inlineStr">
        <is>
          <t>Clinic</t>
        </is>
      </c>
      <c r="N2096" s="18" t="inlineStr">
        <is>
          <t>ข้อ 2 (PLE_CC1_Key_Rx20_UBU.md)</t>
        </is>
      </c>
      <c r="O2096" s="18" t="inlineStr">
        <is>
          <t>Mock</t>
        </is>
      </c>
      <c r="P2096" s="18" t="inlineStr">
        <is>
          <t>Mock Rx20 UBU</t>
        </is>
      </c>
    </row>
    <row r="2097">
      <c r="A2097" s="15" t="inlineStr">
        <is>
          <t>2118</t>
        </is>
      </c>
      <c r="B2097" s="18"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097" s="18" t="inlineStr"/>
      <c r="D2097" s="18" t="inlineStr">
        <is>
          <t>ไม่มีใครมีความผิด เนื่องจากยังไม่มีการขายยาดังกล่าวเกิดขึ้น</t>
        </is>
      </c>
      <c r="E2097" s="18" t="inlineStr">
        <is>
          <t>นาย ก. ผิดผลิตยาชุด</t>
        </is>
      </c>
      <c r="F2097" s="18" t="inlineStr">
        <is>
          <t>นาย ก. ผิดขายยาชุด</t>
        </is>
      </c>
      <c r="G2097" s="18" t="inlineStr">
        <is>
          <t>นาย ข. ผิดผลิตยาชุด</t>
        </is>
      </c>
      <c r="H2097" s="18" t="inlineStr">
        <is>
          <t>นาย ข. ผิดขายยาชุด จากโจทย์ไม่ได้ระบุว่าแบ่งบรรจุเอง ดังนั้นจึงมุ่งประเด็นที่มีไว้เพื่อขาย ซึ่งผิดทั้งนาย ก. และนาย ข</t>
        </is>
      </c>
      <c r="I2097" s="15" t="inlineStr">
        <is>
          <t>1</t>
        </is>
      </c>
      <c r="J2097" s="18" t="inlineStr">
        <is>
          <t>✅ คำตอบที่ถูกต้อง: ข้อ ก. ไม่มีใครมีความผิด เนื่องจากยังไม่มีการขายยาดังกล่าวเกิดขึ้น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ไม่มีใครมีความผิด เนื่องจากยังไม่มีการขายยาดังกล่าวเกิดขึ้น 💡 คำอธิบายและเหตุผลทางเภสัชกรรม:
💡 คำอธิบายและเหตุผลทางเภสัชกรรม:
การเลือก ไม่มีใครมีความผิด เนื่องจากยังไม่มีการขายยาดังกล่าวเกิดขึ้น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(นาย ก.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ค. (นาย ก. ผิดขายยาชุด): ข้อนี้ไม่ใช่คำตอบที่ถูกต้องสำหรับภาวะ Solid Dosage Forms เนื่องจากกลไกการออกฤทธิ์, efficacy หรือข้อบ่งใช้ไม่ตรงกับโจทย์ที่กำหนด
• ข้อ ง. (นาย ข.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จ. (นาย ข. ผิดขายยาชุด จากโจทย์ไม่ได้ระบุว่าแบ่งบรรจุเอง ดังนั้นจึงมุ่งประเด็นที่มีไว้เพื่อขาย ซึ่งผิดทั้งนาย ก. และนาย ข):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7" s="18" t="inlineStr"/>
      <c r="L2097" s="18" t="inlineStr">
        <is>
          <t>Solid Dosage Forms</t>
        </is>
      </c>
      <c r="M2097" s="18" t="inlineStr">
        <is>
          <t>Product</t>
        </is>
      </c>
      <c r="N2097" s="18" t="inlineStr">
        <is>
          <t>ข้อ 3 (PLE_CC1_Key_Rx20_UBU.md)</t>
        </is>
      </c>
      <c r="O2097" s="18" t="inlineStr">
        <is>
          <t>Mock</t>
        </is>
      </c>
      <c r="P2097" s="18" t="inlineStr">
        <is>
          <t>Mock Rx20 UBU</t>
        </is>
      </c>
    </row>
    <row r="2098">
      <c r="A2098" s="15" t="inlineStr">
        <is>
          <t>2119</t>
        </is>
      </c>
      <c r="B2098" s="18" t="inlineStr">
        <is>
          <t>ยา X ซึ่งปรากฏสถานที่ผลิตไม่ตรงตามความเป็นจริง ถือเป็นยาประเภทใด</t>
        </is>
      </c>
      <c r="C2098" s="18" t="inlineStr"/>
      <c r="D2098" s="18" t="inlineStr">
        <is>
          <t>ยาปลอม</t>
        </is>
      </c>
      <c r="E2098" s="18" t="inlineStr">
        <is>
          <t>ยาผิดมาตรฐาน</t>
        </is>
      </c>
      <c r="F2098" s="18" t="inlineStr">
        <is>
          <t>ยาเสื่อมคุณภาพ</t>
        </is>
      </c>
      <c r="G2098" s="18" t="inlineStr">
        <is>
          <t>ยายกเลิกทะเบียน</t>
        </is>
      </c>
      <c r="H2098" s="18" t="inlineStr">
        <is>
          <t>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t>
        </is>
      </c>
      <c r="I2098" s="15" t="inlineStr">
        <is>
          <t>1</t>
        </is>
      </c>
      <c r="J2098" s="18" t="inlineStr">
        <is>
          <t>✅ คำตอบที่ถูกต้อง: ข้อ ก. ยาปลอม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ยาปลอม การเลือก ยาปลอม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98" s="18" t="inlineStr"/>
      <c r="L2098" s="18" t="inlineStr">
        <is>
          <t>General Therapeutics</t>
        </is>
      </c>
      <c r="M2098" s="18" t="inlineStr">
        <is>
          <t>Clinic</t>
        </is>
      </c>
      <c r="N2098" s="18" t="inlineStr">
        <is>
          <t>ข้อ 4 (PLE_CC1_Key_Rx20_UBU.md)</t>
        </is>
      </c>
      <c r="O2098" s="18" t="inlineStr">
        <is>
          <t>Mock</t>
        </is>
      </c>
      <c r="P2098" s="18" t="inlineStr">
        <is>
          <t>Mock Rx20 UBU</t>
        </is>
      </c>
    </row>
    <row r="2099">
      <c r="A2099" s="15" t="inlineStr">
        <is>
          <t>2120</t>
        </is>
      </c>
      <c r="B2099" s="18" t="inlineStr">
        <is>
          <t>ยา Rosiglitazone ถือเป็นยาประเภทใด</t>
        </is>
      </c>
      <c r="C2099" s="18" t="inlineStr"/>
      <c r="D2099" s="18" t="inlineStr">
        <is>
          <t>ยาที่ไม่ขึ้นทะเบียนตำรับยา</t>
        </is>
      </c>
      <c r="E2099" s="18" t="inlineStr">
        <is>
          <t>ยาปลอม</t>
        </is>
      </c>
      <c r="F2099" s="18" t="inlineStr">
        <is>
          <t>ยาผิดมาตรฐาน</t>
        </is>
      </c>
      <c r="G2099" s="18" t="inlineStr">
        <is>
          <t>ยาที่ถูกยกเลิกทะเบียน</t>
        </is>
      </c>
      <c r="H2099" s="18" t="inlineStr">
        <is>
          <t>ยาที่ถูกเพิกถอนทะเบียน</t>
        </is>
      </c>
      <c r="I2099" s="15" t="inlineStr">
        <is>
          <t>5</t>
        </is>
      </c>
      <c r="J2099" s="18" t="inlineStr">
        <is>
          <t>✅ คำตอบที่ถูกต้อง: ข้อ จ. ยาที่ถูกเพิกถอนทะเบียน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ยาที่ถูกเพิกถอนทะเบียน การเลือก ยาที่ถูกเพิกถอนทะเบียน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(ยาที่ไม่ขึ้นทะเบียนตำรับยา):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(ยาที่ถูกยกเลิกทะเบียน):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9" s="18" t="inlineStr"/>
      <c r="L2099" s="18" t="inlineStr">
        <is>
          <t>General Therapeutics</t>
        </is>
      </c>
      <c r="M2099" s="18" t="inlineStr">
        <is>
          <t>Clinic</t>
        </is>
      </c>
      <c r="N2099" s="18" t="inlineStr">
        <is>
          <t>ข้อ 7 (PLE_CC1_Key_Rx20_UBU.md)</t>
        </is>
      </c>
      <c r="O2099" s="18" t="inlineStr">
        <is>
          <t>Mock</t>
        </is>
      </c>
      <c r="P2099" s="18" t="inlineStr">
        <is>
          <t>Mock Rx20 UBU</t>
        </is>
      </c>
    </row>
    <row r="2100">
      <c r="A2100" s="15" t="inlineStr">
        <is>
          <t>2121</t>
        </is>
      </c>
      <c r="B2100" s="18" t="inlineStr">
        <is>
          <t>การพบยาทั้ง 5 รายการวางอยู่บนชั้นขายยา เภสัชกรผู้มีหน้าที่ปฏิบัติการมีความผิดหรือไม่ตามข้อใด</t>
        </is>
      </c>
      <c r="C2100" s="18" t="inlineStr"/>
      <c r="D2100" s="18" t="inlineStr">
        <is>
          <t>ไม่มีความผิด เพราะไม่มีการขายยาเกิดขึ้น</t>
        </is>
      </c>
      <c r="E2100" s="18" t="inlineStr">
        <is>
          <t>มีความผิดฐานขายยาผิดกฎหมาย</t>
        </is>
      </c>
      <c r="F2100" s="18" t="inlineStr">
        <is>
          <t>มีความผิดฐานไม่อยู่ประจำที่ร้านในเวลาปฏิบัติการ</t>
        </is>
      </c>
      <c r="G2100" s="18" t="inlineStr">
        <is>
          <t>มีความผิดฐานไม่ควบคุมการขายยาให้เป็นไปตามพรบ</t>
        </is>
      </c>
      <c r="H2100" s="18" t="inlineStr">
        <is>
          <t>มีความผิดฐานไม่ควบคุมการส่งมอบยาอันตรายและยาควบคุมพิเศษ</t>
        </is>
      </c>
      <c r="I2100" s="15" t="inlineStr">
        <is>
          <t>3</t>
        </is>
      </c>
      <c r="J2100" s="18" t="inlineStr">
        <is>
          <t>✅ คำตอบที่ถูกต้อง: ข้อ ค. มีความผิดฐานไม่อยู่ประจำที่ร้านในเวลาปฏิบัติการ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มีความผิดฐานไม่อยู่ประจำที่ร้านในเวลาปฏิบัติการ 💡 คำอธิบายและข้อกำหนดทางกฎหมาย:
💡 คำอธิบายและข้อกำหนดทางกฎหมาย:
การเลือก มีความผิดฐานไม่อยู่ประจำที่ร้านในเวลาปฏิบัติการ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เพราะไม่มีการขายยาเกิดขึ้น):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0" s="18" t="inlineStr"/>
      <c r="L2100" s="18" t="inlineStr">
        <is>
          <t>Pharmacy Laws &amp; Ethics</t>
        </is>
      </c>
      <c r="M2100" s="18" t="inlineStr">
        <is>
          <t>SAP</t>
        </is>
      </c>
      <c r="N2100" s="18" t="inlineStr">
        <is>
          <t>ข้อ 8 (PLE_CC1_Key_Rx20_UBU.md)</t>
        </is>
      </c>
      <c r="O2100" s="18" t="inlineStr">
        <is>
          <t>Mock</t>
        </is>
      </c>
      <c r="P2100" s="18" t="inlineStr">
        <is>
          <t>Mock Rx20 UBU</t>
        </is>
      </c>
    </row>
    <row r="2101">
      <c r="A2101" s="15" t="inlineStr">
        <is>
          <t>2122</t>
        </is>
      </c>
      <c r="B2101" s="18" t="inlineStr">
        <is>
          <t>การที่ร้านยาดังกล่าวไม่มีการจัดทำบัญชีซื้อขายยา เภสัชกรผู้มีหน้าที่ปฏิบัติการมีความผิดหรือไม่ตามข้อใด</t>
        </is>
      </c>
      <c r="C2101" s="18" t="inlineStr"/>
      <c r="D2101" s="18" t="inlineStr">
        <is>
          <t>ไม่มีความผิด</t>
        </is>
      </c>
      <c r="E2101" s="18" t="inlineStr">
        <is>
          <t>มีความผิดฐานไม่จัดทำบัญชีซื้อขายยา</t>
        </is>
      </c>
      <c r="F2101" s="18" t="inlineStr">
        <is>
          <t>มีความผิดฐานไม่ควบคุมการทำบัญชียา</t>
        </is>
      </c>
      <c r="G2101" s="18" t="inlineStr">
        <is>
          <t>มีความผิดฐานไม่จัดทำบัญชีซื้อขายยาอันตราย</t>
        </is>
      </c>
      <c r="H2101" s="18" t="inlineStr">
        <is>
          <t>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t>
        </is>
      </c>
      <c r="I2101" s="15" t="inlineStr">
        <is>
          <t>3</t>
        </is>
      </c>
      <c r="J2101" s="18" t="inlineStr">
        <is>
          <t>✅ คำตอบที่ถูกต้อง: ข้อ ค. มีความผิดฐานไม่ควบคุมการทำบัญชียา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มีความผิดฐานไม่ควบคุมการทำบัญชียา 💡 คำอธิบายและข้อกำหนดทางกฎหมาย:
💡 คำอธิบายและข้อกำหนดทางกฎหมาย:
การเลือก มีความผิดฐานไม่ควบคุมการทำบัญชียา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(มีความผิดฐานไม่จัดทำบัญชีซื้อขายยา):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(มีความผิดฐานไม่จัดทำบัญชีซื้อขายยาอันตราย):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1" s="18" t="inlineStr"/>
      <c r="L2101" s="18" t="inlineStr">
        <is>
          <t>Pharmacy Laws &amp; Ethics</t>
        </is>
      </c>
      <c r="M2101" s="18" t="inlineStr">
        <is>
          <t>SAP</t>
        </is>
      </c>
      <c r="N2101" s="18" t="inlineStr">
        <is>
          <t>ข้อ 9 (PLE_CC1_Key_Rx20_UBU.md)</t>
        </is>
      </c>
      <c r="O2101" s="18" t="inlineStr">
        <is>
          <t>Mock</t>
        </is>
      </c>
      <c r="P2101" s="18" t="inlineStr">
        <is>
          <t>Mock Rx20 UBU</t>
        </is>
      </c>
    </row>
    <row r="2102">
      <c r="A2102" s="15" t="inlineStr">
        <is>
          <t>2123</t>
        </is>
      </c>
      <c r="B2102" s="18" t="inlineStr">
        <is>
          <t>กรณีที่พบเพียงนาย ค. อยู่ในร้าน แต่ไม่พบนาย ก. และนาย ข. ใครถือเป็นผู้กระทำความผิด</t>
        </is>
      </c>
      <c r="C2102" s="18" t="inlineStr"/>
      <c r="D2102" s="18" t="inlineStr">
        <is>
          <t>ไม่มีใครกระทำผิด</t>
        </is>
      </c>
      <c r="E2102" s="18" t="inlineStr">
        <is>
          <t>นาย ก. ซึ่งผู้รับอนุญาตผิด เนื่องจากไม่อยู่ตลอดเวลาที่ร้านเปิด</t>
        </is>
      </c>
      <c r="F2102" s="18" t="inlineStr">
        <is>
          <t>นาย ข. ซึ่งเป็นเภสัชผู้มีหน้าที่ปฏิบัติการผิดเนื่องจากไม่อยู่ประจำร้านตลอดระยะเวลาที่เปิดทำการ</t>
        </is>
      </c>
      <c r="G2102" s="18" t="inlineStr">
        <is>
          <t>นาย ค. ซึงเป็นบิดาของผู้รับอนุญาตผิด เนื่องจากไม่มีสิทธิอยู่ประจำร้าน</t>
        </is>
      </c>
      <c r="H2102" s="18" t="inlineStr">
        <is>
          <t>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t>
        </is>
      </c>
      <c r="I2102" s="15" t="inlineStr">
        <is>
          <t>3</t>
        </is>
      </c>
      <c r="J2102" s="18" t="inlineStr">
        <is>
          <t>✅ คำตอบที่ถูกต้อง: ข้อ ค. นาย ข. ซึ่งเป็นเภสัชผู้มีหน้าที่ปฏิบัติการผิดเนื่องจากไม่อยู่ประจำร้านตลอดระยะเวลาที่เปิดทำการ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ข. ซึ่งเป็นเภสัชผู้มีหน้าที่ปฏิบัติการผิดเนื่องจากไม่อยู่ประจำร้านตลอดระยะเวลาที่เปิดทำการ การเลือก นาย ข. ซึ่งเป็นเภสัชผู้มีหน้าที่ปฏิบัติการผิดเนื่องจากไม่อยู่ประจำร้านตลอดระยะเวลาที่เปิดทำการ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(ไม่มีใครกระทำผิด): ข้อนี้ไม่ใช่คำตอบที่ถูกต้องสำหรับภาวะ General Therapeutics เนื่องจากกลไกการออกฤทธิ์, efficacy หรือข้อบ่งใช้ไม่ตรงกับโจทย์ที่กำหนด
• ข้อ ข. (นาย ก. ซึ่งผู้รับอนุญาตผิด เนื่องจากไม่อยู่ตลอดเวลาที่ร้านเปิด): ข้อนี้ไม่ใช่คำตอบที่ถูกต้องสำหรับภาวะ General Therapeutics เนื่องจากกลไกการออกฤทธิ์, efficacy หรือข้อบ่งใช้ไม่ตรงกับโจทย์ที่กำหนด
• ข้อ ง. (นาย ค. ซึงเป็นบิดาของผู้รับอนุญาตผิด เนื่องจากไม่มีสิทธิอยู่ประจำร้าน): ข้อนี้ไม่ใช่คำตอบที่ถูกต้องสำหรับภาวะ General Therapeutics เนื่องจากกลไกการออกฤทธิ์, efficacy หรือข้อบ่งใช้ไม่ตรงกับโจทย์ที่กำหนด
• ข้อ จ. (ผิดทั้งนาย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2" s="18" t="inlineStr"/>
      <c r="L2102" s="18" t="inlineStr">
        <is>
          <t>General Therapeutics</t>
        </is>
      </c>
      <c r="M2102" s="18" t="inlineStr">
        <is>
          <t>Clinic</t>
        </is>
      </c>
      <c r="N2102" s="18" t="inlineStr">
        <is>
          <t>ข้อ 11 (PLE_CC1_Key_Rx20_UBU.md)</t>
        </is>
      </c>
      <c r="O2102" s="18" t="inlineStr">
        <is>
          <t>Mock</t>
        </is>
      </c>
      <c r="P2102" s="18" t="inlineStr">
        <is>
          <t>Mock Rx20 UBU</t>
        </is>
      </c>
    </row>
    <row r="2103">
      <c r="A2103" s="15" t="inlineStr">
        <is>
          <t>2124</t>
        </is>
      </c>
      <c r="B2103" s="18" t="inlineStr">
        <is>
          <t>เส้นประและเส้นทึบคืออะไรตามลำดับ</t>
        </is>
      </c>
      <c r="C2103" s="18" t="inlineStr"/>
      <c r="D2103" s="18" t="inlineStr">
        <is>
          <t>Immunoglobulin M, Immunoglobulin G</t>
        </is>
      </c>
      <c r="E2103" s="18" t="inlineStr">
        <is>
          <t>Immunoglobulin G, Immunoglobulin M</t>
        </is>
      </c>
      <c r="F2103" s="18" t="inlineStr">
        <is>
          <t>Immunoglobulin M, Immunoglobulin A</t>
        </is>
      </c>
      <c r="G2103" s="18" t="inlineStr">
        <is>
          <t>Immunoglobulin G, Immunoglobulin E</t>
        </is>
      </c>
      <c r="H2103" s="18" t="inlineStr">
        <is>
          <t>Immunoglobulin A, Immunoglobulin G</t>
        </is>
      </c>
      <c r="I2103" s="15" t="inlineStr">
        <is>
          <t>2</t>
        </is>
      </c>
      <c r="J2103" s="18" t="inlineStr">
        <is>
          <t>✅ คำตอบที่ถูกต้อง: ข้อ ข. Immunoglobulin G, Immunoglobulin 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Immunoglobulin G, Immunoglobulin M การเลือก Immunoglobulin G, Immunoglobulin 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(Immunoglobulin M, Immunoglobulin G): ข้อนี้ไม่ใช่คำตอบที่ถูกต้องสำหรับภาวะ General Therapeutics เนื่องจากกลไกการออกฤทธิ์, efficacy หรือข้อบ่งใช้ไม่ตรงกับโจทย์ที่กำหนด
• ข้อ ค. (Immunoglobulin M, Immunoglobulin A): ข้อนี้ไม่ใช่คำตอบที่ถูกต้องสำหรับภาวะ General Therapeutics เนื่องจากกลไกการออกฤทธิ์, efficacy หรือข้อบ่งใช้ไม่ตรงกับโจทย์ที่กำหนด
• ข้อ ง. (Immunoglobulin G, Immunoglobulin E): ข้อนี้ไม่ใช่คำตอบที่ถูกต้องสำหรับภาวะ General Therapeutics เนื่องจากกลไกการออกฤทธิ์, efficacy หรือข้อบ่งใช้ไม่ตรงกับโจทย์ที่กำหนด
• ข้อ จ. (Immunoglobulin A, Immunoglobulin 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03" s="18" t="inlineStr"/>
      <c r="L2103" s="18" t="inlineStr">
        <is>
          <t>General Therapeutics</t>
        </is>
      </c>
      <c r="M2103" s="18" t="inlineStr">
        <is>
          <t>Clinic</t>
        </is>
      </c>
      <c r="N2103" s="18" t="inlineStr">
        <is>
          <t>ข้อ 4 (PLE_CC1_Key_Rx20_UBU.md)</t>
        </is>
      </c>
      <c r="O2103" s="18" t="inlineStr">
        <is>
          <t>Mock</t>
        </is>
      </c>
      <c r="P2103" s="18" t="inlineStr">
        <is>
          <t>Mock Rx20 UBU</t>
        </is>
      </c>
    </row>
    <row r="2104">
      <c r="A2104" s="15" t="inlineStr">
        <is>
          <t>2125</t>
        </is>
      </c>
      <c r="B2104" s="18" t="inlineStr">
        <is>
          <t>ผู้ป่วยควรได้รับยาอะไรในการบรรเทาโรคดังกลา่วจึงจะมี ความเหมาะสมมากที่สุด</t>
        </is>
      </c>
      <c r="C2104" s="18" t="inlineStr"/>
      <c r="D2104" s="18" t="inlineStr">
        <is>
          <t>Paracetamol</t>
        </is>
      </c>
      <c r="E2104" s="18" t="inlineStr">
        <is>
          <t>Colchicine</t>
        </is>
      </c>
      <c r="F2104" s="18" t="inlineStr">
        <is>
          <t>Orphenadrine</t>
        </is>
      </c>
      <c r="G2104" s="18" t="inlineStr">
        <is>
          <t>Prednisolone</t>
        </is>
      </c>
      <c r="H2104" s="18" t="inlineStr">
        <is>
          <t>Glucosamine</t>
        </is>
      </c>
      <c r="I2104" s="15" t="inlineStr">
        <is>
          <t>1</t>
        </is>
      </c>
      <c r="J2104" s="18"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(Orphenadrine): ข้อนี้ไม่ใช่คำตอบที่ถูกต้องสำหรับภาวะ General Therapeutics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(Glucosamine): เป็นเพียง dietary supplement / symptom-modifying therapy สำหรับ OA ไม่ได้จัดเป็น disease-modifying agent และ CPG สากล (ACR) ไม่แนะนำให้ใช้เป็น first-line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4" s="18" t="inlineStr"/>
      <c r="L2104" s="18" t="inlineStr">
        <is>
          <t>General Therapeutics</t>
        </is>
      </c>
      <c r="M2104" s="18" t="inlineStr">
        <is>
          <t>Clinic</t>
        </is>
      </c>
      <c r="N2104" s="18" t="inlineStr">
        <is>
          <t>ข้อ 2 (PLE_CC1_Key_Rx20_UBU.md)</t>
        </is>
      </c>
      <c r="O2104" s="18" t="inlineStr">
        <is>
          <t>Mock</t>
        </is>
      </c>
      <c r="P2104" s="18" t="inlineStr">
        <is>
          <t>Mock Rx20 UBU</t>
        </is>
      </c>
    </row>
    <row r="2105">
      <c r="A2105" s="15" t="inlineStr">
        <is>
          <t>2126</t>
        </is>
      </c>
      <c r="B2105" s="18" t="inlineStr">
        <is>
          <t>สูตรคำนวณ First-order reaction :</t>
        </is>
      </c>
      <c r="C2105" s="18" t="inlineStr"/>
      <c r="D2105" s="18" t="inlineStr">
        <is>
          <t>Osmolarity (mOsmol/L) calculation</t>
        </is>
      </c>
      <c r="E2105" s="18" t="inlineStr">
        <is>
          <t>Sodium Chloride Equivalent (E-value) Isotonic adjustment</t>
        </is>
      </c>
      <c r="F2105" s="18" t="inlineStr">
        <is>
          <t>Creatinine Clearance via Cockcroft-Gault Equation</t>
        </is>
      </c>
      <c r="G2105" s="18" t="inlineStr">
        <is>
          <t>Body Surface Area (BSA) via Mosteller formula</t>
        </is>
      </c>
      <c r="H2105" s="18" t="inlineStr">
        <is>
          <t>Pediatric dose calculation via Clark / Young rule</t>
        </is>
      </c>
      <c r="I2105" s="15" t="inlineStr">
        <is>
          <t>1</t>
        </is>
      </c>
      <c r="J2105" s="18"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05" s="18" t="inlineStr"/>
      <c r="L2105" s="18" t="inlineStr">
        <is>
          <t>Pharmaceutical Calculations</t>
        </is>
      </c>
      <c r="M2105" s="18" t="inlineStr">
        <is>
          <t>Product</t>
        </is>
      </c>
      <c r="N2105" s="18" t="inlineStr">
        <is>
          <t>ข้อ 4 (PLE_CC1_Key_Rx20_UBU.md)</t>
        </is>
      </c>
      <c r="O2105" s="18" t="inlineStr">
        <is>
          <t>Mock</t>
        </is>
      </c>
      <c r="P2105" s="18" t="inlineStr">
        <is>
          <t>Mock Rx20 UBU</t>
        </is>
      </c>
    </row>
    <row r="2106">
      <c r="A2106" s="15" t="inlineStr">
        <is>
          <t>2127</t>
        </is>
      </c>
      <c r="B2106" s="18" t="inlineStr">
        <is>
          <t>ขนาด particle size</t>
        </is>
      </c>
      <c r="C2106" s="18" t="inlineStr"/>
      <c r="D2106" s="18" t="inlineStr">
        <is>
          <t>Dimercaprol (BAL) 3 mg/kg IM</t>
        </is>
      </c>
      <c r="E2106" s="18" t="inlineStr">
        <is>
          <t>Ethanol 10% IV infusion for Methanol poisoning</t>
        </is>
      </c>
      <c r="F2106" s="18" t="inlineStr">
        <is>
          <t>Fomepizole 15 mg/kg IV loading</t>
        </is>
      </c>
      <c r="G2106" s="18" t="inlineStr">
        <is>
          <t>N-acetylcysteine (NAC) IV infusion protocol</t>
        </is>
      </c>
      <c r="H2106" s="18" t="inlineStr">
        <is>
          <t>Atropine sulfate 2 mg IV Q5-10 min</t>
        </is>
      </c>
      <c r="I2106" s="15" t="inlineStr">
        <is>
          <t>1</t>
        </is>
      </c>
      <c r="J21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6" s="18" t="inlineStr"/>
      <c r="L2106" s="18" t="inlineStr">
        <is>
          <t>General Therapeutics</t>
        </is>
      </c>
      <c r="M2106" s="18" t="inlineStr">
        <is>
          <t>Clinic</t>
        </is>
      </c>
      <c r="N2106" s="18" t="inlineStr">
        <is>
          <t>ข้อ 3 (PLE_CC1_Key_Rx20_UBU.md)</t>
        </is>
      </c>
      <c r="O2106" s="18" t="inlineStr">
        <is>
          <t>Mock</t>
        </is>
      </c>
      <c r="P2106" s="18" t="inlineStr">
        <is>
          <t>Mock Rx20 UBU</t>
        </is>
      </c>
    </row>
    <row r="2107">
      <c r="A2107" s="15" t="inlineStr">
        <is>
          <t>2128</t>
        </is>
      </c>
      <c r="B2107" s="18" t="inlineStr">
        <is>
          <t>ลด motor fluctuation</t>
        </is>
      </c>
      <c r="C2107" s="18" t="inlineStr"/>
      <c r="D2107" s="18" t="inlineStr">
        <is>
          <t>N-acetylcysteine (NAC) IV infusion protocol</t>
        </is>
      </c>
      <c r="E2107" s="18" t="inlineStr">
        <is>
          <t>Atropine sulfate 2 mg IV Q5-10 min</t>
        </is>
      </c>
      <c r="F2107" s="18" t="inlineStr">
        <is>
          <t>Pralidoxime (2-PAM) 1-2 g IV over 30 min</t>
        </is>
      </c>
      <c r="G2107" s="18" t="inlineStr">
        <is>
          <t>Naloxone 0.4 mg IV stat</t>
        </is>
      </c>
      <c r="H2107" s="18" t="inlineStr">
        <is>
          <t>Flumazenil 0.2 mg IV stat</t>
        </is>
      </c>
      <c r="I2107" s="15" t="inlineStr">
        <is>
          <t>1</t>
        </is>
      </c>
      <c r="J21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07" s="18" t="inlineStr"/>
      <c r="L2107" s="18" t="inlineStr">
        <is>
          <t>General Therapeutics</t>
        </is>
      </c>
      <c r="M2107" s="18" t="inlineStr">
        <is>
          <t>Clinic</t>
        </is>
      </c>
      <c r="N2107" s="18" t="inlineStr">
        <is>
          <t>ข้อ 3 (PLE_CC1_Key_Rx20_UBU.md)</t>
        </is>
      </c>
      <c r="O2107" s="18" t="inlineStr">
        <is>
          <t>Mock</t>
        </is>
      </c>
      <c r="P2107" s="18" t="inlineStr">
        <is>
          <t>Mock Rx20 UBU</t>
        </is>
      </c>
    </row>
    <row r="2108">
      <c r="A2108" s="15" t="inlineStr">
        <is>
          <t>2129</t>
        </is>
      </c>
      <c r="B2108" s="18" t="inlineStr">
        <is>
          <t>Decarboxylation</t>
        </is>
      </c>
      <c r="C2108" s="18" t="inlineStr"/>
      <c r="D2108" s="18" t="inlineStr">
        <is>
          <t>Naloxone 0.4 mg IV stat</t>
        </is>
      </c>
      <c r="E2108" s="18" t="inlineStr">
        <is>
          <t>Flumazenil 0.2 mg IV stat</t>
        </is>
      </c>
      <c r="F2108" s="18" t="inlineStr">
        <is>
          <t>Vitamin K1 (Phytomenadione) 10 mg IV slow</t>
        </is>
      </c>
      <c r="G2108" s="18" t="inlineStr">
        <is>
          <t>Sodium thiosulfate 25% 50 mL IV</t>
        </is>
      </c>
      <c r="H2108" s="18" t="inlineStr">
        <is>
          <t>Calcium disodium EDTA 1 g IV</t>
        </is>
      </c>
      <c r="I2108" s="15" t="inlineStr">
        <is>
          <t>1</t>
        </is>
      </c>
      <c r="J21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08" s="18" t="inlineStr"/>
      <c r="L2108" s="18" t="inlineStr">
        <is>
          <t>General Therapeutics</t>
        </is>
      </c>
      <c r="M2108" s="18" t="inlineStr">
        <is>
          <t>Clinic</t>
        </is>
      </c>
      <c r="N2108" s="18" t="inlineStr">
        <is>
          <t>ข้อ 1 (PLE_CC1_Key_Rx20_UBU.md)</t>
        </is>
      </c>
      <c r="O2108" s="18" t="inlineStr">
        <is>
          <t>Mock</t>
        </is>
      </c>
      <c r="P2108" s="18" t="inlineStr">
        <is>
          <t>Mock Rx20 UBU</t>
        </is>
      </c>
    </row>
    <row r="2109">
      <c r="A2109" s="15" t="inlineStr">
        <is>
          <t>2130</t>
        </is>
      </c>
      <c r="B2109" s="18" t="inlineStr">
        <is>
          <t>O-methylation(?)</t>
        </is>
      </c>
      <c r="C2109" s="18" t="inlineStr"/>
      <c r="D2109" s="18" t="inlineStr">
        <is>
          <t>Sodium thiosulfate 25% 50 mL IV</t>
        </is>
      </c>
      <c r="E2109" s="18" t="inlineStr">
        <is>
          <t>Calcium disodium EDTA 1 g IV</t>
        </is>
      </c>
      <c r="F2109" s="18" t="inlineStr">
        <is>
          <t>Desferrioxamine 1 g IM/IV</t>
        </is>
      </c>
      <c r="G2109" s="18" t="inlineStr">
        <is>
          <t>Dimercaprol (BAL) 3 mg/kg IM</t>
        </is>
      </c>
      <c r="H2109" s="18" t="inlineStr">
        <is>
          <t>Ethanol 10% IV infusion for Methanol poisoning</t>
        </is>
      </c>
      <c r="I2109" s="15" t="inlineStr">
        <is>
          <t>1</t>
        </is>
      </c>
      <c r="J21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9" s="18" t="inlineStr"/>
      <c r="L2109" s="18" t="inlineStr">
        <is>
          <t>General Therapeutics</t>
        </is>
      </c>
      <c r="M2109" s="18" t="inlineStr">
        <is>
          <t>Clinic</t>
        </is>
      </c>
      <c r="N2109" s="18" t="inlineStr">
        <is>
          <t>ข้อ 3 (PLE_CC1_Key_Rx20_UBU.md)</t>
        </is>
      </c>
      <c r="O2109" s="18" t="inlineStr">
        <is>
          <t>Mock</t>
        </is>
      </c>
      <c r="P2109" s="18" t="inlineStr">
        <is>
          <t>Mock Rx20 UBU</t>
        </is>
      </c>
    </row>
    <row r="2110">
      <c r="A2110" s="15" t="inlineStr">
        <is>
          <t>2131</t>
        </is>
      </c>
      <c r="B2110" s="18" t="inlineStr">
        <is>
          <t>Hydroxylation(?)</t>
        </is>
      </c>
      <c r="C2110" s="18" t="inlineStr"/>
      <c r="D2110" s="18" t="inlineStr">
        <is>
          <t>Dimercaprol (BAL) 3 mg/kg IM</t>
        </is>
      </c>
      <c r="E2110" s="18" t="inlineStr">
        <is>
          <t>Ethanol 10% IV infusion for Methanol poisoning</t>
        </is>
      </c>
      <c r="F2110" s="18" t="inlineStr">
        <is>
          <t>Fomepizole 15 mg/kg IV loading</t>
        </is>
      </c>
      <c r="G2110" s="18" t="inlineStr">
        <is>
          <t>N-acetylcysteine (NAC) IV infusion protocol</t>
        </is>
      </c>
      <c r="H2110" s="18" t="inlineStr">
        <is>
          <t>Atropine sulfate 2 mg IV Q5-10 min</t>
        </is>
      </c>
      <c r="I2110" s="15" t="inlineStr">
        <is>
          <t>1</t>
        </is>
      </c>
      <c r="J21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0" s="18" t="inlineStr"/>
      <c r="L2110" s="18" t="inlineStr">
        <is>
          <t>General Therapeutics</t>
        </is>
      </c>
      <c r="M2110" s="18" t="inlineStr">
        <is>
          <t>Clinic</t>
        </is>
      </c>
      <c r="N2110" s="18" t="inlineStr">
        <is>
          <t>ข้อ 4 (PLE_CC1_Key_Rx20_UBU.md)</t>
        </is>
      </c>
      <c r="O2110" s="18" t="inlineStr">
        <is>
          <t>Mock</t>
        </is>
      </c>
      <c r="P2110" s="18" t="inlineStr">
        <is>
          <t>Mock Rx20 UBU</t>
        </is>
      </c>
    </row>
    <row r="2111">
      <c r="A2111" s="15" t="inlineStr">
        <is>
          <t>2132</t>
        </is>
      </c>
      <c r="B2111" s="18" t="inlineStr">
        <is>
          <t>แนะนำอย่างไร</t>
        </is>
      </c>
      <c r="C2111" s="18" t="inlineStr"/>
      <c r="D2111" s="18" t="inlineStr">
        <is>
          <t>N-acetylcysteine (NAC) IV infusion protocol</t>
        </is>
      </c>
      <c r="E2111" s="18" t="inlineStr">
        <is>
          <t>Atropine sulfate 2 mg IV Q5-10 min</t>
        </is>
      </c>
      <c r="F2111" s="18" t="inlineStr">
        <is>
          <t>Pralidoxime (2-PAM) 1-2 g IV over 30 min</t>
        </is>
      </c>
      <c r="G2111" s="18" t="inlineStr">
        <is>
          <t>Naloxone 0.4 mg IV stat</t>
        </is>
      </c>
      <c r="H2111" s="18" t="inlineStr">
        <is>
          <t>Flumazenil 0.2 mg IV stat</t>
        </is>
      </c>
      <c r="I2111" s="15" t="inlineStr">
        <is>
          <t>1</t>
        </is>
      </c>
      <c r="J21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1" s="18" t="inlineStr"/>
      <c r="L2111" s="18" t="inlineStr">
        <is>
          <t>General Therapeutics</t>
        </is>
      </c>
      <c r="M2111" s="18" t="inlineStr">
        <is>
          <t>Clinic</t>
        </is>
      </c>
      <c r="N2111" s="18" t="inlineStr">
        <is>
          <t>ข้อ 3 (PLE_CC1_Key_Rx20_UBU.md)</t>
        </is>
      </c>
      <c r="O2111" s="18" t="inlineStr">
        <is>
          <t>Mock</t>
        </is>
      </c>
      <c r="P2111" s="18" t="inlineStr">
        <is>
          <t>Mock Rx20 UBU</t>
        </is>
      </c>
    </row>
    <row r="2112">
      <c r="A2112" s="15" t="inlineStr">
        <is>
          <t>2133</t>
        </is>
      </c>
      <c r="B2112" s="18" t="inlineStr">
        <is>
          <t>เลี่ยงการรับประทานร่วมกับอาหารที่มีโปรตีนสูง</t>
        </is>
      </c>
      <c r="C2112" s="18" t="inlineStr"/>
      <c r="D2112" s="18" t="inlineStr">
        <is>
          <t>Naloxone 0.4 mg IV stat</t>
        </is>
      </c>
      <c r="E2112" s="18" t="inlineStr">
        <is>
          <t>Flumazenil 0.2 mg IV stat</t>
        </is>
      </c>
      <c r="F2112" s="18" t="inlineStr">
        <is>
          <t>Vitamin K1 (Phytomenadione) 10 mg IV slow</t>
        </is>
      </c>
      <c r="G2112" s="18" t="inlineStr">
        <is>
          <t>Sodium thiosulfate 25% 50 mL IV</t>
        </is>
      </c>
      <c r="H2112" s="18" t="inlineStr">
        <is>
          <t>Calcium disodium EDTA 1 g IV</t>
        </is>
      </c>
      <c r="I2112" s="15" t="inlineStr">
        <is>
          <t>1</t>
        </is>
      </c>
      <c r="J21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2" s="18" t="inlineStr"/>
      <c r="L2112" s="18" t="inlineStr">
        <is>
          <t>General Therapeutics</t>
        </is>
      </c>
      <c r="M2112" s="18" t="inlineStr">
        <is>
          <t>Clinic</t>
        </is>
      </c>
      <c r="N2112" s="18" t="inlineStr">
        <is>
          <t>ข้อ 1 (PLE_CC1_Key_Rx20_UBU.md)</t>
        </is>
      </c>
      <c r="O2112" s="18" t="inlineStr">
        <is>
          <t>Mock</t>
        </is>
      </c>
      <c r="P2112" s="18" t="inlineStr">
        <is>
          <t>Mock Rx20 UBU</t>
        </is>
      </c>
    </row>
    <row r="2113">
      <c r="A2113" s="15" t="inlineStr">
        <is>
          <t>2134</t>
        </is>
      </c>
      <c r="B2113" s="18" t="inlineStr">
        <is>
          <t>อาศัย P-glycoprotein</t>
        </is>
      </c>
      <c r="C2113" s="18" t="inlineStr"/>
      <c r="D2113" s="18" t="inlineStr">
        <is>
          <t>Polyethylene Glycol (PEG) Conjugation for extended half-life</t>
        </is>
      </c>
      <c r="E2113" s="18" t="inlineStr">
        <is>
          <t>Lyophilization (Freeze-drying) with Trehalose Cryoprotectant</t>
        </is>
      </c>
      <c r="F2113" s="18" t="inlineStr">
        <is>
          <t>ELISA Immunoassay for protein quantification</t>
        </is>
      </c>
      <c r="G2113" s="18" t="inlineStr">
        <is>
          <t>SDS-PAGE Gel Electrophoresis purity analysis</t>
        </is>
      </c>
      <c r="H2113" s="18" t="inlineStr">
        <is>
          <t>Isoelectric Focusing (IEF) for charge heterogeneity</t>
        </is>
      </c>
      <c r="I2113" s="15" t="inlineStr">
        <is>
          <t>2</t>
        </is>
      </c>
      <c r="J2113" s="18" t="inlineStr">
        <is>
          <t>✅ คำตอบที่ถูกต้อง: ข้อ ข.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ก.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13" s="18" t="inlineStr"/>
      <c r="L2113" s="18" t="inlineStr">
        <is>
          <t>Biotech Products</t>
        </is>
      </c>
      <c r="M2113" s="18" t="inlineStr">
        <is>
          <t>Product</t>
        </is>
      </c>
      <c r="N2113" s="18" t="inlineStr">
        <is>
          <t>ข้อ 4 (PLE_CC1_Key_Rx20_UBU.md)</t>
        </is>
      </c>
      <c r="O2113" s="18" t="inlineStr">
        <is>
          <t>Mock</t>
        </is>
      </c>
      <c r="P2113" s="18" t="inlineStr">
        <is>
          <t>Mock Rx20 UBU</t>
        </is>
      </c>
    </row>
    <row r="2114">
      <c r="A2114" s="15" t="inlineStr">
        <is>
          <t>2135</t>
        </is>
      </c>
      <c r="B2114" s="18" t="inlineStr">
        <is>
          <t>สาเหตุหลักที่นำผู้ป่วยมาพบแพทย์</t>
        </is>
      </c>
      <c r="C2114" s="18" t="inlineStr"/>
      <c r="D2114" s="18" t="inlineStr">
        <is>
          <t>Dimercaprol (BAL) 3 mg/kg IM</t>
        </is>
      </c>
      <c r="E2114" s="18" t="inlineStr">
        <is>
          <t>Ethanol 10% IV infusion for Methanol poisoning</t>
        </is>
      </c>
      <c r="F2114" s="18" t="inlineStr">
        <is>
          <t>Fomepizole 15 mg/kg IV loading</t>
        </is>
      </c>
      <c r="G2114" s="18" t="inlineStr">
        <is>
          <t>N-acetylcysteine (NAC) IV infusion protocol</t>
        </is>
      </c>
      <c r="H2114" s="18" t="inlineStr">
        <is>
          <t>Atropine sulfate 2 mg IV Q5-10 min</t>
        </is>
      </c>
      <c r="I2114" s="15" t="inlineStr">
        <is>
          <t>1</t>
        </is>
      </c>
      <c r="J21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4" s="18" t="inlineStr"/>
      <c r="L2114" s="18" t="inlineStr">
        <is>
          <t>General Therapeutics</t>
        </is>
      </c>
      <c r="M2114" s="18" t="inlineStr">
        <is>
          <t>Clinic</t>
        </is>
      </c>
      <c r="N2114" s="18" t="inlineStr">
        <is>
          <t>ข้อ 5 (PLE_CC1_Key_Rx20_UBU.md)</t>
        </is>
      </c>
      <c r="O2114" s="18" t="inlineStr">
        <is>
          <t>Mock</t>
        </is>
      </c>
      <c r="P2114" s="18" t="inlineStr">
        <is>
          <t>Mock Rx20 UBU</t>
        </is>
      </c>
    </row>
    <row r="2115">
      <c r="A2115" s="15" t="inlineStr">
        <is>
          <t>2136</t>
        </is>
      </c>
      <c r="B2115" s="18" t="inlineStr">
        <is>
          <t>วิธีการแก้ไขปัญหาในผู้ป่วยรายนี้</t>
        </is>
      </c>
      <c r="C2115" s="18" t="inlineStr"/>
      <c r="D2115" s="18" t="inlineStr">
        <is>
          <t>N-acetylcysteine (NAC) IV infusion protocol</t>
        </is>
      </c>
      <c r="E2115" s="18" t="inlineStr">
        <is>
          <t>Atropine sulfate 2 mg IV Q5-10 min</t>
        </is>
      </c>
      <c r="F2115" s="18" t="inlineStr">
        <is>
          <t>Pralidoxime (2-PAM) 1-2 g IV over 30 min</t>
        </is>
      </c>
      <c r="G2115" s="18" t="inlineStr">
        <is>
          <t>Naloxone 0.4 mg IV stat</t>
        </is>
      </c>
      <c r="H2115" s="18" t="inlineStr">
        <is>
          <t>Flumazenil 0.2 mg IV stat</t>
        </is>
      </c>
      <c r="I2115" s="15" t="inlineStr">
        <is>
          <t>1</t>
        </is>
      </c>
      <c r="J21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5" s="18" t="inlineStr"/>
      <c r="L2115" s="18" t="inlineStr">
        <is>
          <t>General Therapeutics</t>
        </is>
      </c>
      <c r="M2115" s="18" t="inlineStr">
        <is>
          <t>Clinic</t>
        </is>
      </c>
      <c r="N2115" s="18" t="inlineStr">
        <is>
          <t>ข้อ 6 (PLE_CC1_Key_Rx20_UBU.md)</t>
        </is>
      </c>
      <c r="O2115" s="18" t="inlineStr">
        <is>
          <t>Mock</t>
        </is>
      </c>
      <c r="P2115" s="18" t="inlineStr">
        <is>
          <t>Mock Rx20 UBU</t>
        </is>
      </c>
    </row>
    <row r="2116">
      <c r="A2116" s="15" t="inlineStr">
        <is>
          <t>2137</t>
        </is>
      </c>
      <c r="B2116" s="18" t="inlineStr">
        <is>
          <t>เปลี่ยนรูปแบบยาเป็นแบบ Control release วิธีการแก้ไขภาวะ Wearing off</t>
        </is>
      </c>
      <c r="C2116" s="18" t="inlineStr"/>
      <c r="D2116" s="18" t="inlineStr">
        <is>
          <t>Naloxone 0.4 mg IV stat</t>
        </is>
      </c>
      <c r="E2116" s="18" t="inlineStr">
        <is>
          <t>Flumazenil 0.2 mg IV stat</t>
        </is>
      </c>
      <c r="F2116" s="18" t="inlineStr">
        <is>
          <t>Vitamin K1 (Phytomenadione) 10 mg IV slow</t>
        </is>
      </c>
      <c r="G2116" s="18" t="inlineStr">
        <is>
          <t>Sodium thiosulfate 25% 50 mL IV</t>
        </is>
      </c>
      <c r="H2116" s="18" t="inlineStr">
        <is>
          <t>Calcium disodium EDTA 1 g IV</t>
        </is>
      </c>
      <c r="I2116" s="15" t="inlineStr">
        <is>
          <t>1</t>
        </is>
      </c>
      <c r="J21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6" s="18" t="inlineStr"/>
      <c r="L2116" s="18" t="inlineStr">
        <is>
          <t>General Therapeutics</t>
        </is>
      </c>
      <c r="M2116" s="18" t="inlineStr">
        <is>
          <t>Clinic</t>
        </is>
      </c>
      <c r="N2116" s="18" t="inlineStr">
        <is>
          <t>ข้อ 1 (PLE_CC1_Key_Rx20_UBU.md)</t>
        </is>
      </c>
      <c r="O2116" s="18" t="inlineStr">
        <is>
          <t>Mock</t>
        </is>
      </c>
      <c r="P2116" s="18" t="inlineStr">
        <is>
          <t>Mock Rx20 UBU</t>
        </is>
      </c>
    </row>
    <row r="2117">
      <c r="A2117" s="15" t="inlineStr">
        <is>
          <t>2138</t>
        </is>
      </c>
      <c r="B2117" s="18" t="inlineStr">
        <is>
          <t>การให้ COMT inhibitor (entacapone) ร่วมด้วย</t>
        </is>
      </c>
      <c r="C2117" s="18" t="inlineStr"/>
      <c r="D2117" s="18" t="inlineStr">
        <is>
          <t>Sodium thiosulfate 25% 50 mL IV</t>
        </is>
      </c>
      <c r="E2117" s="18" t="inlineStr">
        <is>
          <t>Calcium disodium EDTA 1 g IV</t>
        </is>
      </c>
      <c r="F2117" s="18" t="inlineStr">
        <is>
          <t>Desferrioxamine 1 g IM/IV</t>
        </is>
      </c>
      <c r="G2117" s="18" t="inlineStr">
        <is>
          <t>Dimercaprol (BAL) 3 mg/kg IM</t>
        </is>
      </c>
      <c r="H2117" s="18" t="inlineStr">
        <is>
          <t>Ethanol 10% IV infusion for Methanol poisoning</t>
        </is>
      </c>
      <c r="I2117" s="15" t="inlineStr">
        <is>
          <t>1</t>
        </is>
      </c>
      <c r="J21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7" s="18" t="inlineStr"/>
      <c r="L2117" s="18" t="inlineStr">
        <is>
          <t>General Therapeutics</t>
        </is>
      </c>
      <c r="M2117" s="18" t="inlineStr">
        <is>
          <t>Clinic</t>
        </is>
      </c>
      <c r="N2117" s="18" t="inlineStr">
        <is>
          <t>ข้อ 2 (PLE_CC1_Key_Rx20_UBU.md)</t>
        </is>
      </c>
      <c r="O2117" s="18" t="inlineStr">
        <is>
          <t>Mock</t>
        </is>
      </c>
      <c r="P2117" s="18" t="inlineStr">
        <is>
          <t>Mock Rx20 UBU</t>
        </is>
      </c>
    </row>
    <row r="2118">
      <c r="A2118" s="15" t="inlineStr">
        <is>
          <t>2139</t>
        </is>
      </c>
      <c r="B2118" s="18" t="inlineStr">
        <is>
          <t>ยาที่ผู้ป่วยควรได้รีบในการรักษา cryptococcal meningitis ในระยะยาว (Maintenance)</t>
        </is>
      </c>
      <c r="C2118" s="18" t="inlineStr"/>
      <c r="D2118" s="18" t="inlineStr">
        <is>
          <t>Tenofovir/Emtricitabine 300/200 mg OD</t>
        </is>
      </c>
      <c r="E2118" s="18" t="inlineStr">
        <is>
          <t>Dolutegravir 50 mg OD</t>
        </is>
      </c>
      <c r="F2118" s="18" t="inlineStr">
        <is>
          <t>Vancomycin 1 g IV Q12H</t>
        </is>
      </c>
      <c r="G2118" s="18" t="inlineStr">
        <is>
          <t>Meropenem 1 g IV Q8H</t>
        </is>
      </c>
      <c r="H2118" s="18" t="inlineStr">
        <is>
          <t>Cefazolin 1 g IV Q8H</t>
        </is>
      </c>
      <c r="I2118" s="15" t="inlineStr">
        <is>
          <t>1</t>
        </is>
      </c>
      <c r="J2118" s="18"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18" s="18" t="inlineStr"/>
      <c r="L2118" s="18" t="inlineStr">
        <is>
          <t>Infectious Diseases</t>
        </is>
      </c>
      <c r="M2118" s="18" t="inlineStr">
        <is>
          <t>Clinic</t>
        </is>
      </c>
      <c r="N2118" s="18" t="inlineStr">
        <is>
          <t>ข้อ 1 (PLE_CC1_Key_Rx20_UBU.md)</t>
        </is>
      </c>
      <c r="O2118" s="18" t="inlineStr">
        <is>
          <t>Mock</t>
        </is>
      </c>
      <c r="P2118" s="18" t="inlineStr">
        <is>
          <t>Mock Rx20 UBU</t>
        </is>
      </c>
    </row>
    <row r="2119">
      <c r="A2119" s="15" t="inlineStr">
        <is>
          <t>2140</t>
        </is>
      </c>
      <c r="B2119" s="18" t="inlineStr">
        <is>
          <t>ข้อใดกล่าวผิดเกี่ยวกับการให้ยา Amphotericin B</t>
        </is>
      </c>
      <c r="C2119" s="18" t="inlineStr"/>
      <c r="D2119" s="18" t="inlineStr">
        <is>
          <t>Meropenem 1 g IV Q8H</t>
        </is>
      </c>
      <c r="E2119" s="18" t="inlineStr">
        <is>
          <t>Cefazolin 1 g IV Q8H</t>
        </is>
      </c>
      <c r="F2119" s="18" t="inlineStr">
        <is>
          <t>Amoxicillin/Clavulanate 1 g BID</t>
        </is>
      </c>
      <c r="G2119" s="18" t="inlineStr">
        <is>
          <t>Ceftriaxone 1 g IV OD</t>
        </is>
      </c>
      <c r="H2119" s="18" t="inlineStr">
        <is>
          <t>Ciprofloxacin 500 mg BID</t>
        </is>
      </c>
      <c r="I2119" s="15" t="inlineStr">
        <is>
          <t>1</t>
        </is>
      </c>
      <c r="J2119" s="18"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9" s="18" t="inlineStr"/>
      <c r="L2119" s="18" t="inlineStr">
        <is>
          <t>Infectious Diseases</t>
        </is>
      </c>
      <c r="M2119" s="18" t="inlineStr">
        <is>
          <t>Clinic</t>
        </is>
      </c>
      <c r="N2119" s="18" t="inlineStr">
        <is>
          <t>ข้อ 2 (PLE_CC1_Key_Rx20_UBU.md)</t>
        </is>
      </c>
      <c r="O2119" s="18" t="inlineStr">
        <is>
          <t>Mock</t>
        </is>
      </c>
      <c r="P2119" s="18" t="inlineStr">
        <is>
          <t>Mock Rx20 UBU</t>
        </is>
      </c>
    </row>
    <row r="2120">
      <c r="A2120" s="15" t="inlineStr">
        <is>
          <t>2141</t>
        </is>
      </c>
      <c r="B2120" s="18" t="inlineStr">
        <is>
          <t>ไม่ควรให้ยาเข้าหลอดเลือดเร็วเกินไป</t>
        </is>
      </c>
      <c r="C2120" s="18" t="inlineStr"/>
      <c r="D2120" s="18" t="inlineStr">
        <is>
          <t>Naloxone 0.4 mg IV stat</t>
        </is>
      </c>
      <c r="E2120" s="18" t="inlineStr">
        <is>
          <t>Flumazenil 0.2 mg IV stat</t>
        </is>
      </c>
      <c r="F2120" s="18" t="inlineStr">
        <is>
          <t>Vitamin K1 (Phytomenadione) 10 mg IV slow</t>
        </is>
      </c>
      <c r="G2120" s="18" t="inlineStr">
        <is>
          <t>Sodium thiosulfate 25% 50 mL IV</t>
        </is>
      </c>
      <c r="H2120" s="18" t="inlineStr">
        <is>
          <t>Calcium disodium EDTA 1 g IV</t>
        </is>
      </c>
      <c r="I2120" s="15" t="inlineStr">
        <is>
          <t>1</t>
        </is>
      </c>
      <c r="J212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0" s="18" t="inlineStr"/>
      <c r="L2120" s="18" t="inlineStr">
        <is>
          <t>General Therapeutics</t>
        </is>
      </c>
      <c r="M2120" s="18" t="inlineStr">
        <is>
          <t>Clinic</t>
        </is>
      </c>
      <c r="N2120" s="18" t="inlineStr">
        <is>
          <t>ข้อ 1 (PLE_CC1_Key_Rx20_UBU.md)</t>
        </is>
      </c>
      <c r="O2120" s="18" t="inlineStr">
        <is>
          <t>Mock</t>
        </is>
      </c>
      <c r="P2120" s="18" t="inlineStr">
        <is>
          <t>Mock Rx20 UBU</t>
        </is>
      </c>
    </row>
    <row r="2121">
      <c r="A2121" s="15" t="inlineStr">
        <is>
          <t>2142</t>
        </is>
      </c>
      <c r="B2121" s="18" t="inlineStr">
        <is>
          <t>ควรประเมินค่าโพแทสเซียมของผู้ป่วย</t>
        </is>
      </c>
      <c r="C2121" s="18" t="inlineStr"/>
      <c r="D2121" s="18" t="inlineStr">
        <is>
          <t>Sodium thiosulfate 25% 50 mL IV</t>
        </is>
      </c>
      <c r="E2121" s="18" t="inlineStr">
        <is>
          <t>Calcium disodium EDTA 1 g IV</t>
        </is>
      </c>
      <c r="F2121" s="18" t="inlineStr">
        <is>
          <t>Desferrioxamine 1 g IM/IV</t>
        </is>
      </c>
      <c r="G2121" s="18" t="inlineStr">
        <is>
          <t>Dimercaprol (BAL) 3 mg/kg IM</t>
        </is>
      </c>
      <c r="H2121" s="18" t="inlineStr">
        <is>
          <t>Ethanol 10% IV infusion for Methanol poisoning</t>
        </is>
      </c>
      <c r="I2121" s="15" t="inlineStr">
        <is>
          <t>1</t>
        </is>
      </c>
      <c r="J21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1" s="18" t="inlineStr"/>
      <c r="L2121" s="18" t="inlineStr">
        <is>
          <t>General Therapeutics</t>
        </is>
      </c>
      <c r="M2121" s="18" t="inlineStr">
        <is>
          <t>Clinic</t>
        </is>
      </c>
      <c r="N2121" s="18" t="inlineStr">
        <is>
          <t>ข้อ 4 (PLE_CC1_Key_Rx20_UBU.md)</t>
        </is>
      </c>
      <c r="O2121" s="18" t="inlineStr">
        <is>
          <t>Mock</t>
        </is>
      </c>
      <c r="P2121" s="18" t="inlineStr">
        <is>
          <t>Mock Rx20 UBU</t>
        </is>
      </c>
    </row>
    <row r="2122">
      <c r="A2122" s="15" t="inlineStr">
        <is>
          <t>2143</t>
        </is>
      </c>
      <c r="B2122" s="18" t="inlineStr">
        <is>
          <t>เมื่อให้ Amphotericin B กับ NSS แล้วตกตะกอน เนื่องจาก</t>
        </is>
      </c>
      <c r="C2122" s="18" t="inlineStr"/>
      <c r="D2122" s="18" t="inlineStr">
        <is>
          <t>Nitrofurantoin 100 mg BID</t>
        </is>
      </c>
      <c r="E2122" s="18" t="inlineStr">
        <is>
          <t>Tenofovir/Emtricitabine 300/200 mg OD</t>
        </is>
      </c>
      <c r="F2122" s="18" t="inlineStr">
        <is>
          <t>Dolutegravir 50 mg OD</t>
        </is>
      </c>
      <c r="G2122" s="18" t="inlineStr">
        <is>
          <t>Vancomycin 1 g IV Q12H</t>
        </is>
      </c>
      <c r="H2122" s="18" t="inlineStr">
        <is>
          <t>Meropenem 1 g IV Q8H</t>
        </is>
      </c>
      <c r="I2122" s="15" t="inlineStr">
        <is>
          <t>1</t>
        </is>
      </c>
      <c r="J2122" s="18"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2" s="18" t="inlineStr"/>
      <c r="L2122" s="18" t="inlineStr">
        <is>
          <t>Infectious Diseases</t>
        </is>
      </c>
      <c r="M2122" s="18" t="inlineStr">
        <is>
          <t>Clinic</t>
        </is>
      </c>
      <c r="N2122" s="18" t="inlineStr">
        <is>
          <t>ข้อ 3 (PLE_CC1_Key_Rx20_UBU.md)</t>
        </is>
      </c>
      <c r="O2122" s="18" t="inlineStr">
        <is>
          <t>Mock</t>
        </is>
      </c>
      <c r="P2122" s="18" t="inlineStr">
        <is>
          <t>Mock Rx20 UBU</t>
        </is>
      </c>
    </row>
    <row r="2123">
      <c r="A2123" s="15" t="inlineStr">
        <is>
          <t>2144</t>
        </is>
      </c>
      <c r="B2123" s="18" t="inlineStr">
        <is>
          <t>Complexation และการที่ deoxycholate ไปทำปฏิกิริยากับ NSS ทำให้เกิดการตกตะกอน</t>
        </is>
      </c>
      <c r="C2123" s="18" t="inlineStr"/>
      <c r="D2123" s="18" t="inlineStr">
        <is>
          <t>N-acetylcysteine (NAC) IV infusion protocol</t>
        </is>
      </c>
      <c r="E2123" s="18" t="inlineStr">
        <is>
          <t>Atropine sulfate 2 mg IV Q5-10 min</t>
        </is>
      </c>
      <c r="F2123" s="18" t="inlineStr">
        <is>
          <t>Pralidoxime (2-PAM) 1-2 g IV over 30 min</t>
        </is>
      </c>
      <c r="G2123" s="18" t="inlineStr">
        <is>
          <t>Naloxone 0.4 mg IV stat</t>
        </is>
      </c>
      <c r="H2123" s="18" t="inlineStr">
        <is>
          <t>Flumazenil 0.2 mg IV stat</t>
        </is>
      </c>
      <c r="I2123" s="15" t="inlineStr">
        <is>
          <t>1</t>
        </is>
      </c>
      <c r="J21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23" s="18" t="inlineStr"/>
      <c r="L2123" s="18" t="inlineStr">
        <is>
          <t>General Therapeutics</t>
        </is>
      </c>
      <c r="M2123" s="18" t="inlineStr">
        <is>
          <t>Clinic</t>
        </is>
      </c>
      <c r="N2123" s="18" t="inlineStr">
        <is>
          <t>ข้อ 4 (PLE_CC1_Key_Rx20_UBU.md)</t>
        </is>
      </c>
      <c r="O2123" s="18" t="inlineStr">
        <is>
          <t>Mock</t>
        </is>
      </c>
      <c r="P2123" s="18" t="inlineStr">
        <is>
          <t>Mock Rx20 UBU</t>
        </is>
      </c>
    </row>
    <row r="2124">
      <c r="A2124" s="15" t="inlineStr">
        <is>
          <t>2145</t>
        </is>
      </c>
      <c r="B2124" s="18" t="inlineStr">
        <is>
          <t>มีโครงสร้างเป็น macrolide ring</t>
        </is>
      </c>
      <c r="C2124" s="18" t="inlineStr"/>
      <c r="D2124" s="18" t="inlineStr">
        <is>
          <t>Naloxone 0.4 mg IV stat</t>
        </is>
      </c>
      <c r="E2124" s="18" t="inlineStr">
        <is>
          <t>Flumazenil 0.2 mg IV stat</t>
        </is>
      </c>
      <c r="F2124" s="18" t="inlineStr">
        <is>
          <t>Vitamin K1 (Phytomenadione) 10 mg IV slow</t>
        </is>
      </c>
      <c r="G2124" s="18" t="inlineStr">
        <is>
          <t>Sodium thiosulfate 25% 50 mL IV</t>
        </is>
      </c>
      <c r="H2124" s="18" t="inlineStr">
        <is>
          <t>Calcium disodium EDTA 1 g IV</t>
        </is>
      </c>
      <c r="I2124" s="15" t="inlineStr">
        <is>
          <t>1</t>
        </is>
      </c>
      <c r="J212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4" s="18" t="inlineStr"/>
      <c r="L2124" s="18" t="inlineStr">
        <is>
          <t>General Therapeutics</t>
        </is>
      </c>
      <c r="M2124" s="18" t="inlineStr">
        <is>
          <t>Clinic</t>
        </is>
      </c>
      <c r="N2124" s="18" t="inlineStr">
        <is>
          <t>ข้อ 1 (PLE_CC1_Key_Rx20_UBU.md)</t>
        </is>
      </c>
      <c r="O2124" s="18" t="inlineStr">
        <is>
          <t>Mock</t>
        </is>
      </c>
      <c r="P2124" s="18" t="inlineStr">
        <is>
          <t>Mock Rx20 UBU</t>
        </is>
      </c>
    </row>
    <row r="2125">
      <c r="A2125" s="15" t="inlineStr">
        <is>
          <t>2146</t>
        </is>
      </c>
      <c r="B2125" s="18" t="inlineStr">
        <is>
          <t>conjugated double bond มีลักษณะเป็น cis-form</t>
        </is>
      </c>
      <c r="C2125" s="18" t="inlineStr"/>
      <c r="D2125" s="18" t="inlineStr">
        <is>
          <t>Sodium thiosulfate 25% 50 mL IV</t>
        </is>
      </c>
      <c r="E2125" s="18" t="inlineStr">
        <is>
          <t>Calcium disodium EDTA 1 g IV</t>
        </is>
      </c>
      <c r="F2125" s="18" t="inlineStr">
        <is>
          <t>Desferrioxamine 1 g IM/IV</t>
        </is>
      </c>
      <c r="G2125" s="18" t="inlineStr">
        <is>
          <t>Dimercaprol (BAL) 3 mg/kg IM</t>
        </is>
      </c>
      <c r="H2125" s="18" t="inlineStr">
        <is>
          <t>Ethanol 10% IV infusion for Methanol poisoning</t>
        </is>
      </c>
      <c r="I2125" s="15" t="inlineStr">
        <is>
          <t>1</t>
        </is>
      </c>
      <c r="J212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5" s="18" t="inlineStr"/>
      <c r="L2125" s="18" t="inlineStr">
        <is>
          <t>General Therapeutics</t>
        </is>
      </c>
      <c r="M2125" s="18" t="inlineStr">
        <is>
          <t>Clinic</t>
        </is>
      </c>
      <c r="N2125" s="18" t="inlineStr">
        <is>
          <t>ข้อ 2 (PLE_CC1_Key_Rx20_UBU.md)</t>
        </is>
      </c>
      <c r="O2125" s="18" t="inlineStr">
        <is>
          <t>Mock</t>
        </is>
      </c>
      <c r="P2125" s="18" t="inlineStr">
        <is>
          <t>Mock Rx20 UBU</t>
        </is>
      </c>
    </row>
    <row r="2126">
      <c r="A2126" s="15" t="inlineStr">
        <is>
          <t>2147</t>
        </is>
      </c>
      <c r="B2126" s="18" t="inlineStr">
        <is>
          <t>มีหมู่ polyene ทำให้โครงสร้าง rigid</t>
        </is>
      </c>
      <c r="C2126" s="18" t="inlineStr"/>
      <c r="D2126" s="18" t="inlineStr">
        <is>
          <t>Dimercaprol (BAL) 3 mg/kg IM</t>
        </is>
      </c>
      <c r="E2126" s="18" t="inlineStr">
        <is>
          <t>Ethanol 10% IV infusion for Methanol poisoning</t>
        </is>
      </c>
      <c r="F2126" s="18" t="inlineStr">
        <is>
          <t>Fomepizole 15 mg/kg IV loading</t>
        </is>
      </c>
      <c r="G2126" s="18" t="inlineStr">
        <is>
          <t>N-acetylcysteine (NAC) IV infusion protocol</t>
        </is>
      </c>
      <c r="H2126" s="18" t="inlineStr">
        <is>
          <t>Atropine sulfate 2 mg IV Q5-10 min</t>
        </is>
      </c>
      <c r="I2126" s="15" t="inlineStr">
        <is>
          <t>1</t>
        </is>
      </c>
      <c r="J21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26" s="18" t="inlineStr"/>
      <c r="L2126" s="18" t="inlineStr">
        <is>
          <t>General Therapeutics</t>
        </is>
      </c>
      <c r="M2126" s="18" t="inlineStr">
        <is>
          <t>Clinic</t>
        </is>
      </c>
      <c r="N2126" s="18" t="inlineStr">
        <is>
          <t>ข้อ 3 (PLE_CC1_Key_Rx20_UBU.md)</t>
        </is>
      </c>
      <c r="O2126" s="18" t="inlineStr">
        <is>
          <t>Mock</t>
        </is>
      </c>
      <c r="P2126" s="18" t="inlineStr">
        <is>
          <t>Mock Rx20 UBU</t>
        </is>
      </c>
    </row>
    <row r="2127">
      <c r="A2127" s="15" t="inlineStr">
        <is>
          <t>2148</t>
        </is>
      </c>
      <c r="B2127" s="18" t="inlineStr">
        <is>
          <t>เป็น amphoteric</t>
        </is>
      </c>
      <c r="C2127" s="18" t="inlineStr"/>
      <c r="D2127" s="18" t="inlineStr">
        <is>
          <t>N-acetylcysteine (NAC) IV infusion protocol</t>
        </is>
      </c>
      <c r="E2127" s="18" t="inlineStr">
        <is>
          <t>Atropine sulfate 2 mg IV Q5-10 min</t>
        </is>
      </c>
      <c r="F2127" s="18" t="inlineStr">
        <is>
          <t>Pralidoxime (2-PAM) 1-2 g IV over 30 min</t>
        </is>
      </c>
      <c r="G2127" s="18" t="inlineStr">
        <is>
          <t>Naloxone 0.4 mg IV stat</t>
        </is>
      </c>
      <c r="H2127" s="18" t="inlineStr">
        <is>
          <t>Flumazenil 0.2 mg IV stat</t>
        </is>
      </c>
      <c r="I2127" s="15" t="inlineStr">
        <is>
          <t>3</t>
        </is>
      </c>
      <c r="J2127" s="18"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27" s="18" t="inlineStr"/>
      <c r="L2127" s="18" t="inlineStr">
        <is>
          <t>General Therapeutics</t>
        </is>
      </c>
      <c r="M2127" s="18" t="inlineStr">
        <is>
          <t>Clinic</t>
        </is>
      </c>
      <c r="N2127" s="18" t="inlineStr">
        <is>
          <t>ข้อ 5 (PLE_CC1_Key_Rx20_UBU.md)</t>
        </is>
      </c>
      <c r="O2127" s="18" t="inlineStr">
        <is>
          <t>Mock</t>
        </is>
      </c>
      <c r="P2127" s="18" t="inlineStr">
        <is>
          <t>Mock Rx20 UBU</t>
        </is>
      </c>
    </row>
    <row r="2128">
      <c r="A2128" s="15" t="inlineStr">
        <is>
          <t>2149</t>
        </is>
      </c>
      <c r="B2128" s="18" t="inlineStr">
        <is>
          <t>ทำ amphotericin B ในรูป liposome เพื่ออะไร</t>
        </is>
      </c>
      <c r="C2128" s="18" t="inlineStr"/>
      <c r="D2128" s="18" t="inlineStr">
        <is>
          <t>Cefazolin 1 g IV Q8H</t>
        </is>
      </c>
      <c r="E2128" s="18" t="inlineStr">
        <is>
          <t>Amoxicillin/Clavulanate 1 g BID</t>
        </is>
      </c>
      <c r="F2128" s="18" t="inlineStr">
        <is>
          <t>Ceftriaxone 1 g IV OD</t>
        </is>
      </c>
      <c r="G2128" s="18" t="inlineStr">
        <is>
          <t>Ciprofloxacin 500 mg BID</t>
        </is>
      </c>
      <c r="H2128" s="18" t="inlineStr">
        <is>
          <t>Azithromycin 500 mg OD</t>
        </is>
      </c>
      <c r="I2128" s="15" t="inlineStr">
        <is>
          <t>1</t>
        </is>
      </c>
      <c r="J2128" s="18"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8" s="18" t="inlineStr"/>
      <c r="L2128" s="18" t="inlineStr">
        <is>
          <t>Infectious Diseases</t>
        </is>
      </c>
      <c r="M2128" s="18" t="inlineStr">
        <is>
          <t>Clinic</t>
        </is>
      </c>
      <c r="N2128" s="18" t="inlineStr">
        <is>
          <t>ข้อ 5 (PLE_CC1_Key_Rx20_UBU.md)</t>
        </is>
      </c>
      <c r="O2128" s="18" t="inlineStr">
        <is>
          <t>Mock</t>
        </is>
      </c>
      <c r="P2128" s="18" t="inlineStr">
        <is>
          <t>Mock Rx20 UBU</t>
        </is>
      </c>
    </row>
    <row r="2129">
      <c r="A2129" s="15" t="inlineStr">
        <is>
          <t>2150</t>
        </is>
      </c>
      <c r="B2129" s="18" t="inlineStr">
        <is>
          <t>ช่วยดูดความชื้น</t>
        </is>
      </c>
      <c r="C2129" s="18" t="inlineStr"/>
      <c r="D2129" s="18" t="inlineStr">
        <is>
          <t>Sodium thiosulfate 25% 50 mL IV</t>
        </is>
      </c>
      <c r="E2129" s="18" t="inlineStr">
        <is>
          <t>Calcium disodium EDTA 1 g IV</t>
        </is>
      </c>
      <c r="F2129" s="18" t="inlineStr">
        <is>
          <t>Desferrioxamine 1 g IM/IV</t>
        </is>
      </c>
      <c r="G2129" s="18" t="inlineStr">
        <is>
          <t>Dimercaprol (BAL) 3 mg/kg IM</t>
        </is>
      </c>
      <c r="H2129" s="18" t="inlineStr">
        <is>
          <t>Ethanol 10% IV infusion for Methanol poisoning</t>
        </is>
      </c>
      <c r="I2129" s="15" t="inlineStr">
        <is>
          <t>1</t>
        </is>
      </c>
      <c r="J21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9" s="18" t="inlineStr"/>
      <c r="L2129" s="18" t="inlineStr">
        <is>
          <t>General Therapeutics</t>
        </is>
      </c>
      <c r="M2129" s="18" t="inlineStr">
        <is>
          <t>Clinic</t>
        </is>
      </c>
      <c r="N2129" s="18" t="inlineStr">
        <is>
          <t>ข้อ 1 (PLE_CC1_Key_Rx20_UBU.md)</t>
        </is>
      </c>
      <c r="O2129" s="18" t="inlineStr">
        <is>
          <t>Mock</t>
        </is>
      </c>
      <c r="P2129" s="18" t="inlineStr">
        <is>
          <t>Mock Rx20 UBU</t>
        </is>
      </c>
    </row>
    <row r="2130">
      <c r="A2130" s="15" t="inlineStr">
        <is>
          <t>2151</t>
        </is>
      </c>
      <c r="B2130" s="18" t="inlineStr">
        <is>
          <t>ลดการเกาะกันของผงยา</t>
        </is>
      </c>
      <c r="C2130" s="18" t="inlineStr"/>
      <c r="D2130" s="18" t="inlineStr">
        <is>
          <t>Dimercaprol (BAL) 3 mg/kg IM</t>
        </is>
      </c>
      <c r="E2130" s="18" t="inlineStr">
        <is>
          <t>Ethanol 10% IV infusion for Methanol poisoning</t>
        </is>
      </c>
      <c r="F2130" s="18" t="inlineStr">
        <is>
          <t>Fomepizole 15 mg/kg IV loading</t>
        </is>
      </c>
      <c r="G2130" s="18" t="inlineStr">
        <is>
          <t>N-acetylcysteine (NAC) IV infusion protocol</t>
        </is>
      </c>
      <c r="H2130" s="18" t="inlineStr">
        <is>
          <t>Atropine sulfate 2 mg IV Q5-10 min</t>
        </is>
      </c>
      <c r="I2130" s="15" t="inlineStr">
        <is>
          <t>1</t>
        </is>
      </c>
      <c r="J21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0" s="18" t="inlineStr"/>
      <c r="L2130" s="18" t="inlineStr">
        <is>
          <t>General Therapeutics</t>
        </is>
      </c>
      <c r="M2130" s="18" t="inlineStr">
        <is>
          <t>Clinic</t>
        </is>
      </c>
      <c r="N2130" s="18" t="inlineStr">
        <is>
          <t>ข้อ 2 (PLE_CC1_Key_Rx20_UBU.md)</t>
        </is>
      </c>
      <c r="O2130" s="18" t="inlineStr">
        <is>
          <t>Mock</t>
        </is>
      </c>
      <c r="P2130" s="18" t="inlineStr">
        <is>
          <t>Mock Rx20 UBU</t>
        </is>
      </c>
    </row>
    <row r="2131">
      <c r="A2131" s="15" t="inlineStr">
        <is>
          <t>2152</t>
        </is>
      </c>
      <c r="B2131" s="18" t="inlineStr">
        <is>
          <t>เพิ่มคุณสมบัติการไหล</t>
        </is>
      </c>
      <c r="C2131" s="18" t="inlineStr"/>
      <c r="D2131" s="18" t="inlineStr">
        <is>
          <t>N-acetylcysteine (NAC) IV infusion protocol</t>
        </is>
      </c>
      <c r="E2131" s="18" t="inlineStr">
        <is>
          <t>Atropine sulfate 2 mg IV Q5-10 min</t>
        </is>
      </c>
      <c r="F2131" s="18" t="inlineStr">
        <is>
          <t>Pralidoxime (2-PAM) 1-2 g IV over 30 min</t>
        </is>
      </c>
      <c r="G2131" s="18" t="inlineStr">
        <is>
          <t>Naloxone 0.4 mg IV stat</t>
        </is>
      </c>
      <c r="H2131" s="18" t="inlineStr">
        <is>
          <t>Flumazenil 0.2 mg IV stat</t>
        </is>
      </c>
      <c r="I2131" s="15" t="inlineStr">
        <is>
          <t>1</t>
        </is>
      </c>
      <c r="J213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1" s="18" t="inlineStr"/>
      <c r="L2131" s="18" t="inlineStr">
        <is>
          <t>General Therapeutics</t>
        </is>
      </c>
      <c r="M2131" s="18" t="inlineStr">
        <is>
          <t>Clinic</t>
        </is>
      </c>
      <c r="N2131" s="18" t="inlineStr">
        <is>
          <t>ข้อ 3 (PLE_CC1_Key_Rx20_UBU.md)</t>
        </is>
      </c>
      <c r="O2131" s="18" t="inlineStr">
        <is>
          <t>Mock</t>
        </is>
      </c>
      <c r="P2131" s="18" t="inlineStr">
        <is>
          <t>Mock Rx20 UBU</t>
        </is>
      </c>
    </row>
    <row r="2132">
      <c r="A2132" s="15" t="inlineStr">
        <is>
          <t>2153</t>
        </is>
      </c>
      <c r="B2132" s="18" t="inlineStr">
        <is>
          <t>ลด toxicity ของยา</t>
        </is>
      </c>
      <c r="C2132" s="18" t="inlineStr"/>
      <c r="D2132" s="18" t="inlineStr">
        <is>
          <t>Naloxone 0.4 mg IV stat</t>
        </is>
      </c>
      <c r="E2132" s="18" t="inlineStr">
        <is>
          <t>Flumazenil 0.2 mg IV stat</t>
        </is>
      </c>
      <c r="F2132" s="18" t="inlineStr">
        <is>
          <t>Vitamin K1 (Phytomenadione) 10 mg IV slow</t>
        </is>
      </c>
      <c r="G2132" s="18" t="inlineStr">
        <is>
          <t>Sodium thiosulfate 25% 50 mL IV</t>
        </is>
      </c>
      <c r="H2132" s="18" t="inlineStr">
        <is>
          <t>Calcium disodium EDTA 1 g IV</t>
        </is>
      </c>
      <c r="I2132" s="15" t="inlineStr">
        <is>
          <t>3</t>
        </is>
      </c>
      <c r="J2132" s="18" t="inlineStr">
        <is>
          <t>✅ คำตอบที่ถูกต้อง: ข้อ ค. Vitamin K1 (Phytomenadione) 10 mg IV slow
💡 Background:
ภาวะ acute poisoning ต้องได้รับการประเมิน supportive care ควบคู่กับการให้ specific antidote อย่างทันท่วงที
🎯 ทำไมข้อนี้ถึงถูก:
Vitamin K1 (Phytomenadione) 10 mg IV slow การเลือก Vitamin K1 (Phytomenadione) 10 mg IV slow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132" s="18" t="inlineStr"/>
      <c r="L2132" s="18" t="inlineStr">
        <is>
          <t>Toxicology &amp; Antidote</t>
        </is>
      </c>
      <c r="M2132" s="18" t="inlineStr">
        <is>
          <t>Clinic</t>
        </is>
      </c>
      <c r="N2132" s="18" t="inlineStr">
        <is>
          <t>ข้อ 5 (PLE_CC1_Key_Rx20_UBU.md)</t>
        </is>
      </c>
      <c r="O2132" s="18" t="inlineStr">
        <is>
          <t>Mock</t>
        </is>
      </c>
      <c r="P2132" s="18" t="inlineStr">
        <is>
          <t>Mock Rx20 UBU</t>
        </is>
      </c>
    </row>
    <row r="2133">
      <c r="A2133" s="15" t="inlineStr">
        <is>
          <t>2154</t>
        </is>
      </c>
      <c r="B2133" s="18" t="inlineStr">
        <is>
          <t>ใช้รักษา Retrovirus</t>
        </is>
      </c>
      <c r="C2133" s="18" t="inlineStr"/>
      <c r="D2133" s="18" t="inlineStr">
        <is>
          <t>Sodium thiosulfate 25% 50 mL IV</t>
        </is>
      </c>
      <c r="E2133" s="18" t="inlineStr">
        <is>
          <t>Calcium disodium EDTA 1 g IV</t>
        </is>
      </c>
      <c r="F2133" s="18" t="inlineStr">
        <is>
          <t>Desferrioxamine 1 g IM/IV</t>
        </is>
      </c>
      <c r="G2133" s="18" t="inlineStr">
        <is>
          <t>Dimercaprol (BAL) 3 mg/kg IM</t>
        </is>
      </c>
      <c r="H2133" s="18" t="inlineStr">
        <is>
          <t>Ethanol 10% IV infusion for Methanol poisoning</t>
        </is>
      </c>
      <c r="I2133" s="15" t="inlineStr">
        <is>
          <t>1</t>
        </is>
      </c>
      <c r="J21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3" s="18" t="inlineStr"/>
      <c r="L2133" s="18" t="inlineStr">
        <is>
          <t>General Therapeutics</t>
        </is>
      </c>
      <c r="M2133" s="18" t="inlineStr">
        <is>
          <t>Clinic</t>
        </is>
      </c>
      <c r="N2133" s="18" t="inlineStr">
        <is>
          <t>ข้อ 2 (PLE_CC1_Key_Rx20_UBU.md)</t>
        </is>
      </c>
      <c r="O2133" s="18" t="inlineStr">
        <is>
          <t>Mock</t>
        </is>
      </c>
      <c r="P2133" s="18" t="inlineStr">
        <is>
          <t>Mock Rx20 UBU</t>
        </is>
      </c>
    </row>
    <row r="2134">
      <c r="A2134" s="15" t="inlineStr">
        <is>
          <t>2155</t>
        </is>
      </c>
      <c r="B2134" s="18" t="inlineStr">
        <is>
          <t>ถู ก เ ติ ม triphosphate โ ด ย tyrosine kinase เพื่อให้ออกฤทธิ์ได้</t>
        </is>
      </c>
      <c r="C2134" s="18" t="inlineStr"/>
      <c r="D2134" s="18" t="inlineStr">
        <is>
          <t>Dimercaprol (BAL) 3 mg/kg IM</t>
        </is>
      </c>
      <c r="E2134" s="18" t="inlineStr">
        <is>
          <t>Ethanol 10% IV infusion for Methanol poisoning</t>
        </is>
      </c>
      <c r="F2134" s="18" t="inlineStr">
        <is>
          <t>Fomepizole 15 mg/kg IV loading</t>
        </is>
      </c>
      <c r="G2134" s="18" t="inlineStr">
        <is>
          <t>N-acetylcysteine (NAC) IV infusion protocol</t>
        </is>
      </c>
      <c r="H2134" s="18" t="inlineStr">
        <is>
          <t>Atropine sulfate 2 mg IV Q5-10 min</t>
        </is>
      </c>
      <c r="I2134" s="15" t="inlineStr">
        <is>
          <t>1</t>
        </is>
      </c>
      <c r="J21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4" s="18" t="inlineStr"/>
      <c r="L2134" s="18" t="inlineStr">
        <is>
          <t>General Therapeutics</t>
        </is>
      </c>
      <c r="M2134" s="18" t="inlineStr">
        <is>
          <t>Clinic</t>
        </is>
      </c>
      <c r="N2134" s="18" t="inlineStr">
        <is>
          <t>ข้อ 3 (PLE_CC1_Key_Rx20_UBU.md)</t>
        </is>
      </c>
      <c r="O2134" s="18" t="inlineStr">
        <is>
          <t>Mock</t>
        </is>
      </c>
      <c r="P2134" s="18" t="inlineStr">
        <is>
          <t>Mock Rx20 UBU</t>
        </is>
      </c>
    </row>
    <row r="2135">
      <c r="A2135" s="15" t="inlineStr">
        <is>
          <t>2156</t>
        </is>
      </c>
      <c r="B2135" s="18" t="inlineStr">
        <is>
          <t>เป็น active form โดยการเติม glucuronide</t>
        </is>
      </c>
      <c r="C2135" s="18" t="inlineStr"/>
      <c r="D2135" s="18" t="inlineStr">
        <is>
          <t>N-acetylcysteine (NAC) IV infusion protocol</t>
        </is>
      </c>
      <c r="E2135" s="18" t="inlineStr">
        <is>
          <t>Atropine sulfate 2 mg IV Q5-10 min</t>
        </is>
      </c>
      <c r="F2135" s="18" t="inlineStr">
        <is>
          <t>Pralidoxime (2-PAM) 1-2 g IV over 30 min</t>
        </is>
      </c>
      <c r="G2135" s="18" t="inlineStr">
        <is>
          <t>Naloxone 0.4 mg IV stat</t>
        </is>
      </c>
      <c r="H2135" s="18" t="inlineStr">
        <is>
          <t>Flumazenil 0.2 mg IV stat</t>
        </is>
      </c>
      <c r="I2135" s="15" t="inlineStr">
        <is>
          <t>1</t>
        </is>
      </c>
      <c r="J21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5" s="18" t="inlineStr"/>
      <c r="L2135" s="18" t="inlineStr">
        <is>
          <t>General Therapeutics</t>
        </is>
      </c>
      <c r="M2135" s="18" t="inlineStr">
        <is>
          <t>Clinic</t>
        </is>
      </c>
      <c r="N2135" s="18" t="inlineStr">
        <is>
          <t>ข้อ 4 (PLE_CC1_Key_Rx20_UBU.md)</t>
        </is>
      </c>
      <c r="O2135" s="18" t="inlineStr">
        <is>
          <t>Mock</t>
        </is>
      </c>
      <c r="P2135" s="18" t="inlineStr">
        <is>
          <t>Mock Rx20 UBU</t>
        </is>
      </c>
    </row>
    <row r="2136">
      <c r="A2136" s="15" t="inlineStr">
        <is>
          <t>2157</t>
        </is>
      </c>
      <c r="B2136" s="18" t="inlineStr">
        <is>
          <t>หมู๋ azido ทำให้ยาไม่ทนต่อแสงและความร้อน เพื่อให้ เป็น Active form</t>
        </is>
      </c>
      <c r="C2136" s="18" t="inlineStr"/>
      <c r="D2136" s="18" t="inlineStr">
        <is>
          <t>Naloxone 0.4 mg IV stat</t>
        </is>
      </c>
      <c r="E2136" s="18" t="inlineStr">
        <is>
          <t>Flumazenil 0.2 mg IV stat</t>
        </is>
      </c>
      <c r="F2136" s="18" t="inlineStr">
        <is>
          <t>Vitamin K1 (Phytomenadione) 10 mg IV slow</t>
        </is>
      </c>
      <c r="G2136" s="18" t="inlineStr">
        <is>
          <t>Sodium thiosulfate 25% 50 mL IV</t>
        </is>
      </c>
      <c r="H2136" s="18" t="inlineStr">
        <is>
          <t>Calcium disodium EDTA 1 g IV</t>
        </is>
      </c>
      <c r="I2136" s="15" t="inlineStr">
        <is>
          <t>1</t>
        </is>
      </c>
      <c r="J21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36" s="18" t="inlineStr"/>
      <c r="L2136" s="18" t="inlineStr">
        <is>
          <t>General Therapeutics</t>
        </is>
      </c>
      <c r="M2136" s="18" t="inlineStr">
        <is>
          <t>Clinic</t>
        </is>
      </c>
      <c r="N2136" s="18" t="inlineStr">
        <is>
          <t>ข้อ 5 (PLE_CC1_Key_Rx20_UBU.md)</t>
        </is>
      </c>
      <c r="O2136" s="18" t="inlineStr">
        <is>
          <t>Mock</t>
        </is>
      </c>
      <c r="P2136" s="18" t="inlineStr">
        <is>
          <t>Mock Rx20 UBU</t>
        </is>
      </c>
    </row>
    <row r="2137">
      <c r="A2137" s="15" t="inlineStr">
        <is>
          <t>2158</t>
        </is>
      </c>
      <c r="B2137" s="18" t="inlineStr">
        <is>
          <t>Sodium bicarbonate</t>
        </is>
      </c>
      <c r="C2137" s="18" t="inlineStr"/>
      <c r="D2137" s="18" t="inlineStr">
        <is>
          <t>Sodium thiosulfate 25% 50 mL IV</t>
        </is>
      </c>
      <c r="E2137" s="18" t="inlineStr">
        <is>
          <t>Calcium disodium EDTA 1 g IV</t>
        </is>
      </c>
      <c r="F2137" s="18" t="inlineStr">
        <is>
          <t>Desferrioxamine 1 g IM/IV</t>
        </is>
      </c>
      <c r="G2137" s="18" t="inlineStr">
        <is>
          <t>Dimercaprol (BAL) 3 mg/kg IM</t>
        </is>
      </c>
      <c r="H2137" s="18" t="inlineStr">
        <is>
          <t>Ethanol 10% IV infusion for Methanol poisoning</t>
        </is>
      </c>
      <c r="I2137" s="15" t="inlineStr">
        <is>
          <t>1</t>
        </is>
      </c>
      <c r="J21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7" s="18" t="inlineStr"/>
      <c r="L2137" s="18" t="inlineStr">
        <is>
          <t>General Therapeutics</t>
        </is>
      </c>
      <c r="M2137" s="18" t="inlineStr">
        <is>
          <t>Clinic</t>
        </is>
      </c>
      <c r="N2137" s="18" t="inlineStr">
        <is>
          <t>ข้อ 3 (PLE_CC1_Key_Rx20_UBU.md)</t>
        </is>
      </c>
      <c r="O2137" s="18" t="inlineStr">
        <is>
          <t>Mock</t>
        </is>
      </c>
      <c r="P2137" s="18" t="inlineStr">
        <is>
          <t>Mock Rx20 UBU</t>
        </is>
      </c>
    </row>
    <row r="2138">
      <c r="A2138" s="15" t="inlineStr">
        <is>
          <t>2159</t>
        </is>
      </c>
      <c r="B2138" s="18" t="inlineStr">
        <is>
          <t>Calcium polystyrene sulfonate</t>
        </is>
      </c>
      <c r="C2138" s="18" t="inlineStr"/>
      <c r="D2138" s="18" t="inlineStr">
        <is>
          <t>Dimercaprol (BAL) 3 mg/kg IM</t>
        </is>
      </c>
      <c r="E2138" s="18" t="inlineStr">
        <is>
          <t>Ethanol 10% IV infusion for Methanol poisoning</t>
        </is>
      </c>
      <c r="F2138" s="18" t="inlineStr">
        <is>
          <t>Fomepizole 15 mg/kg IV loading</t>
        </is>
      </c>
      <c r="G2138" s="18" t="inlineStr">
        <is>
          <t>N-acetylcysteine (NAC) IV infusion protocol</t>
        </is>
      </c>
      <c r="H2138" s="18" t="inlineStr">
        <is>
          <t>Atropine sulfate 2 mg IV Q5-10 min</t>
        </is>
      </c>
      <c r="I2138" s="15" t="inlineStr">
        <is>
          <t>1</t>
        </is>
      </c>
      <c r="J21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8" s="18" t="inlineStr"/>
      <c r="L2138" s="18" t="inlineStr">
        <is>
          <t>General Therapeutics</t>
        </is>
      </c>
      <c r="M2138" s="18" t="inlineStr">
        <is>
          <t>Clinic</t>
        </is>
      </c>
      <c r="N2138" s="18" t="inlineStr">
        <is>
          <t>ข้อ 4 (PLE_CC1_Key_Rx20_UBU.md)</t>
        </is>
      </c>
      <c r="O2138" s="18" t="inlineStr">
        <is>
          <t>Mock</t>
        </is>
      </c>
      <c r="P2138" s="18" t="inlineStr">
        <is>
          <t>Mock Rx20 UBU</t>
        </is>
      </c>
    </row>
    <row r="2139">
      <c r="A2139" s="15" t="inlineStr">
        <is>
          <t>2160</t>
        </is>
      </c>
      <c r="B2139" s="18" t="inlineStr">
        <is>
          <t>Sodium polystyrene sulfonate</t>
        </is>
      </c>
      <c r="C2139" s="18" t="inlineStr"/>
      <c r="D2139" s="18" t="inlineStr">
        <is>
          <t>N-acetylcysteine (NAC) IV infusion protocol</t>
        </is>
      </c>
      <c r="E2139" s="18" t="inlineStr">
        <is>
          <t>Atropine sulfate 2 mg IV Q5-10 min</t>
        </is>
      </c>
      <c r="F2139" s="18" t="inlineStr">
        <is>
          <t>Pralidoxime (2-PAM) 1-2 g IV over 30 min</t>
        </is>
      </c>
      <c r="G2139" s="18" t="inlineStr">
        <is>
          <t>Naloxone 0.4 mg IV stat</t>
        </is>
      </c>
      <c r="H2139" s="18" t="inlineStr">
        <is>
          <t>Flumazenil 0.2 mg IV stat</t>
        </is>
      </c>
      <c r="I2139" s="15" t="inlineStr">
        <is>
          <t>3</t>
        </is>
      </c>
      <c r="J2139" s="18"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39" s="18" t="inlineStr"/>
      <c r="L2139" s="18" t="inlineStr">
        <is>
          <t>General Therapeutics</t>
        </is>
      </c>
      <c r="M2139" s="18" t="inlineStr">
        <is>
          <t>Clinic</t>
        </is>
      </c>
      <c r="N2139" s="18" t="inlineStr">
        <is>
          <t>ข้อ 5 (PLE_CC1_Key_Rx20_UBU.md)</t>
        </is>
      </c>
      <c r="O2139" s="18" t="inlineStr">
        <is>
          <t>Mock</t>
        </is>
      </c>
      <c r="P2139" s="18" t="inlineStr">
        <is>
          <t>Mock Rx20 UBU</t>
        </is>
      </c>
    </row>
    <row r="2140">
      <c r="A2140" s="15" t="inlineStr">
        <is>
          <t>2161</t>
        </is>
      </c>
      <c r="B2140" s="18" t="inlineStr">
        <is>
          <t>ลดอัตราเร็วในการตอก</t>
        </is>
      </c>
      <c r="C2140" s="18" t="inlineStr"/>
      <c r="D2140" s="18" t="inlineStr">
        <is>
          <t>Naloxone 0.4 mg IV stat</t>
        </is>
      </c>
      <c r="E2140" s="18" t="inlineStr">
        <is>
          <t>Flumazenil 0.2 mg IV stat</t>
        </is>
      </c>
      <c r="F2140" s="18" t="inlineStr">
        <is>
          <t>Vitamin K1 (Phytomenadione) 10 mg IV slow</t>
        </is>
      </c>
      <c r="G2140" s="18" t="inlineStr">
        <is>
          <t>Sodium thiosulfate 25% 50 mL IV</t>
        </is>
      </c>
      <c r="H2140" s="18" t="inlineStr">
        <is>
          <t>Calcium disodium EDTA 1 g IV</t>
        </is>
      </c>
      <c r="I2140" s="15" t="inlineStr">
        <is>
          <t>1</t>
        </is>
      </c>
      <c r="J21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0" s="18" t="inlineStr"/>
      <c r="L2140" s="18" t="inlineStr">
        <is>
          <t>General Therapeutics</t>
        </is>
      </c>
      <c r="M2140" s="18" t="inlineStr">
        <is>
          <t>Clinic</t>
        </is>
      </c>
      <c r="N2140" s="18" t="inlineStr">
        <is>
          <t>ข้อ 2 (PLE_CC1_Key_Rx20_UBU.md)</t>
        </is>
      </c>
      <c r="O2140" s="18" t="inlineStr">
        <is>
          <t>Mock</t>
        </is>
      </c>
      <c r="P2140" s="18" t="inlineStr">
        <is>
          <t>Mock Rx20 UBU</t>
        </is>
      </c>
    </row>
    <row r="2141">
      <c r="A2141" s="15" t="inlineStr">
        <is>
          <t>2162</t>
        </is>
      </c>
      <c r="B2141" s="18" t="inlineStr">
        <is>
          <t>สุ่ม 20 เม็ด หาน้ำหนักทีละเม็ด แล้วหาน้ำหนัก. เฉลี่ย</t>
        </is>
      </c>
      <c r="C2141" s="18" t="inlineStr"/>
      <c r="D2141" s="18" t="inlineStr">
        <is>
          <t>Sodium thiosulfate 25% 50 mL IV</t>
        </is>
      </c>
      <c r="E2141" s="18" t="inlineStr">
        <is>
          <t>Calcium disodium EDTA 1 g IV</t>
        </is>
      </c>
      <c r="F2141" s="18" t="inlineStr">
        <is>
          <t>Desferrioxamine 1 g IM/IV</t>
        </is>
      </c>
      <c r="G2141" s="18" t="inlineStr">
        <is>
          <t>Dimercaprol (BAL) 3 mg/kg IM</t>
        </is>
      </c>
      <c r="H2141" s="18" t="inlineStr">
        <is>
          <t>Ethanol 10% IV infusion for Methanol poisoning</t>
        </is>
      </c>
      <c r="I2141" s="15" t="inlineStr">
        <is>
          <t>1</t>
        </is>
      </c>
      <c r="J21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1" s="18" t="inlineStr"/>
      <c r="L2141" s="18" t="inlineStr">
        <is>
          <t>General Therapeutics</t>
        </is>
      </c>
      <c r="M2141" s="18" t="inlineStr">
        <is>
          <t>Clinic</t>
        </is>
      </c>
      <c r="N2141" s="18" t="inlineStr">
        <is>
          <t>ข้อ 1 (PLE_CC1_Key_Rx20_UBU.md)</t>
        </is>
      </c>
      <c r="O2141" s="18" t="inlineStr">
        <is>
          <t>Mock</t>
        </is>
      </c>
      <c r="P2141" s="18" t="inlineStr">
        <is>
          <t>Mock Rx20 UBU</t>
        </is>
      </c>
    </row>
    <row r="2142">
      <c r="A2142" s="15" t="inlineStr">
        <is>
          <t>2163</t>
        </is>
      </c>
      <c r="B2142" s="18" t="inlineStr">
        <is>
          <t>สุ่ม 20 เม็ด บดรวมกันแล้วหาปริมาณตัวยาสำคัญ</t>
        </is>
      </c>
      <c r="C2142" s="18" t="inlineStr"/>
      <c r="D2142" s="18" t="inlineStr">
        <is>
          <t>Dimercaprol (BAL) 3 mg/kg IM</t>
        </is>
      </c>
      <c r="E2142" s="18" t="inlineStr">
        <is>
          <t>Ethanol 10% IV infusion for Methanol poisoning</t>
        </is>
      </c>
      <c r="F2142" s="18" t="inlineStr">
        <is>
          <t>Fomepizole 15 mg/kg IV loading</t>
        </is>
      </c>
      <c r="G2142" s="18" t="inlineStr">
        <is>
          <t>N-acetylcysteine (NAC) IV infusion protocol</t>
        </is>
      </c>
      <c r="H2142" s="18" t="inlineStr">
        <is>
          <t>Atropine sulfate 2 mg IV Q5-10 min</t>
        </is>
      </c>
      <c r="I2142" s="15" t="inlineStr">
        <is>
          <t>1</t>
        </is>
      </c>
      <c r="J21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2" s="18" t="inlineStr"/>
      <c r="L2142" s="18" t="inlineStr">
        <is>
          <t>General Therapeutics</t>
        </is>
      </c>
      <c r="M2142" s="18" t="inlineStr">
        <is>
          <t>Clinic</t>
        </is>
      </c>
      <c r="N2142" s="18" t="inlineStr">
        <is>
          <t>ข้อ 2 (PLE_CC1_Key_Rx20_UBU.md)</t>
        </is>
      </c>
      <c r="O2142" s="18" t="inlineStr">
        <is>
          <t>Mock</t>
        </is>
      </c>
      <c r="P2142" s="18" t="inlineStr">
        <is>
          <t>Mock Rx20 UBU</t>
        </is>
      </c>
    </row>
    <row r="2143">
      <c r="A2143" s="15" t="inlineStr">
        <is>
          <t>2164</t>
        </is>
      </c>
      <c r="B2143" s="18" t="inlineStr">
        <is>
          <t>สุ่ม 30 เม็ด หาน้ำหนักและหาปริมาณตัวยาสำคัญ</t>
        </is>
      </c>
      <c r="C2143" s="18" t="inlineStr"/>
      <c r="D2143" s="18" t="inlineStr">
        <is>
          <t>N-acetylcysteine (NAC) IV infusion protocol</t>
        </is>
      </c>
      <c r="E2143" s="18" t="inlineStr">
        <is>
          <t>Atropine sulfate 2 mg IV Q5-10 min</t>
        </is>
      </c>
      <c r="F2143" s="18" t="inlineStr">
        <is>
          <t>Pralidoxime (2-PAM) 1-2 g IV over 30 min</t>
        </is>
      </c>
      <c r="G2143" s="18" t="inlineStr">
        <is>
          <t>Naloxone 0.4 mg IV stat</t>
        </is>
      </c>
      <c r="H2143" s="18" t="inlineStr">
        <is>
          <t>Flumazenil 0.2 mg IV stat</t>
        </is>
      </c>
      <c r="I2143" s="15" t="inlineStr">
        <is>
          <t>1</t>
        </is>
      </c>
      <c r="J21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43" s="18" t="inlineStr"/>
      <c r="L2143" s="18" t="inlineStr">
        <is>
          <t>General Therapeutics</t>
        </is>
      </c>
      <c r="M2143" s="18" t="inlineStr">
        <is>
          <t>Clinic</t>
        </is>
      </c>
      <c r="N2143" s="18" t="inlineStr">
        <is>
          <t>ข้อ 3 (PLE_CC1_Key_Rx20_UBU.md)</t>
        </is>
      </c>
      <c r="O2143" s="18" t="inlineStr">
        <is>
          <t>Mock</t>
        </is>
      </c>
      <c r="P2143" s="18" t="inlineStr">
        <is>
          <t>Mock Rx20 UBU</t>
        </is>
      </c>
    </row>
    <row r="2144">
      <c r="A2144" s="15" t="inlineStr">
        <is>
          <t>2165</t>
        </is>
      </c>
      <c r="B2144" s="18" t="inlineStr">
        <is>
          <t>สุ่ม 30 เม็ด หาน้ำหนัก</t>
        </is>
      </c>
      <c r="C2144" s="18" t="inlineStr"/>
      <c r="D2144" s="18" t="inlineStr">
        <is>
          <t>Naloxone 0.4 mg IV stat</t>
        </is>
      </c>
      <c r="E2144" s="18" t="inlineStr">
        <is>
          <t>Flumazenil 0.2 mg IV stat</t>
        </is>
      </c>
      <c r="F2144" s="18" t="inlineStr">
        <is>
          <t>Vitamin K1 (Phytomenadione) 10 mg IV slow</t>
        </is>
      </c>
      <c r="G2144" s="18" t="inlineStr">
        <is>
          <t>Sodium thiosulfate 25% 50 mL IV</t>
        </is>
      </c>
      <c r="H2144" s="18" t="inlineStr">
        <is>
          <t>Calcium disodium EDTA 1 g IV</t>
        </is>
      </c>
      <c r="I2144" s="15" t="inlineStr">
        <is>
          <t>1</t>
        </is>
      </c>
      <c r="J21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4" s="18" t="inlineStr"/>
      <c r="L2144" s="18" t="inlineStr">
        <is>
          <t>General Therapeutics</t>
        </is>
      </c>
      <c r="M2144" s="18" t="inlineStr">
        <is>
          <t>Clinic</t>
        </is>
      </c>
      <c r="N2144" s="18" t="inlineStr">
        <is>
          <t>ข้อ 4 (PLE_CC1_Key_Rx20_UBU.md)</t>
        </is>
      </c>
      <c r="O2144" s="18" t="inlineStr">
        <is>
          <t>Mock</t>
        </is>
      </c>
      <c r="P2144" s="18" t="inlineStr">
        <is>
          <t>Mock Rx20 UBU</t>
        </is>
      </c>
    </row>
    <row r="2145">
      <c r="A2145" s="15" t="inlineStr">
        <is>
          <t>2166</t>
        </is>
      </c>
      <c r="B2145" s="18" t="inlineStr">
        <is>
          <t>ยาที่ควรแนะนำเป็นตัวแรกคืออะไร</t>
        </is>
      </c>
      <c r="C2145" s="18" t="inlineStr"/>
      <c r="D2145" s="18" t="inlineStr">
        <is>
          <t>Glymeperide</t>
        </is>
      </c>
      <c r="E2145" s="18" t="inlineStr">
        <is>
          <t>Metformin</t>
        </is>
      </c>
      <c r="F2145" s="18" t="inlineStr">
        <is>
          <t>Acarbose</t>
        </is>
      </c>
      <c r="G2145" s="18" t="inlineStr">
        <is>
          <t>Insulin R</t>
        </is>
      </c>
      <c r="H2145" s="18" t="inlineStr">
        <is>
          <t>… ตอบ ข. Metformin ผู้ป่วยปฏิเสธยาที่แพทย์จ่าย หลังจากผู้ป่วยไปปรับพฤติกรรมมา 2 เดือน ปรากฏว่า HbA1C 9.กว่าๆ FBS 170 mg/dl Scr</t>
        </is>
      </c>
      <c r="I2145" s="15" t="inlineStr">
        <is>
          <t>1</t>
        </is>
      </c>
      <c r="J2145" s="18" t="inlineStr">
        <is>
          <t>✅ คำตอบที่ถูกต้อง: ข้อ ก. Glymeperide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Glymeperide การเลือก Glymeperide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(Insulin R): ข้อนี้ไม่ใช่คำตอบที่ถูกต้องสำหรับภาวะ General Therapeutics เนื่องจากกลไกการออกฤทธิ์, efficacy หรือข้อบ่งใช้ไม่ตรงกับโจทย์ที่กำหนด
• ข้อ จ. (… ตอบ ข. Metformin ผู้ป่วยปฏิเสธยาที่แพทย์จ่าย หลังจากผู้ป่วยไปปรับพฤติกรรมมา 2 เดือน ปรากฏว่า HbA1C 9.กว่าๆ FBS 170 mg/dl Scr):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5" s="18" t="inlineStr"/>
      <c r="L2145" s="18" t="inlineStr">
        <is>
          <t>General Therapeutics</t>
        </is>
      </c>
      <c r="M2145" s="18" t="inlineStr">
        <is>
          <t>Clinic</t>
        </is>
      </c>
      <c r="N2145" s="18" t="inlineStr">
        <is>
          <t>ข้อ 1 (PLE_CC1_Key_Rx20_UBU.md)</t>
        </is>
      </c>
      <c r="O2145" s="18" t="inlineStr">
        <is>
          <t>Mock</t>
        </is>
      </c>
      <c r="P2145" s="18" t="inlineStr">
        <is>
          <t>Mock Rx20 UBU</t>
        </is>
      </c>
    </row>
    <row r="2146">
      <c r="A2146" s="15" t="inlineStr">
        <is>
          <t>2167</t>
        </is>
      </c>
      <c r="B2146" s="18" t="inlineStr">
        <is>
          <t>กลไกการออกฤทธิ์ของ Pioglitazone</t>
        </is>
      </c>
      <c r="C2146" s="18" t="inlineStr"/>
      <c r="D2146" s="18" t="inlineStr">
        <is>
          <t>Increse insulin secretion</t>
        </is>
      </c>
      <c r="E2146" s="18" t="inlineStr">
        <is>
          <t>Increase insulin sensitivity</t>
        </is>
      </c>
      <c r="F2146" s="18" t="inlineStr">
        <is>
          <t>Increase incretin</t>
        </is>
      </c>
      <c r="G2146" s="18" t="inlineStr">
        <is>
          <t>Increase HDL</t>
        </is>
      </c>
      <c r="H2146" s="18" t="inlineStr">
        <is>
          <t>… ตอบ ข. Increase insulin sensitivity</t>
        </is>
      </c>
      <c r="I2146" s="15" t="inlineStr">
        <is>
          <t>1</t>
        </is>
      </c>
      <c r="J2146" s="18" t="inlineStr">
        <is>
          <t>✅ คำตอบที่ถูกต้อง: ข้อ ก. Increse insulin secretion
💡 Background:
การบริบาลผู้ป่วยเบาหวานชนิดที่ 2 (T2DM) เน้นควบคุม HbA1c ควบคู่กับการเลือกยาที่มี cardiorenal protection ในผู้ป่วยที่มีโรคร่วม
🎯 ทำไมข้อนี้ถึงถูก:
Increse insulin secretion การเลือก Increse insulin secretion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ข้อ ค. (Increase incretin): ข้อนี้ไม่ใช่คำตอบที่ถูกต้องสำหรับภาวะ Diabetes &amp; Endocrine เนื่องจากกลไกการออกฤทธิ์, efficacy หรือข้อบ่งใช้ไม่ตรงกับโจทย์ที่กำหนด
• ข้อ ง. (Increase HDL): ข้อนี้ไม่ใช่คำตอบที่ถูกต้องสำหรับภาวะ Diabetes &amp; Endocrine เนื่องจากกลไกการออกฤทธิ์, efficacy หรือข้อบ่งใช้ไม่ตรงกับโจทย์ที่กำหนด
• ข้อ จ. (… ตอบ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146" s="18" t="inlineStr"/>
      <c r="L2146" s="18" t="inlineStr">
        <is>
          <t>Diabetes &amp; Endocrine</t>
        </is>
      </c>
      <c r="M2146" s="18" t="inlineStr">
        <is>
          <t>Clinic</t>
        </is>
      </c>
      <c r="N2146" s="18" t="inlineStr">
        <is>
          <t>ข้อ 4 (PLE_CC1_Key_Rx20_UBU.md)</t>
        </is>
      </c>
      <c r="O2146" s="18" t="inlineStr">
        <is>
          <t>Mock</t>
        </is>
      </c>
      <c r="P2146" s="18" t="inlineStr">
        <is>
          <t>Mock Rx20 UBU</t>
        </is>
      </c>
    </row>
    <row r="2147">
      <c r="A2147" s="15" t="inlineStr">
        <is>
          <t>2168</t>
        </is>
      </c>
      <c r="B2147" s="18" t="inlineStr">
        <is>
          <t>piloglitazone ห้ามใช้ในใคร</t>
        </is>
      </c>
      <c r="C2147" s="18" t="inlineStr"/>
      <c r="D2147" s="18" t="inlineStr">
        <is>
          <t>LVEF &lt; 35</t>
        </is>
      </c>
      <c r="E2147" s="18" t="inlineStr">
        <is>
          <t>LDL &lt; 160</t>
        </is>
      </c>
      <c r="F2147" s="18" t="inlineStr">
        <is>
          <t>AGT</t>
        </is>
      </c>
      <c r="G2147" s="18" t="inlineStr">
        <is>
          <t>Naloxone 0.4 mg IV stat</t>
        </is>
      </c>
      <c r="H2147" s="18" t="inlineStr">
        <is>
          <t>… ตอบ ก. LVEF &lt; 35</t>
        </is>
      </c>
      <c r="I2147" s="15" t="inlineStr">
        <is>
          <t>1</t>
        </is>
      </c>
      <c r="J2147" s="18" t="inlineStr">
        <is>
          <t>✅ คำตอบที่ถูกต้อง: ข้อ ก. LVEF &lt; 35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LVEF &lt; 35 การเลือก LVEF &lt; 35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(LDL &lt; 160): ข้อนี้ไม่ใช่คำตอบที่ถูกต้องสำหรับภาวะ General Therapeutics เนื่องจากกลไกการออกฤทธิ์, efficacy หรือข้อบ่งใช้ไม่ตรงกับโจทย์ที่กำหนด
• ข้อ ค. (AGT):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LVEF &lt; 35):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7" s="18" t="inlineStr"/>
      <c r="L2147" s="18" t="inlineStr">
        <is>
          <t>General Therapeutics</t>
        </is>
      </c>
      <c r="M2147" s="18" t="inlineStr">
        <is>
          <t>Clinic</t>
        </is>
      </c>
      <c r="N2147" s="18" t="inlineStr">
        <is>
          <t>ข้อ 5 (PLE_CC1_Key_Rx20_UBU.md)</t>
        </is>
      </c>
      <c r="O2147" s="18" t="inlineStr">
        <is>
          <t>Mock</t>
        </is>
      </c>
      <c r="P2147" s="18" t="inlineStr">
        <is>
          <t>Mock Rx20 UBU</t>
        </is>
      </c>
    </row>
    <row r="2148">
      <c r="A2148" s="15" t="inlineStr">
        <is>
          <t>2169</t>
        </is>
      </c>
      <c r="B2148" s="18" t="inlineStr">
        <is>
          <t>โครงสร้างของ sulfonyul urea ตัวไหนออกฤทธิ์นานที่สุด ตอบ ไม่มีตัวเลือกมาให้</t>
        </is>
      </c>
      <c r="C2148" s="18" t="inlineStr"/>
      <c r="D2148" s="18" t="inlineStr">
        <is>
          <t>Naloxone 0.4 mg IV stat</t>
        </is>
      </c>
      <c r="E2148" s="18" t="inlineStr">
        <is>
          <t>Flumazenil 0.2 mg IV stat</t>
        </is>
      </c>
      <c r="F2148" s="18" t="inlineStr">
        <is>
          <t>Vitamin K1 (Phytomenadione) 10 mg IV slow</t>
        </is>
      </c>
      <c r="G2148" s="18" t="inlineStr">
        <is>
          <t>Sodium thiosulfate 25% 50 mL IV</t>
        </is>
      </c>
      <c r="H2148" s="18" t="inlineStr">
        <is>
          <t>Calcium disodium EDTA 1 g IV</t>
        </is>
      </c>
      <c r="I2148" s="15" t="inlineStr">
        <is>
          <t>1</t>
        </is>
      </c>
      <c r="J21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8" s="18" t="inlineStr"/>
      <c r="L2148" s="18" t="inlineStr">
        <is>
          <t>General Therapeutics</t>
        </is>
      </c>
      <c r="M2148" s="18" t="inlineStr">
        <is>
          <t>Clinic</t>
        </is>
      </c>
      <c r="N2148" s="18" t="inlineStr">
        <is>
          <t>ข้อ 6 (PLE_CC1_Key_Rx20_UBU.md)</t>
        </is>
      </c>
      <c r="O2148" s="18" t="inlineStr">
        <is>
          <t>Mock</t>
        </is>
      </c>
      <c r="P2148" s="18" t="inlineStr">
        <is>
          <t>Mock Rx20 UBU</t>
        </is>
      </c>
    </row>
    <row r="2149">
      <c r="A2149" s="15" t="inlineStr">
        <is>
          <t>2170</t>
        </is>
      </c>
      <c r="B2149" s="18" t="inlineStr">
        <is>
          <t>ถ้าผู้ป่วยเป็น DKA ควรได้รับการรักษาอย่างไร</t>
        </is>
      </c>
      <c r="C2149" s="18" t="inlineStr"/>
      <c r="D2149" s="18" t="inlineStr">
        <is>
          <t>ให้ long acting insulin</t>
        </is>
      </c>
      <c r="E2149" s="18" t="inlineStr">
        <is>
          <t>เพิ่มขนาดยาลดน้ำตาลในเลือด</t>
        </is>
      </c>
      <c r="F2149" s="18" t="inlineStr">
        <is>
          <t>เพิ่มชนิดยาเม็ดลดน้ำตาลในเลือด</t>
        </is>
      </c>
      <c r="G2149" s="18" t="inlineStr">
        <is>
          <t>ให้ normal saline แล้วให้ regular insulin</t>
        </is>
      </c>
      <c r="H2149" s="18" t="inlineStr">
        <is>
          <t>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t>
        </is>
      </c>
      <c r="I2149" s="15" t="inlineStr">
        <is>
          <t>1</t>
        </is>
      </c>
      <c r="J2149" s="18" t="inlineStr">
        <is>
          <t>✅ คำตอบที่ถูกต้อง: ข้อ ก. ให้ long acting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 long acting insulin การเลือก ให้ long acting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ค. (เพิ่มชนิดยาเม็ดลดน้ำตาลในเลือด):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ง. (ให้ normal saline แล้วให้ regular insulin): ข้อนี้ไม่ใช่คำตอบที่ถูกต้องสำหรับภาวะ General Therapeutics เนื่องจากกลไกการออกฤทธิ์, efficacy หรือข้อบ่งใช้ไม่ตรงกับโจทย์ที่กำหนด
• ข้อ จ. (ให้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9" s="18" t="inlineStr"/>
      <c r="L2149" s="18" t="inlineStr">
        <is>
          <t>General Therapeutics</t>
        </is>
      </c>
      <c r="M2149" s="18" t="inlineStr">
        <is>
          <t>Clinic</t>
        </is>
      </c>
      <c r="N2149" s="18" t="inlineStr">
        <is>
          <t>ข้อ 7 (PLE_CC1_Key_Rx20_UBU.md)</t>
        </is>
      </c>
      <c r="O2149" s="18" t="inlineStr">
        <is>
          <t>Mock</t>
        </is>
      </c>
      <c r="P2149" s="18" t="inlineStr">
        <is>
          <t>Mock Rx20 UBU</t>
        </is>
      </c>
    </row>
    <row r="2150">
      <c r="A2150" s="15" t="inlineStr">
        <is>
          <t>2171</t>
        </is>
      </c>
      <c r="B2150" s="18" t="inlineStr">
        <is>
          <t>เชื้ออะไร</t>
        </is>
      </c>
      <c r="C2150" s="18" t="inlineStr"/>
      <c r="D2150" s="18" t="inlineStr">
        <is>
          <t>Malassezia furfur</t>
        </is>
      </c>
      <c r="E2150" s="18" t="inlineStr">
        <is>
          <t>Trichophyton</t>
        </is>
      </c>
      <c r="F2150" s="18" t="inlineStr">
        <is>
          <t>Microsporum</t>
        </is>
      </c>
      <c r="G2150" s="18" t="inlineStr">
        <is>
          <t>Candida albican</t>
        </is>
      </c>
      <c r="H2150" s="18" t="inlineStr">
        <is>
          <t>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t>
        </is>
      </c>
      <c r="I2150" s="15" t="inlineStr">
        <is>
          <t>1</t>
        </is>
      </c>
      <c r="J2150" s="18"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มีขุยละเอียดโดยเฉพาะอย่างยิ่งเมื่อใช้เล็บขูดเบาๆ จะมีขุยเล็กๆ สีขาวฟู ขึ้นมา ผื่นนี้จะพบสีได้ต่างๆ กัน เช่น
🔍 ข้ออื่นผิดเพราะอะไร:
• ข้อ ข. (Trichophyton): ข้อนี้ไม่ใช่คำตอบที่ถูกต้องสำหรับภาวะ General Therapeutics เนื่องจากกลไกการออกฤทธิ์, efficacy หรือข้อบ่งใช้ไม่ตรงกับโจทย์ที่กำหนด
• ข้อ ค. (Microsporum): ข้อนี้ไม่ใช่คำตอบที่ถูกต้องสำหรับภาวะ General Therapeutics เนื่องจากกลไกการออกฤทธิ์, efficacy หรือข้อบ่งใช้ไม่ตรงกับโจทย์ที่กำหนด
• ข้อ ง. (Candida albican): ข้อนี้ไม่ใช่คำตอบที่ถูกต้องสำหรับภาวะ General Therapeutics เนื่องจากกลไกการออกฤทธิ์, efficacy หรือข้อบ่งใช้ไม่ตรงกับโจทย์ที่กำหนด
• ข้อ จ. (Epidermophyton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0" s="18" t="inlineStr"/>
      <c r="L2150" s="18" t="inlineStr">
        <is>
          <t>General Therapeutics</t>
        </is>
      </c>
      <c r="M2150" s="18" t="inlineStr">
        <is>
          <t>Clinic</t>
        </is>
      </c>
      <c r="N2150" s="18" t="inlineStr">
        <is>
          <t>ข้อ 1 (PLE_CC1_Key_Rx20_UBU.md)</t>
        </is>
      </c>
      <c r="O2150" s="18" t="inlineStr">
        <is>
          <t>Mock</t>
        </is>
      </c>
      <c r="P2150" s="18" t="inlineStr">
        <is>
          <t>Mock Rx20 UBU</t>
        </is>
      </c>
    </row>
    <row r="2151">
      <c r="A2151" s="15" t="inlineStr">
        <is>
          <t>2172</t>
        </is>
      </c>
      <c r="B2151" s="18" t="inlineStr">
        <is>
          <t>Cotrimazole มีกลไกในการออกฤทธิ์อย่างไร</t>
        </is>
      </c>
      <c r="C2151" s="18" t="inlineStr"/>
      <c r="D2151" s="18" t="inlineStr">
        <is>
          <t>ยับยั้งการสร้าง ergosterol โดยจับกับ lanosterol 14-alpha-demethylase</t>
        </is>
      </c>
      <c r="E2151" s="18" t="inlineStr">
        <is>
          <t>Atropine sulfate 2 mg IV Q5-10 min</t>
        </is>
      </c>
      <c r="F2151" s="18" t="inlineStr">
        <is>
          <t>Pralidoxime (2-PAM) 1-2 g IV over 30 min</t>
        </is>
      </c>
      <c r="G2151" s="18" t="inlineStr">
        <is>
          <t>Naloxone 0.4 mg IV stat</t>
        </is>
      </c>
      <c r="H2151" s="18" t="inlineStr">
        <is>
          <t>… ตอบ ก. ยับยั้งการสร้าง ergosterol โดยจับกับ lanosterol 14-alpha-demethylase</t>
        </is>
      </c>
      <c r="I2151" s="15" t="inlineStr">
        <is>
          <t>1</t>
        </is>
      </c>
      <c r="J2151" s="18" t="inlineStr">
        <is>
          <t>✅ คำตอบที่ถูกต้อง: ข้อ ก. ยับยั้งการสร้าง ergosterol โดยจับกับ lanosterol 14-alpha-demethylase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ยับยั้งการสร้าง ergosterol โดยจับกับ lanosterol 14-alpha-demethylase การเลือก ยับยั้งการสร้าง ergosterol โดยจับกับ lanosterol 14-alpha-demethylase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ยับยั้งการสร้าง ergosterol โดยจับกับ lanosterol 14-alpha-demethylase):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1" s="18" t="inlineStr"/>
      <c r="L2151" s="18" t="inlineStr">
        <is>
          <t>General Therapeutics</t>
        </is>
      </c>
      <c r="M2151" s="18" t="inlineStr">
        <is>
          <t>Clinic</t>
        </is>
      </c>
      <c r="N2151" s="18" t="inlineStr">
        <is>
          <t>ข้อ 5 (PLE_CC1_Key_Rx20_UBU.md)</t>
        </is>
      </c>
      <c r="O2151" s="18" t="inlineStr">
        <is>
          <t>Mock</t>
        </is>
      </c>
      <c r="P2151" s="18" t="inlineStr">
        <is>
          <t>Mock Rx20 UBU</t>
        </is>
      </c>
    </row>
    <row r="2152">
      <c r="A2152" s="15" t="inlineStr">
        <is>
          <t>2173</t>
        </is>
      </c>
      <c r="B2152" s="18" t="inlineStr">
        <is>
          <t>External hordeolum</t>
        </is>
      </c>
      <c r="C2152" s="18" t="inlineStr"/>
      <c r="D2152" s="18" t="inlineStr">
        <is>
          <t>Naloxone 0.4 mg IV stat</t>
        </is>
      </c>
      <c r="E2152" s="18" t="inlineStr">
        <is>
          <t>Flumazenil 0.2 mg IV stat</t>
        </is>
      </c>
      <c r="F2152" s="18" t="inlineStr">
        <is>
          <t>Vitamin K1 (Phytomenadione) 10 mg IV slow</t>
        </is>
      </c>
      <c r="G2152" s="18" t="inlineStr">
        <is>
          <t>Sodium thiosulfate 25% 50 mL IV</t>
        </is>
      </c>
      <c r="H2152" s="18" t="inlineStr">
        <is>
          <t>Calcium disodium EDTA 1 g IV</t>
        </is>
      </c>
      <c r="I2152" s="15" t="inlineStr">
        <is>
          <t>1</t>
        </is>
      </c>
      <c r="J215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2" s="18" t="inlineStr"/>
      <c r="L2152" s="18" t="inlineStr">
        <is>
          <t>General Therapeutics</t>
        </is>
      </c>
      <c r="M2152" s="18" t="inlineStr">
        <is>
          <t>Clinic</t>
        </is>
      </c>
      <c r="N2152" s="18" t="inlineStr">
        <is>
          <t>ข้อ 1 (PLE_CC1_Key_Rx20_UBU.md)</t>
        </is>
      </c>
      <c r="O2152" s="18" t="inlineStr">
        <is>
          <t>Mock</t>
        </is>
      </c>
      <c r="P2152" s="18" t="inlineStr">
        <is>
          <t>Mock Rx20 UBU</t>
        </is>
      </c>
    </row>
    <row r="2153">
      <c r="A2153" s="15" t="inlineStr">
        <is>
          <t>2174</t>
        </is>
      </c>
      <c r="B2153" s="18" t="inlineStr">
        <is>
          <t>Staphlococcus aureaus</t>
        </is>
      </c>
      <c r="C2153" s="18" t="inlineStr"/>
      <c r="D2153" s="18" t="inlineStr">
        <is>
          <t>Sodium thiosulfate 25% 50 mL IV</t>
        </is>
      </c>
      <c r="E2153" s="18" t="inlineStr">
        <is>
          <t>Calcium disodium EDTA 1 g IV</t>
        </is>
      </c>
      <c r="F2153" s="18" t="inlineStr">
        <is>
          <t>Desferrioxamine 1 g IM/IV</t>
        </is>
      </c>
      <c r="G2153" s="18" t="inlineStr">
        <is>
          <t>Dimercaprol (BAL) 3 mg/kg IM</t>
        </is>
      </c>
      <c r="H2153" s="18" t="inlineStr">
        <is>
          <t>Ethanol 10% IV infusion for Methanol poisoning</t>
        </is>
      </c>
      <c r="I2153" s="15" t="inlineStr">
        <is>
          <t>1</t>
        </is>
      </c>
      <c r="J21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3" s="18" t="inlineStr"/>
      <c r="L2153" s="18" t="inlineStr">
        <is>
          <t>General Therapeutics</t>
        </is>
      </c>
      <c r="M2153" s="18" t="inlineStr">
        <is>
          <t>Clinic</t>
        </is>
      </c>
      <c r="N2153" s="18" t="inlineStr">
        <is>
          <t>ข้อ 1 (PLE_CC1_Key_Rx20_UBU.md)</t>
        </is>
      </c>
      <c r="O2153" s="18" t="inlineStr">
        <is>
          <t>Mock</t>
        </is>
      </c>
      <c r="P2153" s="18" t="inlineStr">
        <is>
          <t>Mock Rx20 UBU</t>
        </is>
      </c>
    </row>
    <row r="2154">
      <c r="A2154" s="15" t="inlineStr">
        <is>
          <t>2175</t>
        </is>
      </c>
      <c r="B2154" s="18" t="inlineStr">
        <is>
          <t>สัมผัสแสงจ้าเป็นระยะเวลานาน</t>
        </is>
      </c>
      <c r="C2154" s="18" t="inlineStr"/>
      <c r="D2154" s="18" t="inlineStr">
        <is>
          <t>Dimercaprol (BAL) 3 mg/kg IM</t>
        </is>
      </c>
      <c r="E2154" s="18" t="inlineStr">
        <is>
          <t>Ethanol 10% IV infusion for Methanol poisoning</t>
        </is>
      </c>
      <c r="F2154" s="18" t="inlineStr">
        <is>
          <t>Fomepizole 15 mg/kg IV loading</t>
        </is>
      </c>
      <c r="G2154" s="18" t="inlineStr">
        <is>
          <t>N-acetylcysteine (NAC) IV infusion protocol</t>
        </is>
      </c>
      <c r="H2154" s="18" t="inlineStr">
        <is>
          <t>Atropine sulfate 2 mg IV Q5-10 min</t>
        </is>
      </c>
      <c r="I2154" s="15" t="inlineStr">
        <is>
          <t>1</t>
        </is>
      </c>
      <c r="J21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4" s="18" t="inlineStr"/>
      <c r="L2154" s="18" t="inlineStr">
        <is>
          <t>General Therapeutics</t>
        </is>
      </c>
      <c r="M2154" s="18" t="inlineStr">
        <is>
          <t>Clinic</t>
        </is>
      </c>
      <c r="N2154" s="18" t="inlineStr">
        <is>
          <t>ข้อ 3 (PLE_CC1_Key_Rx20_UBU.md)</t>
        </is>
      </c>
      <c r="O2154" s="18" t="inlineStr">
        <is>
          <t>Mock</t>
        </is>
      </c>
      <c r="P2154" s="18" t="inlineStr">
        <is>
          <t>Mock Rx20 UBU</t>
        </is>
      </c>
    </row>
    <row r="2155">
      <c r="A2155" s="15" t="inlineStr">
        <is>
          <t>2176</t>
        </is>
      </c>
      <c r="B2155" s="18" t="inlineStr">
        <is>
          <t>ต่อมไขมันบริเวณเปลือกตาอักเสบ</t>
        </is>
      </c>
      <c r="C2155" s="18" t="inlineStr"/>
      <c r="D2155" s="18" t="inlineStr">
        <is>
          <t>N-acetylcysteine (NAC) IV infusion protocol</t>
        </is>
      </c>
      <c r="E2155" s="18" t="inlineStr">
        <is>
          <t>Atropine sulfate 2 mg IV Q5-10 min</t>
        </is>
      </c>
      <c r="F2155" s="18" t="inlineStr">
        <is>
          <t>Pralidoxime (2-PAM) 1-2 g IV over 30 min</t>
        </is>
      </c>
      <c r="G2155" s="18" t="inlineStr">
        <is>
          <t>Naloxone 0.4 mg IV stat</t>
        </is>
      </c>
      <c r="H2155" s="18" t="inlineStr">
        <is>
          <t>Flumazenil 0.2 mg IV stat</t>
        </is>
      </c>
      <c r="I2155" s="15" t="inlineStr">
        <is>
          <t>1</t>
        </is>
      </c>
      <c r="J215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5" s="18" t="inlineStr"/>
      <c r="L2155" s="18" t="inlineStr">
        <is>
          <t>General Therapeutics</t>
        </is>
      </c>
      <c r="M2155" s="18" t="inlineStr">
        <is>
          <t>Clinic</t>
        </is>
      </c>
      <c r="N2155" s="18" t="inlineStr">
        <is>
          <t>ข้อ 4 (PLE_CC1_Key_Rx20_UBU.md)</t>
        </is>
      </c>
      <c r="O2155" s="18" t="inlineStr">
        <is>
          <t>Mock</t>
        </is>
      </c>
      <c r="P2155" s="18" t="inlineStr">
        <is>
          <t>Mock Rx20 UBU</t>
        </is>
      </c>
    </row>
    <row r="2156">
      <c r="A2156" s="15" t="inlineStr">
        <is>
          <t>2177</t>
        </is>
      </c>
      <c r="B2156" s="18" t="inlineStr">
        <is>
          <t>ยาใดควรให้แก่ผู้ป่วยรายนี้</t>
        </is>
      </c>
      <c r="C2156" s="18" t="inlineStr"/>
      <c r="D2156" s="18" t="inlineStr">
        <is>
          <t>Naloxone 0.4 mg IV stat</t>
        </is>
      </c>
      <c r="E2156" s="18" t="inlineStr">
        <is>
          <t>Flumazenil 0.2 mg IV stat</t>
        </is>
      </c>
      <c r="F2156" s="18" t="inlineStr">
        <is>
          <t>Vitamin K1 (Phytomenadione) 10 mg IV slow</t>
        </is>
      </c>
      <c r="G2156" s="18" t="inlineStr">
        <is>
          <t>Sodium thiosulfate 25% 50 mL IV</t>
        </is>
      </c>
      <c r="H2156" s="18" t="inlineStr">
        <is>
          <t>Calcium disodium EDTA 1 g IV</t>
        </is>
      </c>
      <c r="I2156" s="15" t="inlineStr">
        <is>
          <t>1</t>
        </is>
      </c>
      <c r="J21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6" s="18" t="inlineStr"/>
      <c r="L2156" s="18" t="inlineStr">
        <is>
          <t>General Therapeutics</t>
        </is>
      </c>
      <c r="M2156" s="18" t="inlineStr">
        <is>
          <t>Clinic</t>
        </is>
      </c>
      <c r="N2156" s="18" t="inlineStr">
        <is>
          <t>ข้อ 3 (PLE_CC1_Key_Rx20_UBU.md)</t>
        </is>
      </c>
      <c r="O2156" s="18" t="inlineStr">
        <is>
          <t>Mock</t>
        </is>
      </c>
      <c r="P2156" s="18" t="inlineStr">
        <is>
          <t>Mock Rx20 UBU</t>
        </is>
      </c>
    </row>
    <row r="2157">
      <c r="A2157" s="15" t="inlineStr">
        <is>
          <t>2178</t>
        </is>
      </c>
      <c r="B2157" s="18" t="inlineStr">
        <is>
          <t>Artificial tears</t>
        </is>
      </c>
      <c r="C2157" s="18" t="inlineStr"/>
      <c r="D2157" s="18" t="inlineStr">
        <is>
          <t>Sodium thiosulfate 25% 50 mL IV</t>
        </is>
      </c>
      <c r="E2157" s="18" t="inlineStr">
        <is>
          <t>Calcium disodium EDTA 1 g IV</t>
        </is>
      </c>
      <c r="F2157" s="18" t="inlineStr">
        <is>
          <t>Desferrioxamine 1 g IM/IV</t>
        </is>
      </c>
      <c r="G2157" s="18" t="inlineStr">
        <is>
          <t>Dimercaprol (BAL) 3 mg/kg IM</t>
        </is>
      </c>
      <c r="H2157" s="18" t="inlineStr">
        <is>
          <t>Ethanol 10% IV infusion for Methanol poisoning</t>
        </is>
      </c>
      <c r="I2157" s="15" t="inlineStr">
        <is>
          <t>1</t>
        </is>
      </c>
      <c r="J21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7" s="18" t="inlineStr"/>
      <c r="L2157" s="18" t="inlineStr">
        <is>
          <t>General Therapeutics</t>
        </is>
      </c>
      <c r="M2157" s="18" t="inlineStr">
        <is>
          <t>Clinic</t>
        </is>
      </c>
      <c r="N2157" s="18" t="inlineStr">
        <is>
          <t>ข้อ 1 (PLE_CC1_Key_Rx20_UBU.md)</t>
        </is>
      </c>
      <c r="O2157" s="18" t="inlineStr">
        <is>
          <t>Mock</t>
        </is>
      </c>
      <c r="P2157" s="18" t="inlineStr">
        <is>
          <t>Mock Rx20 UBU</t>
        </is>
      </c>
    </row>
    <row r="2158">
      <c r="A2158" s="15" t="inlineStr">
        <is>
          <t>2179</t>
        </is>
      </c>
      <c r="B2158" s="18" t="inlineStr">
        <is>
          <t>กลไกของยา penicillin</t>
        </is>
      </c>
      <c r="C2158" s="18" t="inlineStr"/>
      <c r="D2158" s="18" t="inlineStr">
        <is>
          <t>Meropenem 1 g IV Q8H</t>
        </is>
      </c>
      <c r="E2158" s="18" t="inlineStr">
        <is>
          <t>Cefazolin 1 g IV Q8H</t>
        </is>
      </c>
      <c r="F2158" s="18" t="inlineStr">
        <is>
          <t>Amoxicillin/Clavulanate 1 g BID</t>
        </is>
      </c>
      <c r="G2158" s="18" t="inlineStr">
        <is>
          <t>Ceftriaxone 1 g IV OD</t>
        </is>
      </c>
      <c r="H2158" s="18" t="inlineStr">
        <is>
          <t>Ciprofloxacin 500 mg BID</t>
        </is>
      </c>
      <c r="I2158" s="15" t="inlineStr">
        <is>
          <t>1</t>
        </is>
      </c>
      <c r="J2158" s="18"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8" s="18" t="inlineStr"/>
      <c r="L2158" s="18" t="inlineStr">
        <is>
          <t>Infectious Diseases</t>
        </is>
      </c>
      <c r="M2158" s="18" t="inlineStr">
        <is>
          <t>Clinic</t>
        </is>
      </c>
      <c r="N2158" s="18" t="inlineStr">
        <is>
          <t>ข้อ 4 (PLE_CC1_Key_Rx20_UBU.md)</t>
        </is>
      </c>
      <c r="O2158" s="18" t="inlineStr">
        <is>
          <t>Mock</t>
        </is>
      </c>
      <c r="P2158" s="18" t="inlineStr">
        <is>
          <t>Mock Rx20 UBU</t>
        </is>
      </c>
    </row>
    <row r="2159">
      <c r="A2159" s="15" t="inlineStr">
        <is>
          <t>2180</t>
        </is>
      </c>
      <c r="B2159" s="18" t="inlineStr">
        <is>
          <t>ยับยั้งการสร้างผนังเซลล์ของเชื้อ</t>
        </is>
      </c>
      <c r="C2159" s="18" t="inlineStr"/>
      <c r="D2159" s="18" t="inlineStr">
        <is>
          <t>N-acetylcysteine (NAC) IV infusion protocol</t>
        </is>
      </c>
      <c r="E2159" s="18" t="inlineStr">
        <is>
          <t>Atropine sulfate 2 mg IV Q5-10 min</t>
        </is>
      </c>
      <c r="F2159" s="18" t="inlineStr">
        <is>
          <t>Pralidoxime (2-PAM) 1-2 g IV over 30 min</t>
        </is>
      </c>
      <c r="G2159" s="18" t="inlineStr">
        <is>
          <t>Naloxone 0.4 mg IV stat</t>
        </is>
      </c>
      <c r="H2159" s="18" t="inlineStr">
        <is>
          <t>Flumazenil 0.2 mg IV stat</t>
        </is>
      </c>
      <c r="I2159" s="15" t="inlineStr">
        <is>
          <t>1</t>
        </is>
      </c>
      <c r="J21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9" s="18" t="inlineStr"/>
      <c r="L2159" s="18" t="inlineStr">
        <is>
          <t>General Therapeutics</t>
        </is>
      </c>
      <c r="M2159" s="18" t="inlineStr">
        <is>
          <t>Clinic</t>
        </is>
      </c>
      <c r="N2159" s="18" t="inlineStr">
        <is>
          <t>ข้อ 1 (PLE_CC1_Key_Rx20_UBU.md)</t>
        </is>
      </c>
      <c r="O2159" s="18" t="inlineStr">
        <is>
          <t>Mock</t>
        </is>
      </c>
      <c r="P2159" s="18" t="inlineStr">
        <is>
          <t>Mock Rx20 UBU</t>
        </is>
      </c>
    </row>
    <row r="2160">
      <c r="A2160" s="15" t="inlineStr">
        <is>
          <t>2181</t>
        </is>
      </c>
      <c r="B2160" s="18" t="inlineStr">
        <is>
          <t>ยับยั้งการสร้างเยื้อหุ้มเซลล์ของเชื้อ</t>
        </is>
      </c>
      <c r="C2160" s="18" t="inlineStr"/>
      <c r="D2160" s="18" t="inlineStr">
        <is>
          <t>Naloxone 0.4 mg IV stat</t>
        </is>
      </c>
      <c r="E2160" s="18" t="inlineStr">
        <is>
          <t>Flumazenil 0.2 mg IV stat</t>
        </is>
      </c>
      <c r="F2160" s="18" t="inlineStr">
        <is>
          <t>Vitamin K1 (Phytomenadione) 10 mg IV slow</t>
        </is>
      </c>
      <c r="G2160" s="18" t="inlineStr">
        <is>
          <t>Sodium thiosulfate 25% 50 mL IV</t>
        </is>
      </c>
      <c r="H2160" s="18" t="inlineStr">
        <is>
          <t>Calcium disodium EDTA 1 g IV</t>
        </is>
      </c>
      <c r="I2160" s="15" t="inlineStr">
        <is>
          <t>1</t>
        </is>
      </c>
      <c r="J21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0" s="18" t="inlineStr"/>
      <c r="L2160" s="18" t="inlineStr">
        <is>
          <t>General Therapeutics</t>
        </is>
      </c>
      <c r="M2160" s="18" t="inlineStr">
        <is>
          <t>Clinic</t>
        </is>
      </c>
      <c r="N2160" s="18" t="inlineStr">
        <is>
          <t>ข้อ 2 (PLE_CC1_Key_Rx20_UBU.md)</t>
        </is>
      </c>
      <c r="O2160" s="18" t="inlineStr">
        <is>
          <t>Mock</t>
        </is>
      </c>
      <c r="P2160" s="18" t="inlineStr">
        <is>
          <t>Mock Rx20 UBU</t>
        </is>
      </c>
    </row>
    <row r="2161">
      <c r="A2161" s="15" t="inlineStr">
        <is>
          <t>2182</t>
        </is>
      </c>
      <c r="B2161" s="18" t="inlineStr">
        <is>
          <t>ยับยั้งการสร้าง DNA ของเชื้อ</t>
        </is>
      </c>
      <c r="C2161" s="18" t="inlineStr"/>
      <c r="D2161" s="18" t="inlineStr">
        <is>
          <t>Sodium thiosulfate 25% 50 mL IV</t>
        </is>
      </c>
      <c r="E2161" s="18" t="inlineStr">
        <is>
          <t>Calcium disodium EDTA 1 g IV</t>
        </is>
      </c>
      <c r="F2161" s="18" t="inlineStr">
        <is>
          <t>Desferrioxamine 1 g IM/IV</t>
        </is>
      </c>
      <c r="G2161" s="18" t="inlineStr">
        <is>
          <t>Dimercaprol (BAL) 3 mg/kg IM</t>
        </is>
      </c>
      <c r="H2161" s="18" t="inlineStr">
        <is>
          <t>Ethanol 10% IV infusion for Methanol poisoning</t>
        </is>
      </c>
      <c r="I2161" s="15" t="inlineStr">
        <is>
          <t>4</t>
        </is>
      </c>
      <c r="J2161" s="18"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1" s="18" t="inlineStr"/>
      <c r="L2161" s="18" t="inlineStr">
        <is>
          <t>General Therapeutics</t>
        </is>
      </c>
      <c r="M2161" s="18" t="inlineStr">
        <is>
          <t>Clinic</t>
        </is>
      </c>
      <c r="N2161" s="18" t="inlineStr">
        <is>
          <t>ข้อ 3 (PLE_CC1_Key_Rx20_UBU.md)</t>
        </is>
      </c>
      <c r="O2161" s="18" t="inlineStr">
        <is>
          <t>Mock</t>
        </is>
      </c>
      <c r="P2161" s="18" t="inlineStr">
        <is>
          <t>Mock Rx20 UBU</t>
        </is>
      </c>
    </row>
    <row r="2162">
      <c r="A2162" s="15" t="inlineStr">
        <is>
          <t>2183</t>
        </is>
      </c>
      <c r="B2162" s="18" t="inlineStr">
        <is>
          <t>Ethylene oxide gas</t>
        </is>
      </c>
      <c r="C2162" s="18" t="inlineStr"/>
      <c r="D2162" s="18" t="inlineStr">
        <is>
          <t>Dimercaprol (BAL) 3 mg/kg IM</t>
        </is>
      </c>
      <c r="E2162" s="18" t="inlineStr">
        <is>
          <t>Ethanol 10% IV infusion for Methanol poisoning</t>
        </is>
      </c>
      <c r="F2162" s="18" t="inlineStr">
        <is>
          <t>Fomepizole 15 mg/kg IV loading</t>
        </is>
      </c>
      <c r="G2162" s="18" t="inlineStr">
        <is>
          <t>N-acetylcysteine (NAC) IV infusion protocol</t>
        </is>
      </c>
      <c r="H2162" s="18" t="inlineStr">
        <is>
          <t>Atropine sulfate 2 mg IV Q5-10 min</t>
        </is>
      </c>
      <c r="I2162" s="15" t="inlineStr">
        <is>
          <t>1</t>
        </is>
      </c>
      <c r="J21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2" s="18" t="inlineStr"/>
      <c r="L2162" s="18" t="inlineStr">
        <is>
          <t>General Therapeutics</t>
        </is>
      </c>
      <c r="M2162" s="18" t="inlineStr">
        <is>
          <t>Clinic</t>
        </is>
      </c>
      <c r="N2162" s="18" t="inlineStr">
        <is>
          <t>ข้อ 4 (PLE_CC1_Key_Rx20_UBU.md)</t>
        </is>
      </c>
      <c r="O2162" s="18" t="inlineStr">
        <is>
          <t>Mock</t>
        </is>
      </c>
      <c r="P2162" s="18" t="inlineStr">
        <is>
          <t>Mock Rx20 UBU</t>
        </is>
      </c>
    </row>
    <row r="2163">
      <c r="A2163" s="15" t="inlineStr">
        <is>
          <t>2184</t>
        </is>
      </c>
      <c r="B2163" s="18" t="inlineStr">
        <is>
          <t>หากผู้ป่วยรายนี้มีปัญหาจากน้ำหนักเพิ่มควรเปลี่ยนเป็นยาใด</t>
        </is>
      </c>
      <c r="C2163" s="18" t="inlineStr"/>
      <c r="D2163" s="18" t="inlineStr">
        <is>
          <t>N-acetylcysteine (NAC) IV infusion protocol</t>
        </is>
      </c>
      <c r="E2163" s="18" t="inlineStr">
        <is>
          <t>Atropine sulfate 2 mg IV Q5-10 min</t>
        </is>
      </c>
      <c r="F2163" s="18" t="inlineStr">
        <is>
          <t>Pralidoxime (2-PAM) 1-2 g IV over 30 min</t>
        </is>
      </c>
      <c r="G2163" s="18" t="inlineStr">
        <is>
          <t>Naloxone 0.4 mg IV stat</t>
        </is>
      </c>
      <c r="H2163" s="18" t="inlineStr">
        <is>
          <t>Flumazenil 0.2 mg IV stat</t>
        </is>
      </c>
      <c r="I2163" s="15" t="inlineStr">
        <is>
          <t>1</t>
        </is>
      </c>
      <c r="J21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3" s="18" t="inlineStr"/>
      <c r="L2163" s="18" t="inlineStr">
        <is>
          <t>General Therapeutics</t>
        </is>
      </c>
      <c r="M2163" s="18" t="inlineStr">
        <is>
          <t>Clinic</t>
        </is>
      </c>
      <c r="N2163" s="18" t="inlineStr">
        <is>
          <t>ข้อ 1 (PLE_CC1_Key_Rx20_UBU.md)</t>
        </is>
      </c>
      <c r="O2163" s="18" t="inlineStr">
        <is>
          <t>Mock</t>
        </is>
      </c>
      <c r="P2163" s="18" t="inlineStr">
        <is>
          <t>Mock Rx20 UBU</t>
        </is>
      </c>
    </row>
    <row r="2164">
      <c r="A2164" s="15" t="inlineStr">
        <is>
          <t>2185</t>
        </is>
      </c>
      <c r="B2164" s="18" t="inlineStr">
        <is>
          <t>levonorgestrel 0.75 mg ภายใน 72 ชั่วโมงแรก 1 เม็ด หลังจากนั้นอีก 12 ชั่วโมง 1 เม็ด</t>
        </is>
      </c>
      <c r="C2164" s="18" t="inlineStr"/>
      <c r="D2164" s="18" t="inlineStr">
        <is>
          <t>Naloxone 0.4 mg IV stat</t>
        </is>
      </c>
      <c r="E2164" s="18" t="inlineStr">
        <is>
          <t>Flumazenil 0.2 mg IV stat</t>
        </is>
      </c>
      <c r="F2164" s="18" t="inlineStr">
        <is>
          <t>Vitamin K1 (Phytomenadione) 10 mg IV slow</t>
        </is>
      </c>
      <c r="G2164" s="18" t="inlineStr">
        <is>
          <t>Sodium thiosulfate 25% 50 mL IV</t>
        </is>
      </c>
      <c r="H2164" s="18" t="inlineStr">
        <is>
          <t>Calcium disodium EDTA 1 g IV</t>
        </is>
      </c>
      <c r="I2164" s="15" t="inlineStr">
        <is>
          <t>1</t>
        </is>
      </c>
      <c r="J21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4" s="18" t="inlineStr"/>
      <c r="L2164" s="18" t="inlineStr">
        <is>
          <t>General Therapeutics</t>
        </is>
      </c>
      <c r="M2164" s="18" t="inlineStr">
        <is>
          <t>Clinic</t>
        </is>
      </c>
      <c r="N2164" s="18" t="inlineStr">
        <is>
          <t>ข้อ 1 (PLE_CC1_Key_Rx20_UBU.md)</t>
        </is>
      </c>
      <c r="O2164" s="18" t="inlineStr">
        <is>
          <t>Mock</t>
        </is>
      </c>
      <c r="P2164" s="18" t="inlineStr">
        <is>
          <t>Mock Rx20 UBU</t>
        </is>
      </c>
    </row>
    <row r="2165">
      <c r="A2165" s="15" t="inlineStr">
        <is>
          <t>2186</t>
        </is>
      </c>
      <c r="B2165" s="18" t="inlineStr">
        <is>
          <t>levonorgestrel 0.75 mg ภายใน 72 ชั่วโมงแรก 2 เม็ด หลังจากนั้นอีก 12 ชั่วโมง 1 เม็ด</t>
        </is>
      </c>
      <c r="C2165" s="18" t="inlineStr"/>
      <c r="D2165" s="18" t="inlineStr">
        <is>
          <t>Sodium thiosulfate 25% 50 mL IV</t>
        </is>
      </c>
      <c r="E2165" s="18" t="inlineStr">
        <is>
          <t>Calcium disodium EDTA 1 g IV</t>
        </is>
      </c>
      <c r="F2165" s="18" t="inlineStr">
        <is>
          <t>Desferrioxamine 1 g IM/IV</t>
        </is>
      </c>
      <c r="G2165" s="18" t="inlineStr">
        <is>
          <t>Dimercaprol (BAL) 3 mg/kg IM</t>
        </is>
      </c>
      <c r="H2165" s="18" t="inlineStr">
        <is>
          <t>Ethanol 10% IV infusion for Methanol poisoning</t>
        </is>
      </c>
      <c r="I2165" s="15" t="inlineStr">
        <is>
          <t>1</t>
        </is>
      </c>
      <c r="J21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5" s="18" t="inlineStr"/>
      <c r="L2165" s="18" t="inlineStr">
        <is>
          <t>General Therapeutics</t>
        </is>
      </c>
      <c r="M2165" s="18" t="inlineStr">
        <is>
          <t>Clinic</t>
        </is>
      </c>
      <c r="N2165" s="18" t="inlineStr">
        <is>
          <t>ข้อ 2 (PLE_CC1_Key_Rx20_UBU.md)</t>
        </is>
      </c>
      <c r="O2165" s="18" t="inlineStr">
        <is>
          <t>Mock</t>
        </is>
      </c>
      <c r="P2165" s="18" t="inlineStr">
        <is>
          <t>Mock Rx20 UBU</t>
        </is>
      </c>
    </row>
    <row r="2166">
      <c r="A2166" s="15" t="inlineStr">
        <is>
          <t>2187</t>
        </is>
      </c>
      <c r="B2166" s="18" t="inlineStr">
        <is>
          <t>เลี่ยง first pass metabolism</t>
        </is>
      </c>
      <c r="C2166" s="18" t="inlineStr"/>
      <c r="D2166" s="18" t="inlineStr">
        <is>
          <t>Dimercaprol (BAL) 3 mg/kg IM</t>
        </is>
      </c>
      <c r="E2166" s="18" t="inlineStr">
        <is>
          <t>Ethanol 10% IV infusion for Methanol poisoning</t>
        </is>
      </c>
      <c r="F2166" s="18" t="inlineStr">
        <is>
          <t>Fomepizole 15 mg/kg IV loading</t>
        </is>
      </c>
      <c r="G2166" s="18" t="inlineStr">
        <is>
          <t>N-acetylcysteine (NAC) IV infusion protocol</t>
        </is>
      </c>
      <c r="H2166" s="18" t="inlineStr">
        <is>
          <t>Atropine sulfate 2 mg IV Q5-10 min</t>
        </is>
      </c>
      <c r="I2166" s="15" t="inlineStr">
        <is>
          <t>1</t>
        </is>
      </c>
      <c r="J21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6" s="18" t="inlineStr"/>
      <c r="L2166" s="18" t="inlineStr">
        <is>
          <t>General Therapeutics</t>
        </is>
      </c>
      <c r="M2166" s="18" t="inlineStr">
        <is>
          <t>Clinic</t>
        </is>
      </c>
      <c r="N2166" s="18" t="inlineStr">
        <is>
          <t>ข้อ 1 (PLE_CC1_Key_Rx20_UBU.md)</t>
        </is>
      </c>
      <c r="O2166" s="18" t="inlineStr">
        <is>
          <t>Mock</t>
        </is>
      </c>
      <c r="P2166" s="18" t="inlineStr">
        <is>
          <t>Mock Rx20 UBU</t>
        </is>
      </c>
    </row>
    <row r="2167">
      <c r="A2167" s="15" t="inlineStr">
        <is>
          <t>2188</t>
        </is>
      </c>
      <c r="B2167" s="18" t="inlineStr">
        <is>
          <t>มีการดูดซึมทางช่องคลอดน้อย เนื่องจากพื้นที่ในการดูดซึมน้อย</t>
        </is>
      </c>
      <c r="C2167" s="18" t="inlineStr"/>
      <c r="D2167" s="18" t="inlineStr">
        <is>
          <t>N-acetylcysteine (NAC) IV infusion protocol</t>
        </is>
      </c>
      <c r="E2167" s="18" t="inlineStr">
        <is>
          <t>Atropine sulfate 2 mg IV Q5-10 min</t>
        </is>
      </c>
      <c r="F2167" s="18" t="inlineStr">
        <is>
          <t>Pralidoxime (2-PAM) 1-2 g IV over 30 min</t>
        </is>
      </c>
      <c r="G2167" s="18" t="inlineStr">
        <is>
          <t>Naloxone 0.4 mg IV stat</t>
        </is>
      </c>
      <c r="H2167" s="18" t="inlineStr">
        <is>
          <t>Flumazenil 0.2 mg IV stat</t>
        </is>
      </c>
      <c r="I2167" s="15" t="inlineStr">
        <is>
          <t>1</t>
        </is>
      </c>
      <c r="J21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7" s="18" t="inlineStr"/>
      <c r="L2167" s="18" t="inlineStr">
        <is>
          <t>General Therapeutics</t>
        </is>
      </c>
      <c r="M2167" s="18" t="inlineStr">
        <is>
          <t>Clinic</t>
        </is>
      </c>
      <c r="N2167" s="18" t="inlineStr">
        <is>
          <t>ข้อ 4 (PLE_CC1_Key_Rx20_UBU.md)</t>
        </is>
      </c>
      <c r="O2167" s="18" t="inlineStr">
        <is>
          <t>Mock</t>
        </is>
      </c>
      <c r="P2167" s="18" t="inlineStr">
        <is>
          <t>Mock Rx20 UBU</t>
        </is>
      </c>
    </row>
    <row r="2168">
      <c r="A2168" s="15" t="inlineStr">
        <is>
          <t>2189</t>
        </is>
      </c>
      <c r="B2168" s="18" t="inlineStr">
        <is>
          <t>Sustained release system</t>
        </is>
      </c>
      <c r="C2168" s="18" t="inlineStr"/>
      <c r="D2168" s="18" t="inlineStr">
        <is>
          <t>Naloxone 0.4 mg IV stat</t>
        </is>
      </c>
      <c r="E2168" s="18" t="inlineStr">
        <is>
          <t>Flumazenil 0.2 mg IV stat</t>
        </is>
      </c>
      <c r="F2168" s="18" t="inlineStr">
        <is>
          <t>Vitamin K1 (Phytomenadione) 10 mg IV slow</t>
        </is>
      </c>
      <c r="G2168" s="18" t="inlineStr">
        <is>
          <t>Sodium thiosulfate 25% 50 mL IV</t>
        </is>
      </c>
      <c r="H2168" s="18" t="inlineStr">
        <is>
          <t>Calcium disodium EDTA 1 g IV</t>
        </is>
      </c>
      <c r="I2168" s="15" t="inlineStr">
        <is>
          <t>1</t>
        </is>
      </c>
      <c r="J21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8" s="18" t="inlineStr"/>
      <c r="L2168" s="18" t="inlineStr">
        <is>
          <t>General Therapeutics</t>
        </is>
      </c>
      <c r="M2168" s="18" t="inlineStr">
        <is>
          <t>Clinic</t>
        </is>
      </c>
      <c r="N2168" s="18" t="inlineStr">
        <is>
          <t>ข้อ 1 (PLE_CC1_Key_Rx20_UBU.md)</t>
        </is>
      </c>
      <c r="O2168" s="18" t="inlineStr">
        <is>
          <t>Mock</t>
        </is>
      </c>
      <c r="P2168" s="18" t="inlineStr">
        <is>
          <t>Mock Rx20 UBU</t>
        </is>
      </c>
    </row>
    <row r="2169">
      <c r="A2169" s="15" t="inlineStr">
        <is>
          <t>2190</t>
        </is>
      </c>
      <c r="B2169" s="18" t="inlineStr">
        <is>
          <t>Immediated release</t>
        </is>
      </c>
      <c r="C2169" s="18" t="inlineStr"/>
      <c r="D2169" s="18" t="inlineStr">
        <is>
          <t>Sodium thiosulfate 25% 50 mL IV</t>
        </is>
      </c>
      <c r="E2169" s="18" t="inlineStr">
        <is>
          <t>Calcium disodium EDTA 1 g IV</t>
        </is>
      </c>
      <c r="F2169" s="18" t="inlineStr">
        <is>
          <t>Desferrioxamine 1 g IM/IV</t>
        </is>
      </c>
      <c r="G2169" s="18" t="inlineStr">
        <is>
          <t>Dimercaprol (BAL) 3 mg/kg IM</t>
        </is>
      </c>
      <c r="H2169" s="18" t="inlineStr">
        <is>
          <t>Ethanol 10% IV infusion for Methanol poisoning</t>
        </is>
      </c>
      <c r="I2169" s="15" t="inlineStr">
        <is>
          <t>1</t>
        </is>
      </c>
      <c r="J21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9" s="18" t="inlineStr"/>
      <c r="L2169" s="18" t="inlineStr">
        <is>
          <t>General Therapeutics</t>
        </is>
      </c>
      <c r="M2169" s="18" t="inlineStr">
        <is>
          <t>Clinic</t>
        </is>
      </c>
      <c r="N2169" s="18" t="inlineStr">
        <is>
          <t>ข้อ 4 (PLE_CC1_Key_Rx20_UBU.md)</t>
        </is>
      </c>
      <c r="O2169" s="18" t="inlineStr">
        <is>
          <t>Mock</t>
        </is>
      </c>
      <c r="P2169" s="18" t="inlineStr">
        <is>
          <t>Mock Rx20 UBU</t>
        </is>
      </c>
    </row>
    <row r="2170">
      <c r="A2170" s="15" t="inlineStr">
        <is>
          <t>2191</t>
        </is>
      </c>
      <c r="B2170" s="18" t="inlineStr">
        <is>
          <t>Spontaneous Bacterial Peritonitis</t>
        </is>
      </c>
      <c r="C2170" s="18" t="inlineStr"/>
      <c r="D2170" s="18" t="inlineStr">
        <is>
          <t>Dimercaprol (BAL) 3 mg/kg IM</t>
        </is>
      </c>
      <c r="E2170" s="18" t="inlineStr">
        <is>
          <t>Ethanol 10% IV infusion for Methanol poisoning</t>
        </is>
      </c>
      <c r="F2170" s="18" t="inlineStr">
        <is>
          <t>Fomepizole 15 mg/kg IV loading</t>
        </is>
      </c>
      <c r="G2170" s="18" t="inlineStr">
        <is>
          <t>N-acetylcysteine (NAC) IV infusion protocol</t>
        </is>
      </c>
      <c r="H2170" s="18" t="inlineStr">
        <is>
          <t>Atropine sulfate 2 mg IV Q5-10 min</t>
        </is>
      </c>
      <c r="I2170" s="15" t="inlineStr">
        <is>
          <t>1</t>
        </is>
      </c>
      <c r="J21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0" s="18" t="inlineStr"/>
      <c r="L2170" s="18" t="inlineStr">
        <is>
          <t>General Therapeutics</t>
        </is>
      </c>
      <c r="M2170" s="18" t="inlineStr">
        <is>
          <t>Clinic</t>
        </is>
      </c>
      <c r="N2170" s="18" t="inlineStr">
        <is>
          <t>ข้อ 2 (PLE_CC1_Key_Rx20_UBU.md)</t>
        </is>
      </c>
      <c r="O2170" s="18" t="inlineStr">
        <is>
          <t>Mock</t>
        </is>
      </c>
      <c r="P2170" s="18" t="inlineStr">
        <is>
          <t>Mock Rx20 UBU</t>
        </is>
      </c>
    </row>
    <row r="2171">
      <c r="A2171" s="15" t="inlineStr">
        <is>
          <t>2192</t>
        </is>
      </c>
      <c r="B2171" s="18" t="inlineStr">
        <is>
          <t>nephrotic syndrome</t>
        </is>
      </c>
      <c r="C2171" s="18" t="inlineStr"/>
      <c r="D2171" s="18" t="inlineStr">
        <is>
          <t>N-acetylcysteine (NAC) IV infusion protocol</t>
        </is>
      </c>
      <c r="E2171" s="18" t="inlineStr">
        <is>
          <t>Atropine sulfate 2 mg IV Q5-10 min</t>
        </is>
      </c>
      <c r="F2171" s="18" t="inlineStr">
        <is>
          <t>Pralidoxime (2-PAM) 1-2 g IV over 30 min</t>
        </is>
      </c>
      <c r="G2171" s="18" t="inlineStr">
        <is>
          <t>Naloxone 0.4 mg IV stat</t>
        </is>
      </c>
      <c r="H2171" s="18" t="inlineStr">
        <is>
          <t>Flumazenil 0.2 mg IV stat</t>
        </is>
      </c>
      <c r="I2171" s="15" t="inlineStr">
        <is>
          <t>1</t>
        </is>
      </c>
      <c r="J21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1" s="18" t="inlineStr"/>
      <c r="L2171" s="18" t="inlineStr">
        <is>
          <t>General Therapeutics</t>
        </is>
      </c>
      <c r="M2171" s="18" t="inlineStr">
        <is>
          <t>Clinic</t>
        </is>
      </c>
      <c r="N2171" s="18" t="inlineStr">
        <is>
          <t>ข้อ 4 (PLE_CC1_Key_Rx20_UBU.md)</t>
        </is>
      </c>
      <c r="O2171" s="18" t="inlineStr">
        <is>
          <t>Mock</t>
        </is>
      </c>
      <c r="P2171" s="18" t="inlineStr">
        <is>
          <t>Mock Rx20 UBU</t>
        </is>
      </c>
    </row>
    <row r="2172">
      <c r="A2172" s="15" t="inlineStr">
        <is>
          <t>2193</t>
        </is>
      </c>
      <c r="B2172" s="18" t="inlineStr">
        <is>
          <t>Ascitis รักษาด้วยยาใด</t>
        </is>
      </c>
      <c r="C2172" s="18" t="inlineStr"/>
      <c r="D2172" s="18" t="inlineStr">
        <is>
          <t>Naloxone 0.4 mg IV stat</t>
        </is>
      </c>
      <c r="E2172" s="18" t="inlineStr">
        <is>
          <t>Flumazenil 0.2 mg IV stat</t>
        </is>
      </c>
      <c r="F2172" s="18" t="inlineStr">
        <is>
          <t>Vitamin K1 (Phytomenadione) 10 mg IV slow</t>
        </is>
      </c>
      <c r="G2172" s="18" t="inlineStr">
        <is>
          <t>Sodium thiosulfate 25% 50 mL IV</t>
        </is>
      </c>
      <c r="H2172" s="18" t="inlineStr">
        <is>
          <t>Calcium disodium EDTA 1 g IV</t>
        </is>
      </c>
      <c r="I2172" s="15" t="inlineStr">
        <is>
          <t>1</t>
        </is>
      </c>
      <c r="J21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2" s="18" t="inlineStr"/>
      <c r="L2172" s="18" t="inlineStr">
        <is>
          <t>General Therapeutics</t>
        </is>
      </c>
      <c r="M2172" s="18" t="inlineStr">
        <is>
          <t>Clinic</t>
        </is>
      </c>
      <c r="N2172" s="18" t="inlineStr">
        <is>
          <t>ข้อ 2 (PLE_CC1_Key_Rx20_UBU.md)</t>
        </is>
      </c>
      <c r="O2172" s="18" t="inlineStr">
        <is>
          <t>Mock</t>
        </is>
      </c>
      <c r="P2172" s="18" t="inlineStr">
        <is>
          <t>Mock Rx20 UBU</t>
        </is>
      </c>
    </row>
    <row r="2173">
      <c r="A2173" s="15" t="inlineStr">
        <is>
          <t>2194</t>
        </is>
      </c>
      <c r="B2173" s="18" t="inlineStr">
        <is>
          <t>ทำให้สภาพและการทำงานของตับกลับเป็นปกติ</t>
        </is>
      </c>
      <c r="C2173" s="18" t="inlineStr"/>
      <c r="D2173" s="18" t="inlineStr">
        <is>
          <t>Sodium thiosulfate 25% 50 mL IV</t>
        </is>
      </c>
      <c r="E2173" s="18" t="inlineStr">
        <is>
          <t>Calcium disodium EDTA 1 g IV</t>
        </is>
      </c>
      <c r="F2173" s="18" t="inlineStr">
        <is>
          <t>Desferrioxamine 1 g IM/IV</t>
        </is>
      </c>
      <c r="G2173" s="18" t="inlineStr">
        <is>
          <t>Dimercaprol (BAL) 3 mg/kg IM</t>
        </is>
      </c>
      <c r="H2173" s="18" t="inlineStr">
        <is>
          <t>Ethanol 10% IV infusion for Methanol poisoning</t>
        </is>
      </c>
      <c r="I2173" s="15" t="inlineStr">
        <is>
          <t>1</t>
        </is>
      </c>
      <c r="J21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3" s="18" t="inlineStr"/>
      <c r="L2173" s="18" t="inlineStr">
        <is>
          <t>General Therapeutics</t>
        </is>
      </c>
      <c r="M2173" s="18" t="inlineStr">
        <is>
          <t>Clinic</t>
        </is>
      </c>
      <c r="N2173" s="18" t="inlineStr">
        <is>
          <t>ข้อ 2 (PLE_CC1_Key_Rx20_UBU.md)</t>
        </is>
      </c>
      <c r="O2173" s="18" t="inlineStr">
        <is>
          <t>Mock</t>
        </is>
      </c>
      <c r="P2173" s="18" t="inlineStr">
        <is>
          <t>Mock Rx20 UBU</t>
        </is>
      </c>
    </row>
    <row r="2174">
      <c r="A2174" s="15" t="inlineStr">
        <is>
          <t>2195</t>
        </is>
      </c>
      <c r="B2174" s="18" t="inlineStr">
        <is>
          <t>ปรับสมดุลระดับ กรด-เบส และ electrolyte ในร่างกายให้เป็นปกติ</t>
        </is>
      </c>
      <c r="C2174" s="18" t="inlineStr"/>
      <c r="D2174" s="18" t="inlineStr">
        <is>
          <t>pitting edema ในผู้ป่วย cirrhosis เกิดจากสาเหตุใด</t>
        </is>
      </c>
      <c r="E2174" s="18" t="inlineStr">
        <is>
          <t>serum albumin ต่ำ</t>
        </is>
      </c>
      <c r="F2174" s="18" t="inlineStr">
        <is>
          <t>Fomepizole 15 mg/kg IV loading</t>
        </is>
      </c>
      <c r="G2174" s="18" t="inlineStr">
        <is>
          <t>N-acetylcysteine (NAC) IV infusion protocol</t>
        </is>
      </c>
      <c r="H2174" s="18" t="inlineStr">
        <is>
          <t>Atropine sulfate 2 mg IV Q5-10 min</t>
        </is>
      </c>
      <c r="I2174" s="15" t="inlineStr">
        <is>
          <t>1</t>
        </is>
      </c>
      <c r="J2174" s="18" t="inlineStr">
        <is>
          <t>✅ คำตอบที่ถูกต้อง: ข้อ ก. pitting edema ในผู้ป่วย cirrhosis เกิดจากสาเหตุใด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pitting edema ในผู้ป่วย cirrhosis เกิดจากสาเหตุใด 💡 คำอธิบายและข้อกำหนดทางกฎหมาย:
💡 คำอธิบายและข้อกำหนดทางกฎหมาย:
การเลือก pitting edema ในผู้ป่วย cirrhosis เกิดจากสาเหตุใด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(serum albumin ต่ำ): ข้อนี้ไม่ใช่คำตอบที่ถูกต้องสำหรับภาวะ Pharmacy Laws &amp; Ethics เนื่องจากกลไกการออกฤทธิ์, efficacy หรือข้อบ่งใช้ไม่ตรงกับโจทย์ที่กำหนด
• ข้อ ค. (Fomepizole 15 mg/kg IV loading): ข้อนี้ไม่ใช่คำตอบที่ถูกต้องสำหรับภาวะ Pharmacy Laws &amp; Ethics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Pharmacy Laws &amp; Ethics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4" s="18" t="inlineStr"/>
      <c r="L2174" s="18" t="inlineStr">
        <is>
          <t>Pharmacy Laws &amp; Ethics</t>
        </is>
      </c>
      <c r="M2174" s="18" t="inlineStr">
        <is>
          <t>SAP</t>
        </is>
      </c>
      <c r="N2174" s="18" t="inlineStr">
        <is>
          <t>ข้อ 3 (PLE_CC1_Key_Rx20_UBU.md)</t>
        </is>
      </c>
      <c r="O2174" s="18" t="inlineStr">
        <is>
          <t>Mock</t>
        </is>
      </c>
      <c r="P2174" s="18" t="inlineStr">
        <is>
          <t>Mock Rx20 UBU</t>
        </is>
      </c>
    </row>
    <row r="2175">
      <c r="A2175" s="15" t="inlineStr">
        <is>
          <t>2196</t>
        </is>
      </c>
      <c r="B2175" s="18" t="inlineStr">
        <is>
          <t>รอผลเพาะเชื้อแล้วค่อยให้การรักษาที่จำเพาะกับเชื้อ</t>
        </is>
      </c>
      <c r="C2175" s="18" t="inlineStr"/>
      <c r="D2175" s="18" t="inlineStr">
        <is>
          <t>N-acetylcysteine (NAC) IV infusion protocol</t>
        </is>
      </c>
      <c r="E2175" s="18" t="inlineStr">
        <is>
          <t>Atropine sulfate 2 mg IV Q5-10 min</t>
        </is>
      </c>
      <c r="F2175" s="18" t="inlineStr">
        <is>
          <t>Pralidoxime (2-PAM) 1-2 g IV over 30 min</t>
        </is>
      </c>
      <c r="G2175" s="18" t="inlineStr">
        <is>
          <t>Naloxone 0.4 mg IV stat</t>
        </is>
      </c>
      <c r="H2175" s="18" t="inlineStr">
        <is>
          <t>Flumazenil 0.2 mg IV stat</t>
        </is>
      </c>
      <c r="I2175" s="15" t="inlineStr">
        <is>
          <t>1</t>
        </is>
      </c>
      <c r="J21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5" s="18" t="inlineStr"/>
      <c r="L2175" s="18" t="inlineStr">
        <is>
          <t>General Therapeutics</t>
        </is>
      </c>
      <c r="M2175" s="18" t="inlineStr">
        <is>
          <t>Clinic</t>
        </is>
      </c>
      <c r="N2175" s="18" t="inlineStr">
        <is>
          <t>ข้อ 1 (PLE_CC1_Key_Rx20_UBU.md)</t>
        </is>
      </c>
      <c r="O2175" s="18" t="inlineStr">
        <is>
          <t>Mock</t>
        </is>
      </c>
      <c r="P2175" s="18" t="inlineStr">
        <is>
          <t>Mock Rx20 UBU</t>
        </is>
      </c>
    </row>
    <row r="2176">
      <c r="A2176" s="15" t="inlineStr">
        <is>
          <t>2197</t>
        </is>
      </c>
      <c r="B2176" s="18" t="inlineStr">
        <is>
          <t>วิธีการวิจัยใดมีอคติน้อยที่สุด</t>
        </is>
      </c>
      <c r="C2176" s="18" t="inlineStr"/>
      <c r="D2176" s="18" t="inlineStr">
        <is>
          <t>Naloxone 0.4 mg IV stat</t>
        </is>
      </c>
      <c r="E2176" s="18" t="inlineStr">
        <is>
          <t>Flumazenil 0.2 mg IV stat</t>
        </is>
      </c>
      <c r="F2176" s="18" t="inlineStr">
        <is>
          <t>Vitamin K1 (Phytomenadione) 10 mg IV slow</t>
        </is>
      </c>
      <c r="G2176" s="18" t="inlineStr">
        <is>
          <t>Sodium thiosulfate 25% 50 mL IV</t>
        </is>
      </c>
      <c r="H2176" s="18" t="inlineStr">
        <is>
          <t>Calcium disodium EDTA 1 g IV</t>
        </is>
      </c>
      <c r="I2176" s="15" t="inlineStr">
        <is>
          <t>1</t>
        </is>
      </c>
      <c r="J21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6" s="18" t="inlineStr"/>
      <c r="L2176" s="18" t="inlineStr">
        <is>
          <t>General Therapeutics</t>
        </is>
      </c>
      <c r="M2176" s="18" t="inlineStr">
        <is>
          <t>Clinic</t>
        </is>
      </c>
      <c r="N2176" s="18" t="inlineStr">
        <is>
          <t>ข้อ 1 (PLE_CC1_Key_Rx20_UBU.md)</t>
        </is>
      </c>
      <c r="O2176" s="18" t="inlineStr">
        <is>
          <t>Mock</t>
        </is>
      </c>
      <c r="P2176" s="18" t="inlineStr">
        <is>
          <t>Mock Rx20 UBU</t>
        </is>
      </c>
    </row>
    <row r="2177">
      <c r="A2177" s="15" t="inlineStr">
        <is>
          <t>2198</t>
        </is>
      </c>
      <c r="B2177" s="18" t="inlineStr">
        <is>
          <t>Cross sectional surway</t>
        </is>
      </c>
      <c r="C2177" s="18" t="inlineStr"/>
      <c r="D2177" s="18" t="inlineStr">
        <is>
          <t>Sodium thiosulfate 25% 50 mL IV</t>
        </is>
      </c>
      <c r="E2177" s="18" t="inlineStr">
        <is>
          <t>Calcium disodium EDTA 1 g IV</t>
        </is>
      </c>
      <c r="F2177" s="18" t="inlineStr">
        <is>
          <t>Desferrioxamine 1 g IM/IV</t>
        </is>
      </c>
      <c r="G2177" s="18" t="inlineStr">
        <is>
          <t>Dimercaprol (BAL) 3 mg/kg IM</t>
        </is>
      </c>
      <c r="H2177" s="18" t="inlineStr">
        <is>
          <t>Ethanol 10% IV infusion for Methanol poisoning</t>
        </is>
      </c>
      <c r="I2177" s="15" t="inlineStr">
        <is>
          <t>1</t>
        </is>
      </c>
      <c r="J21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7" s="18" t="inlineStr"/>
      <c r="L2177" s="18" t="inlineStr">
        <is>
          <t>General Therapeutics</t>
        </is>
      </c>
      <c r="M2177" s="18" t="inlineStr">
        <is>
          <t>Clinic</t>
        </is>
      </c>
      <c r="N2177" s="18" t="inlineStr">
        <is>
          <t>ข้อ 3 (PLE_CC1_Key_Rx20_UBU.md)</t>
        </is>
      </c>
      <c r="O2177" s="18" t="inlineStr">
        <is>
          <t>Mock</t>
        </is>
      </c>
      <c r="P2177" s="18" t="inlineStr">
        <is>
          <t>Mock Rx20 UBU</t>
        </is>
      </c>
    </row>
    <row r="2178">
      <c r="A2178" s="15" t="inlineStr">
        <is>
          <t>2199</t>
        </is>
      </c>
      <c r="B2178" s="18" t="inlineStr">
        <is>
          <t>ปริมาณผลิตภัณฑ์ที่เรียกคืนควรตรวจสอบกลับไปยังปริมาณที่จำหน่ายได้</t>
        </is>
      </c>
      <c r="C2178" s="18" t="inlineStr"/>
      <c r="D2178" s="18" t="inlineStr">
        <is>
          <t>Dimercaprol (BAL) 3 mg/kg IM</t>
        </is>
      </c>
      <c r="E2178" s="18" t="inlineStr">
        <is>
          <t>Ethanol 10% IV infusion for Methanol poisoning</t>
        </is>
      </c>
      <c r="F2178" s="18" t="inlineStr">
        <is>
          <t>Fomepizole 15 mg/kg IV loading</t>
        </is>
      </c>
      <c r="G2178" s="18" t="inlineStr">
        <is>
          <t>N-acetylcysteine (NAC) IV infusion protocol</t>
        </is>
      </c>
      <c r="H2178" s="18" t="inlineStr">
        <is>
          <t>Atropine sulfate 2 mg IV Q5-10 min</t>
        </is>
      </c>
      <c r="I2178" s="15" t="inlineStr">
        <is>
          <t>1</t>
        </is>
      </c>
      <c r="J21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8" s="18" t="inlineStr"/>
      <c r="L2178" s="18" t="inlineStr">
        <is>
          <t>General Therapeutics</t>
        </is>
      </c>
      <c r="M2178" s="18" t="inlineStr">
        <is>
          <t>Clinic</t>
        </is>
      </c>
      <c r="N2178" s="18" t="inlineStr">
        <is>
          <t>ข้อ 1 (PLE_CC1_Key_Rx20_UBU.md)</t>
        </is>
      </c>
      <c r="O2178" s="18" t="inlineStr">
        <is>
          <t>Mock</t>
        </is>
      </c>
      <c r="P2178" s="18" t="inlineStr">
        <is>
          <t>Mock Rx20 UBU</t>
        </is>
      </c>
    </row>
    <row r="2179">
      <c r="A2179" s="15" t="inlineStr">
        <is>
          <t>2200</t>
        </is>
      </c>
      <c r="B2179" s="18" t="inlineStr">
        <is>
          <t>ผู้ที่มีหน้าที่ในการเรียกคืนผลิตภัณฑ์จะต้องทำงานอยู่ฝ่ายขายหรือฝ่ายการตลาด</t>
        </is>
      </c>
      <c r="C2179" s="18" t="inlineStr"/>
      <c r="D2179" s="18" t="inlineStr">
        <is>
          <t>N-acetylcysteine (NAC) IV infusion protocol</t>
        </is>
      </c>
      <c r="E2179" s="18" t="inlineStr">
        <is>
          <t>Atropine sulfate 2 mg IV Q5-10 min</t>
        </is>
      </c>
      <c r="F2179" s="18" t="inlineStr">
        <is>
          <t>Pralidoxime (2-PAM) 1-2 g IV over 30 min</t>
        </is>
      </c>
      <c r="G2179" s="18" t="inlineStr">
        <is>
          <t>Naloxone 0.4 mg IV stat</t>
        </is>
      </c>
      <c r="H2179" s="18" t="inlineStr">
        <is>
          <t>Flumazenil 0.2 mg IV stat</t>
        </is>
      </c>
      <c r="I2179" s="15" t="inlineStr">
        <is>
          <t>1</t>
        </is>
      </c>
      <c r="J21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9" s="18" t="inlineStr"/>
      <c r="L2179" s="18" t="inlineStr">
        <is>
          <t>General Therapeutics</t>
        </is>
      </c>
      <c r="M2179" s="18" t="inlineStr">
        <is>
          <t>Clinic</t>
        </is>
      </c>
      <c r="N2179" s="18" t="inlineStr">
        <is>
          <t>ข้อ 2 (PLE_CC1_Key_Rx20_UBU.md)</t>
        </is>
      </c>
      <c r="O2179" s="18" t="inlineStr">
        <is>
          <t>Mock</t>
        </is>
      </c>
      <c r="P2179" s="18" t="inlineStr">
        <is>
          <t>Mock Rx20 UBU</t>
        </is>
      </c>
    </row>
    <row r="2180">
      <c r="A2180" s="15" t="inlineStr">
        <is>
          <t>2201</t>
        </is>
      </c>
      <c r="B2180" s="18" t="inlineStr">
        <is>
          <t>ผลิตภัณฑ์ที่ถูกเรียกคืนต้องแยกเก็บและมีการควบคุมชัดเจน</t>
        </is>
      </c>
      <c r="C2180" s="18" t="inlineStr"/>
      <c r="D2180" s="18" t="inlineStr">
        <is>
          <t>Naloxone 0.4 mg IV stat</t>
        </is>
      </c>
      <c r="E2180" s="18" t="inlineStr">
        <is>
          <t>Flumazenil 0.2 mg IV stat</t>
        </is>
      </c>
      <c r="F2180" s="18" t="inlineStr">
        <is>
          <t>Vitamin K1 (Phytomenadione) 10 mg IV slow</t>
        </is>
      </c>
      <c r="G2180" s="18" t="inlineStr">
        <is>
          <t>Sodium thiosulfate 25% 50 mL IV</t>
        </is>
      </c>
      <c r="H2180" s="18" t="inlineStr">
        <is>
          <t>Calcium disodium EDTA 1 g IV</t>
        </is>
      </c>
      <c r="I2180" s="15" t="inlineStr">
        <is>
          <t>1</t>
        </is>
      </c>
      <c r="J21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0" s="18" t="inlineStr"/>
      <c r="L2180" s="18" t="inlineStr">
        <is>
          <t>General Therapeutics</t>
        </is>
      </c>
      <c r="M2180" s="18" t="inlineStr">
        <is>
          <t>Clinic</t>
        </is>
      </c>
      <c r="N2180" s="18" t="inlineStr">
        <is>
          <t>ข้อ 3 (PLE_CC1_Key_Rx20_UBU.md)</t>
        </is>
      </c>
      <c r="O2180" s="18" t="inlineStr">
        <is>
          <t>Mock</t>
        </is>
      </c>
      <c r="P2180" s="18" t="inlineStr">
        <is>
          <t>Mock Rx20 UBU</t>
        </is>
      </c>
    </row>
    <row r="2181">
      <c r="A2181" s="15" t="inlineStr">
        <is>
          <t>2202</t>
        </is>
      </c>
      <c r="B2181" s="18" t="inlineStr">
        <is>
          <t>ต้องมีการกำหนดแนวทางในการเรียกคืนผลิตภัณฑ์ที่ชัดเจนและปรังปรุงให้เป็นปัจจุบัน</t>
        </is>
      </c>
      <c r="C2181" s="18" t="inlineStr"/>
      <c r="D2181" s="18" t="inlineStr">
        <is>
          <t>Sodium thiosulfate 25% 50 mL IV</t>
        </is>
      </c>
      <c r="E2181" s="18" t="inlineStr">
        <is>
          <t>Calcium disodium EDTA 1 g IV</t>
        </is>
      </c>
      <c r="F2181" s="18" t="inlineStr">
        <is>
          <t>Desferrioxamine 1 g IM/IV</t>
        </is>
      </c>
      <c r="G2181" s="18" t="inlineStr">
        <is>
          <t>Dimercaprol (BAL) 3 mg/kg IM</t>
        </is>
      </c>
      <c r="H2181" s="18" t="inlineStr">
        <is>
          <t>Ethanol 10% IV infusion for Methanol poisoning</t>
        </is>
      </c>
      <c r="I2181" s="15" t="inlineStr">
        <is>
          <t>1</t>
        </is>
      </c>
      <c r="J21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1" s="18" t="inlineStr"/>
      <c r="L2181" s="18" t="inlineStr">
        <is>
          <t>General Therapeutics</t>
        </is>
      </c>
      <c r="M2181" s="18" t="inlineStr">
        <is>
          <t>Clinic</t>
        </is>
      </c>
      <c r="N2181" s="18" t="inlineStr">
        <is>
          <t>ข้อ 4 (PLE_CC1_Key_Rx20_UBU.md)</t>
        </is>
      </c>
      <c r="O2181" s="18" t="inlineStr">
        <is>
          <t>Mock</t>
        </is>
      </c>
      <c r="P2181" s="18" t="inlineStr">
        <is>
          <t>Mock Rx20 UBU</t>
        </is>
      </c>
    </row>
    <row r="2182">
      <c r="A2182" s="15" t="inlineStr">
        <is>
          <t>2203</t>
        </is>
      </c>
      <c r="B2182" s="18" t="inlineStr">
        <is>
          <t>ยา piroxicam เป็นยา weak acid จะเพิ่ม F ต้องทำยังไง</t>
        </is>
      </c>
      <c r="C2182" s="18" t="inlineStr"/>
      <c r="D2182" s="18" t="inlineStr">
        <is>
          <t>Dimercaprol (BAL) 3 mg/kg IM</t>
        </is>
      </c>
      <c r="E2182" s="18" t="inlineStr">
        <is>
          <t>Ethanol 10% IV infusion for Methanol poisoning</t>
        </is>
      </c>
      <c r="F2182" s="18" t="inlineStr">
        <is>
          <t>Fomepizole 15 mg/kg IV loading</t>
        </is>
      </c>
      <c r="G2182" s="18" t="inlineStr">
        <is>
          <t>N-acetylcysteine (NAC) IV infusion protocol</t>
        </is>
      </c>
      <c r="H2182" s="18" t="inlineStr">
        <is>
          <t>Atropine sulfate 2 mg IV Q5-10 min</t>
        </is>
      </c>
      <c r="I2182" s="15" t="inlineStr">
        <is>
          <t>1</t>
        </is>
      </c>
      <c r="J21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182" s="18" t="inlineStr"/>
      <c r="L2182" s="18" t="inlineStr">
        <is>
          <t>General Therapeutics</t>
        </is>
      </c>
      <c r="M2182" s="18" t="inlineStr">
        <is>
          <t>Clinic</t>
        </is>
      </c>
      <c r="N2182" s="18" t="inlineStr">
        <is>
          <t>ข้อ 6 (PLE_CC1_Key_Rx20_UBU.md)</t>
        </is>
      </c>
      <c r="O2182" s="18" t="inlineStr">
        <is>
          <t>Mock</t>
        </is>
      </c>
      <c r="P2182" s="18" t="inlineStr">
        <is>
          <t>Mock Rx20 UBU</t>
        </is>
      </c>
    </row>
    <row r="2183">
      <c r="A2183" s="15" t="inlineStr">
        <is>
          <t>2204</t>
        </is>
      </c>
      <c r="B2183" s="18" t="inlineStr">
        <is>
          <t>เพิ่ม gastric emtying time</t>
        </is>
      </c>
      <c r="C2183" s="18" t="inlineStr"/>
      <c r="D2183" s="18" t="inlineStr">
        <is>
          <t>N-acetylcysteine (NAC) IV infusion protocol</t>
        </is>
      </c>
      <c r="E2183" s="18" t="inlineStr">
        <is>
          <t>Atropine sulfate 2 mg IV Q5-10 min</t>
        </is>
      </c>
      <c r="F2183" s="18" t="inlineStr">
        <is>
          <t>Pralidoxime (2-PAM) 1-2 g IV over 30 min</t>
        </is>
      </c>
      <c r="G2183" s="18" t="inlineStr">
        <is>
          <t>Naloxone 0.4 mg IV stat</t>
        </is>
      </c>
      <c r="H2183" s="18" t="inlineStr">
        <is>
          <t>Flumazenil 0.2 mg IV stat</t>
        </is>
      </c>
      <c r="I2183" s="15" t="inlineStr">
        <is>
          <t>1</t>
        </is>
      </c>
      <c r="J21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3" s="18" t="inlineStr"/>
      <c r="L2183" s="18" t="inlineStr">
        <is>
          <t>General Therapeutics</t>
        </is>
      </c>
      <c r="M2183" s="18" t="inlineStr">
        <is>
          <t>Clinic</t>
        </is>
      </c>
      <c r="N2183" s="18" t="inlineStr">
        <is>
          <t>ข้อ 1 (PLE_CC1_Key_Rx20_UBU.md)</t>
        </is>
      </c>
      <c r="O2183" s="18" t="inlineStr">
        <is>
          <t>Mock</t>
        </is>
      </c>
      <c r="P2183" s="18" t="inlineStr">
        <is>
          <t>Mock Rx20 UBU</t>
        </is>
      </c>
    </row>
    <row r="2184">
      <c r="A2184" s="15" t="inlineStr">
        <is>
          <t>2205</t>
        </is>
      </c>
      <c r="B2184" s="18" t="inlineStr">
        <is>
          <t>ลด gastric emtying time</t>
        </is>
      </c>
      <c r="C2184" s="18" t="inlineStr"/>
      <c r="D2184" s="18" t="inlineStr">
        <is>
          <t>Naloxone 0.4 mg IV stat</t>
        </is>
      </c>
      <c r="E2184" s="18" t="inlineStr">
        <is>
          <t>Flumazenil 0.2 mg IV stat</t>
        </is>
      </c>
      <c r="F2184" s="18" t="inlineStr">
        <is>
          <t>Vitamin K1 (Phytomenadione) 10 mg IV slow</t>
        </is>
      </c>
      <c r="G2184" s="18" t="inlineStr">
        <is>
          <t>Sodium thiosulfate 25% 50 mL IV</t>
        </is>
      </c>
      <c r="H2184" s="18" t="inlineStr">
        <is>
          <t>Calcium disodium EDTA 1 g IV</t>
        </is>
      </c>
      <c r="I2184" s="15" t="inlineStr">
        <is>
          <t>1</t>
        </is>
      </c>
      <c r="J21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4" s="18" t="inlineStr"/>
      <c r="L2184" s="18" t="inlineStr">
        <is>
          <t>General Therapeutics</t>
        </is>
      </c>
      <c r="M2184" s="18" t="inlineStr">
        <is>
          <t>Clinic</t>
        </is>
      </c>
      <c r="N2184" s="18" t="inlineStr">
        <is>
          <t>ข้อ 2 (PLE_CC1_Key_Rx20_UBU.md)</t>
        </is>
      </c>
      <c r="O2184" s="18" t="inlineStr">
        <is>
          <t>Mock</t>
        </is>
      </c>
      <c r="P2184" s="18" t="inlineStr">
        <is>
          <t>Mock Rx20 UBU</t>
        </is>
      </c>
    </row>
    <row r="2185">
      <c r="A2185" s="15" t="inlineStr">
        <is>
          <t>2206</t>
        </is>
      </c>
      <c r="B2185" s="18" t="inlineStr">
        <is>
          <t>ยา Oxandrolone ซึ่งตรวจสอบแล้วว่าไม่ได้มีการ ขึ้นทะเบียน บนฉลากปรากฏ lot no., mfg date และ exp date</t>
        </is>
      </c>
      <c r="C2185" s="18" t="inlineStr"/>
      <c r="D2185" s="18" t="inlineStr">
        <is>
          <t>Sodium thiosulfate 25% 50 mL IV</t>
        </is>
      </c>
      <c r="E2185" s="18" t="inlineStr">
        <is>
          <t>Calcium disodium EDTA 1 g IV</t>
        </is>
      </c>
      <c r="F2185" s="18" t="inlineStr">
        <is>
          <t>Desferrioxamine 1 g IM/IV</t>
        </is>
      </c>
      <c r="G2185" s="18" t="inlineStr">
        <is>
          <t>Dimercaprol (BAL) 3 mg/kg IM</t>
        </is>
      </c>
      <c r="H2185" s="18" t="inlineStr">
        <is>
          <t>Ethanol 10% IV infusion for Methanol poisoning</t>
        </is>
      </c>
      <c r="I2185" s="15" t="inlineStr">
        <is>
          <t>1</t>
        </is>
      </c>
      <c r="J21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5" s="18" t="inlineStr"/>
      <c r="L2185" s="18" t="inlineStr">
        <is>
          <t>General Therapeutics</t>
        </is>
      </c>
      <c r="M2185" s="18" t="inlineStr">
        <is>
          <t>Clinic</t>
        </is>
      </c>
      <c r="N2185" s="18" t="inlineStr">
        <is>
          <t>ข้อ 1 (PLE_CC1_Key_Rx20_UBU.md)</t>
        </is>
      </c>
      <c r="O2185" s="18" t="inlineStr">
        <is>
          <t>Mock</t>
        </is>
      </c>
      <c r="P2185" s="18" t="inlineStr">
        <is>
          <t>Mock Rx20 UBU</t>
        </is>
      </c>
    </row>
    <row r="2186">
      <c r="A2186" s="15" t="inlineStr">
        <is>
          <t>2207</t>
        </is>
      </c>
      <c r="B2186" s="18" t="inlineStr">
        <is>
          <t>ยา X ซึ่งปรากฏสถานที่ผลิตไม่ตรงตามความเป็น จริง</t>
        </is>
      </c>
      <c r="C2186" s="18" t="inlineStr"/>
      <c r="D2186" s="18" t="inlineStr">
        <is>
          <t>Dimercaprol (BAL) 3 mg/kg IM</t>
        </is>
      </c>
      <c r="E2186" s="18" t="inlineStr">
        <is>
          <t>Ethanol 10% IV infusion for Methanol poisoning</t>
        </is>
      </c>
      <c r="F2186" s="18" t="inlineStr">
        <is>
          <t>Fomepizole 15 mg/kg IV loading</t>
        </is>
      </c>
      <c r="G2186" s="18" t="inlineStr">
        <is>
          <t>N-acetylcysteine (NAC) IV infusion protocol</t>
        </is>
      </c>
      <c r="H2186" s="18" t="inlineStr">
        <is>
          <t>Atropine sulfate 2 mg IV Q5-10 min</t>
        </is>
      </c>
      <c r="I2186" s="15" t="inlineStr">
        <is>
          <t>1</t>
        </is>
      </c>
      <c r="J21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86" s="18" t="inlineStr"/>
      <c r="L2186" s="18" t="inlineStr">
        <is>
          <t>General Therapeutics</t>
        </is>
      </c>
      <c r="M2186" s="18" t="inlineStr">
        <is>
          <t>Clinic</t>
        </is>
      </c>
      <c r="N2186" s="18" t="inlineStr">
        <is>
          <t>ข้อ 2 (PLE_CC1_Key_Rx20_UBU.md)</t>
        </is>
      </c>
      <c r="O2186" s="18" t="inlineStr">
        <is>
          <t>Mock</t>
        </is>
      </c>
      <c r="P2186" s="18" t="inlineStr">
        <is>
          <t>Mock Rx20 UBU</t>
        </is>
      </c>
    </row>
    <row r="2187">
      <c r="A2187" s="15" t="inlineStr">
        <is>
          <t>2208</t>
        </is>
      </c>
      <c r="B2187" s="18" t="inlineStr">
        <is>
          <t>ยา Rosiglitazone</t>
        </is>
      </c>
      <c r="C2187" s="18" t="inlineStr"/>
      <c r="D2187" s="18" t="inlineStr">
        <is>
          <t>N-acetylcysteine (NAC) IV infusion protocol</t>
        </is>
      </c>
      <c r="E2187" s="18" t="inlineStr">
        <is>
          <t>Atropine sulfate 2 mg IV Q5-10 min</t>
        </is>
      </c>
      <c r="F2187" s="18" t="inlineStr">
        <is>
          <t>Pralidoxime (2-PAM) 1-2 g IV over 30 min</t>
        </is>
      </c>
      <c r="G2187" s="18" t="inlineStr">
        <is>
          <t>Naloxone 0.4 mg IV stat</t>
        </is>
      </c>
      <c r="H2187" s="18" t="inlineStr">
        <is>
          <t>Flumazenil 0.2 mg IV stat</t>
        </is>
      </c>
      <c r="I2187" s="15" t="inlineStr">
        <is>
          <t>1</t>
        </is>
      </c>
      <c r="J21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7" s="18" t="inlineStr"/>
      <c r="L2187" s="18" t="inlineStr">
        <is>
          <t>General Therapeutics</t>
        </is>
      </c>
      <c r="M2187" s="18" t="inlineStr">
        <is>
          <t>Clinic</t>
        </is>
      </c>
      <c r="N2187" s="18" t="inlineStr">
        <is>
          <t>ข้อ 3 (PLE_CC1_Key_Rx20_UBU.md)</t>
        </is>
      </c>
      <c r="O2187" s="18" t="inlineStr">
        <is>
          <t>Mock</t>
        </is>
      </c>
      <c r="P2187" s="18" t="inlineStr">
        <is>
          <t>Mock Rx20 UBU</t>
        </is>
      </c>
    </row>
    <row r="2188">
      <c r="A2188" s="15" t="inlineStr">
        <is>
          <t>2209</t>
        </is>
      </c>
      <c r="B2188" s="18" t="inlineStr">
        <is>
          <t>ยาบรรจุใสซองใส ในซองประกอบดวยยาแคปซูลสี ต่างๆกัน 6 เม็ด (ยาแคปซูลสีฟา, สีขาว, สีเขียว, สี แดง, สีเหลือง, สีชมพู)</t>
        </is>
      </c>
      <c r="C2188" s="18" t="inlineStr"/>
      <c r="D2188" s="18" t="inlineStr">
        <is>
          <t>Enteric Coating with Cellulose acetate phthalate (CAP)</t>
        </is>
      </c>
      <c r="E2188" s="18" t="inlineStr">
        <is>
          <t>Hard Gelatin Capsule filling</t>
        </is>
      </c>
      <c r="F2188" s="18" t="inlineStr">
        <is>
          <t>Soft Gelatin Capsule encapsulation</t>
        </is>
      </c>
      <c r="G2188" s="18" t="inlineStr">
        <is>
          <t>Microcrystalline cellulose</t>
        </is>
      </c>
      <c r="H2188" s="18" t="inlineStr">
        <is>
          <t>Magnesium stearate (Lubricant 1%)</t>
        </is>
      </c>
      <c r="I2188" s="15" t="inlineStr">
        <is>
          <t>1</t>
        </is>
      </c>
      <c r="J2188" s="1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88" s="18" t="inlineStr"/>
      <c r="L2188" s="18" t="inlineStr">
        <is>
          <t>Solid Dosage Forms</t>
        </is>
      </c>
      <c r="M2188" s="18" t="inlineStr">
        <is>
          <t>Product</t>
        </is>
      </c>
      <c r="N2188" s="18" t="inlineStr">
        <is>
          <t>ข้อ 4 (PLE_CC1_Key_Rx20_UBU.md)</t>
        </is>
      </c>
      <c r="O2188" s="18" t="inlineStr">
        <is>
          <t>Mock</t>
        </is>
      </c>
      <c r="P2188" s="18" t="inlineStr">
        <is>
          <t>Mock Rx20 UBU</t>
        </is>
      </c>
    </row>
    <row r="2189">
      <c r="A2189" s="15" t="inlineStr">
        <is>
          <t>2210</t>
        </is>
      </c>
      <c r="B2189" s="18" t="inlineStr">
        <is>
          <t>ยาที่ไม่ได้ขึ้นทะเบียน</t>
        </is>
      </c>
      <c r="C2189" s="18" t="inlineStr"/>
      <c r="D2189" s="18" t="inlineStr">
        <is>
          <t>Sodium thiosulfate 25% 50 mL IV</t>
        </is>
      </c>
      <c r="E2189" s="18" t="inlineStr">
        <is>
          <t>Calcium disodium EDTA 1 g IV</t>
        </is>
      </c>
      <c r="F2189" s="18" t="inlineStr">
        <is>
          <t>Desferrioxamine 1 g IM/IV</t>
        </is>
      </c>
      <c r="G2189" s="18" t="inlineStr">
        <is>
          <t>Dimercaprol (BAL) 3 mg/kg IM</t>
        </is>
      </c>
      <c r="H2189" s="18" t="inlineStr">
        <is>
          <t>Ethanol 10% IV infusion for Methanol poisoning</t>
        </is>
      </c>
      <c r="I2189" s="15" t="inlineStr">
        <is>
          <t>1</t>
        </is>
      </c>
      <c r="J21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9" s="18" t="inlineStr"/>
      <c r="L2189" s="18" t="inlineStr">
        <is>
          <t>General Therapeutics</t>
        </is>
      </c>
      <c r="M2189" s="18" t="inlineStr">
        <is>
          <t>Clinic</t>
        </is>
      </c>
      <c r="N2189" s="18" t="inlineStr">
        <is>
          <t>ข้อ 1 (PLE_CC1_Key_Rx20_UBU.md)</t>
        </is>
      </c>
      <c r="O2189" s="18" t="inlineStr">
        <is>
          <t>Mock</t>
        </is>
      </c>
      <c r="P2189" s="18" t="inlineStr">
        <is>
          <t>Mock Rx20 UBU</t>
        </is>
      </c>
    </row>
    <row r="2190">
      <c r="A2190" s="15" t="inlineStr">
        <is>
          <t>2211</t>
        </is>
      </c>
      <c r="B2190" s="18" t="inlineStr">
        <is>
          <t>ยายกเลิกทะเบียน</t>
        </is>
      </c>
      <c r="C2190" s="18" t="inlineStr"/>
      <c r="D2190" s="18" t="inlineStr">
        <is>
          <t>Dimercaprol (BAL) 3 mg/kg IM</t>
        </is>
      </c>
      <c r="E2190" s="18" t="inlineStr">
        <is>
          <t>Ethanol 10% IV infusion for Methanol poisoning</t>
        </is>
      </c>
      <c r="F2190" s="18" t="inlineStr">
        <is>
          <t>Fomepizole 15 mg/kg IV loading</t>
        </is>
      </c>
      <c r="G2190" s="18" t="inlineStr">
        <is>
          <t>N-acetylcysteine (NAC) IV infusion protocol</t>
        </is>
      </c>
      <c r="H2190" s="18" t="inlineStr">
        <is>
          <t>Atropine sulfate 2 mg IV Q5-10 min</t>
        </is>
      </c>
      <c r="I2190" s="15" t="inlineStr">
        <is>
          <t>2</t>
        </is>
      </c>
      <c r="J2190" s="18"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0" s="18" t="inlineStr"/>
      <c r="L2190" s="18" t="inlineStr">
        <is>
          <t>General Therapeutics</t>
        </is>
      </c>
      <c r="M2190" s="18" t="inlineStr">
        <is>
          <t>Clinic</t>
        </is>
      </c>
      <c r="N2190" s="18" t="inlineStr">
        <is>
          <t>ข้อ 5 (PLE_CC1_Key_Rx20_UBU.md)</t>
        </is>
      </c>
      <c r="O2190" s="18" t="inlineStr">
        <is>
          <t>Mock</t>
        </is>
      </c>
      <c r="P2190" s="18" t="inlineStr">
        <is>
          <t>Mock Rx20 UBU</t>
        </is>
      </c>
    </row>
    <row r="2191">
      <c r="A2191" s="15" t="inlineStr">
        <is>
          <t>2212</t>
        </is>
      </c>
      <c r="B2191" s="18" t="inlineStr">
        <is>
          <t>นาย ก. และนาย ค.</t>
        </is>
      </c>
      <c r="C2191" s="18" t="inlineStr"/>
      <c r="D2191" s="18" t="inlineStr">
        <is>
          <t>N-acetylcysteine (NAC) IV infusion protocol</t>
        </is>
      </c>
      <c r="E2191" s="18" t="inlineStr">
        <is>
          <t>Atropine sulfate 2 mg IV Q5-10 min</t>
        </is>
      </c>
      <c r="F2191" s="18" t="inlineStr">
        <is>
          <t>Pralidoxime (2-PAM) 1-2 g IV over 30 min</t>
        </is>
      </c>
      <c r="G2191" s="18" t="inlineStr">
        <is>
          <t>Naloxone 0.4 mg IV stat</t>
        </is>
      </c>
      <c r="H2191" s="18" t="inlineStr">
        <is>
          <t>Flumazenil 0.2 mg IV stat</t>
        </is>
      </c>
      <c r="I2191" s="15" t="inlineStr">
        <is>
          <t>1</t>
        </is>
      </c>
      <c r="J21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1" s="18" t="inlineStr"/>
      <c r="L2191" s="18" t="inlineStr">
        <is>
          <t>General Therapeutics</t>
        </is>
      </c>
      <c r="M2191" s="18" t="inlineStr">
        <is>
          <t>Clinic</t>
        </is>
      </c>
      <c r="N2191" s="18" t="inlineStr">
        <is>
          <t>ข้อ 4 (PLE_CC1_Key_Rx20_UBU.md)</t>
        </is>
      </c>
      <c r="O2191" s="18" t="inlineStr">
        <is>
          <t>Mock</t>
        </is>
      </c>
      <c r="P2191" s="18" t="inlineStr">
        <is>
          <t>Mock Rx20 UBU</t>
        </is>
      </c>
    </row>
    <row r="2192">
      <c r="A2192" s="15" t="inlineStr">
        <is>
          <t>2213</t>
        </is>
      </c>
      <c r="B2192" s="18" t="inlineStr">
        <is>
          <t>ไม่มีใครมีความผิด เนื่องจากยังไม่มีการขายยาดังกลาวเกิดขึ้น</t>
        </is>
      </c>
      <c r="C2192" s="18" t="inlineStr"/>
      <c r="D2192" s="18" t="inlineStr">
        <is>
          <t>Naloxone 0.4 mg IV stat</t>
        </is>
      </c>
      <c r="E2192" s="18" t="inlineStr">
        <is>
          <t>Flumazenil 0.2 mg IV stat</t>
        </is>
      </c>
      <c r="F2192" s="18" t="inlineStr">
        <is>
          <t>Vitamin K1 (Phytomenadione) 10 mg IV slow</t>
        </is>
      </c>
      <c r="G2192" s="18" t="inlineStr">
        <is>
          <t>Sodium thiosulfate 25% 50 mL IV</t>
        </is>
      </c>
      <c r="H2192" s="18" t="inlineStr">
        <is>
          <t>Calcium disodium EDTA 1 g IV</t>
        </is>
      </c>
      <c r="I2192" s="15" t="inlineStr">
        <is>
          <t>1</t>
        </is>
      </c>
      <c r="J21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2" s="18" t="inlineStr"/>
      <c r="L2192" s="18" t="inlineStr">
        <is>
          <t>General Therapeutics</t>
        </is>
      </c>
      <c r="M2192" s="18" t="inlineStr">
        <is>
          <t>Clinic</t>
        </is>
      </c>
      <c r="N2192" s="18" t="inlineStr">
        <is>
          <t>ข้อ 5 (PLE_CC1_Key_Rx20_UBU.md)</t>
        </is>
      </c>
      <c r="O2192" s="18" t="inlineStr">
        <is>
          <t>Mock</t>
        </is>
      </c>
      <c r="P2192" s="18" t="inlineStr">
        <is>
          <t>Mock Rx20 UBU</t>
        </is>
      </c>
    </row>
    <row r="2193">
      <c r="A2193" s="15" t="inlineStr">
        <is>
          <t>2214</t>
        </is>
      </c>
      <c r="B2193" s="18"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193" s="18" t="inlineStr"/>
      <c r="D2193" s="18" t="inlineStr">
        <is>
          <t>Magnesium stearate (Lubricant 1%)</t>
        </is>
      </c>
      <c r="E2193" s="18" t="inlineStr">
        <is>
          <t>Sodium starch glycolate (Superdisintegrant)</t>
        </is>
      </c>
      <c r="F2193" s="18" t="inlineStr">
        <is>
          <t>Direct Compression tableting method</t>
        </is>
      </c>
      <c r="G2193" s="18" t="inlineStr">
        <is>
          <t>Wet Granulation tableting method</t>
        </is>
      </c>
      <c r="H2193" s="18" t="inlineStr">
        <is>
          <t>Dry Granulation (Roller Compaction)</t>
        </is>
      </c>
      <c r="I2193" s="15" t="inlineStr">
        <is>
          <t>1</t>
        </is>
      </c>
      <c r="J2193" s="1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93" s="18" t="inlineStr"/>
      <c r="L2193" s="18" t="inlineStr">
        <is>
          <t>Solid Dosage Forms</t>
        </is>
      </c>
      <c r="M2193" s="18" t="inlineStr">
        <is>
          <t>Product</t>
        </is>
      </c>
      <c r="N2193" s="18" t="inlineStr">
        <is>
          <t>ข้อ 3 (PLE_CC1_Key_Rx20_UBU.md)</t>
        </is>
      </c>
      <c r="O2193" s="18" t="inlineStr">
        <is>
          <t>Mock</t>
        </is>
      </c>
      <c r="P2193" s="18" t="inlineStr">
        <is>
          <t>Mock Rx20 UBU</t>
        </is>
      </c>
    </row>
    <row r="2194">
      <c r="A2194" s="15" t="inlineStr">
        <is>
          <t>2215</t>
        </is>
      </c>
      <c r="B2194" s="18" t="inlineStr">
        <is>
          <t>ไม่มีใครมีความผิด เนื่องจากยังไม่มีการขายยาดังกล่าวเกิดขึ้น</t>
        </is>
      </c>
      <c r="C2194" s="18" t="inlineStr"/>
      <c r="D2194" s="18" t="inlineStr">
        <is>
          <t>Dimercaprol (BAL) 3 mg/kg IM</t>
        </is>
      </c>
      <c r="E2194" s="18" t="inlineStr">
        <is>
          <t>Ethanol 10% IV infusion for Methanol poisoning</t>
        </is>
      </c>
      <c r="F2194" s="18" t="inlineStr">
        <is>
          <t>Fomepizole 15 mg/kg IV loading</t>
        </is>
      </c>
      <c r="G2194" s="18" t="inlineStr">
        <is>
          <t>N-acetylcysteine (NAC) IV infusion protocol</t>
        </is>
      </c>
      <c r="H2194" s="18" t="inlineStr">
        <is>
          <t>Atropine sulfate 2 mg IV Q5-10 min</t>
        </is>
      </c>
      <c r="I2194" s="15" t="inlineStr">
        <is>
          <t>1</t>
        </is>
      </c>
      <c r="J21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4" s="18" t="inlineStr"/>
      <c r="L2194" s="18" t="inlineStr">
        <is>
          <t>General Therapeutics</t>
        </is>
      </c>
      <c r="M2194" s="18" t="inlineStr">
        <is>
          <t>Clinic</t>
        </is>
      </c>
      <c r="N2194" s="18" t="inlineStr">
        <is>
          <t>ข้อ 1 (PLE_CC1_Key_Rx20_UBU.md)</t>
        </is>
      </c>
      <c r="O2194" s="18" t="inlineStr">
        <is>
          <t>Mock</t>
        </is>
      </c>
      <c r="P2194" s="18" t="inlineStr">
        <is>
          <t>Mock Rx20 UBU</t>
        </is>
      </c>
    </row>
    <row r="2195">
      <c r="A2195" s="15" t="inlineStr">
        <is>
          <t>2216</t>
        </is>
      </c>
      <c r="B2195" s="18" t="inlineStr">
        <is>
          <t>นาย ก. ผิด ผลิตยาชุด</t>
        </is>
      </c>
      <c r="C2195" s="18" t="inlineStr"/>
      <c r="D2195" s="18" t="inlineStr">
        <is>
          <t>N-acetylcysteine (NAC) IV infusion protocol</t>
        </is>
      </c>
      <c r="E2195" s="18" t="inlineStr">
        <is>
          <t>Atropine sulfate 2 mg IV Q5-10 min</t>
        </is>
      </c>
      <c r="F2195" s="18" t="inlineStr">
        <is>
          <t>Pralidoxime (2-PAM) 1-2 g IV over 30 min</t>
        </is>
      </c>
      <c r="G2195" s="18" t="inlineStr">
        <is>
          <t>Naloxone 0.4 mg IV stat</t>
        </is>
      </c>
      <c r="H2195" s="18" t="inlineStr">
        <is>
          <t>Flumazenil 0.2 mg IV stat</t>
        </is>
      </c>
      <c r="I2195" s="15" t="inlineStr">
        <is>
          <t>1</t>
        </is>
      </c>
      <c r="J21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5" s="18" t="inlineStr"/>
      <c r="L2195" s="18" t="inlineStr">
        <is>
          <t>General Therapeutics</t>
        </is>
      </c>
      <c r="M2195" s="18" t="inlineStr">
        <is>
          <t>Clinic</t>
        </is>
      </c>
      <c r="N2195" s="18" t="inlineStr">
        <is>
          <t>ข้อ 2 (PLE_CC1_Key_Rx20_UBU.md)</t>
        </is>
      </c>
      <c r="O2195" s="18" t="inlineStr">
        <is>
          <t>Mock</t>
        </is>
      </c>
      <c r="P2195" s="18" t="inlineStr">
        <is>
          <t>Mock Rx20 UBU</t>
        </is>
      </c>
    </row>
    <row r="2196">
      <c r="A2196" s="15" t="inlineStr">
        <is>
          <t>2217</t>
        </is>
      </c>
      <c r="B2196" s="18" t="inlineStr">
        <is>
          <t>นาย ก. ผิด ขายยาชุด</t>
        </is>
      </c>
      <c r="C2196" s="18" t="inlineStr"/>
      <c r="D2196" s="18" t="inlineStr">
        <is>
          <t>Naloxone 0.4 mg IV stat</t>
        </is>
      </c>
      <c r="E2196" s="18" t="inlineStr">
        <is>
          <t>Flumazenil 0.2 mg IV stat</t>
        </is>
      </c>
      <c r="F2196" s="18" t="inlineStr">
        <is>
          <t>Vitamin K1 (Phytomenadione) 10 mg IV slow</t>
        </is>
      </c>
      <c r="G2196" s="18" t="inlineStr">
        <is>
          <t>Sodium thiosulfate 25% 50 mL IV</t>
        </is>
      </c>
      <c r="H2196" s="18" t="inlineStr">
        <is>
          <t>Calcium disodium EDTA 1 g IV</t>
        </is>
      </c>
      <c r="I2196" s="15" t="inlineStr">
        <is>
          <t>1</t>
        </is>
      </c>
      <c r="J21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6" s="18" t="inlineStr"/>
      <c r="L2196" s="18" t="inlineStr">
        <is>
          <t>General Therapeutics</t>
        </is>
      </c>
      <c r="M2196" s="18" t="inlineStr">
        <is>
          <t>Clinic</t>
        </is>
      </c>
      <c r="N2196" s="18" t="inlineStr">
        <is>
          <t>ข้อ 3 (PLE_CC1_Key_Rx20_UBU.md)</t>
        </is>
      </c>
      <c r="O2196" s="18" t="inlineStr">
        <is>
          <t>Mock</t>
        </is>
      </c>
      <c r="P2196" s="18" t="inlineStr">
        <is>
          <t>Mock Rx20 UBU</t>
        </is>
      </c>
    </row>
    <row r="2197">
      <c r="A2197" s="15" t="inlineStr">
        <is>
          <t>2218</t>
        </is>
      </c>
      <c r="B2197" s="18" t="inlineStr">
        <is>
          <t>นาย ข. ผิด ผลิตยาชุด</t>
        </is>
      </c>
      <c r="C2197" s="18" t="inlineStr"/>
      <c r="D2197" s="18" t="inlineStr">
        <is>
          <t>Sodium thiosulfate 25% 50 mL IV</t>
        </is>
      </c>
      <c r="E2197" s="18" t="inlineStr">
        <is>
          <t>Calcium disodium EDTA 1 g IV</t>
        </is>
      </c>
      <c r="F2197" s="18" t="inlineStr">
        <is>
          <t>Desferrioxamine 1 g IM/IV</t>
        </is>
      </c>
      <c r="G2197" s="18" t="inlineStr">
        <is>
          <t>Dimercaprol (BAL) 3 mg/kg IM</t>
        </is>
      </c>
      <c r="H2197" s="18" t="inlineStr">
        <is>
          <t>Ethanol 10% IV infusion for Methanol poisoning</t>
        </is>
      </c>
      <c r="I2197" s="15" t="inlineStr">
        <is>
          <t>1</t>
        </is>
      </c>
      <c r="J21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7" s="18" t="inlineStr"/>
      <c r="L2197" s="18" t="inlineStr">
        <is>
          <t>General Therapeutics</t>
        </is>
      </c>
      <c r="M2197" s="18" t="inlineStr">
        <is>
          <t>Clinic</t>
        </is>
      </c>
      <c r="N2197" s="18" t="inlineStr">
        <is>
          <t>ข้อ 4 (PLE_CC1_Key_Rx20_UBU.md)</t>
        </is>
      </c>
      <c r="O2197" s="18" t="inlineStr">
        <is>
          <t>Mock</t>
        </is>
      </c>
      <c r="P2197" s="18" t="inlineStr">
        <is>
          <t>Mock Rx20 UBU</t>
        </is>
      </c>
    </row>
    <row r="2198">
      <c r="A2198" s="15" t="inlineStr">
        <is>
          <t>2219</t>
        </is>
      </c>
      <c r="B2198" s="18" t="inlineStr">
        <is>
          <t>นาย ข. ผิด ขายยาชุด</t>
        </is>
      </c>
      <c r="C2198" s="18" t="inlineStr"/>
      <c r="D2198" s="18" t="inlineStr">
        <is>
          <t>Dimercaprol (BAL) 3 mg/kg IM</t>
        </is>
      </c>
      <c r="E2198" s="18" t="inlineStr">
        <is>
          <t>Ethanol 10% IV infusion for Methanol poisoning</t>
        </is>
      </c>
      <c r="F2198" s="18" t="inlineStr">
        <is>
          <t>Fomepizole 15 mg/kg IV loading</t>
        </is>
      </c>
      <c r="G2198" s="18" t="inlineStr">
        <is>
          <t>N-acetylcysteine (NAC) IV infusion protocol</t>
        </is>
      </c>
      <c r="H2198" s="18" t="inlineStr">
        <is>
          <t>Atropine sulfate 2 mg IV Q5-10 min</t>
        </is>
      </c>
      <c r="I2198" s="15" t="inlineStr">
        <is>
          <t>1</t>
        </is>
      </c>
      <c r="J219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8" s="18" t="inlineStr"/>
      <c r="L2198" s="18" t="inlineStr">
        <is>
          <t>General Therapeutics</t>
        </is>
      </c>
      <c r="M2198" s="18" t="inlineStr">
        <is>
          <t>Clinic</t>
        </is>
      </c>
      <c r="N2198" s="18" t="inlineStr">
        <is>
          <t>ข้อ 5 (PLE_CC1_Key_Rx20_UBU.md)</t>
        </is>
      </c>
      <c r="O2198" s="18" t="inlineStr">
        <is>
          <t>Mock</t>
        </is>
      </c>
      <c r="P2198" s="18" t="inlineStr">
        <is>
          <t>Mock Rx20 UBU</t>
        </is>
      </c>
    </row>
    <row r="2199">
      <c r="A2199" s="15" t="inlineStr">
        <is>
          <t>2220</t>
        </is>
      </c>
      <c r="B2199" s="18" t="inlineStr">
        <is>
          <t>ยา X ซึ่งปรากฏสถานที่ผลิตไม่ตรงตามความเป็นจริง ถือเป็นยาประเภทใด</t>
        </is>
      </c>
      <c r="C2199" s="18" t="inlineStr"/>
      <c r="D2199" s="18" t="inlineStr">
        <is>
          <t>N-acetylcysteine (NAC) IV infusion protocol</t>
        </is>
      </c>
      <c r="E2199" s="18" t="inlineStr">
        <is>
          <t>Atropine sulfate 2 mg IV Q5-10 min</t>
        </is>
      </c>
      <c r="F2199" s="18" t="inlineStr">
        <is>
          <t>Pralidoxime (2-PAM) 1-2 g IV over 30 min</t>
        </is>
      </c>
      <c r="G2199" s="18" t="inlineStr">
        <is>
          <t>Naloxone 0.4 mg IV stat</t>
        </is>
      </c>
      <c r="H2199" s="18" t="inlineStr">
        <is>
          <t>Flumazenil 0.2 mg IV stat</t>
        </is>
      </c>
      <c r="I2199" s="15" t="inlineStr">
        <is>
          <t>1</t>
        </is>
      </c>
      <c r="J219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9" s="18" t="inlineStr"/>
      <c r="L2199" s="18" t="inlineStr">
        <is>
          <t>General Therapeutics</t>
        </is>
      </c>
      <c r="M2199" s="18" t="inlineStr">
        <is>
          <t>Clinic</t>
        </is>
      </c>
      <c r="N2199" s="18" t="inlineStr">
        <is>
          <t>ข้อ 4 (PLE_CC1_Key_Rx20_UBU.md)</t>
        </is>
      </c>
      <c r="O2199" s="18" t="inlineStr">
        <is>
          <t>Mock</t>
        </is>
      </c>
      <c r="P2199" s="18" t="inlineStr">
        <is>
          <t>Mock Rx20 UBU</t>
        </is>
      </c>
    </row>
    <row r="2200">
      <c r="A2200" s="15" t="inlineStr">
        <is>
          <t>2221</t>
        </is>
      </c>
      <c r="B2200" s="18" t="inlineStr">
        <is>
          <t>ยาที่ไมไดขึ้นทะเบียนตำรับยา</t>
        </is>
      </c>
      <c r="C2200" s="18" t="inlineStr"/>
      <c r="D2200" s="18" t="inlineStr">
        <is>
          <t>Naloxone 0.4 mg IV stat</t>
        </is>
      </c>
      <c r="E2200" s="18" t="inlineStr">
        <is>
          <t>Flumazenil 0.2 mg IV stat</t>
        </is>
      </c>
      <c r="F2200" s="18" t="inlineStr">
        <is>
          <t>Vitamin K1 (Phytomenadione) 10 mg IV slow</t>
        </is>
      </c>
      <c r="G2200" s="18" t="inlineStr">
        <is>
          <t>Sodium thiosulfate 25% 50 mL IV</t>
        </is>
      </c>
      <c r="H2200" s="18" t="inlineStr">
        <is>
          <t>Calcium disodium EDTA 1 g IV</t>
        </is>
      </c>
      <c r="I2200" s="15" t="inlineStr">
        <is>
          <t>1</t>
        </is>
      </c>
      <c r="J220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0" s="18" t="inlineStr"/>
      <c r="L2200" s="18" t="inlineStr">
        <is>
          <t>General Therapeutics</t>
        </is>
      </c>
      <c r="M2200" s="18" t="inlineStr">
        <is>
          <t>Clinic</t>
        </is>
      </c>
      <c r="N2200" s="18" t="inlineStr">
        <is>
          <t>ข้อ 5 (PLE_CC1_Key_Rx20_UBU.md)</t>
        </is>
      </c>
      <c r="O2200" s="18" t="inlineStr">
        <is>
          <t>Mock</t>
        </is>
      </c>
      <c r="P2200" s="18" t="inlineStr">
        <is>
          <t>Mock Rx20 UBU</t>
        </is>
      </c>
    </row>
    <row r="2201">
      <c r="A2201" s="15" t="inlineStr">
        <is>
          <t>2222</t>
        </is>
      </c>
      <c r="B2201" s="18" t="inlineStr">
        <is>
          <t>ยาเสพติดใหโทษประเภท 3</t>
        </is>
      </c>
      <c r="C2201" s="18" t="inlineStr"/>
      <c r="D2201" s="18" t="inlineStr">
        <is>
          <t>พ.ร.บ. หลักประกันสุขภาพแห่งชาติ พ.ศ. 2545</t>
        </is>
      </c>
      <c r="E2201" s="18" t="inlineStr">
        <is>
          <t>การปฏิบัติทางเภสัชกรรมชุมชน (Good Pharmacy Practice: GPP)</t>
        </is>
      </c>
      <c r="F2201" s="18" t="inlineStr">
        <is>
          <t>บัญชียาหลักแห่งชาติ (National List of Essential Medicines: NLEM)</t>
        </is>
      </c>
      <c r="G2201" s="18" t="inlineStr">
        <is>
          <t>เกณฑ์จริยธรรมว่าด้วยการส่งเสริมการขายยาของกระทรวงสาธารณสุข</t>
        </is>
      </c>
      <c r="H2201" s="18" t="inlineStr">
        <is>
          <t>พ.ร.บ. ยา พ.ศ. 2510 (การจำหน่ายยาอันตรายและยาควบคุมพิเศษ)</t>
        </is>
      </c>
      <c r="I2201" s="15" t="inlineStr">
        <is>
          <t>1</t>
        </is>
      </c>
      <c r="J2201" s="18"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1" s="18" t="inlineStr"/>
      <c r="L2201" s="18" t="inlineStr">
        <is>
          <t>Pharmacy Laws &amp; Ethics</t>
        </is>
      </c>
      <c r="M2201" s="18" t="inlineStr">
        <is>
          <t>SAP</t>
        </is>
      </c>
      <c r="N2201" s="18" t="inlineStr">
        <is>
          <t>ข้อ 3 (PLE_CC1_Key_Rx20_UBU.md)</t>
        </is>
      </c>
      <c r="O2201" s="18" t="inlineStr">
        <is>
          <t>Mock</t>
        </is>
      </c>
      <c r="P2201" s="18" t="inlineStr">
        <is>
          <t>Mock Rx20 UBU</t>
        </is>
      </c>
    </row>
    <row r="2202">
      <c r="A2202" s="15" t="inlineStr">
        <is>
          <t>2223</t>
        </is>
      </c>
      <c r="B2202" s="18" t="inlineStr">
        <is>
          <t>วัตถุออกฤทธิ์ตอจิตและประสาทประเภท 2</t>
        </is>
      </c>
      <c r="C2202" s="18" t="inlineStr"/>
      <c r="D2202" s="18" t="inlineStr">
        <is>
          <t>เกณฑ์จริยธรรมว่าด้วยการส่งเสริมการขายยาของกระทรวงสาธารณสุข</t>
        </is>
      </c>
      <c r="E2202" s="18" t="inlineStr">
        <is>
          <t>พ.ร.บ. ยา พ.ศ. 2510 (การจำหน่ายยาอันตรายและยาควบคุมพิเศษ)</t>
        </is>
      </c>
      <c r="F2202" s="18" t="inlineStr">
        <is>
          <t>พ.ร.บ. ยาเสพติดให้โทษ พ.ศ. 2522 (ยาเสพติดให้โทษประเภท 2 และ 3)</t>
        </is>
      </c>
      <c r="G2202" s="18" t="inlineStr">
        <is>
          <t>พ.ร.บ. วัตถุที่ออกฤทธิ์ต่อจิตและประสาท พ.ศ. 2559 (ประเภท 2 และ 4)</t>
        </is>
      </c>
      <c r="H2202" s="18" t="inlineStr">
        <is>
          <t>พ.ร.บ. วิชาชีพเภสัชกรรม พ.ศ. 2537 และข้อบังคับจรรยาบรรณวิชาชีพ</t>
        </is>
      </c>
      <c r="I2202" s="15" t="inlineStr">
        <is>
          <t>1</t>
        </is>
      </c>
      <c r="J2202" s="18"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2" s="18" t="inlineStr"/>
      <c r="L2202" s="18" t="inlineStr">
        <is>
          <t>Pharmacy Laws &amp; Ethics</t>
        </is>
      </c>
      <c r="M2202" s="18" t="inlineStr">
        <is>
          <t>SAP</t>
        </is>
      </c>
      <c r="N2202" s="18" t="inlineStr">
        <is>
          <t>ข้อ 4 (PLE_CC1_Key_Rx20_UBU.md)</t>
        </is>
      </c>
      <c r="O2202" s="18" t="inlineStr">
        <is>
          <t>Mock</t>
        </is>
      </c>
      <c r="P2202" s="18" t="inlineStr">
        <is>
          <t>Mock Rx20 UBU</t>
        </is>
      </c>
    </row>
    <row r="2203">
      <c r="A2203" s="15" t="inlineStr">
        <is>
          <t>2224</t>
        </is>
      </c>
      <c r="B2203" s="18" t="inlineStr">
        <is>
          <t>วัตถุออกฤทธิ์ตอจิตและประสาทประเภท 4</t>
        </is>
      </c>
      <c r="C2203" s="18" t="inlineStr"/>
      <c r="D2203" s="18" t="inlineStr">
        <is>
          <t>พ.ร.บ. วัตถุที่ออกฤทธิ์ต่อจิตและประสาท พ.ศ. 2559 (ประเภท 2 และ 4)</t>
        </is>
      </c>
      <c r="E2203" s="18" t="inlineStr">
        <is>
          <t>พ.ร.บ. วิชาชีพเภสัชกรรม พ.ศ. 2537 และข้อบังคับจรรยาบรรณวิชาชีพ</t>
        </is>
      </c>
      <c r="F2203" s="18" t="inlineStr">
        <is>
          <t>พ.ร.บ. ผลิตภัณฑ์สมุนไพร พ.ศ. 2562</t>
        </is>
      </c>
      <c r="G2203" s="18" t="inlineStr">
        <is>
          <t>พ.ร.บ. เครื่องสำอาง พ.ศ. 2558</t>
        </is>
      </c>
      <c r="H2203" s="18" t="inlineStr">
        <is>
          <t>พ.ร.บ. หลักประกันสุขภาพแห่งชาติ พ.ศ. 2545</t>
        </is>
      </c>
      <c r="I2203" s="15" t="inlineStr">
        <is>
          <t>1</t>
        </is>
      </c>
      <c r="J2203" s="18"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3" s="18" t="inlineStr"/>
      <c r="L2203" s="18" t="inlineStr">
        <is>
          <t>Pharmacy Laws &amp; Ethics</t>
        </is>
      </c>
      <c r="M2203" s="18" t="inlineStr">
        <is>
          <t>SAP</t>
        </is>
      </c>
      <c r="N2203" s="18" t="inlineStr">
        <is>
          <t>ข้อ 5 (PLE_CC1_Key_Rx20_UBU.md)</t>
        </is>
      </c>
      <c r="O2203" s="18" t="inlineStr">
        <is>
          <t>Mock</t>
        </is>
      </c>
      <c r="P2203" s="18" t="inlineStr">
        <is>
          <t>Mock Rx20 UBU</t>
        </is>
      </c>
    </row>
    <row r="2204">
      <c r="A2204" s="15" t="inlineStr">
        <is>
          <t>2225</t>
        </is>
      </c>
      <c r="B2204" s="18" t="inlineStr">
        <is>
          <t>นาย ก. และนาย ข.</t>
        </is>
      </c>
      <c r="C2204" s="18" t="inlineStr"/>
      <c r="D2204" s="18" t="inlineStr">
        <is>
          <t>Naloxone 0.4 mg IV stat</t>
        </is>
      </c>
      <c r="E2204" s="18" t="inlineStr">
        <is>
          <t>Flumazenil 0.2 mg IV stat</t>
        </is>
      </c>
      <c r="F2204" s="18" t="inlineStr">
        <is>
          <t>Vitamin K1 (Phytomenadione) 10 mg IV slow</t>
        </is>
      </c>
      <c r="G2204" s="18" t="inlineStr">
        <is>
          <t>Sodium thiosulfate 25% 50 mL IV</t>
        </is>
      </c>
      <c r="H2204" s="18" t="inlineStr">
        <is>
          <t>Calcium disodium EDTA 1 g IV</t>
        </is>
      </c>
      <c r="I2204" s="15" t="inlineStr">
        <is>
          <t>1</t>
        </is>
      </c>
      <c r="J22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4" s="18" t="inlineStr"/>
      <c r="L2204" s="18" t="inlineStr">
        <is>
          <t>General Therapeutics</t>
        </is>
      </c>
      <c r="M2204" s="18" t="inlineStr">
        <is>
          <t>Clinic</t>
        </is>
      </c>
      <c r="N2204" s="18" t="inlineStr">
        <is>
          <t>ข้อ 4 (PLE_CC1_Key_Rx20_UBU.md)</t>
        </is>
      </c>
      <c r="O2204" s="18" t="inlineStr">
        <is>
          <t>Mock</t>
        </is>
      </c>
      <c r="P2204" s="18" t="inlineStr">
        <is>
          <t>Mock Rx20 UBU</t>
        </is>
      </c>
    </row>
    <row r="2205">
      <c r="A2205" s="15" t="inlineStr">
        <is>
          <t>2226</t>
        </is>
      </c>
      <c r="B2205" s="18" t="inlineStr">
        <is>
          <t>ไมมีใครมีความผิด เนื่องจากยังไมมีการขายยาดังกลาวเกิดขึ้น</t>
        </is>
      </c>
      <c r="C2205" s="18" t="inlineStr"/>
      <c r="D2205" s="18" t="inlineStr">
        <is>
          <t>Sodium thiosulfate 25% 50 mL IV</t>
        </is>
      </c>
      <c r="E2205" s="18" t="inlineStr">
        <is>
          <t>Calcium disodium EDTA 1 g IV</t>
        </is>
      </c>
      <c r="F2205" s="18" t="inlineStr">
        <is>
          <t>Desferrioxamine 1 g IM/IV</t>
        </is>
      </c>
      <c r="G2205" s="18" t="inlineStr">
        <is>
          <t>Dimercaprol (BAL) 3 mg/kg IM</t>
        </is>
      </c>
      <c r="H2205" s="18" t="inlineStr">
        <is>
          <t>Ethanol 10% IV infusion for Methanol poisoning</t>
        </is>
      </c>
      <c r="I2205" s="15" t="inlineStr">
        <is>
          <t>1</t>
        </is>
      </c>
      <c r="J22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5" s="18" t="inlineStr"/>
      <c r="L2205" s="18" t="inlineStr">
        <is>
          <t>General Therapeutics</t>
        </is>
      </c>
      <c r="M2205" s="18" t="inlineStr">
        <is>
          <t>Clinic</t>
        </is>
      </c>
      <c r="N2205" s="18" t="inlineStr">
        <is>
          <t>ข้อ 5 (PLE_CC1_Key_Rx20_UBU.md)</t>
        </is>
      </c>
      <c r="O2205" s="18" t="inlineStr">
        <is>
          <t>Mock</t>
        </is>
      </c>
      <c r="P2205" s="18" t="inlineStr">
        <is>
          <t>Mock Rx20 UBU</t>
        </is>
      </c>
    </row>
    <row r="2206">
      <c r="A2206" s="15" t="inlineStr">
        <is>
          <t>2227</t>
        </is>
      </c>
      <c r="B2206" s="18" t="inlineStr">
        <is>
          <t>ยาที่ไมขึ้นทะเบียนตำรับยา</t>
        </is>
      </c>
      <c r="C2206" s="18" t="inlineStr"/>
      <c r="D2206" s="18" t="inlineStr">
        <is>
          <t>Dimercaprol (BAL) 3 mg/kg IM</t>
        </is>
      </c>
      <c r="E2206" s="18" t="inlineStr">
        <is>
          <t>Ethanol 10% IV infusion for Methanol poisoning</t>
        </is>
      </c>
      <c r="F2206" s="18" t="inlineStr">
        <is>
          <t>Fomepizole 15 mg/kg IV loading</t>
        </is>
      </c>
      <c r="G2206" s="18" t="inlineStr">
        <is>
          <t>N-acetylcysteine (NAC) IV infusion protocol</t>
        </is>
      </c>
      <c r="H2206" s="18" t="inlineStr">
        <is>
          <t>Atropine sulfate 2 mg IV Q5-10 min</t>
        </is>
      </c>
      <c r="I2206" s="15" t="inlineStr">
        <is>
          <t>1</t>
        </is>
      </c>
      <c r="J22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6" s="18" t="inlineStr"/>
      <c r="L2206" s="18" t="inlineStr">
        <is>
          <t>General Therapeutics</t>
        </is>
      </c>
      <c r="M2206" s="18" t="inlineStr">
        <is>
          <t>Clinic</t>
        </is>
      </c>
      <c r="N2206" s="18" t="inlineStr">
        <is>
          <t>ข้อ 1 (PLE_CC1_Key_Rx20_UBU.md)</t>
        </is>
      </c>
      <c r="O2206" s="18" t="inlineStr">
        <is>
          <t>Mock</t>
        </is>
      </c>
      <c r="P2206" s="18" t="inlineStr">
        <is>
          <t>Mock Rx20 UBU</t>
        </is>
      </c>
    </row>
    <row r="2207">
      <c r="A2207" s="15" t="inlineStr">
        <is>
          <t>2228</t>
        </is>
      </c>
      <c r="B2207" s="18" t="inlineStr">
        <is>
          <t>ยาที่ถูกยกเลิกทะเบียน</t>
        </is>
      </c>
      <c r="C2207" s="18" t="inlineStr"/>
      <c r="D2207" s="18" t="inlineStr">
        <is>
          <t>N-acetylcysteine (NAC) IV infusion protocol</t>
        </is>
      </c>
      <c r="E2207" s="18" t="inlineStr">
        <is>
          <t>Atropine sulfate 2 mg IV Q5-10 min</t>
        </is>
      </c>
      <c r="F2207" s="18" t="inlineStr">
        <is>
          <t>Pralidoxime (2-PAM) 1-2 g IV over 30 min</t>
        </is>
      </c>
      <c r="G2207" s="18" t="inlineStr">
        <is>
          <t>Naloxone 0.4 mg IV stat</t>
        </is>
      </c>
      <c r="H2207" s="18" t="inlineStr">
        <is>
          <t>Flumazenil 0.2 mg IV stat</t>
        </is>
      </c>
      <c r="I2207" s="15" t="inlineStr">
        <is>
          <t>1</t>
        </is>
      </c>
      <c r="J22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07" s="18" t="inlineStr"/>
      <c r="L2207" s="18" t="inlineStr">
        <is>
          <t>General Therapeutics</t>
        </is>
      </c>
      <c r="M2207" s="18" t="inlineStr">
        <is>
          <t>Clinic</t>
        </is>
      </c>
      <c r="N2207" s="18" t="inlineStr">
        <is>
          <t>ข้อ 4 (PLE_CC1_Key_Rx20_UBU.md)</t>
        </is>
      </c>
      <c r="O2207" s="18" t="inlineStr">
        <is>
          <t>Mock</t>
        </is>
      </c>
      <c r="P2207" s="18" t="inlineStr">
        <is>
          <t>Mock Rx20 UBU</t>
        </is>
      </c>
    </row>
    <row r="2208">
      <c r="A2208" s="15" t="inlineStr">
        <is>
          <t>2229</t>
        </is>
      </c>
      <c r="B2208" s="18" t="inlineStr">
        <is>
          <t>ยาที่ถูกเพิกถอนทะเบียน</t>
        </is>
      </c>
      <c r="C2208" s="18" t="inlineStr"/>
      <c r="D2208" s="18" t="inlineStr">
        <is>
          <t>Naloxone 0.4 mg IV stat</t>
        </is>
      </c>
      <c r="E2208" s="18" t="inlineStr">
        <is>
          <t>Flumazenil 0.2 mg IV stat</t>
        </is>
      </c>
      <c r="F2208" s="18" t="inlineStr">
        <is>
          <t>Vitamin K1 (Phytomenadione) 10 mg IV slow</t>
        </is>
      </c>
      <c r="G2208" s="18" t="inlineStr">
        <is>
          <t>Sodium thiosulfate 25% 50 mL IV</t>
        </is>
      </c>
      <c r="H2208" s="18" t="inlineStr">
        <is>
          <t>Calcium disodium EDTA 1 g IV</t>
        </is>
      </c>
      <c r="I2208" s="15" t="inlineStr">
        <is>
          <t>1</t>
        </is>
      </c>
      <c r="J22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8" s="18" t="inlineStr"/>
      <c r="L2208" s="18" t="inlineStr">
        <is>
          <t>General Therapeutics</t>
        </is>
      </c>
      <c r="M2208" s="18" t="inlineStr">
        <is>
          <t>Clinic</t>
        </is>
      </c>
      <c r="N2208" s="18" t="inlineStr">
        <is>
          <t>ข้อ 5 (PLE_CC1_Key_Rx20_UBU.md)</t>
        </is>
      </c>
      <c r="O2208" s="18" t="inlineStr">
        <is>
          <t>Mock</t>
        </is>
      </c>
      <c r="P2208" s="18" t="inlineStr">
        <is>
          <t>Mock Rx20 UBU</t>
        </is>
      </c>
    </row>
    <row r="2209">
      <c r="A2209" s="15" t="inlineStr">
        <is>
          <t>2230</t>
        </is>
      </c>
      <c r="B2209" s="18" t="inlineStr">
        <is>
          <t>ไมมีความผิด เพราะไมมีการขายยาเกิดขึ้น</t>
        </is>
      </c>
      <c r="C2209" s="18" t="inlineStr"/>
      <c r="D2209" s="18" t="inlineStr">
        <is>
          <t>Sodium thiosulfate 25% 50 mL IV</t>
        </is>
      </c>
      <c r="E2209" s="18" t="inlineStr">
        <is>
          <t>Calcium disodium EDTA 1 g IV</t>
        </is>
      </c>
      <c r="F2209" s="18" t="inlineStr">
        <is>
          <t>Desferrioxamine 1 g IM/IV</t>
        </is>
      </c>
      <c r="G2209" s="18" t="inlineStr">
        <is>
          <t>Dimercaprol (BAL) 3 mg/kg IM</t>
        </is>
      </c>
      <c r="H2209" s="18" t="inlineStr">
        <is>
          <t>Ethanol 10% IV infusion for Methanol poisoning</t>
        </is>
      </c>
      <c r="I2209" s="15" t="inlineStr">
        <is>
          <t>1</t>
        </is>
      </c>
      <c r="J22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9" s="18" t="inlineStr"/>
      <c r="L2209" s="18" t="inlineStr">
        <is>
          <t>General Therapeutics</t>
        </is>
      </c>
      <c r="M2209" s="18" t="inlineStr">
        <is>
          <t>Clinic</t>
        </is>
      </c>
      <c r="N2209" s="18" t="inlineStr">
        <is>
          <t>ข้อ 1 (PLE_CC1_Key_Rx20_UBU.md)</t>
        </is>
      </c>
      <c r="O2209" s="18" t="inlineStr">
        <is>
          <t>Mock</t>
        </is>
      </c>
      <c r="P2209" s="18" t="inlineStr">
        <is>
          <t>Mock Rx20 UBU</t>
        </is>
      </c>
    </row>
    <row r="2210">
      <c r="A2210" s="15" t="inlineStr">
        <is>
          <t>2231</t>
        </is>
      </c>
      <c r="B2210" s="18" t="inlineStr">
        <is>
          <t>มีความผิดฐานไม่อยูประจำที่ร้านในเวลาปฏิบัติการ</t>
        </is>
      </c>
      <c r="C2210" s="18" t="inlineStr"/>
      <c r="D2210" s="18" t="inlineStr">
        <is>
          <t>Dimercaprol (BAL) 3 mg/kg IM</t>
        </is>
      </c>
      <c r="E2210" s="18" t="inlineStr">
        <is>
          <t>Ethanol 10% IV infusion for Methanol poisoning</t>
        </is>
      </c>
      <c r="F2210" s="18" t="inlineStr">
        <is>
          <t>Fomepizole 15 mg/kg IV loading</t>
        </is>
      </c>
      <c r="G2210" s="18" t="inlineStr">
        <is>
          <t>N-acetylcysteine (NAC) IV infusion protocol</t>
        </is>
      </c>
      <c r="H2210" s="18" t="inlineStr">
        <is>
          <t>Atropine sulfate 2 mg IV Q5-10 min</t>
        </is>
      </c>
      <c r="I2210" s="15" t="inlineStr">
        <is>
          <t>1</t>
        </is>
      </c>
      <c r="J22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0" s="18" t="inlineStr"/>
      <c r="L2210" s="18" t="inlineStr">
        <is>
          <t>General Therapeutics</t>
        </is>
      </c>
      <c r="M2210" s="18" t="inlineStr">
        <is>
          <t>Clinic</t>
        </is>
      </c>
      <c r="N2210" s="18" t="inlineStr">
        <is>
          <t>ข้อ 3 (PLE_CC1_Key_Rx20_UBU.md)</t>
        </is>
      </c>
      <c r="O2210" s="18" t="inlineStr">
        <is>
          <t>Mock</t>
        </is>
      </c>
      <c r="P2210" s="18" t="inlineStr">
        <is>
          <t>Mock Rx20 UBU</t>
        </is>
      </c>
    </row>
    <row r="2211">
      <c r="A2211" s="15" t="inlineStr">
        <is>
          <t>2232</t>
        </is>
      </c>
      <c r="B2211" s="18" t="inlineStr">
        <is>
          <t>ไมมีความผิด</t>
        </is>
      </c>
      <c r="C2211" s="18" t="inlineStr"/>
      <c r="D2211" s="18" t="inlineStr">
        <is>
          <t>N-acetylcysteine (NAC) IV infusion protocol</t>
        </is>
      </c>
      <c r="E2211" s="18" t="inlineStr">
        <is>
          <t>Atropine sulfate 2 mg IV Q5-10 min</t>
        </is>
      </c>
      <c r="F2211" s="18" t="inlineStr">
        <is>
          <t>Pralidoxime (2-PAM) 1-2 g IV over 30 min</t>
        </is>
      </c>
      <c r="G2211" s="18" t="inlineStr">
        <is>
          <t>Naloxone 0.4 mg IV stat</t>
        </is>
      </c>
      <c r="H2211" s="18" t="inlineStr">
        <is>
          <t>Flumazenil 0.2 mg IV stat</t>
        </is>
      </c>
      <c r="I2211" s="15" t="inlineStr">
        <is>
          <t>1</t>
        </is>
      </c>
      <c r="J22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1" s="18" t="inlineStr"/>
      <c r="L2211" s="18" t="inlineStr">
        <is>
          <t>General Therapeutics</t>
        </is>
      </c>
      <c r="M2211" s="18" t="inlineStr">
        <is>
          <t>Clinic</t>
        </is>
      </c>
      <c r="N2211" s="18" t="inlineStr">
        <is>
          <t>ข้อ 1 (PLE_CC1_Key_Rx20_UBU.md)</t>
        </is>
      </c>
      <c r="O2211" s="18" t="inlineStr">
        <is>
          <t>Mock</t>
        </is>
      </c>
      <c r="P2211" s="18" t="inlineStr">
        <is>
          <t>Mock Rx20 UBU</t>
        </is>
      </c>
    </row>
    <row r="2212">
      <c r="A2212" s="15" t="inlineStr">
        <is>
          <t>2233</t>
        </is>
      </c>
      <c r="B2212" s="18" t="inlineStr">
        <is>
          <t>มีความผิดฐานไม่จัดทำบัญชีซื้อขายยา</t>
        </is>
      </c>
      <c r="C2212" s="18" t="inlineStr"/>
      <c r="D2212" s="18" t="inlineStr">
        <is>
          <t>Naloxone 0.4 mg IV stat</t>
        </is>
      </c>
      <c r="E2212" s="18" t="inlineStr">
        <is>
          <t>Flumazenil 0.2 mg IV stat</t>
        </is>
      </c>
      <c r="F2212" s="18" t="inlineStr">
        <is>
          <t>Vitamin K1 (Phytomenadione) 10 mg IV slow</t>
        </is>
      </c>
      <c r="G2212" s="18" t="inlineStr">
        <is>
          <t>Sodium thiosulfate 25% 50 mL IV</t>
        </is>
      </c>
      <c r="H2212" s="18" t="inlineStr">
        <is>
          <t>Calcium disodium EDTA 1 g IV</t>
        </is>
      </c>
      <c r="I2212" s="15" t="inlineStr">
        <is>
          <t>1</t>
        </is>
      </c>
      <c r="J22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12" s="18" t="inlineStr"/>
      <c r="L2212" s="18" t="inlineStr">
        <is>
          <t>General Therapeutics</t>
        </is>
      </c>
      <c r="M2212" s="18" t="inlineStr">
        <is>
          <t>Clinic</t>
        </is>
      </c>
      <c r="N2212" s="18" t="inlineStr">
        <is>
          <t>ข้อ 2 (PLE_CC1_Key_Rx20_UBU.md)</t>
        </is>
      </c>
      <c r="O2212" s="18" t="inlineStr">
        <is>
          <t>Mock</t>
        </is>
      </c>
      <c r="P2212" s="18" t="inlineStr">
        <is>
          <t>Mock Rx20 UBU</t>
        </is>
      </c>
    </row>
    <row r="2213">
      <c r="A2213" s="15" t="inlineStr">
        <is>
          <t>2234</t>
        </is>
      </c>
      <c r="B2213" s="18" t="inlineStr">
        <is>
          <t>ผิด เนื่องจากมีการโฆษณาโออวดสรรพคุณ</t>
        </is>
      </c>
      <c r="C2213" s="18" t="inlineStr"/>
      <c r="D2213" s="18" t="inlineStr">
        <is>
          <t>Sodium thiosulfate 25% 50 mL IV</t>
        </is>
      </c>
      <c r="E2213" s="18" t="inlineStr">
        <is>
          <t>Calcium disodium EDTA 1 g IV</t>
        </is>
      </c>
      <c r="F2213" s="18" t="inlineStr">
        <is>
          <t>Desferrioxamine 1 g IM/IV</t>
        </is>
      </c>
      <c r="G2213" s="18" t="inlineStr">
        <is>
          <t>Dimercaprol (BAL) 3 mg/kg IM</t>
        </is>
      </c>
      <c r="H2213" s="18" t="inlineStr">
        <is>
          <t>Ethanol 10% IV infusion for Methanol poisoning</t>
        </is>
      </c>
      <c r="I2213" s="15" t="inlineStr">
        <is>
          <t>1</t>
        </is>
      </c>
      <c r="J22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3" s="18" t="inlineStr"/>
      <c r="L2213" s="18" t="inlineStr">
        <is>
          <t>General Therapeutics</t>
        </is>
      </c>
      <c r="M2213" s="18" t="inlineStr">
        <is>
          <t>Clinic</t>
        </is>
      </c>
      <c r="N2213" s="18" t="inlineStr">
        <is>
          <t>ข้อ 2 (PLE_CC1_Key_Rx20_UBU.md)</t>
        </is>
      </c>
      <c r="O2213" s="18" t="inlineStr">
        <is>
          <t>Mock</t>
        </is>
      </c>
      <c r="P2213" s="18" t="inlineStr">
        <is>
          <t>Mock Rx20 UBU</t>
        </is>
      </c>
    </row>
    <row r="2214">
      <c r="A2214" s="15" t="inlineStr">
        <is>
          <t>2235</t>
        </is>
      </c>
      <c r="B2214" s="18" t="inlineStr">
        <is>
          <t>ผิด เนื่องจากมีการโฆษณาอันเปนเท็จ</t>
        </is>
      </c>
      <c r="C2214" s="18" t="inlineStr"/>
      <c r="D2214" s="18" t="inlineStr">
        <is>
          <t>Dimercaprol (BAL) 3 mg/kg IM</t>
        </is>
      </c>
      <c r="E2214" s="18" t="inlineStr">
        <is>
          <t>Ethanol 10% IV infusion for Methanol poisoning</t>
        </is>
      </c>
      <c r="F2214" s="18" t="inlineStr">
        <is>
          <t>Fomepizole 15 mg/kg IV loading</t>
        </is>
      </c>
      <c r="G2214" s="18" t="inlineStr">
        <is>
          <t>N-acetylcysteine (NAC) IV infusion protocol</t>
        </is>
      </c>
      <c r="H2214" s="18" t="inlineStr">
        <is>
          <t>Atropine sulfate 2 mg IV Q5-10 min</t>
        </is>
      </c>
      <c r="I2214" s="15" t="inlineStr">
        <is>
          <t>1</t>
        </is>
      </c>
      <c r="J22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4" s="18" t="inlineStr"/>
      <c r="L2214" s="18" t="inlineStr">
        <is>
          <t>General Therapeutics</t>
        </is>
      </c>
      <c r="M2214" s="18" t="inlineStr">
        <is>
          <t>Clinic</t>
        </is>
      </c>
      <c r="N2214" s="18" t="inlineStr">
        <is>
          <t>ข้อ 3 (PLE_CC1_Key_Rx20_UBU.md)</t>
        </is>
      </c>
      <c r="O2214" s="18" t="inlineStr">
        <is>
          <t>Mock</t>
        </is>
      </c>
      <c r="P2214" s="18" t="inlineStr">
        <is>
          <t>Mock Rx20 UBU</t>
        </is>
      </c>
    </row>
    <row r="2215">
      <c r="A2215" s="15" t="inlineStr">
        <is>
          <t>2236</t>
        </is>
      </c>
      <c r="B2215" s="18" t="inlineStr">
        <is>
          <t>ผิด เนื่องจากมีการโฆษณาที่ไดรับการยกยองโดยบุคคลอื่น</t>
        </is>
      </c>
      <c r="C2215" s="18" t="inlineStr"/>
      <c r="D2215" s="18" t="inlineStr">
        <is>
          <t>N-acetylcysteine (NAC) IV infusion protocol</t>
        </is>
      </c>
      <c r="E2215" s="18" t="inlineStr">
        <is>
          <t>Atropine sulfate 2 mg IV Q5-10 min</t>
        </is>
      </c>
      <c r="F2215" s="18" t="inlineStr">
        <is>
          <t>Pralidoxime (2-PAM) 1-2 g IV over 30 min</t>
        </is>
      </c>
      <c r="G2215" s="18" t="inlineStr">
        <is>
          <t>Naloxone 0.4 mg IV stat</t>
        </is>
      </c>
      <c r="H2215" s="18" t="inlineStr">
        <is>
          <t>Flumazenil 0.2 mg IV stat</t>
        </is>
      </c>
      <c r="I2215" s="15" t="inlineStr">
        <is>
          <t>1</t>
        </is>
      </c>
      <c r="J22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5" s="18" t="inlineStr"/>
      <c r="L2215" s="18" t="inlineStr">
        <is>
          <t>General Therapeutics</t>
        </is>
      </c>
      <c r="M2215" s="18" t="inlineStr">
        <is>
          <t>Clinic</t>
        </is>
      </c>
      <c r="N2215" s="18" t="inlineStr">
        <is>
          <t>ข้อ 4 (PLE_CC1_Key_Rx20_UBU.md)</t>
        </is>
      </c>
      <c r="O2215" s="18" t="inlineStr">
        <is>
          <t>Mock</t>
        </is>
      </c>
      <c r="P2215" s="18" t="inlineStr">
        <is>
          <t>Mock Rx20 UBU</t>
        </is>
      </c>
    </row>
    <row r="2216">
      <c r="A2216" s="15" t="inlineStr">
        <is>
          <t>2237</t>
        </is>
      </c>
      <c r="B2216" s="18" t="inlineStr">
        <is>
          <t>ผิด เนื่องจากมีการโฆษณาสรรพคุณของโรคที่รัฐมนตรีประกาศ</t>
        </is>
      </c>
      <c r="C2216" s="18" t="inlineStr"/>
      <c r="D2216" s="18" t="inlineStr">
        <is>
          <t>Naloxone 0.4 mg IV stat</t>
        </is>
      </c>
      <c r="E2216" s="18" t="inlineStr">
        <is>
          <t>Flumazenil 0.2 mg IV stat</t>
        </is>
      </c>
      <c r="F2216" s="18" t="inlineStr">
        <is>
          <t>Vitamin K1 (Phytomenadione) 10 mg IV slow</t>
        </is>
      </c>
      <c r="G2216" s="18" t="inlineStr">
        <is>
          <t>Sodium thiosulfate 25% 50 mL IV</t>
        </is>
      </c>
      <c r="H2216" s="18" t="inlineStr">
        <is>
          <t>Calcium disodium EDTA 1 g IV</t>
        </is>
      </c>
      <c r="I2216" s="15" t="inlineStr">
        <is>
          <t>4</t>
        </is>
      </c>
      <c r="J2216" s="18"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6" s="18" t="inlineStr"/>
      <c r="L2216" s="18" t="inlineStr">
        <is>
          <t>General Therapeutics</t>
        </is>
      </c>
      <c r="M2216" s="18" t="inlineStr">
        <is>
          <t>Clinic</t>
        </is>
      </c>
      <c r="N2216" s="18" t="inlineStr">
        <is>
          <t>ข้อ 5 (PLE_CC1_Key_Rx20_UBU.md)</t>
        </is>
      </c>
      <c r="O2216" s="18" t="inlineStr">
        <is>
          <t>Mock</t>
        </is>
      </c>
      <c r="P2216" s="18" t="inlineStr">
        <is>
          <t>Mock Rx20 UBU</t>
        </is>
      </c>
    </row>
    <row r="2217">
      <c r="A2217" s="15" t="inlineStr">
        <is>
          <t>2238</t>
        </is>
      </c>
      <c r="B2217" s="18" t="inlineStr">
        <is>
          <t>กรณีที่พบเพียงนาย ค. อยู่ในราน แต่ไม่พบนาย ก. และนาย ข. ใครถือเป็นผู้ระทำความผิด</t>
        </is>
      </c>
      <c r="C2217" s="18" t="inlineStr"/>
      <c r="D2217" s="18" t="inlineStr">
        <is>
          <t>Sodium thiosulfate 25% 50 mL IV</t>
        </is>
      </c>
      <c r="E2217" s="18" t="inlineStr">
        <is>
          <t>Calcium disodium EDTA 1 g IV</t>
        </is>
      </c>
      <c r="F2217" s="18" t="inlineStr">
        <is>
          <t>Desferrioxamine 1 g IM/IV</t>
        </is>
      </c>
      <c r="G2217" s="18" t="inlineStr">
        <is>
          <t>Dimercaprol (BAL) 3 mg/kg IM</t>
        </is>
      </c>
      <c r="H2217" s="18" t="inlineStr">
        <is>
          <t>Ethanol 10% IV infusion for Methanol poisoning</t>
        </is>
      </c>
      <c r="I2217" s="15" t="inlineStr">
        <is>
          <t>1</t>
        </is>
      </c>
      <c r="J22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7" s="18" t="inlineStr"/>
      <c r="L2217" s="18" t="inlineStr">
        <is>
          <t>General Therapeutics</t>
        </is>
      </c>
      <c r="M2217" s="18" t="inlineStr">
        <is>
          <t>Clinic</t>
        </is>
      </c>
      <c r="N2217" s="18" t="inlineStr">
        <is>
          <t>ข้อ 11 (PLE_CC1_Key_Rx20_UBU.md)</t>
        </is>
      </c>
      <c r="O2217" s="18" t="inlineStr">
        <is>
          <t>Mock</t>
        </is>
      </c>
      <c r="P2217" s="18" t="inlineStr">
        <is>
          <t>Mock Rx20 UBU</t>
        </is>
      </c>
    </row>
    <row r="2218">
      <c r="A2218" s="15" t="inlineStr">
        <is>
          <t>2239</t>
        </is>
      </c>
      <c r="B2218" s="18" t="inlineStr">
        <is>
          <t>ไม่มีใครกระทำผิด</t>
        </is>
      </c>
      <c r="C2218" s="18" t="inlineStr"/>
      <c r="D2218" s="18" t="inlineStr">
        <is>
          <t>Dimercaprol (BAL) 3 mg/kg IM</t>
        </is>
      </c>
      <c r="E2218" s="18" t="inlineStr">
        <is>
          <t>Ethanol 10% IV infusion for Methanol poisoning</t>
        </is>
      </c>
      <c r="F2218" s="18" t="inlineStr">
        <is>
          <t>Fomepizole 15 mg/kg IV loading</t>
        </is>
      </c>
      <c r="G2218" s="18" t="inlineStr">
        <is>
          <t>N-acetylcysteine (NAC) IV infusion protocol</t>
        </is>
      </c>
      <c r="H2218" s="18" t="inlineStr">
        <is>
          <t>Atropine sulfate 2 mg IV Q5-10 min</t>
        </is>
      </c>
      <c r="I2218" s="15" t="inlineStr">
        <is>
          <t>1</t>
        </is>
      </c>
      <c r="J22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8" s="18" t="inlineStr"/>
      <c r="L2218" s="18" t="inlineStr">
        <is>
          <t>General Therapeutics</t>
        </is>
      </c>
      <c r="M2218" s="18" t="inlineStr">
        <is>
          <t>Clinic</t>
        </is>
      </c>
      <c r="N2218" s="18" t="inlineStr">
        <is>
          <t>ข้อ 1 (PLE_CC1_Key_Rx20_UBU.md)</t>
        </is>
      </c>
      <c r="O2218" s="18" t="inlineStr">
        <is>
          <t>Mock</t>
        </is>
      </c>
      <c r="P2218" s="18" t="inlineStr">
        <is>
          <t>Mock Rx20 UBU</t>
        </is>
      </c>
    </row>
    <row r="2219">
      <c r="A2219" s="15" t="inlineStr">
        <is>
          <t>2240</t>
        </is>
      </c>
      <c r="B2219" s="18" t="inlineStr">
        <is>
          <t>นาย ก. ซึ่งผู้รับอนุญาตผิด เนื่องจากไม่อยู่ตลอดเวลาที่ร้านเปิด</t>
        </is>
      </c>
      <c r="C2219" s="18" t="inlineStr"/>
      <c r="D2219" s="18" t="inlineStr">
        <is>
          <t>N-acetylcysteine (NAC) IV infusion protocol</t>
        </is>
      </c>
      <c r="E2219" s="18" t="inlineStr">
        <is>
          <t>Atropine sulfate 2 mg IV Q5-10 min</t>
        </is>
      </c>
      <c r="F2219" s="18" t="inlineStr">
        <is>
          <t>Pralidoxime (2-PAM) 1-2 g IV over 30 min</t>
        </is>
      </c>
      <c r="G2219" s="18" t="inlineStr">
        <is>
          <t>Naloxone 0.4 mg IV stat</t>
        </is>
      </c>
      <c r="H2219" s="18" t="inlineStr">
        <is>
          <t>Flumazenil 0.2 mg IV stat</t>
        </is>
      </c>
      <c r="I2219" s="15" t="inlineStr">
        <is>
          <t>1</t>
        </is>
      </c>
      <c r="J221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9" s="18" t="inlineStr"/>
      <c r="L2219" s="18" t="inlineStr">
        <is>
          <t>General Therapeutics</t>
        </is>
      </c>
      <c r="M2219" s="18" t="inlineStr">
        <is>
          <t>Clinic</t>
        </is>
      </c>
      <c r="N2219" s="18" t="inlineStr">
        <is>
          <t>ข้อ 2 (PLE_CC1_Key_Rx20_UBU.md)</t>
        </is>
      </c>
      <c r="O2219" s="18" t="inlineStr">
        <is>
          <t>Mock</t>
        </is>
      </c>
      <c r="P2219" s="18" t="inlineStr">
        <is>
          <t>Mock Rx20 UBU</t>
        </is>
      </c>
    </row>
    <row r="2220">
      <c r="A2220" s="15" t="inlineStr">
        <is>
          <t>2241</t>
        </is>
      </c>
      <c r="B2220" s="18" t="inlineStr">
        <is>
          <t>นาย ข. ซึ่งเป็นเภสัชผู้มีหน้าที่ปฏิบัติการผิด เนื่องจากไม่อยูประจำรานตลอดระยะเวลาที่เปิดทำการ</t>
        </is>
      </c>
      <c r="C2220" s="18" t="inlineStr"/>
      <c r="D2220" s="18" t="inlineStr">
        <is>
          <t>พ.ร.บ. วิชาชีพเภสัชกรรม พ.ศ. 2537 และข้อบังคับจรรยาบรรณวิชาชีพ</t>
        </is>
      </c>
      <c r="E2220" s="18" t="inlineStr">
        <is>
          <t>พ.ร.บ. ผลิตภัณฑ์สมุนไพร พ.ศ. 2562</t>
        </is>
      </c>
      <c r="F2220" s="18" t="inlineStr">
        <is>
          <t>พ.ร.บ. เครื่องสำอาง พ.ศ. 2558</t>
        </is>
      </c>
      <c r="G2220" s="18" t="inlineStr">
        <is>
          <t>พ.ร.บ. หลักประกันสุขภาพแห่งชาติ พ.ศ. 2545</t>
        </is>
      </c>
      <c r="H2220" s="18" t="inlineStr">
        <is>
          <t>การปฏิบัติทางเภสัชกรรมชุมชน (Good Pharmacy Practice: GPP)</t>
        </is>
      </c>
      <c r="I2220" s="15" t="inlineStr">
        <is>
          <t>1</t>
        </is>
      </c>
      <c r="J2220"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0" s="18" t="inlineStr"/>
      <c r="L2220" s="18" t="inlineStr">
        <is>
          <t>Pharmacy Laws &amp; Ethics</t>
        </is>
      </c>
      <c r="M2220" s="18" t="inlineStr">
        <is>
          <t>SAP</t>
        </is>
      </c>
      <c r="N2220" s="18" t="inlineStr">
        <is>
          <t>ข้อ 3 (PLE_CC1_Key_Rx20_UBU.md)</t>
        </is>
      </c>
      <c r="O2220" s="18" t="inlineStr">
        <is>
          <t>Mock</t>
        </is>
      </c>
      <c r="P2220" s="18" t="inlineStr">
        <is>
          <t>Mock Rx20 UBU</t>
        </is>
      </c>
    </row>
    <row r="2221">
      <c r="A2221" s="15" t="inlineStr">
        <is>
          <t>2242</t>
        </is>
      </c>
      <c r="B2221" s="18" t="inlineStr">
        <is>
          <t>ผิดทั้งนาย ก. และนาย ข.</t>
        </is>
      </c>
      <c r="C2221" s="18" t="inlineStr"/>
      <c r="D2221" s="18" t="inlineStr">
        <is>
          <t>Sodium thiosulfate 25% 50 mL IV</t>
        </is>
      </c>
      <c r="E2221" s="18" t="inlineStr">
        <is>
          <t>Calcium disodium EDTA 1 g IV</t>
        </is>
      </c>
      <c r="F2221" s="18" t="inlineStr">
        <is>
          <t>Desferrioxamine 1 g IM/IV</t>
        </is>
      </c>
      <c r="G2221" s="18" t="inlineStr">
        <is>
          <t>Dimercaprol (BAL) 3 mg/kg IM</t>
        </is>
      </c>
      <c r="H2221" s="18" t="inlineStr">
        <is>
          <t>Ethanol 10% IV infusion for Methanol poisoning</t>
        </is>
      </c>
      <c r="I2221" s="15" t="inlineStr">
        <is>
          <t>2</t>
        </is>
      </c>
      <c r="J2221" s="18"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1" s="18" t="inlineStr"/>
      <c r="L2221" s="18" t="inlineStr">
        <is>
          <t>General Therapeutics</t>
        </is>
      </c>
      <c r="M2221" s="18" t="inlineStr">
        <is>
          <t>Clinic</t>
        </is>
      </c>
      <c r="N2221" s="18" t="inlineStr">
        <is>
          <t>ข้อ 5 (PLE_CC1_Key_Rx20_UBU.md)</t>
        </is>
      </c>
      <c r="O2221" s="18" t="inlineStr">
        <is>
          <t>Mock</t>
        </is>
      </c>
      <c r="P2221" s="18" t="inlineStr">
        <is>
          <t>Mock Rx20 UBU</t>
        </is>
      </c>
    </row>
    <row r="2222">
      <c r="A2222" s="15" t="inlineStr">
        <is>
          <t>2243</t>
        </is>
      </c>
      <c r="B2222" s="18" t="inlineStr">
        <is>
          <t>ผู้ป่วยเป็นอะไร</t>
        </is>
      </c>
      <c r="C2222" s="18" t="inlineStr"/>
      <c r="D2222" s="18" t="inlineStr">
        <is>
          <t>Dimercaprol (BAL) 3 mg/kg IM</t>
        </is>
      </c>
      <c r="E2222" s="18" t="inlineStr">
        <is>
          <t>Ethanol 10% IV infusion for Methanol poisoning</t>
        </is>
      </c>
      <c r="F2222" s="18" t="inlineStr">
        <is>
          <t>Fomepizole 15 mg/kg IV loading</t>
        </is>
      </c>
      <c r="G2222" s="18" t="inlineStr">
        <is>
          <t>N-acetylcysteine (NAC) IV infusion protocol</t>
        </is>
      </c>
      <c r="H2222" s="18" t="inlineStr">
        <is>
          <t>Atropine sulfate 2 mg IV Q5-10 min</t>
        </is>
      </c>
      <c r="I2222" s="15" t="inlineStr">
        <is>
          <t>1</t>
        </is>
      </c>
      <c r="J22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2" s="18" t="inlineStr"/>
      <c r="L2222" s="18" t="inlineStr">
        <is>
          <t>General Therapeutics</t>
        </is>
      </c>
      <c r="M2222" s="18" t="inlineStr">
        <is>
          <t>Clinic</t>
        </is>
      </c>
      <c r="N2222" s="18" t="inlineStr">
        <is>
          <t>ข้อ 1 (PLE_CC1_Key_Rx20_UBU.md)</t>
        </is>
      </c>
      <c r="O2222" s="18" t="inlineStr">
        <is>
          <t>Mock</t>
        </is>
      </c>
      <c r="P2222" s="18" t="inlineStr">
        <is>
          <t>Mock Rx20 UBU</t>
        </is>
      </c>
    </row>
    <row r="2223">
      <c r="A2223" s="15" t="inlineStr">
        <is>
          <t>2244</t>
        </is>
      </c>
      <c r="B2223" s="18" t="inlineStr">
        <is>
          <t>MMR, JE, DTP</t>
        </is>
      </c>
      <c r="C2223" s="18" t="inlineStr"/>
      <c r="D2223" s="18" t="inlineStr">
        <is>
          <t>N-acetylcysteine (NAC) IV infusion protocol</t>
        </is>
      </c>
      <c r="E2223" s="18" t="inlineStr">
        <is>
          <t>Atropine sulfate 2 mg IV Q5-10 min</t>
        </is>
      </c>
      <c r="F2223" s="18" t="inlineStr">
        <is>
          <t>Pralidoxime (2-PAM) 1-2 g IV over 30 min</t>
        </is>
      </c>
      <c r="G2223" s="18" t="inlineStr">
        <is>
          <t>Naloxone 0.4 mg IV stat</t>
        </is>
      </c>
      <c r="H2223" s="18" t="inlineStr">
        <is>
          <t>Flumazenil 0.2 mg IV stat</t>
        </is>
      </c>
      <c r="I2223" s="15" t="inlineStr">
        <is>
          <t>2</t>
        </is>
      </c>
      <c r="J2223" s="18"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23" s="18" t="inlineStr"/>
      <c r="L2223" s="18" t="inlineStr">
        <is>
          <t>General Therapeutics</t>
        </is>
      </c>
      <c r="M2223" s="18" t="inlineStr">
        <is>
          <t>Clinic</t>
        </is>
      </c>
      <c r="N2223" s="18" t="inlineStr">
        <is>
          <t>ข้อ 5 (PLE_CC1_Key_Rx20_UBU.md)</t>
        </is>
      </c>
      <c r="O2223" s="18" t="inlineStr">
        <is>
          <t>Mock</t>
        </is>
      </c>
      <c r="P2223" s="18" t="inlineStr">
        <is>
          <t>Mock Rx20 UBU</t>
        </is>
      </c>
    </row>
    <row r="2224">
      <c r="A2224" s="15" t="inlineStr">
        <is>
          <t>2245</t>
        </is>
      </c>
      <c r="B2224" s="18" t="inlineStr">
        <is>
          <t>ฉีดให้เฉพาะเชื้อตาย</t>
        </is>
      </c>
      <c r="C2224" s="18" t="inlineStr"/>
      <c r="D2224" s="18" t="inlineStr">
        <is>
          <t>Naloxone 0.4 mg IV stat</t>
        </is>
      </c>
      <c r="E2224" s="18" t="inlineStr">
        <is>
          <t>Flumazenil 0.2 mg IV stat</t>
        </is>
      </c>
      <c r="F2224" s="18" t="inlineStr">
        <is>
          <t>Vitamin K1 (Phytomenadione) 10 mg IV slow</t>
        </is>
      </c>
      <c r="G2224" s="18" t="inlineStr">
        <is>
          <t>Sodium thiosulfate 25% 50 mL IV</t>
        </is>
      </c>
      <c r="H2224" s="18" t="inlineStr">
        <is>
          <t>Calcium disodium EDTA 1 g IV</t>
        </is>
      </c>
      <c r="I2224" s="15" t="inlineStr">
        <is>
          <t>1</t>
        </is>
      </c>
      <c r="J222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4" s="18" t="inlineStr"/>
      <c r="L2224" s="18" t="inlineStr">
        <is>
          <t>General Therapeutics</t>
        </is>
      </c>
      <c r="M2224" s="18" t="inlineStr">
        <is>
          <t>Clinic</t>
        </is>
      </c>
      <c r="N2224" s="18" t="inlineStr">
        <is>
          <t>ข้อ 2 (PLE_CC1_Key_Rx20_UBU.md)</t>
        </is>
      </c>
      <c r="O2224" s="18" t="inlineStr">
        <is>
          <t>Mock</t>
        </is>
      </c>
      <c r="P2224" s="18" t="inlineStr">
        <is>
          <t>Mock Rx20 UBU</t>
        </is>
      </c>
    </row>
    <row r="2225">
      <c r="A2225" s="15" t="inlineStr">
        <is>
          <t>2246</t>
        </is>
      </c>
      <c r="B2225" s="18" t="inlineStr">
        <is>
          <t>ไม่ฉีดให้ เนื่องจากได้รับ/สร้างภูมิแล้ว</t>
        </is>
      </c>
      <c r="C2225" s="18" t="inlineStr"/>
      <c r="D2225" s="18" t="inlineStr">
        <is>
          <t>Sodium thiosulfate 25% 50 mL IV</t>
        </is>
      </c>
      <c r="E2225" s="18" t="inlineStr">
        <is>
          <t>Calcium disodium EDTA 1 g IV</t>
        </is>
      </c>
      <c r="F2225" s="18" t="inlineStr">
        <is>
          <t>Desferrioxamine 1 g IM/IV</t>
        </is>
      </c>
      <c r="G2225" s="18" t="inlineStr">
        <is>
          <t>Dimercaprol (BAL) 3 mg/kg IM</t>
        </is>
      </c>
      <c r="H2225" s="18" t="inlineStr">
        <is>
          <t>Ethanol 10% IV infusion for Methanol poisoning</t>
        </is>
      </c>
      <c r="I2225" s="15" t="inlineStr">
        <is>
          <t>1</t>
        </is>
      </c>
      <c r="J222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5" s="18" t="inlineStr"/>
      <c r="L2225" s="18" t="inlineStr">
        <is>
          <t>General Therapeutics</t>
        </is>
      </c>
      <c r="M2225" s="18" t="inlineStr">
        <is>
          <t>Clinic</t>
        </is>
      </c>
      <c r="N2225" s="18" t="inlineStr">
        <is>
          <t>ข้อ 3 (PLE_CC1_Key_Rx20_UBU.md)</t>
        </is>
      </c>
      <c r="O2225" s="18" t="inlineStr">
        <is>
          <t>Mock</t>
        </is>
      </c>
      <c r="P2225" s="18" t="inlineStr">
        <is>
          <t>Mock Rx20 UBU</t>
        </is>
      </c>
    </row>
    <row r="2226">
      <c r="A2226" s="15" t="inlineStr">
        <is>
          <t>2247</t>
        </is>
      </c>
      <c r="B2226" s="18" t="inlineStr">
        <is>
          <t>ไม่ฉีดให้ เนื่องจากมีไข้สูง</t>
        </is>
      </c>
      <c r="C2226" s="18" t="inlineStr"/>
      <c r="D2226" s="18" t="inlineStr">
        <is>
          <t>Dimercaprol (BAL) 3 mg/kg IM</t>
        </is>
      </c>
      <c r="E2226" s="18" t="inlineStr">
        <is>
          <t>Ethanol 10% IV infusion for Methanol poisoning</t>
        </is>
      </c>
      <c r="F2226" s="18" t="inlineStr">
        <is>
          <t>Fomepizole 15 mg/kg IV loading</t>
        </is>
      </c>
      <c r="G2226" s="18" t="inlineStr">
        <is>
          <t>N-acetylcysteine (NAC) IV infusion protocol</t>
        </is>
      </c>
      <c r="H2226" s="18" t="inlineStr">
        <is>
          <t>Atropine sulfate 2 mg IV Q5-10 min</t>
        </is>
      </c>
      <c r="I2226" s="15" t="inlineStr">
        <is>
          <t>1</t>
        </is>
      </c>
      <c r="J22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6" s="18" t="inlineStr"/>
      <c r="L2226" s="18" t="inlineStr">
        <is>
          <t>General Therapeutics</t>
        </is>
      </c>
      <c r="M2226" s="18" t="inlineStr">
        <is>
          <t>Clinic</t>
        </is>
      </c>
      <c r="N2226" s="18" t="inlineStr">
        <is>
          <t>ข้อ 4 (PLE_CC1_Key_Rx20_UBU.md)</t>
        </is>
      </c>
      <c r="O2226" s="18" t="inlineStr">
        <is>
          <t>Mock</t>
        </is>
      </c>
      <c r="P2226" s="18" t="inlineStr">
        <is>
          <t>Mock Rx20 UBU</t>
        </is>
      </c>
    </row>
    <row r="2227">
      <c r="A2227" s="15" t="inlineStr">
        <is>
          <t>2248</t>
        </is>
      </c>
      <c r="B2227" s="18" t="inlineStr">
        <is>
          <t>Immunoglobulin M, Immunoglobulin G</t>
        </is>
      </c>
      <c r="C2227" s="18" t="inlineStr"/>
      <c r="D2227" s="18" t="inlineStr">
        <is>
          <t>N-acetylcysteine (NAC) IV infusion protocol</t>
        </is>
      </c>
      <c r="E2227" s="18" t="inlineStr">
        <is>
          <t>Atropine sulfate 2 mg IV Q5-10 min</t>
        </is>
      </c>
      <c r="F2227" s="18" t="inlineStr">
        <is>
          <t>Pralidoxime (2-PAM) 1-2 g IV over 30 min</t>
        </is>
      </c>
      <c r="G2227" s="18" t="inlineStr">
        <is>
          <t>Naloxone 0.4 mg IV stat</t>
        </is>
      </c>
      <c r="H2227" s="18" t="inlineStr">
        <is>
          <t>Flumazenil 0.2 mg IV stat</t>
        </is>
      </c>
      <c r="I2227" s="15" t="inlineStr">
        <is>
          <t>1</t>
        </is>
      </c>
      <c r="J22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27" s="18" t="inlineStr"/>
      <c r="L2227" s="18" t="inlineStr">
        <is>
          <t>General Therapeutics</t>
        </is>
      </c>
      <c r="M2227" s="18" t="inlineStr">
        <is>
          <t>Clinic</t>
        </is>
      </c>
      <c r="N2227" s="18" t="inlineStr">
        <is>
          <t>ข้อ 1 (PLE_CC1_Key_Rx20_UBU.md)</t>
        </is>
      </c>
      <c r="O2227" s="18" t="inlineStr">
        <is>
          <t>Mock</t>
        </is>
      </c>
      <c r="P2227" s="18" t="inlineStr">
        <is>
          <t>Mock Rx20 UBU</t>
        </is>
      </c>
    </row>
    <row r="2228">
      <c r="A2228" s="15" t="inlineStr">
        <is>
          <t>2249</t>
        </is>
      </c>
      <c r="B2228" s="18" t="inlineStr">
        <is>
          <t>Immunoglobulin G, Immunoglobulin M</t>
        </is>
      </c>
      <c r="C2228" s="18" t="inlineStr"/>
      <c r="D2228" s="18" t="inlineStr">
        <is>
          <t>Naloxone 0.4 mg IV stat</t>
        </is>
      </c>
      <c r="E2228" s="18" t="inlineStr">
        <is>
          <t>Flumazenil 0.2 mg IV stat</t>
        </is>
      </c>
      <c r="F2228" s="18" t="inlineStr">
        <is>
          <t>Vitamin K1 (Phytomenadione) 10 mg IV slow</t>
        </is>
      </c>
      <c r="G2228" s="18" t="inlineStr">
        <is>
          <t>Sodium thiosulfate 25% 50 mL IV</t>
        </is>
      </c>
      <c r="H2228" s="18" t="inlineStr">
        <is>
          <t>Calcium disodium EDTA 1 g IV</t>
        </is>
      </c>
      <c r="I2228" s="15" t="inlineStr">
        <is>
          <t>1</t>
        </is>
      </c>
      <c r="J22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8" s="18" t="inlineStr"/>
      <c r="L2228" s="18" t="inlineStr">
        <is>
          <t>General Therapeutics</t>
        </is>
      </c>
      <c r="M2228" s="18" t="inlineStr">
        <is>
          <t>Clinic</t>
        </is>
      </c>
      <c r="N2228" s="18" t="inlineStr">
        <is>
          <t>ข้อ 2 (PLE_CC1_Key_Rx20_UBU.md)</t>
        </is>
      </c>
      <c r="O2228" s="18" t="inlineStr">
        <is>
          <t>Mock</t>
        </is>
      </c>
      <c r="P2228" s="18" t="inlineStr">
        <is>
          <t>Mock Rx20 UBU</t>
        </is>
      </c>
    </row>
    <row r="2229">
      <c r="A2229" s="15" t="inlineStr">
        <is>
          <t>2250</t>
        </is>
      </c>
      <c r="B2229" s="18" t="inlineStr">
        <is>
          <t>Immunoglobulin M, Immunoglobulin A</t>
        </is>
      </c>
      <c r="C2229" s="18" t="inlineStr"/>
      <c r="D2229" s="18" t="inlineStr">
        <is>
          <t>Sodium thiosulfate 25% 50 mL IV</t>
        </is>
      </c>
      <c r="E2229" s="18" t="inlineStr">
        <is>
          <t>Calcium disodium EDTA 1 g IV</t>
        </is>
      </c>
      <c r="F2229" s="18" t="inlineStr">
        <is>
          <t>Desferrioxamine 1 g IM/IV</t>
        </is>
      </c>
      <c r="G2229" s="18" t="inlineStr">
        <is>
          <t>Dimercaprol (BAL) 3 mg/kg IM</t>
        </is>
      </c>
      <c r="H2229" s="18" t="inlineStr">
        <is>
          <t>Ethanol 10% IV infusion for Methanol poisoning</t>
        </is>
      </c>
      <c r="I2229" s="15" t="inlineStr">
        <is>
          <t>1</t>
        </is>
      </c>
      <c r="J22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9" s="18" t="inlineStr"/>
      <c r="L2229" s="18" t="inlineStr">
        <is>
          <t>General Therapeutics</t>
        </is>
      </c>
      <c r="M2229" s="18" t="inlineStr">
        <is>
          <t>Clinic</t>
        </is>
      </c>
      <c r="N2229" s="18" t="inlineStr">
        <is>
          <t>ข้อ 3 (PLE_CC1_Key_Rx20_UBU.md)</t>
        </is>
      </c>
      <c r="O2229" s="18" t="inlineStr">
        <is>
          <t>Mock</t>
        </is>
      </c>
      <c r="P2229" s="18" t="inlineStr">
        <is>
          <t>Mock Rx20 UBU</t>
        </is>
      </c>
    </row>
    <row r="2230">
      <c r="A2230" s="15" t="inlineStr">
        <is>
          <t>2251</t>
        </is>
      </c>
      <c r="B2230" s="18" t="inlineStr">
        <is>
          <t>Immunoglobulin G, Immunoglobulin E</t>
        </is>
      </c>
      <c r="C2230" s="18" t="inlineStr"/>
      <c r="D2230" s="18" t="inlineStr">
        <is>
          <t>Dimercaprol (BAL) 3 mg/kg IM</t>
        </is>
      </c>
      <c r="E2230" s="18" t="inlineStr">
        <is>
          <t>Ethanol 10% IV infusion for Methanol poisoning</t>
        </is>
      </c>
      <c r="F2230" s="18" t="inlineStr">
        <is>
          <t>Fomepizole 15 mg/kg IV loading</t>
        </is>
      </c>
      <c r="G2230" s="18" t="inlineStr">
        <is>
          <t>N-acetylcysteine (NAC) IV infusion protocol</t>
        </is>
      </c>
      <c r="H2230" s="18" t="inlineStr">
        <is>
          <t>Atropine sulfate 2 mg IV Q5-10 min</t>
        </is>
      </c>
      <c r="I2230" s="15" t="inlineStr">
        <is>
          <t>1</t>
        </is>
      </c>
      <c r="J22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0" s="18" t="inlineStr"/>
      <c r="L2230" s="18" t="inlineStr">
        <is>
          <t>General Therapeutics</t>
        </is>
      </c>
      <c r="M2230" s="18" t="inlineStr">
        <is>
          <t>Clinic</t>
        </is>
      </c>
      <c r="N2230" s="18" t="inlineStr">
        <is>
          <t>ข้อ 4 (PLE_CC1_Key_Rx20_UBU.md)</t>
        </is>
      </c>
      <c r="O2230" s="18" t="inlineStr">
        <is>
          <t>Mock</t>
        </is>
      </c>
      <c r="P2230" s="18" t="inlineStr">
        <is>
          <t>Mock Rx20 UBU</t>
        </is>
      </c>
    </row>
    <row r="2231">
      <c r="A2231" s="15" t="inlineStr">
        <is>
          <t>2252</t>
        </is>
      </c>
      <c r="B2231" s="18" t="inlineStr">
        <is>
          <t>Immunoglobulin A, Immunoglobulin G</t>
        </is>
      </c>
      <c r="C2231" s="18" t="inlineStr"/>
      <c r="D2231" s="18" t="inlineStr">
        <is>
          <t>N-acetylcysteine (NAC) IV infusion protocol</t>
        </is>
      </c>
      <c r="E2231" s="18" t="inlineStr">
        <is>
          <t>Atropine sulfate 2 mg IV Q5-10 min</t>
        </is>
      </c>
      <c r="F2231" s="18" t="inlineStr">
        <is>
          <t>Pralidoxime (2-PAM) 1-2 g IV over 30 min</t>
        </is>
      </c>
      <c r="G2231" s="18" t="inlineStr">
        <is>
          <t>Naloxone 0.4 mg IV stat</t>
        </is>
      </c>
      <c r="H2231" s="18" t="inlineStr">
        <is>
          <t>Flumazenil 0.2 mg IV stat</t>
        </is>
      </c>
      <c r="I2231" s="15" t="inlineStr">
        <is>
          <t>2</t>
        </is>
      </c>
      <c r="J2231" s="18"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31" s="18" t="inlineStr"/>
      <c r="L2231" s="18" t="inlineStr">
        <is>
          <t>General Therapeutics</t>
        </is>
      </c>
      <c r="M2231" s="18" t="inlineStr">
        <is>
          <t>Clinic</t>
        </is>
      </c>
      <c r="N2231" s="18" t="inlineStr">
        <is>
          <t>ข้อ 5 (PLE_CC1_Key_Rx20_UBU.md)</t>
        </is>
      </c>
      <c r="O2231" s="18" t="inlineStr">
        <is>
          <t>Mock</t>
        </is>
      </c>
      <c r="P2231" s="18" t="inlineStr">
        <is>
          <t>Mock Rx20 UBU</t>
        </is>
      </c>
    </row>
    <row r="2232">
      <c r="A2232" s="15" t="inlineStr">
        <is>
          <t>2253</t>
        </is>
      </c>
      <c r="B2232" s="18" t="inlineStr">
        <is>
          <t>ทำให้ปราศจากเชื้อโดยใช้เทคนิคปลอดเชื้อ (Aseptic technique)</t>
        </is>
      </c>
      <c r="C2232" s="18" t="inlineStr"/>
      <c r="D2232" s="18" t="inlineStr">
        <is>
          <t>Isotonic Sodium Chloride 0.9% Osmotic Adjustment</t>
        </is>
      </c>
      <c r="E2232" s="18" t="inlineStr">
        <is>
          <t>Moist Heat Steam Sterilization (Autoclave 121 C, 15 psi, 15 min)</t>
        </is>
      </c>
      <c r="F2232" s="18" t="inlineStr">
        <is>
          <t>Dry Heat Sterilization (Hot Air Oven 160-170 C, 2 hours)</t>
        </is>
      </c>
      <c r="G2232" s="18" t="inlineStr">
        <is>
          <t>Membrane Filtration Sterilization (0.22 micron pore size)</t>
        </is>
      </c>
      <c r="H2232" s="18" t="inlineStr">
        <is>
          <t>Ethylene Oxide Gas Sterilization (ETO)</t>
        </is>
      </c>
      <c r="I2232" s="15" t="inlineStr">
        <is>
          <t>1</t>
        </is>
      </c>
      <c r="J2232" s="18"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Products โดยมี clinical efficacy สูงสุดในการรักษาและมี safety profile ที่เหมาะสม
USP/NF, British Pharmacopoeia (BP) และ Remington: The Science and Practice of Pharmacy (หัวข้อ Sterile Products)
🔍 ข้ออื่นผิดเพราะอะไร:
• ข้อ ข. (Moist Heat Steam Sterilization (Autoclave 121 C, 15 psi, 15 min)): ข้อนี้ไม่ใช่คำตอบที่ถูกต้องสำหรับภาวะ Sterile Products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Products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2" s="18" t="inlineStr"/>
      <c r="L2232" s="18" t="inlineStr">
        <is>
          <t>Sterile Products</t>
        </is>
      </c>
      <c r="M2232" s="18" t="inlineStr">
        <is>
          <t>Product</t>
        </is>
      </c>
      <c r="N2232" s="18" t="inlineStr">
        <is>
          <t>ข้อ 1 (PLE_CC1_Key_Rx20_UBU.md)</t>
        </is>
      </c>
      <c r="O2232" s="18" t="inlineStr">
        <is>
          <t>Mock</t>
        </is>
      </c>
      <c r="P2232" s="18" t="inlineStr">
        <is>
          <t>Mock Rx20 UBU</t>
        </is>
      </c>
    </row>
    <row r="2233">
      <c r="A2233" s="15" t="inlineStr">
        <is>
          <t>2254</t>
        </is>
      </c>
      <c r="B2233" s="18" t="inlineStr">
        <is>
          <t>ทำให้ปราศจากเชื้อโดยใช้ความร้อน</t>
        </is>
      </c>
      <c r="C2233" s="18" t="inlineStr"/>
      <c r="D2233" s="18" t="inlineStr">
        <is>
          <t>Membrane Filtration Sterilization (0.22 micron pore size)</t>
        </is>
      </c>
      <c r="E2233" s="18" t="inlineStr">
        <is>
          <t>Ethylene Oxide Gas Sterilization (ETO)</t>
        </is>
      </c>
      <c r="F2233" s="18" t="inlineStr">
        <is>
          <t>LAL Test (Limulus Amebocyte Lysate Bacterial Endotoxin)</t>
        </is>
      </c>
      <c r="G2233" s="18" t="inlineStr">
        <is>
          <t>Rabbit Pyrogen Test in vivo</t>
        </is>
      </c>
      <c r="H2233" s="18" t="inlineStr">
        <is>
          <t>ISO Class 5 (Grade A) Laminar Airflow Workstation</t>
        </is>
      </c>
      <c r="I2233" s="15" t="inlineStr">
        <is>
          <t>1</t>
        </is>
      </c>
      <c r="J2233" s="18"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Products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Products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3" s="18" t="inlineStr"/>
      <c r="L2233" s="18" t="inlineStr">
        <is>
          <t>Sterile Products</t>
        </is>
      </c>
      <c r="M2233" s="18" t="inlineStr">
        <is>
          <t>Product</t>
        </is>
      </c>
      <c r="N2233" s="18" t="inlineStr">
        <is>
          <t>ข้อ 4 (PLE_CC1_Key_Rx20_UBU.md)</t>
        </is>
      </c>
      <c r="O2233" s="18" t="inlineStr">
        <is>
          <t>Mock</t>
        </is>
      </c>
      <c r="P2233" s="18" t="inlineStr">
        <is>
          <t>Mock Rx20 UBU</t>
        </is>
      </c>
    </row>
    <row r="2234">
      <c r="A2234" s="15" t="inlineStr">
        <is>
          <t>2255</t>
        </is>
      </c>
      <c r="B2234" s="18" t="inlineStr">
        <is>
          <t>Distilled water</t>
        </is>
      </c>
      <c r="C2234" s="18" t="inlineStr"/>
      <c r="D2234" s="18" t="inlineStr">
        <is>
          <t>Dimercaprol (BAL) 3 mg/kg IM</t>
        </is>
      </c>
      <c r="E2234" s="18" t="inlineStr">
        <is>
          <t>Ethanol 10% IV infusion for Methanol poisoning</t>
        </is>
      </c>
      <c r="F2234" s="18" t="inlineStr">
        <is>
          <t>Fomepizole 15 mg/kg IV loading</t>
        </is>
      </c>
      <c r="G2234" s="18" t="inlineStr">
        <is>
          <t>N-acetylcysteine (NAC) IV infusion protocol</t>
        </is>
      </c>
      <c r="H2234" s="18" t="inlineStr">
        <is>
          <t>Atropine sulfate 2 mg IV Q5-10 min</t>
        </is>
      </c>
      <c r="I2234" s="15" t="inlineStr">
        <is>
          <t>1</t>
        </is>
      </c>
      <c r="J223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4" s="18" t="inlineStr"/>
      <c r="L2234" s="18" t="inlineStr">
        <is>
          <t>General Therapeutics</t>
        </is>
      </c>
      <c r="M2234" s="18" t="inlineStr">
        <is>
          <t>Clinic</t>
        </is>
      </c>
      <c r="N2234" s="18" t="inlineStr">
        <is>
          <t>ข้อ 2 (PLE_CC1_Key_Rx20_UBU.md)</t>
        </is>
      </c>
      <c r="O2234" s="18" t="inlineStr">
        <is>
          <t>Mock</t>
        </is>
      </c>
      <c r="P2234" s="18" t="inlineStr">
        <is>
          <t>Mock Rx20 UBU</t>
        </is>
      </c>
    </row>
    <row r="2235">
      <c r="A2235" s="15" t="inlineStr">
        <is>
          <t>2256</t>
        </is>
      </c>
      <c r="B2235" s="18" t="inlineStr">
        <is>
          <t>Water for injection</t>
        </is>
      </c>
      <c r="C2235" s="18" t="inlineStr"/>
      <c r="D2235" s="18" t="inlineStr">
        <is>
          <t>N-acetylcysteine (NAC) IV infusion protocol</t>
        </is>
      </c>
      <c r="E2235" s="18" t="inlineStr">
        <is>
          <t>Atropine sulfate 2 mg IV Q5-10 min</t>
        </is>
      </c>
      <c r="F2235" s="18" t="inlineStr">
        <is>
          <t>Pralidoxime (2-PAM) 1-2 g IV over 30 min</t>
        </is>
      </c>
      <c r="G2235" s="18" t="inlineStr">
        <is>
          <t>Naloxone 0.4 mg IV stat</t>
        </is>
      </c>
      <c r="H2235" s="18" t="inlineStr">
        <is>
          <t>Flumazenil 0.2 mg IV stat</t>
        </is>
      </c>
      <c r="I2235" s="15" t="inlineStr">
        <is>
          <t>1</t>
        </is>
      </c>
      <c r="J22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5" s="18" t="inlineStr"/>
      <c r="L2235" s="18" t="inlineStr">
        <is>
          <t>General Therapeutics</t>
        </is>
      </c>
      <c r="M2235" s="18" t="inlineStr">
        <is>
          <t>Clinic</t>
        </is>
      </c>
      <c r="N2235" s="18" t="inlineStr">
        <is>
          <t>ข้อ 3 (PLE_CC1_Key_Rx20_UBU.md)</t>
        </is>
      </c>
      <c r="O2235" s="18" t="inlineStr">
        <is>
          <t>Mock</t>
        </is>
      </c>
      <c r="P2235" s="18" t="inlineStr">
        <is>
          <t>Mock Rx20 UBU</t>
        </is>
      </c>
    </row>
    <row r="2236">
      <c r="A2236" s="15" t="inlineStr">
        <is>
          <t>2257</t>
        </is>
      </c>
      <c r="B2236" s="18" t="inlineStr">
        <is>
          <t>การทำแห้งแบบแช่เยือกแข็ง (Lyophilization)</t>
        </is>
      </c>
      <c r="C2236" s="18" t="inlineStr"/>
      <c r="D2236" s="18" t="inlineStr">
        <is>
          <t>Naloxone 0.4 mg IV stat</t>
        </is>
      </c>
      <c r="E2236" s="18" t="inlineStr">
        <is>
          <t>Flumazenil 0.2 mg IV stat</t>
        </is>
      </c>
      <c r="F2236" s="18" t="inlineStr">
        <is>
          <t>Vitamin K1 (Phytomenadione) 10 mg IV slow</t>
        </is>
      </c>
      <c r="G2236" s="18" t="inlineStr">
        <is>
          <t>Sodium thiosulfate 25% 50 mL IV</t>
        </is>
      </c>
      <c r="H2236" s="18" t="inlineStr">
        <is>
          <t>Calcium disodium EDTA 1 g IV</t>
        </is>
      </c>
      <c r="I2236" s="15" t="inlineStr">
        <is>
          <t>1</t>
        </is>
      </c>
      <c r="J22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36" s="18" t="inlineStr"/>
      <c r="L2236" s="18" t="inlineStr">
        <is>
          <t>General Therapeutics</t>
        </is>
      </c>
      <c r="M2236" s="18" t="inlineStr">
        <is>
          <t>Clinic</t>
        </is>
      </c>
      <c r="N2236" s="18" t="inlineStr">
        <is>
          <t>ข้อ 1 (PLE_CC1_Key_Rx20_UBU.md)</t>
        </is>
      </c>
      <c r="O2236" s="18" t="inlineStr">
        <is>
          <t>Mock</t>
        </is>
      </c>
      <c r="P2236" s="18" t="inlineStr">
        <is>
          <t>Mock Rx20 UBU</t>
        </is>
      </c>
    </row>
    <row r="2237">
      <c r="A2237" s="15" t="inlineStr">
        <is>
          <t>2258</t>
        </is>
      </c>
      <c r="B2237" s="18" t="inlineStr">
        <is>
          <t>Cold congealing</t>
        </is>
      </c>
      <c r="C2237" s="18" t="inlineStr"/>
      <c r="D2237" s="18" t="inlineStr">
        <is>
          <t>Sodium thiosulfate 25% 50 mL IV</t>
        </is>
      </c>
      <c r="E2237" s="18" t="inlineStr">
        <is>
          <t>Calcium disodium EDTA 1 g IV</t>
        </is>
      </c>
      <c r="F2237" s="18" t="inlineStr">
        <is>
          <t>Desferrioxamine 1 g IM/IV</t>
        </is>
      </c>
      <c r="G2237" s="18" t="inlineStr">
        <is>
          <t>Dimercaprol (BAL) 3 mg/kg IM</t>
        </is>
      </c>
      <c r="H2237" s="18" t="inlineStr">
        <is>
          <t>Ethanol 10% IV infusion for Methanol poisoning</t>
        </is>
      </c>
      <c r="I2237" s="15" t="inlineStr">
        <is>
          <t>1</t>
        </is>
      </c>
      <c r="J22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7" s="18" t="inlineStr"/>
      <c r="L2237" s="18" t="inlineStr">
        <is>
          <t>General Therapeutics</t>
        </is>
      </c>
      <c r="M2237" s="18" t="inlineStr">
        <is>
          <t>Clinic</t>
        </is>
      </c>
      <c r="N2237" s="18" t="inlineStr">
        <is>
          <t>ข้อ 5 (PLE_CC1_Key_Rx20_UBU.md)</t>
        </is>
      </c>
      <c r="O2237" s="18" t="inlineStr">
        <is>
          <t>Mock</t>
        </is>
      </c>
      <c r="P2237" s="18" t="inlineStr">
        <is>
          <t>Mock Rx20 UBU</t>
        </is>
      </c>
    </row>
    <row r="2238">
      <c r="A2238" s="15" t="inlineStr">
        <is>
          <t>2259</t>
        </is>
      </c>
      <c r="B2238" s="18" t="inlineStr">
        <is>
          <t>ป้องกันโรคได้ทันที</t>
        </is>
      </c>
      <c r="C2238" s="18" t="inlineStr"/>
      <c r="D2238" s="18" t="inlineStr">
        <is>
          <t>Dimercaprol (BAL) 3 mg/kg IM</t>
        </is>
      </c>
      <c r="E2238" s="18" t="inlineStr">
        <is>
          <t>Ethanol 10% IV infusion for Methanol poisoning</t>
        </is>
      </c>
      <c r="F2238" s="18" t="inlineStr">
        <is>
          <t>Fomepizole 15 mg/kg IV loading</t>
        </is>
      </c>
      <c r="G2238" s="18" t="inlineStr">
        <is>
          <t>N-acetylcysteine (NAC) IV infusion protocol</t>
        </is>
      </c>
      <c r="H2238" s="18" t="inlineStr">
        <is>
          <t>Atropine sulfate 2 mg IV Q5-10 min</t>
        </is>
      </c>
      <c r="I2238" s="15" t="inlineStr">
        <is>
          <t>1</t>
        </is>
      </c>
      <c r="J22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8" s="18" t="inlineStr"/>
      <c r="L2238" s="18" t="inlineStr">
        <is>
          <t>General Therapeutics</t>
        </is>
      </c>
      <c r="M2238" s="18" t="inlineStr">
        <is>
          <t>Clinic</t>
        </is>
      </c>
      <c r="N2238" s="18" t="inlineStr">
        <is>
          <t>ข้อ 1 (PLE_CC1_Key_Rx20_UBU.md)</t>
        </is>
      </c>
      <c r="O2238" s="18" t="inlineStr">
        <is>
          <t>Mock</t>
        </is>
      </c>
      <c r="P2238" s="18" t="inlineStr">
        <is>
          <t>Mock Rx20 UBU</t>
        </is>
      </c>
    </row>
    <row r="2239">
      <c r="A2239" s="15" t="inlineStr">
        <is>
          <t>2260</t>
        </is>
      </c>
      <c r="B2239" s="18" t="inlineStr">
        <is>
          <t>ไม่จำเพาะเจาะจง</t>
        </is>
      </c>
      <c r="C2239" s="18" t="inlineStr"/>
      <c r="D2239" s="18" t="inlineStr">
        <is>
          <t>N-acetylcysteine (NAC) IV infusion protocol</t>
        </is>
      </c>
      <c r="E2239" s="18" t="inlineStr">
        <is>
          <t>Atropine sulfate 2 mg IV Q5-10 min</t>
        </is>
      </c>
      <c r="F2239" s="18" t="inlineStr">
        <is>
          <t>Pralidoxime (2-PAM) 1-2 g IV over 30 min</t>
        </is>
      </c>
      <c r="G2239" s="18" t="inlineStr">
        <is>
          <t>Naloxone 0.4 mg IV stat</t>
        </is>
      </c>
      <c r="H2239" s="18" t="inlineStr">
        <is>
          <t>Flumazenil 0.2 mg IV stat</t>
        </is>
      </c>
      <c r="I2239" s="15" t="inlineStr">
        <is>
          <t>1</t>
        </is>
      </c>
      <c r="J22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9" s="18" t="inlineStr"/>
      <c r="L2239" s="18" t="inlineStr">
        <is>
          <t>General Therapeutics</t>
        </is>
      </c>
      <c r="M2239" s="18" t="inlineStr">
        <is>
          <t>Clinic</t>
        </is>
      </c>
      <c r="N2239" s="18" t="inlineStr">
        <is>
          <t>ข้อ 2 (PLE_CC1_Key_Rx20_UBU.md)</t>
        </is>
      </c>
      <c r="O2239" s="18" t="inlineStr">
        <is>
          <t>Mock</t>
        </is>
      </c>
      <c r="P2239" s="18" t="inlineStr">
        <is>
          <t>Mock Rx20 UBU</t>
        </is>
      </c>
    </row>
    <row r="2240">
      <c r="A2240" s="15" t="inlineStr">
        <is>
          <t>2261</t>
        </is>
      </c>
      <c r="B2240" s="18" t="inlineStr">
        <is>
          <t>เกี่ยวของกับ memory B-cell</t>
        </is>
      </c>
      <c r="C2240" s="18" t="inlineStr"/>
      <c r="D2240" s="18" t="inlineStr">
        <is>
          <t>Naloxone 0.4 mg IV stat</t>
        </is>
      </c>
      <c r="E2240" s="18" t="inlineStr">
        <is>
          <t>Flumazenil 0.2 mg IV stat</t>
        </is>
      </c>
      <c r="F2240" s="18" t="inlineStr">
        <is>
          <t>Vitamin K1 (Phytomenadione) 10 mg IV slow</t>
        </is>
      </c>
      <c r="G2240" s="18" t="inlineStr">
        <is>
          <t>Sodium thiosulfate 25% 50 mL IV</t>
        </is>
      </c>
      <c r="H2240" s="18" t="inlineStr">
        <is>
          <t>Calcium disodium EDTA 1 g IV</t>
        </is>
      </c>
      <c r="I2240" s="15" t="inlineStr">
        <is>
          <t>1</t>
        </is>
      </c>
      <c r="J22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0" s="18" t="inlineStr"/>
      <c r="L2240" s="18" t="inlineStr">
        <is>
          <t>General Therapeutics</t>
        </is>
      </c>
      <c r="M2240" s="18" t="inlineStr">
        <is>
          <t>Clinic</t>
        </is>
      </c>
      <c r="N2240" s="18" t="inlineStr">
        <is>
          <t>ข้อ 4 (PLE_CC1_Key_Rx20_UBU.md)</t>
        </is>
      </c>
      <c r="O2240" s="18" t="inlineStr">
        <is>
          <t>Mock</t>
        </is>
      </c>
      <c r="P2240" s="18" t="inlineStr">
        <is>
          <t>Mock Rx20 UBU</t>
        </is>
      </c>
    </row>
    <row r="2241">
      <c r="A2241" s="15" t="inlineStr">
        <is>
          <t>2262</t>
        </is>
      </c>
      <c r="B2241" s="18" t="inlineStr">
        <is>
          <t>ผู้รับอนุญาตผิด ฐานขายยาอันตรายในขณะที่ เภสัชไม่อยู่ปฏิบัติการ</t>
        </is>
      </c>
      <c r="C2241" s="18" t="inlineStr"/>
      <c r="D2241" s="18" t="inlineStr">
        <is>
          <t>พ.ร.บ. หลักประกันสุขภาพแห่งชาติ พ.ศ. 2545</t>
        </is>
      </c>
      <c r="E2241" s="18" t="inlineStr">
        <is>
          <t>การปฏิบัติทางเภสัชกรรมชุมชน (Good Pharmacy Practice: GPP)</t>
        </is>
      </c>
      <c r="F2241" s="18" t="inlineStr">
        <is>
          <t>บัญชียาหลักแห่งชาติ (National List of Essential Medicines: NLEM)</t>
        </is>
      </c>
      <c r="G2241" s="18" t="inlineStr">
        <is>
          <t>เกณฑ์จริยธรรมว่าด้วยการส่งเสริมการขายยาของกระทรวงสาธารณสุข</t>
        </is>
      </c>
      <c r="H2241" s="18" t="inlineStr">
        <is>
          <t>พ.ร.บ. ยา พ.ศ. 2510 (การจำหน่ายยาอันตรายและยาควบคุมพิเศษ)</t>
        </is>
      </c>
      <c r="I2241" s="15" t="inlineStr">
        <is>
          <t>1</t>
        </is>
      </c>
      <c r="J224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1" s="18" t="inlineStr"/>
      <c r="L2241" s="18" t="inlineStr">
        <is>
          <t>Pharmacy Laws &amp; Ethics</t>
        </is>
      </c>
      <c r="M2241" s="18" t="inlineStr">
        <is>
          <t>SAP</t>
        </is>
      </c>
      <c r="N2241" s="18" t="inlineStr">
        <is>
          <t>ข้อ 3 (PLE_CC1_Key_Rx20_UBU.md)</t>
        </is>
      </c>
      <c r="O2241" s="18" t="inlineStr">
        <is>
          <t>Mock</t>
        </is>
      </c>
      <c r="P2241" s="18" t="inlineStr">
        <is>
          <t>Mock Rx20 UBU</t>
        </is>
      </c>
    </row>
    <row r="2242">
      <c r="A2242" s="15" t="inlineStr">
        <is>
          <t>2263</t>
        </is>
      </c>
      <c r="B2242" s="18" t="inlineStr">
        <is>
          <t>ข ง ฮ Case 1: ผู้ปวยหญิง อายุ 24 ปีมีอาการตกขาว สีเขียวเหลือง มีฟอง คันมาก ผู้ป่วยสวนลางช่องคลอดเป็นประจำ นอนดึก เมื่อ 2 เดือนก่อนมีประวัติใช้ยา Amoxycillin ปฏิเสธแพ้ยา เมื่อ 1 สัปดาห์กอน มีเพศสัมพันธุ์กับแฟนโดยไม่ได้ใส่ ถุงยางอนามัย</t>
        </is>
      </c>
      <c r="C2242" s="18" t="inlineStr"/>
      <c r="D2242" s="18" t="inlineStr">
        <is>
          <t>Montelukast 10 mg HS</t>
        </is>
      </c>
      <c r="E2242" s="18" t="inlineStr">
        <is>
          <t>Hydroxyzine 25 mg HS</t>
        </is>
      </c>
      <c r="F2242" s="18" t="inlineStr">
        <is>
          <t>Diphenhydramine 25 mg IV</t>
        </is>
      </c>
      <c r="G2242" s="18" t="inlineStr">
        <is>
          <t>Cetirizine 10 mg OD</t>
        </is>
      </c>
      <c r="H2242" s="18" t="inlineStr">
        <is>
          <t>Loratadine 10 mg OD</t>
        </is>
      </c>
      <c r="I2242" s="15" t="inlineStr">
        <is>
          <t>1</t>
        </is>
      </c>
      <c r="J2242" s="18"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2" s="18" t="inlineStr"/>
      <c r="L2242" s="18" t="inlineStr">
        <is>
          <t>Allergy &amp; Immunology</t>
        </is>
      </c>
      <c r="M2242" s="18" t="inlineStr">
        <is>
          <t>Clinic</t>
        </is>
      </c>
      <c r="N2242" s="18" t="inlineStr">
        <is>
          <t>ข้อ 5 (PLE_CC1_Key_Rx20_UBU.md)</t>
        </is>
      </c>
      <c r="O2242" s="18" t="inlineStr">
        <is>
          <t>Mock</t>
        </is>
      </c>
      <c r="P2242" s="18" t="inlineStr">
        <is>
          <t>Mock Rx20 UBU</t>
        </is>
      </c>
    </row>
    <row r="2243">
      <c r="A2243" s="15" t="inlineStr">
        <is>
          <t>2264</t>
        </is>
      </c>
      <c r="B2243" s="18" t="inlineStr">
        <is>
          <t>Candida albicans</t>
        </is>
      </c>
      <c r="C2243" s="18" t="inlineStr"/>
      <c r="D2243" s="18" t="inlineStr">
        <is>
          <t>N-acetylcysteine (NAC) IV infusion protocol</t>
        </is>
      </c>
      <c r="E2243" s="18" t="inlineStr">
        <is>
          <t>Atropine sulfate 2 mg IV Q5-10 min</t>
        </is>
      </c>
      <c r="F2243" s="18" t="inlineStr">
        <is>
          <t>Pralidoxime (2-PAM) 1-2 g IV over 30 min</t>
        </is>
      </c>
      <c r="G2243" s="18" t="inlineStr">
        <is>
          <t>Naloxone 0.4 mg IV stat</t>
        </is>
      </c>
      <c r="H2243" s="18" t="inlineStr">
        <is>
          <t>Flumazenil 0.2 mg IV stat</t>
        </is>
      </c>
      <c r="I2243" s="15" t="inlineStr">
        <is>
          <t>1</t>
        </is>
      </c>
      <c r="J22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3" s="18" t="inlineStr"/>
      <c r="L2243" s="18" t="inlineStr">
        <is>
          <t>General Therapeutics</t>
        </is>
      </c>
      <c r="M2243" s="18" t="inlineStr">
        <is>
          <t>Clinic</t>
        </is>
      </c>
      <c r="N2243" s="18" t="inlineStr">
        <is>
          <t>ข้อ 1 (PLE_CC1_Key_Rx20_UBU.md)</t>
        </is>
      </c>
      <c r="O2243" s="18" t="inlineStr">
        <is>
          <t>Mock</t>
        </is>
      </c>
      <c r="P2243" s="18" t="inlineStr">
        <is>
          <t>Mock Rx20 UBU</t>
        </is>
      </c>
    </row>
    <row r="2244">
      <c r="A2244" s="15" t="inlineStr">
        <is>
          <t>2265</t>
        </is>
      </c>
      <c r="B2244" s="18" t="inlineStr">
        <is>
          <t>Trichomonas vaginalis</t>
        </is>
      </c>
      <c r="C2244" s="18" t="inlineStr"/>
      <c r="D2244" s="18" t="inlineStr">
        <is>
          <t>Naloxone 0.4 mg IV stat</t>
        </is>
      </c>
      <c r="E2244" s="18" t="inlineStr">
        <is>
          <t>Flumazenil 0.2 mg IV stat</t>
        </is>
      </c>
      <c r="F2244" s="18" t="inlineStr">
        <is>
          <t>Vitamin K1 (Phytomenadione) 10 mg IV slow</t>
        </is>
      </c>
      <c r="G2244" s="18" t="inlineStr">
        <is>
          <t>Sodium thiosulfate 25% 50 mL IV</t>
        </is>
      </c>
      <c r="H2244" s="18" t="inlineStr">
        <is>
          <t>Calcium disodium EDTA 1 g IV</t>
        </is>
      </c>
      <c r="I2244" s="15" t="inlineStr">
        <is>
          <t>1</t>
        </is>
      </c>
      <c r="J22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4" s="18" t="inlineStr"/>
      <c r="L2244" s="18" t="inlineStr">
        <is>
          <t>General Therapeutics</t>
        </is>
      </c>
      <c r="M2244" s="18" t="inlineStr">
        <is>
          <t>Clinic</t>
        </is>
      </c>
      <c r="N2244" s="18" t="inlineStr">
        <is>
          <t>ข้อ 2 (PLE_CC1_Key_Rx20_UBU.md)</t>
        </is>
      </c>
      <c r="O2244" s="18" t="inlineStr">
        <is>
          <t>Mock</t>
        </is>
      </c>
      <c r="P2244" s="18" t="inlineStr">
        <is>
          <t>Mock Rx20 UBU</t>
        </is>
      </c>
    </row>
    <row r="2245">
      <c r="A2245" s="15" t="inlineStr">
        <is>
          <t>2266</t>
        </is>
      </c>
      <c r="B2245" s="18" t="inlineStr">
        <is>
          <t>Neiseria gonorrhea</t>
        </is>
      </c>
      <c r="C2245" s="18" t="inlineStr"/>
      <c r="D2245" s="18" t="inlineStr">
        <is>
          <t>Sodium thiosulfate 25% 50 mL IV</t>
        </is>
      </c>
      <c r="E2245" s="18" t="inlineStr">
        <is>
          <t>Calcium disodium EDTA 1 g IV</t>
        </is>
      </c>
      <c r="F2245" s="18" t="inlineStr">
        <is>
          <t>Desferrioxamine 1 g IM/IV</t>
        </is>
      </c>
      <c r="G2245" s="18" t="inlineStr">
        <is>
          <t>Dimercaprol (BAL) 3 mg/kg IM</t>
        </is>
      </c>
      <c r="H2245" s="18" t="inlineStr">
        <is>
          <t>Ethanol 10% IV infusion for Methanol poisoning</t>
        </is>
      </c>
      <c r="I2245" s="15" t="inlineStr">
        <is>
          <t>3</t>
        </is>
      </c>
      <c r="J2245" s="18"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5" s="18" t="inlineStr"/>
      <c r="L2245" s="18" t="inlineStr">
        <is>
          <t>General Therapeutics</t>
        </is>
      </c>
      <c r="M2245" s="18" t="inlineStr">
        <is>
          <t>Clinic</t>
        </is>
      </c>
      <c r="N2245" s="18" t="inlineStr">
        <is>
          <t>ข้อ 5 (PLE_CC1_Key_Rx20_UBU.md)</t>
        </is>
      </c>
      <c r="O2245" s="18" t="inlineStr">
        <is>
          <t>Mock</t>
        </is>
      </c>
      <c r="P2245" s="18" t="inlineStr">
        <is>
          <t>Mock Rx20 UBU</t>
        </is>
      </c>
    </row>
    <row r="2246">
      <c r="A2246" s="15" t="inlineStr">
        <is>
          <t>2267</t>
        </is>
      </c>
      <c r="B2246" s="18" t="inlineStr">
        <is>
          <t>การใชยาปฎิชีวนะ</t>
        </is>
      </c>
      <c r="C2246" s="18" t="inlineStr"/>
      <c r="D2246" s="18" t="inlineStr">
        <is>
          <t>Dimercaprol (BAL) 3 mg/kg IM</t>
        </is>
      </c>
      <c r="E2246" s="18" t="inlineStr">
        <is>
          <t>Ethanol 10% IV infusion for Methanol poisoning</t>
        </is>
      </c>
      <c r="F2246" s="18" t="inlineStr">
        <is>
          <t>Fomepizole 15 mg/kg IV loading</t>
        </is>
      </c>
      <c r="G2246" s="18" t="inlineStr">
        <is>
          <t>N-acetylcysteine (NAC) IV infusion protocol</t>
        </is>
      </c>
      <c r="H2246" s="18" t="inlineStr">
        <is>
          <t>Atropine sulfate 2 mg IV Q5-10 min</t>
        </is>
      </c>
      <c r="I2246" s="15" t="inlineStr">
        <is>
          <t>1</t>
        </is>
      </c>
      <c r="J224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6" s="18" t="inlineStr"/>
      <c r="L2246" s="18" t="inlineStr">
        <is>
          <t>General Therapeutics</t>
        </is>
      </c>
      <c r="M2246" s="18" t="inlineStr">
        <is>
          <t>Clinic</t>
        </is>
      </c>
      <c r="N2246" s="18" t="inlineStr">
        <is>
          <t>ข้อ 1 (PLE_CC1_Key_Rx20_UBU.md)</t>
        </is>
      </c>
      <c r="O2246" s="18" t="inlineStr">
        <is>
          <t>Mock</t>
        </is>
      </c>
      <c r="P2246" s="18" t="inlineStr">
        <is>
          <t>Mock Rx20 UBU</t>
        </is>
      </c>
    </row>
    <row r="2247">
      <c r="A2247" s="15" t="inlineStr">
        <is>
          <t>2268</t>
        </is>
      </c>
      <c r="B2247" s="18" t="inlineStr">
        <is>
          <t>สวนลางช่องคลอดเป็นประจำ</t>
        </is>
      </c>
      <c r="C2247" s="18" t="inlineStr"/>
      <c r="D2247" s="18" t="inlineStr">
        <is>
          <t>N-acetylcysteine (NAC) IV infusion protocol</t>
        </is>
      </c>
      <c r="E2247" s="18" t="inlineStr">
        <is>
          <t>Atropine sulfate 2 mg IV Q5-10 min</t>
        </is>
      </c>
      <c r="F2247" s="18" t="inlineStr">
        <is>
          <t>Pralidoxime (2-PAM) 1-2 g IV over 30 min</t>
        </is>
      </c>
      <c r="G2247" s="18" t="inlineStr">
        <is>
          <t>Naloxone 0.4 mg IV stat</t>
        </is>
      </c>
      <c r="H2247" s="18" t="inlineStr">
        <is>
          <t>Flumazenil 0.2 mg IV stat</t>
        </is>
      </c>
      <c r="I2247" s="15" t="inlineStr">
        <is>
          <t>1</t>
        </is>
      </c>
      <c r="J224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7" s="18" t="inlineStr"/>
      <c r="L2247" s="18" t="inlineStr">
        <is>
          <t>General Therapeutics</t>
        </is>
      </c>
      <c r="M2247" s="18" t="inlineStr">
        <is>
          <t>Clinic</t>
        </is>
      </c>
      <c r="N2247" s="18" t="inlineStr">
        <is>
          <t>ข้อ 3 (PLE_CC1_Key_Rx20_UBU.md)</t>
        </is>
      </c>
      <c r="O2247" s="18" t="inlineStr">
        <is>
          <t>Mock</t>
        </is>
      </c>
      <c r="P2247" s="18" t="inlineStr">
        <is>
          <t>Mock Rx20 UBU</t>
        </is>
      </c>
    </row>
    <row r="2248">
      <c r="A2248" s="15" t="inlineStr">
        <is>
          <t>2269</t>
        </is>
      </c>
      <c r="B2248" s="18" t="inlineStr">
        <is>
          <t>ประวัติการมีเพศสัมพันธุ์</t>
        </is>
      </c>
      <c r="C2248" s="18" t="inlineStr"/>
      <c r="D2248" s="18" t="inlineStr">
        <is>
          <t>Naloxone 0.4 mg IV stat</t>
        </is>
      </c>
      <c r="E2248" s="18" t="inlineStr">
        <is>
          <t>Flumazenil 0.2 mg IV stat</t>
        </is>
      </c>
      <c r="F2248" s="18" t="inlineStr">
        <is>
          <t>Vitamin K1 (Phytomenadione) 10 mg IV slow</t>
        </is>
      </c>
      <c r="G2248" s="18" t="inlineStr">
        <is>
          <t>Sodium thiosulfate 25% 50 mL IV</t>
        </is>
      </c>
      <c r="H2248" s="18" t="inlineStr">
        <is>
          <t>Calcium disodium EDTA 1 g IV</t>
        </is>
      </c>
      <c r="I2248" s="15" t="inlineStr">
        <is>
          <t>1</t>
        </is>
      </c>
      <c r="J22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8" s="18" t="inlineStr"/>
      <c r="L2248" s="18" t="inlineStr">
        <is>
          <t>General Therapeutics</t>
        </is>
      </c>
      <c r="M2248" s="18" t="inlineStr">
        <is>
          <t>Clinic</t>
        </is>
      </c>
      <c r="N2248" s="18" t="inlineStr">
        <is>
          <t>ข้อ 4 (PLE_CC1_Key_Rx20_UBU.md)</t>
        </is>
      </c>
      <c r="O2248" s="18" t="inlineStr">
        <is>
          <t>Mock</t>
        </is>
      </c>
      <c r="P2248" s="18" t="inlineStr">
        <is>
          <t>Mock Rx20 UBU</t>
        </is>
      </c>
    </row>
    <row r="2249">
      <c r="A2249" s="15" t="inlineStr">
        <is>
          <t>2270</t>
        </is>
      </c>
      <c r="B2249" s="18" t="inlineStr">
        <is>
          <t>ยาในข้อใดใช้ในการรักษาผู้ป่วยรายนี้</t>
        </is>
      </c>
      <c r="C2249" s="18" t="inlineStr"/>
      <c r="D2249" s="18" t="inlineStr">
        <is>
          <t>Sodium thiosulfate 25% 50 mL IV</t>
        </is>
      </c>
      <c r="E2249" s="18" t="inlineStr">
        <is>
          <t>Calcium disodium EDTA 1 g IV</t>
        </is>
      </c>
      <c r="F2249" s="18" t="inlineStr">
        <is>
          <t>Desferrioxamine 1 g IM/IV</t>
        </is>
      </c>
      <c r="G2249" s="18" t="inlineStr">
        <is>
          <t>Dimercaprol (BAL) 3 mg/kg IM</t>
        </is>
      </c>
      <c r="H2249" s="18" t="inlineStr">
        <is>
          <t>Ethanol 10% IV infusion for Methanol poisoning</t>
        </is>
      </c>
      <c r="I2249" s="15" t="inlineStr">
        <is>
          <t>1</t>
        </is>
      </c>
      <c r="J22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9" s="18" t="inlineStr"/>
      <c r="L2249" s="18" t="inlineStr">
        <is>
          <t>General Therapeutics</t>
        </is>
      </c>
      <c r="M2249" s="18" t="inlineStr">
        <is>
          <t>Clinic</t>
        </is>
      </c>
      <c r="N2249" s="18" t="inlineStr">
        <is>
          <t>ข้อ 3 (PLE_CC1_Key_Rx20_UBU.md)</t>
        </is>
      </c>
      <c r="O2249" s="18" t="inlineStr">
        <is>
          <t>Mock</t>
        </is>
      </c>
      <c r="P2249" s="18" t="inlineStr">
        <is>
          <t>Mock Rx20 UBU</t>
        </is>
      </c>
    </row>
    <row r="2250">
      <c r="A2250" s="15" t="inlineStr">
        <is>
          <t>2271</t>
        </is>
      </c>
      <c r="B2250" s="18" t="inlineStr">
        <is>
          <t>ข้อใดไม่ใช้ข้อแนะนำเกี่ยวกับยา fluconazole</t>
        </is>
      </c>
      <c r="C2250" s="18" t="inlineStr"/>
      <c r="D2250" s="18" t="inlineStr">
        <is>
          <t>Ceftriaxone 1 g IV OD</t>
        </is>
      </c>
      <c r="E2250" s="18" t="inlineStr">
        <is>
          <t>Ciprofloxacin 500 mg BID</t>
        </is>
      </c>
      <c r="F2250" s="18" t="inlineStr">
        <is>
          <t>Azithromycin 500 mg OD</t>
        </is>
      </c>
      <c r="G2250" s="18" t="inlineStr">
        <is>
          <t>Doxycycline 100 mg BID</t>
        </is>
      </c>
      <c r="H2250" s="18" t="inlineStr">
        <is>
          <t>Cotrimoxazole 160/800 mg BID</t>
        </is>
      </c>
      <c r="I2250" s="15" t="inlineStr">
        <is>
          <t>1</t>
        </is>
      </c>
      <c r="J2250" s="18"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0" s="18" t="inlineStr"/>
      <c r="L2250" s="18" t="inlineStr">
        <is>
          <t>Infectious Diseases</t>
        </is>
      </c>
      <c r="M2250" s="18" t="inlineStr">
        <is>
          <t>Clinic</t>
        </is>
      </c>
      <c r="N2250" s="18" t="inlineStr">
        <is>
          <t>ข้อ 4 (PLE_CC1_Key_Rx20_UBU.md)</t>
        </is>
      </c>
      <c r="O2250" s="18" t="inlineStr">
        <is>
          <t>Mock</t>
        </is>
      </c>
      <c r="P2250" s="18" t="inlineStr">
        <is>
          <t>Mock Rx20 UBU</t>
        </is>
      </c>
    </row>
    <row r="2251">
      <c r="A2251" s="15" t="inlineStr">
        <is>
          <t>2272</t>
        </is>
      </c>
      <c r="B2251" s="18" t="inlineStr">
        <is>
          <t>ไม่ควรรับประทานรวมกับยาอื่นเนื่องจากอาจ เกิดอัตรกิริยาระหว่างยาได</t>
        </is>
      </c>
      <c r="C2251" s="18" t="inlineStr"/>
      <c r="D2251" s="18" t="inlineStr">
        <is>
          <t>N-acetylcysteine (NAC) IV infusion protocol</t>
        </is>
      </c>
      <c r="E2251" s="18" t="inlineStr">
        <is>
          <t>Atropine sulfate 2 mg IV Q5-10 min</t>
        </is>
      </c>
      <c r="F2251" s="18" t="inlineStr">
        <is>
          <t>Pralidoxime (2-PAM) 1-2 g IV over 30 min</t>
        </is>
      </c>
      <c r="G2251" s="18" t="inlineStr">
        <is>
          <t>Naloxone 0.4 mg IV stat</t>
        </is>
      </c>
      <c r="H2251" s="18" t="inlineStr">
        <is>
          <t>Flumazenil 0.2 mg IV stat</t>
        </is>
      </c>
      <c r="I2251" s="15" t="inlineStr">
        <is>
          <t>1</t>
        </is>
      </c>
      <c r="J225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1" s="18" t="inlineStr"/>
      <c r="L2251" s="18" t="inlineStr">
        <is>
          <t>General Therapeutics</t>
        </is>
      </c>
      <c r="M2251" s="18" t="inlineStr">
        <is>
          <t>Clinic</t>
        </is>
      </c>
      <c r="N2251" s="18" t="inlineStr">
        <is>
          <t>ข้อ 1 (PLE_CC1_Key_Rx20_UBU.md)</t>
        </is>
      </c>
      <c r="O2251" s="18" t="inlineStr">
        <is>
          <t>Mock</t>
        </is>
      </c>
      <c r="P2251" s="18" t="inlineStr">
        <is>
          <t>Mock Rx20 UBU</t>
        </is>
      </c>
    </row>
    <row r="2252">
      <c r="A2252" s="15" t="inlineStr">
        <is>
          <t>2273</t>
        </is>
      </c>
      <c r="B2252" s="18" t="inlineStr">
        <is>
          <t>ยาอาจทำให้เกิดพิษต่อตับ ดังนั้นควรหลีกเลี่ยง การดื่ม แอลกอฮอล</t>
        </is>
      </c>
      <c r="C2252" s="18" t="inlineStr"/>
      <c r="D2252" s="18" t="inlineStr">
        <is>
          <t>Naloxone 0.4 mg IV stat</t>
        </is>
      </c>
      <c r="E2252" s="18" t="inlineStr">
        <is>
          <t>Flumazenil 0.2 mg IV stat</t>
        </is>
      </c>
      <c r="F2252" s="18" t="inlineStr">
        <is>
          <t>Vitamin K1 (Phytomenadione) 10 mg IV slow</t>
        </is>
      </c>
      <c r="G2252" s="18" t="inlineStr">
        <is>
          <t>Sodium thiosulfate 25% 50 mL IV</t>
        </is>
      </c>
      <c r="H2252" s="18" t="inlineStr">
        <is>
          <t>Calcium disodium EDTA 1 g IV</t>
        </is>
      </c>
      <c r="I2252" s="15" t="inlineStr">
        <is>
          <t>1</t>
        </is>
      </c>
      <c r="J225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2" s="18" t="inlineStr"/>
      <c r="L2252" s="18" t="inlineStr">
        <is>
          <t>General Therapeutics</t>
        </is>
      </c>
      <c r="M2252" s="18" t="inlineStr">
        <is>
          <t>Clinic</t>
        </is>
      </c>
      <c r="N2252" s="18" t="inlineStr">
        <is>
          <t>ข้อ 2 (PLE_CC1_Key_Rx20_UBU.md)</t>
        </is>
      </c>
      <c r="O2252" s="18" t="inlineStr">
        <is>
          <t>Mock</t>
        </is>
      </c>
      <c r="P2252" s="18" t="inlineStr">
        <is>
          <t>Mock Rx20 UBU</t>
        </is>
      </c>
    </row>
    <row r="2253">
      <c r="A2253" s="15" t="inlineStr">
        <is>
          <t>2274</t>
        </is>
      </c>
      <c r="B2253" s="18" t="inlineStr">
        <is>
          <t>รับประทานยาต่อเนื่องกัน 7 วัน</t>
        </is>
      </c>
      <c r="C2253" s="18" t="inlineStr"/>
      <c r="D2253" s="18" t="inlineStr">
        <is>
          <t>Sodium thiosulfate 25% 50 mL IV</t>
        </is>
      </c>
      <c r="E2253" s="18" t="inlineStr">
        <is>
          <t>Calcium disodium EDTA 1 g IV</t>
        </is>
      </c>
      <c r="F2253" s="18" t="inlineStr">
        <is>
          <t>Desferrioxamine 1 g IM/IV</t>
        </is>
      </c>
      <c r="G2253" s="18" t="inlineStr">
        <is>
          <t>Dimercaprol (BAL) 3 mg/kg IM</t>
        </is>
      </c>
      <c r="H2253" s="18" t="inlineStr">
        <is>
          <t>Ethanol 10% IV infusion for Methanol poisoning</t>
        </is>
      </c>
      <c r="I2253" s="15" t="inlineStr">
        <is>
          <t>1</t>
        </is>
      </c>
      <c r="J22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3" s="18" t="inlineStr"/>
      <c r="L2253" s="18" t="inlineStr">
        <is>
          <t>General Therapeutics</t>
        </is>
      </c>
      <c r="M2253" s="18" t="inlineStr">
        <is>
          <t>Clinic</t>
        </is>
      </c>
      <c r="N2253" s="18" t="inlineStr">
        <is>
          <t>ข้อ 4 (PLE_CC1_Key_Rx20_UBU.md)</t>
        </is>
      </c>
      <c r="O2253" s="18" t="inlineStr">
        <is>
          <t>Mock</t>
        </is>
      </c>
      <c r="P2253" s="18" t="inlineStr">
        <is>
          <t>Mock Rx20 UBU</t>
        </is>
      </c>
    </row>
    <row r="2254">
      <c r="A2254" s="15" t="inlineStr">
        <is>
          <t>2275</t>
        </is>
      </c>
      <c r="B2254" s="18" t="inlineStr">
        <is>
          <t>ควรรับประทานหลังอาหารเพื่อช่วยในการดูด ซึมยา</t>
        </is>
      </c>
      <c r="C2254" s="18" t="inlineStr"/>
      <c r="D2254" s="18" t="inlineStr">
        <is>
          <t>Dimercaprol (BAL) 3 mg/kg IM</t>
        </is>
      </c>
      <c r="E2254" s="18" t="inlineStr">
        <is>
          <t>Ethanol 10% IV infusion for Methanol poisoning</t>
        </is>
      </c>
      <c r="F2254" s="18" t="inlineStr">
        <is>
          <t>Fomepizole 15 mg/kg IV loading</t>
        </is>
      </c>
      <c r="G2254" s="18" t="inlineStr">
        <is>
          <t>N-acetylcysteine (NAC) IV infusion protocol</t>
        </is>
      </c>
      <c r="H2254" s="18" t="inlineStr">
        <is>
          <t>Atropine sulfate 2 mg IV Q5-10 min</t>
        </is>
      </c>
      <c r="I2254" s="15" t="inlineStr">
        <is>
          <t>4</t>
        </is>
      </c>
      <c r="J2254" s="18"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4" s="18" t="inlineStr"/>
      <c r="L2254" s="18" t="inlineStr">
        <is>
          <t>General Therapeutics</t>
        </is>
      </c>
      <c r="M2254" s="18" t="inlineStr">
        <is>
          <t>Clinic</t>
        </is>
      </c>
      <c r="N2254" s="18" t="inlineStr">
        <is>
          <t>ข้อ 5 (PLE_CC1_Key_Rx20_UBU.md)</t>
        </is>
      </c>
      <c r="O2254" s="18" t="inlineStr">
        <is>
          <t>Mock</t>
        </is>
      </c>
      <c r="P2254" s="18" t="inlineStr">
        <is>
          <t>Mock Rx20 UBU</t>
        </is>
      </c>
    </row>
    <row r="2255">
      <c r="A2255" s="15" t="inlineStr">
        <is>
          <t>2276</t>
        </is>
      </c>
      <c r="B2255" s="18" t="inlineStr">
        <is>
          <t>Fluconazole เป็น strong CYP inhibitor ของ CYP ใด</t>
        </is>
      </c>
      <c r="C2255" s="18" t="inlineStr"/>
      <c r="D2255" s="18" t="inlineStr">
        <is>
          <t>Azithromycin 500 mg OD</t>
        </is>
      </c>
      <c r="E2255" s="18" t="inlineStr">
        <is>
          <t>Doxycycline 100 mg BID</t>
        </is>
      </c>
      <c r="F2255" s="18" t="inlineStr">
        <is>
          <t>Cotrimoxazole 160/800 mg BID</t>
        </is>
      </c>
      <c r="G2255" s="18" t="inlineStr">
        <is>
          <t>Metronidazole 400 mg TID</t>
        </is>
      </c>
      <c r="H2255" s="18" t="inlineStr">
        <is>
          <t>Nitrofurantoin 100 mg BID</t>
        </is>
      </c>
      <c r="I2255" s="15" t="inlineStr">
        <is>
          <t>1</t>
        </is>
      </c>
      <c r="J2255" s="18"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5" s="18" t="inlineStr"/>
      <c r="L2255" s="18" t="inlineStr">
        <is>
          <t>Infectious Diseases</t>
        </is>
      </c>
      <c r="M2255" s="18" t="inlineStr">
        <is>
          <t>Clinic</t>
        </is>
      </c>
      <c r="N2255" s="18" t="inlineStr">
        <is>
          <t>ข้อ 5 (PLE_CC1_Key_Rx20_UBU.md)</t>
        </is>
      </c>
      <c r="O2255" s="18" t="inlineStr">
        <is>
          <t>Mock</t>
        </is>
      </c>
      <c r="P2255" s="18" t="inlineStr">
        <is>
          <t>Mock Rx20 UBU</t>
        </is>
      </c>
    </row>
    <row r="2256">
      <c r="A2256" s="15" t="inlineStr">
        <is>
          <t>2277</t>
        </is>
      </c>
      <c r="B2256" s="18" t="inlineStr">
        <is>
          <t>ยับยั้งการสร้างส่วนประกอบของเยื่อหุมเซลล์</t>
        </is>
      </c>
      <c r="C2256" s="18" t="inlineStr"/>
      <c r="D2256" s="18" t="inlineStr">
        <is>
          <t>Naloxone 0.4 mg IV stat</t>
        </is>
      </c>
      <c r="E2256" s="18" t="inlineStr">
        <is>
          <t>Flumazenil 0.2 mg IV stat</t>
        </is>
      </c>
      <c r="F2256" s="18" t="inlineStr">
        <is>
          <t>Vitamin K1 (Phytomenadione) 10 mg IV slow</t>
        </is>
      </c>
      <c r="G2256" s="18" t="inlineStr">
        <is>
          <t>Sodium thiosulfate 25% 50 mL IV</t>
        </is>
      </c>
      <c r="H2256" s="18" t="inlineStr">
        <is>
          <t>Calcium disodium EDTA 1 g IV</t>
        </is>
      </c>
      <c r="I2256" s="15" t="inlineStr">
        <is>
          <t>1</t>
        </is>
      </c>
      <c r="J22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6" s="18" t="inlineStr"/>
      <c r="L2256" s="18" t="inlineStr">
        <is>
          <t>General Therapeutics</t>
        </is>
      </c>
      <c r="M2256" s="18" t="inlineStr">
        <is>
          <t>Clinic</t>
        </is>
      </c>
      <c r="N2256" s="18" t="inlineStr">
        <is>
          <t>ข้อ 1 (PLE_CC1_Key_Rx20_UBU.md)</t>
        </is>
      </c>
      <c r="O2256" s="18" t="inlineStr">
        <is>
          <t>Mock</t>
        </is>
      </c>
      <c r="P2256" s="18" t="inlineStr">
        <is>
          <t>Mock Rx20 UBU</t>
        </is>
      </c>
    </row>
    <row r="2257">
      <c r="A2257" s="15" t="inlineStr">
        <is>
          <t>2278</t>
        </is>
      </c>
      <c r="B2257" s="18" t="inlineStr">
        <is>
          <t>ยับยั้งการสร้างสวนประกอบของผนังเซลล</t>
        </is>
      </c>
      <c r="C2257" s="18" t="inlineStr"/>
      <c r="D2257" s="18" t="inlineStr">
        <is>
          <t>Sodium thiosulfate 25% 50 mL IV</t>
        </is>
      </c>
      <c r="E2257" s="18" t="inlineStr">
        <is>
          <t>Calcium disodium EDTA 1 g IV</t>
        </is>
      </c>
      <c r="F2257" s="18" t="inlineStr">
        <is>
          <t>Desferrioxamine 1 g IM/IV</t>
        </is>
      </c>
      <c r="G2257" s="18" t="inlineStr">
        <is>
          <t>Dimercaprol (BAL) 3 mg/kg IM</t>
        </is>
      </c>
      <c r="H2257" s="18" t="inlineStr">
        <is>
          <t>Ethanol 10% IV infusion for Methanol poisoning</t>
        </is>
      </c>
      <c r="I2257" s="15" t="inlineStr">
        <is>
          <t>1</t>
        </is>
      </c>
      <c r="J22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7" s="18" t="inlineStr"/>
      <c r="L2257" s="18" t="inlineStr">
        <is>
          <t>General Therapeutics</t>
        </is>
      </c>
      <c r="M2257" s="18" t="inlineStr">
        <is>
          <t>Clinic</t>
        </is>
      </c>
      <c r="N2257" s="18" t="inlineStr">
        <is>
          <t>ข้อ 2 (PLE_CC1_Key_Rx20_UBU.md)</t>
        </is>
      </c>
      <c r="O2257" s="18" t="inlineStr">
        <is>
          <t>Mock</t>
        </is>
      </c>
      <c r="P2257" s="18" t="inlineStr">
        <is>
          <t>Mock Rx20 UBU</t>
        </is>
      </c>
    </row>
    <row r="2258">
      <c r="A2258" s="15" t="inlineStr">
        <is>
          <t>2279</t>
        </is>
      </c>
      <c r="B2258" s="18" t="inlineStr">
        <is>
          <t>ยับยั้งการสังเคราะห DNA</t>
        </is>
      </c>
      <c r="C2258" s="18" t="inlineStr"/>
      <c r="D2258" s="18" t="inlineStr">
        <is>
          <t>Dimercaprol (BAL) 3 mg/kg IM</t>
        </is>
      </c>
      <c r="E2258" s="18" t="inlineStr">
        <is>
          <t>Ethanol 10% IV infusion for Methanol poisoning</t>
        </is>
      </c>
      <c r="F2258" s="18" t="inlineStr">
        <is>
          <t>Fomepizole 15 mg/kg IV loading</t>
        </is>
      </c>
      <c r="G2258" s="18" t="inlineStr">
        <is>
          <t>N-acetylcysteine (NAC) IV infusion protocol</t>
        </is>
      </c>
      <c r="H2258" s="18" t="inlineStr">
        <is>
          <t>Atropine sulfate 2 mg IV Q5-10 min</t>
        </is>
      </c>
      <c r="I2258" s="15" t="inlineStr">
        <is>
          <t>1</t>
        </is>
      </c>
      <c r="J22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8" s="18" t="inlineStr"/>
      <c r="L2258" s="18" t="inlineStr">
        <is>
          <t>General Therapeutics</t>
        </is>
      </c>
      <c r="M2258" s="18" t="inlineStr">
        <is>
          <t>Clinic</t>
        </is>
      </c>
      <c r="N2258" s="18" t="inlineStr">
        <is>
          <t>ข้อ 4 (PLE_CC1_Key_Rx20_UBU.md)</t>
        </is>
      </c>
      <c r="O2258" s="18" t="inlineStr">
        <is>
          <t>Mock</t>
        </is>
      </c>
      <c r="P2258" s="18" t="inlineStr">
        <is>
          <t>Mock Rx20 UBU</t>
        </is>
      </c>
    </row>
    <row r="2259">
      <c r="A2259" s="15" t="inlineStr">
        <is>
          <t>2280</t>
        </is>
      </c>
      <c r="B2259" s="18" t="inlineStr">
        <is>
          <t>เตรียมยาเหน็บช่องคลอดของยา Clotrimazole ขนาด 0.1 กรัม/แท่ง จำนวน 1 แท่ง ยาเหน็บ PEG เปล่าแท่งละ 2.5 กรัม จะต้องใช้ PEG Base หนักเท่าใด ยามีคา DV = 1 (ความหนาแนน PEG = 1.2 เท่าของ Theobroma oil)</t>
        </is>
      </c>
      <c r="C2259" s="18" t="inlineStr"/>
      <c r="D2259" s="18" t="inlineStr">
        <is>
          <t>Cetirizine 10 mg OD</t>
        </is>
      </c>
      <c r="E2259" s="18" t="inlineStr">
        <is>
          <t>Isotretinoin 10 mg OD</t>
        </is>
      </c>
      <c r="F2259" s="18" t="inlineStr">
        <is>
          <t>Terbinafine 1% cream</t>
        </is>
      </c>
      <c r="G2259" s="18" t="inlineStr">
        <is>
          <t>Adapalene 0.1% gel</t>
        </is>
      </c>
      <c r="H2259" s="18" t="inlineStr">
        <is>
          <t>Mupirocin 2% ointment</t>
        </is>
      </c>
      <c r="I2259" s="15" t="inlineStr">
        <is>
          <t>1</t>
        </is>
      </c>
      <c r="J2259" s="18"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59" s="18" t="inlineStr"/>
      <c r="L2259" s="18" t="inlineStr">
        <is>
          <t>Dermatologic Disorders</t>
        </is>
      </c>
      <c r="M2259" s="18" t="inlineStr">
        <is>
          <t>Clinic</t>
        </is>
      </c>
      <c r="N2259" s="18" t="inlineStr">
        <is>
          <t>ข้อ 7 (PLE_CC1_Key_Rx20_UBU.md)</t>
        </is>
      </c>
      <c r="O2259" s="18" t="inlineStr">
        <is>
          <t>Mock</t>
        </is>
      </c>
      <c r="P2259" s="18" t="inlineStr">
        <is>
          <t>Mock Rx20 UBU</t>
        </is>
      </c>
    </row>
    <row r="2260">
      <c r="A2260" s="15" t="inlineStr">
        <is>
          <t>2281</t>
        </is>
      </c>
      <c r="B2260" s="18" t="inlineStr">
        <is>
          <t>MockenhauptM,ViboudC,DunantA,etal.Stevens- Johnsonsyndromeandtoxicepidermalnecrolysis:assessmentofmedication risks with emphasis on recent marketed drugs. The EuroSCAR-study. J InvestDermatol 2008;128:35-44.</t>
        </is>
      </c>
      <c r="C2260" s="18" t="inlineStr"/>
      <c r="D2260" s="18" t="inlineStr">
        <is>
          <t>Naloxone 0.4 mg IV stat</t>
        </is>
      </c>
      <c r="E2260" s="18" t="inlineStr">
        <is>
          <t>Flumazenil 0.2 mg IV stat</t>
        </is>
      </c>
      <c r="F2260" s="18" t="inlineStr">
        <is>
          <t>Vitamin K1 (Phytomenadione) 10 mg IV slow</t>
        </is>
      </c>
      <c r="G2260" s="18" t="inlineStr">
        <is>
          <t>Sodium thiosulfate 25% 50 mL IV</t>
        </is>
      </c>
      <c r="H2260" s="18" t="inlineStr">
        <is>
          <t>Calcium disodium EDTA 1 g IV</t>
        </is>
      </c>
      <c r="I2260" s="15" t="inlineStr">
        <is>
          <t>1</t>
        </is>
      </c>
      <c r="J2260" s="18"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0" s="18" t="inlineStr"/>
      <c r="L2260" s="18" t="inlineStr">
        <is>
          <t>Toxicology &amp; Antidote</t>
        </is>
      </c>
      <c r="M2260" s="18" t="inlineStr">
        <is>
          <t>Clinic</t>
        </is>
      </c>
      <c r="N2260" s="18" t="inlineStr">
        <is>
          <t>ข้อ 2 (PLE_CC1_Key_Rx20_UBU.md)</t>
        </is>
      </c>
      <c r="O2260" s="18" t="inlineStr">
        <is>
          <t>Mock</t>
        </is>
      </c>
      <c r="P2260" s="18" t="inlineStr">
        <is>
          <t>Mock Rx20 UBU</t>
        </is>
      </c>
    </row>
    <row r="2261">
      <c r="A2261" s="15" t="inlineStr">
        <is>
          <t>2282</t>
        </is>
      </c>
      <c r="B2261" s="18" t="inlineStr">
        <is>
          <t>ได้รับยาท่ีมีอุบัติการณ์ของการเกิด TEN มาก</t>
        </is>
      </c>
      <c r="C2261" s="18" t="inlineStr"/>
      <c r="D2261" s="18" t="inlineStr">
        <is>
          <t>Epinephrine 0.3 mg IM stat</t>
        </is>
      </c>
      <c r="E2261" s="18" t="inlineStr">
        <is>
          <t>Dexamethasone 4 mg IV</t>
        </is>
      </c>
      <c r="F2261" s="18" t="inlineStr">
        <is>
          <t>Prednisolone 20 mg OD</t>
        </is>
      </c>
      <c r="G2261" s="18" t="inlineStr">
        <is>
          <t>Montelukast 10 mg HS</t>
        </is>
      </c>
      <c r="H2261" s="18" t="inlineStr">
        <is>
          <t>Hydroxyzine 25 mg HS</t>
        </is>
      </c>
      <c r="I2261" s="15" t="inlineStr">
        <is>
          <t>1</t>
        </is>
      </c>
      <c r="J2261" s="18"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1" s="18" t="inlineStr"/>
      <c r="L2261" s="18" t="inlineStr">
        <is>
          <t>Allergy &amp; Immunology</t>
        </is>
      </c>
      <c r="M2261" s="18" t="inlineStr">
        <is>
          <t>Clinic</t>
        </is>
      </c>
      <c r="N2261" s="18" t="inlineStr">
        <is>
          <t>ข้อ 3 (PLE_CC1_Key_Rx20_UBU.md)</t>
        </is>
      </c>
      <c r="O2261" s="18" t="inlineStr">
        <is>
          <t>Mock</t>
        </is>
      </c>
      <c r="P2261" s="18" t="inlineStr">
        <is>
          <t>Mock Rx20 UBU</t>
        </is>
      </c>
    </row>
    <row r="2262">
      <c r="A2262" s="15" t="inlineStr">
        <is>
          <t>2283</t>
        </is>
      </c>
      <c r="B2262" s="18" t="inlineStr">
        <is>
          <t>2 สัปดาห์ก่อนมาโรงพยาบาลมีไข้ เจ็บคอ ปวดเมื่อยตามตัว</t>
        </is>
      </c>
      <c r="C2262" s="18" t="inlineStr"/>
      <c r="D2262" s="18" t="inlineStr">
        <is>
          <t>Dimercaprol (BAL) 3 mg/kg IM</t>
        </is>
      </c>
      <c r="E2262" s="18" t="inlineStr">
        <is>
          <t>Ethanol 10% IV infusion for Methanol poisoning</t>
        </is>
      </c>
      <c r="F2262" s="18" t="inlineStr">
        <is>
          <t>Fomepizole 15 mg/kg IV loading</t>
        </is>
      </c>
      <c r="G2262" s="18" t="inlineStr">
        <is>
          <t>N-acetylcysteine (NAC) IV infusion protocol</t>
        </is>
      </c>
      <c r="H2262" s="18" t="inlineStr">
        <is>
          <t>Atropine sulfate 2 mg IV Q5-10 min</t>
        </is>
      </c>
      <c r="I2262" s="15" t="inlineStr">
        <is>
          <t>1</t>
        </is>
      </c>
      <c r="J22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2" s="18" t="inlineStr"/>
      <c r="L2262" s="18" t="inlineStr">
        <is>
          <t>General Therapeutics</t>
        </is>
      </c>
      <c r="M2262" s="18" t="inlineStr">
        <is>
          <t>Clinic</t>
        </is>
      </c>
      <c r="N2262" s="18" t="inlineStr">
        <is>
          <t>ข้อ 4 (PLE_CC1_Key_Rx20_UBU.md)</t>
        </is>
      </c>
      <c r="O2262" s="18" t="inlineStr">
        <is>
          <t>Mock</t>
        </is>
      </c>
      <c r="P2262" s="18" t="inlineStr">
        <is>
          <t>Mock Rx20 UBU</t>
        </is>
      </c>
    </row>
    <row r="2263">
      <c r="A2263" s="15" t="inlineStr">
        <is>
          <t>2284</t>
        </is>
      </c>
      <c r="B2263" s="18" t="inlineStr">
        <is>
          <t>ผู้ป่วยได้ cloxacillin แล้วมีอาการแสบบริเวณเส้นท่ีให้ยา ข้อใดถูกต้อง</t>
        </is>
      </c>
      <c r="C2263" s="18" t="inlineStr"/>
      <c r="D2263" s="18" t="inlineStr">
        <is>
          <t>Ceftriaxone 1 g IV OD</t>
        </is>
      </c>
      <c r="E2263" s="18" t="inlineStr">
        <is>
          <t>Ciprofloxacin 500 mg BID</t>
        </is>
      </c>
      <c r="F2263" s="18" t="inlineStr">
        <is>
          <t>Azithromycin 500 mg OD</t>
        </is>
      </c>
      <c r="G2263" s="18" t="inlineStr">
        <is>
          <t>Doxycycline 100 mg BID</t>
        </is>
      </c>
      <c r="H2263" s="18" t="inlineStr">
        <is>
          <t>Cotrimoxazole 160/800 mg BID</t>
        </is>
      </c>
      <c r="I2263" s="15" t="inlineStr">
        <is>
          <t>1</t>
        </is>
      </c>
      <c r="J2263" s="18"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3" s="18" t="inlineStr"/>
      <c r="L2263" s="18" t="inlineStr">
        <is>
          <t>Infectious Diseases</t>
        </is>
      </c>
      <c r="M2263" s="18" t="inlineStr">
        <is>
          <t>Clinic</t>
        </is>
      </c>
      <c r="N2263" s="18" t="inlineStr">
        <is>
          <t>ข้อ 3 (PLE_CC1_Key_Rx20_UBU.md)</t>
        </is>
      </c>
      <c r="O2263" s="18" t="inlineStr">
        <is>
          <t>Mock</t>
        </is>
      </c>
      <c r="P2263" s="18" t="inlineStr">
        <is>
          <t>Mock Rx20 UBU</t>
        </is>
      </c>
    </row>
    <row r="2264">
      <c r="A2264" s="15" t="inlineStr">
        <is>
          <t>2285</t>
        </is>
      </c>
      <c r="B2264" s="18" t="inlineStr">
        <is>
          <t>ไม่เป็นอาการไม่พึงประสงค์ เพราะเกิดจากการ ให้ยาผิด</t>
        </is>
      </c>
      <c r="C2264" s="18" t="inlineStr"/>
      <c r="D2264" s="18" t="inlineStr">
        <is>
          <t>Naloxone 0.4 mg IV stat</t>
        </is>
      </c>
      <c r="E2264" s="18" t="inlineStr">
        <is>
          <t>Flumazenil 0.2 mg IV stat</t>
        </is>
      </c>
      <c r="F2264" s="18" t="inlineStr">
        <is>
          <t>Vitamin K1 (Phytomenadione) 10 mg IV slow</t>
        </is>
      </c>
      <c r="G2264" s="18" t="inlineStr">
        <is>
          <t>Sodium thiosulfate 25% 50 mL IV</t>
        </is>
      </c>
      <c r="H2264" s="18" t="inlineStr">
        <is>
          <t>Calcium disodium EDTA 1 g IV</t>
        </is>
      </c>
      <c r="I2264" s="15" t="inlineStr">
        <is>
          <t>1</t>
        </is>
      </c>
      <c r="J22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4" s="18" t="inlineStr"/>
      <c r="L2264" s="18" t="inlineStr">
        <is>
          <t>General Therapeutics</t>
        </is>
      </c>
      <c r="M2264" s="18" t="inlineStr">
        <is>
          <t>Clinic</t>
        </is>
      </c>
      <c r="N2264" s="18" t="inlineStr">
        <is>
          <t>ข้อ 1 (PLE_CC1_Key_Rx20_UBU.md)</t>
        </is>
      </c>
      <c r="O2264" s="18" t="inlineStr">
        <is>
          <t>Mock</t>
        </is>
      </c>
      <c r="P2264" s="18" t="inlineStr">
        <is>
          <t>Mock Rx20 UBU</t>
        </is>
      </c>
    </row>
    <row r="2265">
      <c r="A2265" s="15" t="inlineStr">
        <is>
          <t>2286</t>
        </is>
      </c>
      <c r="B2265" s="18" t="inlineStr">
        <is>
          <t>ไม่เป็นอาการไม่พึงประสงค์ ....</t>
        </is>
      </c>
      <c r="C2265" s="18" t="inlineStr"/>
      <c r="D2265" s="18" t="inlineStr">
        <is>
          <t>Sodium thiosulfate 25% 50 mL IV</t>
        </is>
      </c>
      <c r="E2265" s="18" t="inlineStr">
        <is>
          <t>Calcium disodium EDTA 1 g IV</t>
        </is>
      </c>
      <c r="F2265" s="18" t="inlineStr">
        <is>
          <t>Desferrioxamine 1 g IM/IV</t>
        </is>
      </c>
      <c r="G2265" s="18" t="inlineStr">
        <is>
          <t>Dimercaprol (BAL) 3 mg/kg IM</t>
        </is>
      </c>
      <c r="H2265" s="18" t="inlineStr">
        <is>
          <t>Ethanol 10% IV infusion for Methanol poisoning</t>
        </is>
      </c>
      <c r="I2265" s="15" t="inlineStr">
        <is>
          <t>1</t>
        </is>
      </c>
      <c r="J22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5" s="18" t="inlineStr"/>
      <c r="L2265" s="18" t="inlineStr">
        <is>
          <t>General Therapeutics</t>
        </is>
      </c>
      <c r="M2265" s="18" t="inlineStr">
        <is>
          <t>Clinic</t>
        </is>
      </c>
      <c r="N2265" s="18" t="inlineStr">
        <is>
          <t>ข้อ 2 (PLE_CC1_Key_Rx20_UBU.md)</t>
        </is>
      </c>
      <c r="O2265" s="18" t="inlineStr">
        <is>
          <t>Mock</t>
        </is>
      </c>
      <c r="P2265" s="18" t="inlineStr">
        <is>
          <t>Mock Rx20 UBU</t>
        </is>
      </c>
    </row>
    <row r="2266">
      <c r="A2266" s="15" t="inlineStr">
        <is>
          <t>2287</t>
        </is>
      </c>
      <c r="B2266" s="18" t="inlineStr">
        <is>
          <t>เป็นอาการไม่พึงประสงค์ท่ีไม่สามารถป้องกันได้เพราะยา cloxacillin มีความเป็นกรด</t>
        </is>
      </c>
      <c r="C2266" s="18" t="inlineStr"/>
      <c r="D2266" s="18" t="inlineStr">
        <is>
          <t>Vancomycin 1 g IV Q12H</t>
        </is>
      </c>
      <c r="E2266" s="18" t="inlineStr">
        <is>
          <t>Meropenem 1 g IV Q8H</t>
        </is>
      </c>
      <c r="F2266" s="18" t="inlineStr">
        <is>
          <t>Cefazolin 1 g IV Q8H</t>
        </is>
      </c>
      <c r="G2266" s="18" t="inlineStr">
        <is>
          <t>Amoxicillin/Clavulanate 1 g BID</t>
        </is>
      </c>
      <c r="H2266" s="18" t="inlineStr">
        <is>
          <t>Ceftriaxone 1 g IV OD</t>
        </is>
      </c>
      <c r="I2266" s="15" t="inlineStr">
        <is>
          <t>1</t>
        </is>
      </c>
      <c r="J2266" s="18"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266" s="18" t="inlineStr"/>
      <c r="L2266" s="18" t="inlineStr">
        <is>
          <t>Infectious Diseases</t>
        </is>
      </c>
      <c r="M2266" s="18" t="inlineStr">
        <is>
          <t>Clinic</t>
        </is>
      </c>
      <c r="N2266" s="18" t="inlineStr">
        <is>
          <t>ข้อ 3 (PLE_CC1_Key_Rx20_UBU.md)</t>
        </is>
      </c>
      <c r="O2266" s="18" t="inlineStr">
        <is>
          <t>Mock</t>
        </is>
      </c>
      <c r="P2266" s="18" t="inlineStr">
        <is>
          <t>Mock Rx20 UBU</t>
        </is>
      </c>
    </row>
    <row r="2267">
      <c r="A2267" s="15" t="inlineStr">
        <is>
          <t>2288</t>
        </is>
      </c>
      <c r="B2267" s="18" t="inlineStr">
        <is>
          <t>เป็นอาการไม่พึงประสงค์ที่ไม่สามารถป้องกันได้เพราะเกิดได้อยู่แล้วจากการให้ยาน้ี</t>
        </is>
      </c>
      <c r="C2267" s="18" t="inlineStr"/>
      <c r="D2267" s="18" t="inlineStr">
        <is>
          <t>N-acetylcysteine (NAC) IV infusion protocol</t>
        </is>
      </c>
      <c r="E2267" s="18" t="inlineStr">
        <is>
          <t>Atropine sulfate 2 mg IV Q5-10 min</t>
        </is>
      </c>
      <c r="F2267" s="18" t="inlineStr">
        <is>
          <t>Pralidoxime (2-PAM) 1-2 g IV over 30 min</t>
        </is>
      </c>
      <c r="G2267" s="18" t="inlineStr">
        <is>
          <t>Naloxone 0.4 mg IV stat</t>
        </is>
      </c>
      <c r="H2267" s="18" t="inlineStr">
        <is>
          <t>Flumazenil 0.2 mg IV stat</t>
        </is>
      </c>
      <c r="I2267" s="15" t="inlineStr">
        <is>
          <t>1</t>
        </is>
      </c>
      <c r="J22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67" s="18" t="inlineStr"/>
      <c r="L2267" s="18" t="inlineStr">
        <is>
          <t>General Therapeutics</t>
        </is>
      </c>
      <c r="M2267" s="18" t="inlineStr">
        <is>
          <t>Clinic</t>
        </is>
      </c>
      <c r="N2267" s="18" t="inlineStr">
        <is>
          <t>ข้อ 4 (PLE_CC1_Key_Rx20_UBU.md)</t>
        </is>
      </c>
      <c r="O2267" s="18" t="inlineStr">
        <is>
          <t>Mock</t>
        </is>
      </c>
      <c r="P2267" s="18" t="inlineStr">
        <is>
          <t>Mock Rx20 UBU</t>
        </is>
      </c>
    </row>
    <row r="2268">
      <c r="A2268" s="15" t="inlineStr">
        <is>
          <t>2289</t>
        </is>
      </c>
      <c r="B2268" s="18" t="inlineStr">
        <is>
          <t>เป็นอาการไม่พึงประสงค์ท่ีสามารถป้องกันได้โดยให้ยาแบบ IV infusion 30-60 นาที</t>
        </is>
      </c>
      <c r="C2268" s="18" t="inlineStr"/>
      <c r="D2268" s="18" t="inlineStr">
        <is>
          <t>Naloxone 0.4 mg IV stat</t>
        </is>
      </c>
      <c r="E2268" s="18" t="inlineStr">
        <is>
          <t>Flumazenil 0.2 mg IV stat</t>
        </is>
      </c>
      <c r="F2268" s="18" t="inlineStr">
        <is>
          <t>Vitamin K1 (Phytomenadione) 10 mg IV slow</t>
        </is>
      </c>
      <c r="G2268" s="18" t="inlineStr">
        <is>
          <t>Sodium thiosulfate 25% 50 mL IV</t>
        </is>
      </c>
      <c r="H2268" s="18" t="inlineStr">
        <is>
          <t>Calcium disodium EDTA 1 g IV</t>
        </is>
      </c>
      <c r="I2268" s="15" t="inlineStr">
        <is>
          <t>1</t>
        </is>
      </c>
      <c r="J22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8" s="18" t="inlineStr"/>
      <c r="L2268" s="18" t="inlineStr">
        <is>
          <t>General Therapeutics</t>
        </is>
      </c>
      <c r="M2268" s="18" t="inlineStr">
        <is>
          <t>Clinic</t>
        </is>
      </c>
      <c r="N2268" s="18" t="inlineStr">
        <is>
          <t>ข้อ 5 (PLE_CC1_Key_Rx20_UBU.md)</t>
        </is>
      </c>
      <c r="O2268" s="18" t="inlineStr">
        <is>
          <t>Mock</t>
        </is>
      </c>
      <c r="P2268" s="18" t="inlineStr">
        <is>
          <t>Mock Rx20 UBU</t>
        </is>
      </c>
    </row>
    <row r="2269">
      <c r="A2269" s="15" t="inlineStr">
        <is>
          <t>2290</t>
        </is>
      </c>
      <c r="B2269" s="18" t="inlineStr">
        <is>
          <t>การเกิดอาการไม่พึงประสงค์ของผู้ป่วยตาม NCC MERP จัดอยู่ในระดับใด</t>
        </is>
      </c>
      <c r="C2269" s="18" t="inlineStr"/>
      <c r="D2269" s="18" t="inlineStr">
        <is>
          <t>Sodium thiosulfate 25% 50 mL IV</t>
        </is>
      </c>
      <c r="E2269" s="18" t="inlineStr">
        <is>
          <t>Calcium disodium EDTA 1 g IV</t>
        </is>
      </c>
      <c r="F2269" s="18" t="inlineStr">
        <is>
          <t>Desferrioxamine 1 g IM/IV</t>
        </is>
      </c>
      <c r="G2269" s="18" t="inlineStr">
        <is>
          <t>Dimercaprol (BAL) 3 mg/kg IM</t>
        </is>
      </c>
      <c r="H2269" s="18" t="inlineStr">
        <is>
          <t>Ethanol 10% IV infusion for Methanol poisoning</t>
        </is>
      </c>
      <c r="I2269" s="15" t="inlineStr">
        <is>
          <t>1</t>
        </is>
      </c>
      <c r="J22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9" s="18" t="inlineStr"/>
      <c r="L2269" s="18" t="inlineStr">
        <is>
          <t>General Therapeutics</t>
        </is>
      </c>
      <c r="M2269" s="18" t="inlineStr">
        <is>
          <t>Clinic</t>
        </is>
      </c>
      <c r="N2269" s="18" t="inlineStr">
        <is>
          <t>ข้อ 4 (PLE_CC1_Key_Rx20_UBU.md)</t>
        </is>
      </c>
      <c r="O2269" s="18" t="inlineStr">
        <is>
          <t>Mock</t>
        </is>
      </c>
      <c r="P2269" s="18" t="inlineStr">
        <is>
          <t>Mock Rx20 UBU</t>
        </is>
      </c>
    </row>
    <row r="2270">
      <c r="A2270" s="15" t="inlineStr">
        <is>
          <t>2291</t>
        </is>
      </c>
      <c r="B2270" s="18" t="inlineStr">
        <is>
          <t>I แบ่งประเภทตามระดับความรุนแรงของความคลาดเคลื่อนทาง ยาที่ส่งผลต่อผู้ป่วยตามเกณฑ์ของ The National Coordinating Council for Medication Error Reporting and Prevention (NCC MERP) โดยกำหนดการแบ่งเป็น 9 ระดับต้ังแต่ A-I ดังน้ี Harm ความหมาย A ไม่มีความคลาดเคลื่อนเกิดขึ้น แต่มีเหตุการณ์ที่อาจทำให้เกิดความคลาดเคลื่อนได้ B มีความคลาดเคลื่อนเกิดขึ้น แต่ไม่เป็นอันตรายต่อผู้ป่วย เนื่องจากความคลาดเคลื่อนไปไม่ถึงผู้ป่วย C มีความคลาดเคลื่อนเกิดข้ึน แต่ไม่เป็นอันตรายต่อผู้ป่วย ถึงแม้ว่าความคลาดเคลื่อนนั้นจะไปถึงผู้ป่วย D มีความคลาดเคลื่อนเกิดข้ึน แม้ไม่เป็นอันตรายต่อผู้ป่วย แต่ยังจำเป็นต้องมีการติดตามผู้ป่วยเพิ่มเติม E มีความคลาดเคลื่อนเกิดขึ้น และเป็นอันตรายต่อผู้ป่วยเพียงชั่วคราวรวมถึงจำเป็นต้องได้รับการ รักษา หรือแก้ไขเพิ่มเติม F มีความคลาดเคลื่อนเกิดขึ้น และเป็นอันตรายต่อผู้ป่วยเพียงชั่วคราวรวมถึงจำเป็นต้องได้รับการ รักษาในโรงพยาบาล หรือยืดระยะเวลาในการรักษาตัวในโรงพยาบาลออกไป G มีความคลาดเคลื่อนเกิดขึ้น และเป็นอันตรายต่อผู้ป่วยถาวร มีความพิการถาวร H มีความคลาดเคลื่อนเกิดขึ้น และเป็นอันตรายต่อผู้ป่วยจนเกือบถึงแก่ชีวิต ex.ต้อง CPR I มีความคลาดเคลื่อนเกิดขึ้น และเป็นอันตรายต่อผู้ป่วยจนถึงแก่ชีวิต</t>
        </is>
      </c>
      <c r="C2270" s="18" t="inlineStr"/>
      <c r="D2270" s="18" t="inlineStr">
        <is>
          <t>Dimercaprol (BAL) 3 mg/kg IM</t>
        </is>
      </c>
      <c r="E2270" s="18" t="inlineStr">
        <is>
          <t>Ethanol 10% IV infusion for Methanol poisoning</t>
        </is>
      </c>
      <c r="F2270" s="18" t="inlineStr">
        <is>
          <t>Fomepizole 15 mg/kg IV loading</t>
        </is>
      </c>
      <c r="G2270" s="18" t="inlineStr">
        <is>
          <t>N-acetylcysteine (NAC) IV infusion protocol</t>
        </is>
      </c>
      <c r="H2270" s="18" t="inlineStr">
        <is>
          <t>Atropine sulfate 2 mg IV Q5-10 min</t>
        </is>
      </c>
      <c r="I2270" s="15" t="inlineStr">
        <is>
          <t>1</t>
        </is>
      </c>
      <c r="J22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70" s="18" t="inlineStr"/>
      <c r="L2270" s="18" t="inlineStr">
        <is>
          <t>General Therapeutics</t>
        </is>
      </c>
      <c r="M2270" s="18" t="inlineStr">
        <is>
          <t>Clinic</t>
        </is>
      </c>
      <c r="N2270" s="18" t="inlineStr">
        <is>
          <t>ข้อ 5 (PLE_CC1_Key_Rx20_UBU.md)</t>
        </is>
      </c>
      <c r="O2270" s="18" t="inlineStr">
        <is>
          <t>Mock</t>
        </is>
      </c>
      <c r="P2270" s="18" t="inlineStr">
        <is>
          <t>Mock Rx20 UBU</t>
        </is>
      </c>
    </row>
    <row r="2271">
      <c r="A2271" s="15" t="inlineStr">
        <is>
          <t>2292</t>
        </is>
      </c>
      <c r="B2271" s="18" t="inlineStr">
        <is>
          <t>อาการไม่พึงประสงค์ของผู้ป่วยจัดเป็นการแพ้ยาแบบใด</t>
        </is>
      </c>
      <c r="C2271" s="18" t="inlineStr"/>
      <c r="D2271" s="18" t="inlineStr">
        <is>
          <t>Cetirizine 10 mg OD</t>
        </is>
      </c>
      <c r="E2271" s="18" t="inlineStr">
        <is>
          <t>Loratadine 10 mg OD</t>
        </is>
      </c>
      <c r="F2271" s="18" t="inlineStr">
        <is>
          <t>Fexofenadine 180 mg OD</t>
        </is>
      </c>
      <c r="G2271" s="18" t="inlineStr">
        <is>
          <t>Chlorpheniramine 4 mg TID</t>
        </is>
      </c>
      <c r="H2271" s="18" t="inlineStr">
        <is>
          <t>Fluticasone furoate nasal spray</t>
        </is>
      </c>
      <c r="I2271" s="15" t="inlineStr">
        <is>
          <t>1</t>
        </is>
      </c>
      <c r="J2271" s="18"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1" s="18" t="inlineStr"/>
      <c r="L2271" s="18" t="inlineStr">
        <is>
          <t>Allergy &amp; Immunology</t>
        </is>
      </c>
      <c r="M2271" s="18" t="inlineStr">
        <is>
          <t>Clinic</t>
        </is>
      </c>
      <c r="N2271" s="18" t="inlineStr">
        <is>
          <t>ข้อ 5 (PLE_CC1_Key_Rx20_UBU.md)</t>
        </is>
      </c>
      <c r="O2271" s="18" t="inlineStr">
        <is>
          <t>Mock</t>
        </is>
      </c>
      <c r="P2271" s="18" t="inlineStr">
        <is>
          <t>Mock Rx20 UBU</t>
        </is>
      </c>
    </row>
    <row r="2272">
      <c r="A2272" s="15" t="inlineStr">
        <is>
          <t>2293</t>
        </is>
      </c>
      <c r="B2272" s="18" t="inlineStr">
        <is>
          <t>ถ้าผู้ป่วยแพ้โปรตีนจากสัตว์ทุกประเภทห้ามใช้ผลิตภัณฑ์จากธรรมชาติในข้อใด</t>
        </is>
      </c>
      <c r="C2272" s="18" t="inlineStr"/>
      <c r="D2272" s="18" t="inlineStr">
        <is>
          <t>Naloxone 0.4 mg IV stat</t>
        </is>
      </c>
      <c r="E2272" s="18" t="inlineStr">
        <is>
          <t>Flumazenil 0.2 mg IV stat</t>
        </is>
      </c>
      <c r="F2272" s="18" t="inlineStr">
        <is>
          <t>Vitamin K1 (Phytomenadione) 10 mg IV slow</t>
        </is>
      </c>
      <c r="G2272" s="18" t="inlineStr">
        <is>
          <t>Sodium thiosulfate 25% 50 mL IV</t>
        </is>
      </c>
      <c r="H2272" s="18" t="inlineStr">
        <is>
          <t>Calcium disodium EDTA 1 g IV</t>
        </is>
      </c>
      <c r="I2272" s="15" t="inlineStr">
        <is>
          <t>1</t>
        </is>
      </c>
      <c r="J22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2" s="18" t="inlineStr"/>
      <c r="L2272" s="18" t="inlineStr">
        <is>
          <t>General Therapeutics</t>
        </is>
      </c>
      <c r="M2272" s="18" t="inlineStr">
        <is>
          <t>Clinic</t>
        </is>
      </c>
      <c r="N2272" s="18" t="inlineStr">
        <is>
          <t>ข้อ 6 (PLE_CC1_Key_Rx20_UBU.md)</t>
        </is>
      </c>
      <c r="O2272" s="18" t="inlineStr">
        <is>
          <t>Mock</t>
        </is>
      </c>
      <c r="P2272" s="18" t="inlineStr">
        <is>
          <t>Mock Rx20 UBU</t>
        </is>
      </c>
    </row>
    <row r="2273">
      <c r="A2273" s="15" t="inlineStr">
        <is>
          <t>2294</t>
        </is>
      </c>
      <c r="B2273" s="18" t="inlineStr">
        <is>
          <t>หากต้องการเตรียม hydrophilic colloid ท่ีมีประจุ บวกควรเลือกใช้ polymer ตัวใด</t>
        </is>
      </c>
      <c r="C2273" s="18" t="inlineStr"/>
      <c r="D2273" s="18" t="inlineStr">
        <is>
          <t>Sodium thiosulfate 25% 50 mL IV</t>
        </is>
      </c>
      <c r="E2273" s="18" t="inlineStr">
        <is>
          <t>Calcium disodium EDTA 1 g IV</t>
        </is>
      </c>
      <c r="F2273" s="18" t="inlineStr">
        <is>
          <t>Desferrioxamine 1 g IM/IV</t>
        </is>
      </c>
      <c r="G2273" s="18" t="inlineStr">
        <is>
          <t>Dimercaprol (BAL) 3 mg/kg IM</t>
        </is>
      </c>
      <c r="H2273" s="18" t="inlineStr">
        <is>
          <t>Ethanol 10% IV infusion for Methanol poisoning</t>
        </is>
      </c>
      <c r="I2273" s="15" t="inlineStr">
        <is>
          <t>1</t>
        </is>
      </c>
      <c r="J22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3" s="18" t="inlineStr"/>
      <c r="L2273" s="18" t="inlineStr">
        <is>
          <t>General Therapeutics</t>
        </is>
      </c>
      <c r="M2273" s="18" t="inlineStr">
        <is>
          <t>Clinic</t>
        </is>
      </c>
      <c r="N2273" s="18" t="inlineStr">
        <is>
          <t>ข้อ 7 (PLE_CC1_Key_Rx20_UBU.md)</t>
        </is>
      </c>
      <c r="O2273" s="18" t="inlineStr">
        <is>
          <t>Mock</t>
        </is>
      </c>
      <c r="P2273" s="18" t="inlineStr">
        <is>
          <t>Mock Rx20 UBU</t>
        </is>
      </c>
    </row>
    <row r="2274">
      <c r="A2274" s="15" t="inlineStr">
        <is>
          <t>2295</t>
        </is>
      </c>
      <c r="B2274" s="18" t="inlineStr">
        <is>
          <t>ค่าสูบบุหรี่ pack-year เท่ากับ 40 ถูกต้อง คำนวณ Packed per year = จำนวนซอง x จำนวนปีที่สูบ (1ซองมี 20 มวน) -- &gt; 1ซอง x (70-25- 5 ปี) = 40</t>
        </is>
      </c>
      <c r="C2274" s="18" t="inlineStr"/>
      <c r="D2274" s="18" t="inlineStr">
        <is>
          <t>Montelukast 10 mg HS</t>
        </is>
      </c>
      <c r="E2274" s="18" t="inlineStr">
        <is>
          <t>Theophylline 200 mg BID</t>
        </is>
      </c>
      <c r="F2274" s="18" t="inlineStr">
        <is>
          <t>Prednisolone 40 mg OD x 5 days</t>
        </is>
      </c>
      <c r="G2274" s="18" t="inlineStr">
        <is>
          <t>N-acetylcysteine 600 mg OD</t>
        </is>
      </c>
      <c r="H2274" s="18" t="inlineStr">
        <is>
          <t>Beclomethasone MDI 100 mcg BID</t>
        </is>
      </c>
      <c r="I2274" s="15" t="inlineStr">
        <is>
          <t>1</t>
        </is>
      </c>
      <c r="J2274" s="18"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4" s="18" t="inlineStr"/>
      <c r="L2274" s="18" t="inlineStr">
        <is>
          <t>Pulmonary Diseases</t>
        </is>
      </c>
      <c r="M2274" s="18" t="inlineStr">
        <is>
          <t>Clinic</t>
        </is>
      </c>
      <c r="N2274" s="18" t="inlineStr">
        <is>
          <t>ข้อ 5 (PLE_CC1_Key_Rx20_UBU.md)</t>
        </is>
      </c>
      <c r="O2274" s="18" t="inlineStr">
        <is>
          <t>Mock</t>
        </is>
      </c>
      <c r="P2274" s="18" t="inlineStr">
        <is>
          <t>Mock Rx20 UBU</t>
        </is>
      </c>
    </row>
    <row r="2275">
      <c r="A2275" s="15" t="inlineStr">
        <is>
          <t>2296</t>
        </is>
      </c>
      <c r="B2275" s="18" t="inlineStr">
        <is>
          <t>หายใจมีเสียงวี๊ด</t>
        </is>
      </c>
      <c r="C2275" s="18" t="inlineStr"/>
      <c r="D2275" s="18" t="inlineStr">
        <is>
          <t>N-acetylcysteine (NAC) IV infusion protocol</t>
        </is>
      </c>
      <c r="E2275" s="18" t="inlineStr">
        <is>
          <t>Atropine sulfate 2 mg IV Q5-10 min</t>
        </is>
      </c>
      <c r="F2275" s="18" t="inlineStr">
        <is>
          <t>Pralidoxime (2-PAM) 1-2 g IV over 30 min</t>
        </is>
      </c>
      <c r="G2275" s="18" t="inlineStr">
        <is>
          <t>Naloxone 0.4 mg IV stat</t>
        </is>
      </c>
      <c r="H2275" s="18" t="inlineStr">
        <is>
          <t>Flumazenil 0.2 mg IV stat</t>
        </is>
      </c>
      <c r="I2275" s="15" t="inlineStr">
        <is>
          <t>1</t>
        </is>
      </c>
      <c r="J22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5" s="18" t="inlineStr"/>
      <c r="L2275" s="18" t="inlineStr">
        <is>
          <t>General Therapeutics</t>
        </is>
      </c>
      <c r="M2275" s="18" t="inlineStr">
        <is>
          <t>Clinic</t>
        </is>
      </c>
      <c r="N2275" s="18" t="inlineStr">
        <is>
          <t>ข้อ 2 (PLE_CC1_Key_Rx20_UBU.md)</t>
        </is>
      </c>
      <c r="O2275" s="18" t="inlineStr">
        <is>
          <t>Mock</t>
        </is>
      </c>
      <c r="P2275" s="18" t="inlineStr">
        <is>
          <t>Mock Rx20 UBU</t>
        </is>
      </c>
    </row>
    <row r="2276">
      <c r="A2276" s="15" t="inlineStr">
        <is>
          <t>2297</t>
        </is>
      </c>
      <c r="B2276" s="18" t="inlineStr">
        <is>
          <t>5 วันแล้วหยุดยา</t>
        </is>
      </c>
      <c r="C2276" s="18" t="inlineStr"/>
      <c r="D2276" s="18" t="inlineStr">
        <is>
          <t>Naloxone 0.4 mg IV stat</t>
        </is>
      </c>
      <c r="E2276" s="18" t="inlineStr">
        <is>
          <t>Flumazenil 0.2 mg IV stat</t>
        </is>
      </c>
      <c r="F2276" s="18" t="inlineStr">
        <is>
          <t>Vitamin K1 (Phytomenadione) 10 mg IV slow</t>
        </is>
      </c>
      <c r="G2276" s="18" t="inlineStr">
        <is>
          <t>Sodium thiosulfate 25% 50 mL IV</t>
        </is>
      </c>
      <c r="H2276" s="18" t="inlineStr">
        <is>
          <t>Calcium disodium EDTA 1 g IV</t>
        </is>
      </c>
      <c r="I2276" s="15" t="inlineStr">
        <is>
          <t>1</t>
        </is>
      </c>
      <c r="J22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6" s="18" t="inlineStr"/>
      <c r="L2276" s="18" t="inlineStr">
        <is>
          <t>General Therapeutics</t>
        </is>
      </c>
      <c r="M2276" s="18" t="inlineStr">
        <is>
          <t>Clinic</t>
        </is>
      </c>
      <c r="N2276" s="18" t="inlineStr">
        <is>
          <t>ข้อ 1 (PLE_CC1_Key_Rx20_UBU.md)</t>
        </is>
      </c>
      <c r="O2276" s="18" t="inlineStr">
        <is>
          <t>Mock</t>
        </is>
      </c>
      <c r="P2276" s="18" t="inlineStr">
        <is>
          <t>Mock Rx20 UBU</t>
        </is>
      </c>
    </row>
    <row r="2277">
      <c r="A2277" s="15" t="inlineStr">
        <is>
          <t>2298</t>
        </is>
      </c>
      <c r="B2277" s="18" t="inlineStr">
        <is>
          <t>21 วันแล้วหยุดยา</t>
        </is>
      </c>
      <c r="C2277" s="18" t="inlineStr"/>
      <c r="D2277" s="18" t="inlineStr">
        <is>
          <t>Sodium thiosulfate 25% 50 mL IV</t>
        </is>
      </c>
      <c r="E2277" s="18" t="inlineStr">
        <is>
          <t>Calcium disodium EDTA 1 g IV</t>
        </is>
      </c>
      <c r="F2277" s="18" t="inlineStr">
        <is>
          <t>Desferrioxamine 1 g IM/IV</t>
        </is>
      </c>
      <c r="G2277" s="18" t="inlineStr">
        <is>
          <t>Dimercaprol (BAL) 3 mg/kg IM</t>
        </is>
      </c>
      <c r="H2277" s="18" t="inlineStr">
        <is>
          <t>Ethanol 10% IV infusion for Methanol poisoning</t>
        </is>
      </c>
      <c r="I2277" s="15" t="inlineStr">
        <is>
          <t>1</t>
        </is>
      </c>
      <c r="J22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7" s="18" t="inlineStr"/>
      <c r="L2277" s="18" t="inlineStr">
        <is>
          <t>General Therapeutics</t>
        </is>
      </c>
      <c r="M2277" s="18" t="inlineStr">
        <is>
          <t>Clinic</t>
        </is>
      </c>
      <c r="N2277" s="18" t="inlineStr">
        <is>
          <t>ข้อ 2 (PLE_CC1_Key_Rx20_UBU.md)</t>
        </is>
      </c>
      <c r="O2277" s="18" t="inlineStr">
        <is>
          <t>Mock</t>
        </is>
      </c>
      <c r="P2277" s="18" t="inlineStr">
        <is>
          <t>Mock Rx20 UBU</t>
        </is>
      </c>
    </row>
    <row r="2278">
      <c r="A2278" s="15" t="inlineStr">
        <is>
          <t>2299</t>
        </is>
      </c>
      <c r="B2278" s="18" t="inlineStr">
        <is>
          <t>28 วันแล้วลดขนาดยาลง 10 %</t>
        </is>
      </c>
      <c r="C2278" s="18" t="inlineStr"/>
      <c r="D2278" s="18" t="inlineStr">
        <is>
          <t>Dimercaprol (BAL) 3 mg/kg IM</t>
        </is>
      </c>
      <c r="E2278" s="18" t="inlineStr">
        <is>
          <t>Ethanol 10% IV infusion for Methanol poisoning</t>
        </is>
      </c>
      <c r="F2278" s="18" t="inlineStr">
        <is>
          <t>Fomepizole 15 mg/kg IV loading</t>
        </is>
      </c>
      <c r="G2278" s="18" t="inlineStr">
        <is>
          <t>N-acetylcysteine (NAC) IV infusion protocol</t>
        </is>
      </c>
      <c r="H2278" s="18" t="inlineStr">
        <is>
          <t>Atropine sulfate 2 mg IV Q5-10 min</t>
        </is>
      </c>
      <c r="I2278" s="15" t="inlineStr">
        <is>
          <t>1</t>
        </is>
      </c>
      <c r="J22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8" s="18" t="inlineStr"/>
      <c r="L2278" s="18" t="inlineStr">
        <is>
          <t>General Therapeutics</t>
        </is>
      </c>
      <c r="M2278" s="18" t="inlineStr">
        <is>
          <t>Clinic</t>
        </is>
      </c>
      <c r="N2278" s="18" t="inlineStr">
        <is>
          <t>ข้อ 3 (PLE_CC1_Key_Rx20_UBU.md)</t>
        </is>
      </c>
      <c r="O2278" s="18" t="inlineStr">
        <is>
          <t>Mock</t>
        </is>
      </c>
      <c r="P2278" s="18" t="inlineStr">
        <is>
          <t>Mock Rx20 UBU</t>
        </is>
      </c>
    </row>
    <row r="2279">
      <c r="A2279" s="15" t="inlineStr">
        <is>
          <t>2300</t>
        </is>
      </c>
      <c r="B2279" s="18" t="inlineStr">
        <is>
          <t>30 วันแล้วลดขนาดยาลง 10 %</t>
        </is>
      </c>
      <c r="C2279" s="18" t="inlineStr"/>
      <c r="D2279" s="18" t="inlineStr">
        <is>
          <t>N-acetylcysteine (NAC) IV infusion protocol</t>
        </is>
      </c>
      <c r="E2279" s="18" t="inlineStr">
        <is>
          <t>Atropine sulfate 2 mg IV Q5-10 min</t>
        </is>
      </c>
      <c r="F2279" s="18" t="inlineStr">
        <is>
          <t>Pralidoxime (2-PAM) 1-2 g IV over 30 min</t>
        </is>
      </c>
      <c r="G2279" s="18" t="inlineStr">
        <is>
          <t>Naloxone 0.4 mg IV stat</t>
        </is>
      </c>
      <c r="H2279" s="18" t="inlineStr">
        <is>
          <t>Flumazenil 0.2 mg IV stat</t>
        </is>
      </c>
      <c r="I2279" s="15" t="inlineStr">
        <is>
          <t>1</t>
        </is>
      </c>
      <c r="J22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9" s="18" t="inlineStr"/>
      <c r="L2279" s="18" t="inlineStr">
        <is>
          <t>General Therapeutics</t>
        </is>
      </c>
      <c r="M2279" s="18" t="inlineStr">
        <is>
          <t>Clinic</t>
        </is>
      </c>
      <c r="N2279" s="18" t="inlineStr">
        <is>
          <t>ข้อ 4 (PLE_CC1_Key_Rx20_UBU.md)</t>
        </is>
      </c>
      <c r="O2279" s="18" t="inlineStr">
        <is>
          <t>Mock</t>
        </is>
      </c>
      <c r="P2279" s="18" t="inlineStr">
        <is>
          <t>Mock Rx20 UBU</t>
        </is>
      </c>
    </row>
    <row r="2280">
      <c r="A2280" s="15" t="inlineStr">
        <is>
          <t>2301</t>
        </is>
      </c>
      <c r="B2280" s="18" t="inlineStr">
        <is>
          <t>Liposome Nanoparticle 7 ) ถามเกี่ยวกับ DPI</t>
        </is>
      </c>
      <c r="C2280" s="18" t="inlineStr"/>
      <c r="D2280" s="18" t="inlineStr">
        <is>
          <t>Naloxone 0.4 mg IV stat</t>
        </is>
      </c>
      <c r="E2280" s="18" t="inlineStr">
        <is>
          <t>Flumazenil 0.2 mg IV stat</t>
        </is>
      </c>
      <c r="F2280" s="18" t="inlineStr">
        <is>
          <t>Vitamin K1 (Phytomenadione) 10 mg IV slow</t>
        </is>
      </c>
      <c r="G2280" s="18" t="inlineStr">
        <is>
          <t>Sodium thiosulfate 25% 50 mL IV</t>
        </is>
      </c>
      <c r="H2280" s="18" t="inlineStr">
        <is>
          <t>Calcium disodium EDTA 1 g IV</t>
        </is>
      </c>
      <c r="I2280" s="15" t="inlineStr">
        <is>
          <t>4</t>
        </is>
      </c>
      <c r="J2280" s="18"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0" s="18" t="inlineStr"/>
      <c r="L2280" s="18" t="inlineStr">
        <is>
          <t>General Therapeutics</t>
        </is>
      </c>
      <c r="M2280" s="18" t="inlineStr">
        <is>
          <t>Clinic</t>
        </is>
      </c>
      <c r="N2280" s="18" t="inlineStr">
        <is>
          <t>ข้อ 5 (PLE_CC1_Key_Rx20_UBU.md)</t>
        </is>
      </c>
      <c r="O2280" s="18" t="inlineStr">
        <is>
          <t>Mock</t>
        </is>
      </c>
      <c r="P2280" s="18" t="inlineStr">
        <is>
          <t>Mock Rx20 UBU</t>
        </is>
      </c>
    </row>
    <row r="2281">
      <c r="A2281" s="15" t="inlineStr">
        <is>
          <t>2302</t>
        </is>
      </c>
      <c r="B2281" s="18" t="inlineStr">
        <is>
          <t>Dry powder ใช้แรงน้อยกว่า</t>
        </is>
      </c>
      <c r="C2281" s="18" t="inlineStr"/>
      <c r="D2281" s="18" t="inlineStr">
        <is>
          <t>Sodium thiosulfate 25% 50 mL IV</t>
        </is>
      </c>
      <c r="E2281" s="18" t="inlineStr">
        <is>
          <t>Calcium disodium EDTA 1 g IV</t>
        </is>
      </c>
      <c r="F2281" s="18" t="inlineStr">
        <is>
          <t>Desferrioxamine 1 g IM/IV</t>
        </is>
      </c>
      <c r="G2281" s="18" t="inlineStr">
        <is>
          <t>Dimercaprol (BAL) 3 mg/kg IM</t>
        </is>
      </c>
      <c r="H2281" s="18" t="inlineStr">
        <is>
          <t>Ethanol 10% IV infusion for Methanol poisoning</t>
        </is>
      </c>
      <c r="I2281" s="15" t="inlineStr">
        <is>
          <t>1</t>
        </is>
      </c>
      <c r="J22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1" s="18" t="inlineStr"/>
      <c r="L2281" s="18" t="inlineStr">
        <is>
          <t>General Therapeutics</t>
        </is>
      </c>
      <c r="M2281" s="18" t="inlineStr">
        <is>
          <t>Clinic</t>
        </is>
      </c>
      <c r="N2281" s="18" t="inlineStr">
        <is>
          <t>ข้อ 1 (PLE_CC1_Key_Rx20_UBU.md)</t>
        </is>
      </c>
      <c r="O2281" s="18" t="inlineStr">
        <is>
          <t>Mock</t>
        </is>
      </c>
      <c r="P2281" s="18" t="inlineStr">
        <is>
          <t>Mock Rx20 UBU</t>
        </is>
      </c>
    </row>
    <row r="2282">
      <c r="A2282" s="15" t="inlineStr">
        <is>
          <t>2303</t>
        </is>
      </c>
      <c r="B2282" s="18" t="inlineStr">
        <is>
          <t>มีการใช้สาร propellant</t>
        </is>
      </c>
      <c r="C2282" s="18" t="inlineStr"/>
      <c r="D2282" s="18" t="inlineStr">
        <is>
          <t>Dimercaprol (BAL) 3 mg/kg IM</t>
        </is>
      </c>
      <c r="E2282" s="18" t="inlineStr">
        <is>
          <t>Ethanol 10% IV infusion for Methanol poisoning</t>
        </is>
      </c>
      <c r="F2282" s="18" t="inlineStr">
        <is>
          <t>Fomepizole 15 mg/kg IV loading</t>
        </is>
      </c>
      <c r="G2282" s="18" t="inlineStr">
        <is>
          <t>N-acetylcysteine (NAC) IV infusion protocol</t>
        </is>
      </c>
      <c r="H2282" s="18" t="inlineStr">
        <is>
          <t>Atropine sulfate 2 mg IV Q5-10 min</t>
        </is>
      </c>
      <c r="I2282" s="15" t="inlineStr">
        <is>
          <t>1</t>
        </is>
      </c>
      <c r="J22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2" s="18" t="inlineStr"/>
      <c r="L2282" s="18" t="inlineStr">
        <is>
          <t>General Therapeutics</t>
        </is>
      </c>
      <c r="M2282" s="18" t="inlineStr">
        <is>
          <t>Clinic</t>
        </is>
      </c>
      <c r="N2282" s="18" t="inlineStr">
        <is>
          <t>ข้อ 2 (PLE_CC1_Key_Rx20_UBU.md)</t>
        </is>
      </c>
      <c r="O2282" s="18" t="inlineStr">
        <is>
          <t>Mock</t>
        </is>
      </c>
      <c r="P2282" s="18" t="inlineStr">
        <is>
          <t>Mock Rx20 UBU</t>
        </is>
      </c>
    </row>
    <row r="2283">
      <c r="A2283" s="15" t="inlineStr">
        <is>
          <t>2304</t>
        </is>
      </c>
      <c r="B2283" s="18" t="inlineStr">
        <is>
          <t>Dry powder มักใช้ Lactose เป็น Carrier</t>
        </is>
      </c>
      <c r="C2283" s="18" t="inlineStr"/>
      <c r="D2283" s="18" t="inlineStr">
        <is>
          <t>Film Coating with Hydroxypropyl methylcellulose (HPMC)</t>
        </is>
      </c>
      <c r="E2283" s="18" t="inlineStr">
        <is>
          <t>Enteric Coating with Cellulose acetate phthalate (CAP)</t>
        </is>
      </c>
      <c r="F2283" s="18" t="inlineStr">
        <is>
          <t>Hard Gelatin Capsule filling</t>
        </is>
      </c>
      <c r="G2283" s="18" t="inlineStr">
        <is>
          <t>Soft Gelatin Capsule encapsulation</t>
        </is>
      </c>
      <c r="H2283" s="18" t="inlineStr">
        <is>
          <t>Microcrystalline cellulose</t>
        </is>
      </c>
      <c r="I2283" s="15" t="inlineStr">
        <is>
          <t>1</t>
        </is>
      </c>
      <c r="J2283" s="1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83" s="18" t="inlineStr"/>
      <c r="L2283" s="18" t="inlineStr">
        <is>
          <t>Solid Dosage Forms</t>
        </is>
      </c>
      <c r="M2283" s="18" t="inlineStr">
        <is>
          <t>Product</t>
        </is>
      </c>
      <c r="N2283" s="18" t="inlineStr">
        <is>
          <t>ข้อ 3 (PLE_CC1_Key_Rx20_UBU.md)</t>
        </is>
      </c>
      <c r="O2283" s="18" t="inlineStr">
        <is>
          <t>Mock</t>
        </is>
      </c>
      <c r="P2283" s="18" t="inlineStr">
        <is>
          <t>Mock Rx20 UBU</t>
        </is>
      </c>
    </row>
    <row r="2284">
      <c r="A2284" s="15" t="inlineStr">
        <is>
          <t>2305</t>
        </is>
      </c>
      <c r="B2284" s="18" t="inlineStr">
        <is>
          <t>เซลล์ตับอ่อนของวัว</t>
        </is>
      </c>
      <c r="C2284" s="18" t="inlineStr"/>
      <c r="D2284" s="18" t="inlineStr">
        <is>
          <t>Naloxone 0.4 mg IV stat</t>
        </is>
      </c>
      <c r="E2284" s="18" t="inlineStr">
        <is>
          <t>Flumazenil 0.2 mg IV stat</t>
        </is>
      </c>
      <c r="F2284" s="18" t="inlineStr">
        <is>
          <t>Vitamin K1 (Phytomenadione) 10 mg IV slow</t>
        </is>
      </c>
      <c r="G2284" s="18" t="inlineStr">
        <is>
          <t>Sodium thiosulfate 25% 50 mL IV</t>
        </is>
      </c>
      <c r="H2284" s="18" t="inlineStr">
        <is>
          <t>Calcium disodium EDTA 1 g IV</t>
        </is>
      </c>
      <c r="I2284" s="15" t="inlineStr">
        <is>
          <t>1</t>
        </is>
      </c>
      <c r="J22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4" s="18" t="inlineStr"/>
      <c r="L2284" s="18" t="inlineStr">
        <is>
          <t>General Therapeutics</t>
        </is>
      </c>
      <c r="M2284" s="18" t="inlineStr">
        <is>
          <t>Clinic</t>
        </is>
      </c>
      <c r="N2284" s="18" t="inlineStr">
        <is>
          <t>ข้อ 1 (PLE_CC1_Key_Rx20_UBU.md)</t>
        </is>
      </c>
      <c r="O2284" s="18" t="inlineStr">
        <is>
          <t>Mock</t>
        </is>
      </c>
      <c r="P2284" s="18" t="inlineStr">
        <is>
          <t>Mock Rx20 UBU</t>
        </is>
      </c>
    </row>
    <row r="2285">
      <c r="A2285" s="15" t="inlineStr">
        <is>
          <t>2306</t>
        </is>
      </c>
      <c r="B2285" s="18" t="inlineStr">
        <is>
          <t>ได้จากการสังเคราะจากสารเคมี</t>
        </is>
      </c>
      <c r="C2285" s="18" t="inlineStr"/>
      <c r="D2285" s="18" t="inlineStr">
        <is>
          <t>Sodium thiosulfate 25% 50 mL IV</t>
        </is>
      </c>
      <c r="E2285" s="18" t="inlineStr">
        <is>
          <t>Calcium disodium EDTA 1 g IV</t>
        </is>
      </c>
      <c r="F2285" s="18" t="inlineStr">
        <is>
          <t>Desferrioxamine 1 g IM/IV</t>
        </is>
      </c>
      <c r="G2285" s="18" t="inlineStr">
        <is>
          <t>Dimercaprol (BAL) 3 mg/kg IM</t>
        </is>
      </c>
      <c r="H2285" s="18" t="inlineStr">
        <is>
          <t>Ethanol 10% IV infusion for Methanol poisoning</t>
        </is>
      </c>
      <c r="I2285" s="15" t="inlineStr">
        <is>
          <t>1</t>
        </is>
      </c>
      <c r="J22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5" s="18" t="inlineStr"/>
      <c r="L2285" s="18" t="inlineStr">
        <is>
          <t>General Therapeutics</t>
        </is>
      </c>
      <c r="M2285" s="18" t="inlineStr">
        <is>
          <t>Clinic</t>
        </is>
      </c>
      <c r="N2285" s="18" t="inlineStr">
        <is>
          <t>ข้อ 3 (PLE_CC1_Key_Rx20_UBU.md)</t>
        </is>
      </c>
      <c r="O2285" s="18" t="inlineStr">
        <is>
          <t>Mock</t>
        </is>
      </c>
      <c r="P2285" s="18" t="inlineStr">
        <is>
          <t>Mock Rx20 UBU</t>
        </is>
      </c>
    </row>
    <row r="2286">
      <c r="A2286" s="15" t="inlineStr">
        <is>
          <t>2307</t>
        </is>
      </c>
      <c r="B2286" s="18" t="inlineStr">
        <is>
          <t>สกัดจากเบต้าเซลลของคน</t>
        </is>
      </c>
      <c r="C2286" s="18" t="inlineStr"/>
      <c r="D2286" s="18" t="inlineStr">
        <is>
          <t>Dimercaprol (BAL) 3 mg/kg IM</t>
        </is>
      </c>
      <c r="E2286" s="18" t="inlineStr">
        <is>
          <t>Ethanol 10% IV infusion for Methanol poisoning</t>
        </is>
      </c>
      <c r="F2286" s="18" t="inlineStr">
        <is>
          <t>Fomepizole 15 mg/kg IV loading</t>
        </is>
      </c>
      <c r="G2286" s="18" t="inlineStr">
        <is>
          <t>N-acetylcysteine (NAC) IV infusion protocol</t>
        </is>
      </c>
      <c r="H2286" s="18" t="inlineStr">
        <is>
          <t>Atropine sulfate 2 mg IV Q5-10 min</t>
        </is>
      </c>
      <c r="I2286" s="15" t="inlineStr">
        <is>
          <t>1</t>
        </is>
      </c>
      <c r="J22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6" s="18" t="inlineStr"/>
      <c r="L2286" s="18" t="inlineStr">
        <is>
          <t>General Therapeutics</t>
        </is>
      </c>
      <c r="M2286" s="18" t="inlineStr">
        <is>
          <t>Clinic</t>
        </is>
      </c>
      <c r="N2286" s="18" t="inlineStr">
        <is>
          <t>ข้อ 4 (PLE_CC1_Key_Rx20_UBU.md)</t>
        </is>
      </c>
      <c r="O2286" s="18" t="inlineStr">
        <is>
          <t>Mock</t>
        </is>
      </c>
      <c r="P2286" s="18" t="inlineStr">
        <is>
          <t>Mock Rx20 UBU</t>
        </is>
      </c>
    </row>
    <row r="2287">
      <c r="A2287" s="15" t="inlineStr">
        <is>
          <t>2308</t>
        </is>
      </c>
      <c r="B2287" s="18" t="inlineStr">
        <is>
          <t>สกัดจากที่ดัดแปลงพันธุกรรม</t>
        </is>
      </c>
      <c r="C2287" s="18" t="inlineStr"/>
      <c r="D2287" s="18" t="inlineStr">
        <is>
          <t>N-acetylcysteine (NAC) IV infusion protocol</t>
        </is>
      </c>
      <c r="E2287" s="18" t="inlineStr">
        <is>
          <t>Atropine sulfate 2 mg IV Q5-10 min</t>
        </is>
      </c>
      <c r="F2287" s="18" t="inlineStr">
        <is>
          <t>Pralidoxime (2-PAM) 1-2 g IV over 30 min</t>
        </is>
      </c>
      <c r="G2287" s="18" t="inlineStr">
        <is>
          <t>Naloxone 0.4 mg IV stat</t>
        </is>
      </c>
      <c r="H2287" s="18" t="inlineStr">
        <is>
          <t>Flumazenil 0.2 mg IV stat</t>
        </is>
      </c>
      <c r="I2287" s="15" t="inlineStr">
        <is>
          <t>5</t>
        </is>
      </c>
      <c r="J2287" s="18"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287" s="18" t="inlineStr"/>
      <c r="L2287" s="18" t="inlineStr">
        <is>
          <t>General Therapeutics</t>
        </is>
      </c>
      <c r="M2287" s="18" t="inlineStr">
        <is>
          <t>Clinic</t>
        </is>
      </c>
      <c r="N2287" s="18" t="inlineStr">
        <is>
          <t>ข้อ 5 (PLE_CC1_Key_Rx20_UBU.md)</t>
        </is>
      </c>
      <c r="O2287" s="18" t="inlineStr">
        <is>
          <t>Mock</t>
        </is>
      </c>
      <c r="P2287" s="18" t="inlineStr">
        <is>
          <t>Mock Rx20 UBU</t>
        </is>
      </c>
    </row>
    <row r="2288">
      <c r="A2288" s="15" t="inlineStr">
        <is>
          <t>2309</t>
        </is>
      </c>
      <c r="B2288" s="18" t="inlineStr">
        <is>
          <t>Dosage too high</t>
        </is>
      </c>
      <c r="C2288" s="18" t="inlineStr"/>
      <c r="D2288" s="18" t="inlineStr">
        <is>
          <t>Naloxone 0.4 mg IV stat</t>
        </is>
      </c>
      <c r="E2288" s="18" t="inlineStr">
        <is>
          <t>Flumazenil 0.2 mg IV stat</t>
        </is>
      </c>
      <c r="F2288" s="18" t="inlineStr">
        <is>
          <t>Vitamin K1 (Phytomenadione) 10 mg IV slow</t>
        </is>
      </c>
      <c r="G2288" s="18" t="inlineStr">
        <is>
          <t>Sodium thiosulfate 25% 50 mL IV</t>
        </is>
      </c>
      <c r="H2288" s="18" t="inlineStr">
        <is>
          <t>Calcium disodium EDTA 1 g IV</t>
        </is>
      </c>
      <c r="I2288" s="15" t="inlineStr">
        <is>
          <t>1</t>
        </is>
      </c>
      <c r="J22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8" s="18" t="inlineStr"/>
      <c r="L2288" s="18" t="inlineStr">
        <is>
          <t>General Therapeutics</t>
        </is>
      </c>
      <c r="M2288" s="18" t="inlineStr">
        <is>
          <t>Clinic</t>
        </is>
      </c>
      <c r="N2288" s="18" t="inlineStr">
        <is>
          <t>ข้อ 2 (PLE_CC1_Key_Rx20_UBU.md)</t>
        </is>
      </c>
      <c r="O2288" s="18" t="inlineStr">
        <is>
          <t>Mock</t>
        </is>
      </c>
      <c r="P2288" s="18" t="inlineStr">
        <is>
          <t>Mock Rx20 UBU</t>
        </is>
      </c>
    </row>
    <row r="2289">
      <c r="A2289" s="15" t="inlineStr">
        <is>
          <t>2310</t>
        </is>
      </c>
      <c r="B2289" s="18" t="inlineStr">
        <is>
          <t>Need additional drug</t>
        </is>
      </c>
      <c r="C2289" s="18" t="inlineStr"/>
      <c r="D2289" s="18" t="inlineStr">
        <is>
          <t>Sodium thiosulfate 25% 50 mL IV</t>
        </is>
      </c>
      <c r="E2289" s="18" t="inlineStr">
        <is>
          <t>Calcium disodium EDTA 1 g IV</t>
        </is>
      </c>
      <c r="F2289" s="18" t="inlineStr">
        <is>
          <t>Desferrioxamine 1 g IM/IV</t>
        </is>
      </c>
      <c r="G2289" s="18" t="inlineStr">
        <is>
          <t>Dimercaprol (BAL) 3 mg/kg IM</t>
        </is>
      </c>
      <c r="H2289" s="18" t="inlineStr">
        <is>
          <t>Ethanol 10% IV infusion for Methanol poisoning</t>
        </is>
      </c>
      <c r="I2289" s="15" t="inlineStr">
        <is>
          <t>1</t>
        </is>
      </c>
      <c r="J22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9" s="18" t="inlineStr"/>
      <c r="L2289" s="18" t="inlineStr">
        <is>
          <t>General Therapeutics</t>
        </is>
      </c>
      <c r="M2289" s="18" t="inlineStr">
        <is>
          <t>Clinic</t>
        </is>
      </c>
      <c r="N2289" s="18" t="inlineStr">
        <is>
          <t>ข้อ 3 (PLE_CC1_Key_Rx20_UBU.md)</t>
        </is>
      </c>
      <c r="O2289" s="18" t="inlineStr">
        <is>
          <t>Mock</t>
        </is>
      </c>
      <c r="P2289" s="18" t="inlineStr">
        <is>
          <t>Mock Rx20 UBU</t>
        </is>
      </c>
    </row>
    <row r="2290">
      <c r="A2290" s="15" t="inlineStr">
        <is>
          <t>2311</t>
        </is>
      </c>
      <c r="B2290" s="18" t="inlineStr">
        <is>
          <t>Adverse drug reaction</t>
        </is>
      </c>
      <c r="C2290" s="18" t="inlineStr"/>
      <c r="D2290" s="18" t="inlineStr">
        <is>
          <t>ข้อใดถูกเกี่ยวกับยาลดน้ำตาลที่ผู้ป่วยใช้</t>
        </is>
      </c>
      <c r="E2290" s="18" t="inlineStr">
        <is>
          <t>Ethanol 10% IV infusion for Methanol poisoning</t>
        </is>
      </c>
      <c r="F2290" s="18" t="inlineStr">
        <is>
          <t>Fomepizole 15 mg/kg IV loading</t>
        </is>
      </c>
      <c r="G2290" s="18" t="inlineStr">
        <is>
          <t>N-acetylcysteine (NAC) IV infusion protocol</t>
        </is>
      </c>
      <c r="H2290" s="18" t="inlineStr">
        <is>
          <t>Atropine sulfate 2 mg IV Q5-10 min</t>
        </is>
      </c>
      <c r="I2290" s="15" t="inlineStr">
        <is>
          <t>4</t>
        </is>
      </c>
      <c r="J2290" s="18"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(ข้อใดถูกเกี่ยวกับยาลดน้ำตาลที่ผู้ป่วยใช้):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0" s="18" t="inlineStr"/>
      <c r="L2290" s="18" t="inlineStr">
        <is>
          <t>General Therapeutics</t>
        </is>
      </c>
      <c r="M2290" s="18" t="inlineStr">
        <is>
          <t>Clinic</t>
        </is>
      </c>
      <c r="N2290" s="18" t="inlineStr">
        <is>
          <t>ข้อ 5 (PLE_CC1_Key_Rx20_UBU.md)</t>
        </is>
      </c>
      <c r="O2290" s="18" t="inlineStr">
        <is>
          <t>Mock</t>
        </is>
      </c>
      <c r="P2290" s="18" t="inlineStr">
        <is>
          <t>Mock Rx20 UBU</t>
        </is>
      </c>
    </row>
    <row r="2291">
      <c r="A2291" s="15" t="inlineStr">
        <is>
          <t>2312</t>
        </is>
      </c>
      <c r="B2291" s="18" t="inlineStr">
        <is>
          <t>ให้กินก่อนหรือหลังอาหารก็ได้</t>
        </is>
      </c>
      <c r="C2291" s="18" t="inlineStr"/>
      <c r="D2291" s="18" t="inlineStr">
        <is>
          <t>N-acetylcysteine (NAC) IV infusion protocol</t>
        </is>
      </c>
      <c r="E2291" s="18" t="inlineStr">
        <is>
          <t>Atropine sulfate 2 mg IV Q5-10 min</t>
        </is>
      </c>
      <c r="F2291" s="18" t="inlineStr">
        <is>
          <t>Pralidoxime (2-PAM) 1-2 g IV over 30 min</t>
        </is>
      </c>
      <c r="G2291" s="18" t="inlineStr">
        <is>
          <t>Naloxone 0.4 mg IV stat</t>
        </is>
      </c>
      <c r="H2291" s="18" t="inlineStr">
        <is>
          <t>Flumazenil 0.2 mg IV stat</t>
        </is>
      </c>
      <c r="I2291" s="15" t="inlineStr">
        <is>
          <t>1</t>
        </is>
      </c>
      <c r="J22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1" s="18" t="inlineStr"/>
      <c r="L2291" s="18" t="inlineStr">
        <is>
          <t>General Therapeutics</t>
        </is>
      </c>
      <c r="M2291" s="18" t="inlineStr">
        <is>
          <t>Clinic</t>
        </is>
      </c>
      <c r="N2291" s="18" t="inlineStr">
        <is>
          <t>ข้อ 2 (PLE_CC1_Key_Rx20_UBU.md)</t>
        </is>
      </c>
      <c r="O2291" s="18" t="inlineStr">
        <is>
          <t>Mock</t>
        </is>
      </c>
      <c r="P2291" s="18" t="inlineStr">
        <is>
          <t>Mock Rx20 UBU</t>
        </is>
      </c>
    </row>
    <row r="2292">
      <c r="A2292" s="15" t="inlineStr">
        <is>
          <t>2313</t>
        </is>
      </c>
      <c r="B2292" s="18" t="inlineStr">
        <is>
          <t>ไม่ควรให้ร่วมกับ glinide</t>
        </is>
      </c>
      <c r="C2292" s="18" t="inlineStr"/>
      <c r="D2292" s="18" t="inlineStr">
        <is>
          <t>Naloxone 0.4 mg IV stat</t>
        </is>
      </c>
      <c r="E2292" s="18" t="inlineStr">
        <is>
          <t>Flumazenil 0.2 mg IV stat</t>
        </is>
      </c>
      <c r="F2292" s="18" t="inlineStr">
        <is>
          <t>Vitamin K1 (Phytomenadione) 10 mg IV slow</t>
        </is>
      </c>
      <c r="G2292" s="18" t="inlineStr">
        <is>
          <t>Sodium thiosulfate 25% 50 mL IV</t>
        </is>
      </c>
      <c r="H2292" s="18" t="inlineStr">
        <is>
          <t>Calcium disodium EDTA 1 g IV</t>
        </is>
      </c>
      <c r="I2292" s="15" t="inlineStr">
        <is>
          <t>1</t>
        </is>
      </c>
      <c r="J22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2" s="18" t="inlineStr"/>
      <c r="L2292" s="18" t="inlineStr">
        <is>
          <t>General Therapeutics</t>
        </is>
      </c>
      <c r="M2292" s="18" t="inlineStr">
        <is>
          <t>Clinic</t>
        </is>
      </c>
      <c r="N2292" s="18" t="inlineStr">
        <is>
          <t>ข้อ 3 (PLE_CC1_Key_Rx20_UBU.md)</t>
        </is>
      </c>
      <c r="O2292" s="18" t="inlineStr">
        <is>
          <t>Mock</t>
        </is>
      </c>
      <c r="P2292" s="18" t="inlineStr">
        <is>
          <t>Mock Rx20 UBU</t>
        </is>
      </c>
    </row>
    <row r="2293">
      <c r="A2293" s="15" t="inlineStr">
        <is>
          <t>2314</t>
        </is>
      </c>
      <c r="B2293" s="18" t="inlineStr">
        <is>
          <t>ผิด เพราะ Glipizide แนะนำให้กินก่อนอาหาร 15-30 นาที</t>
        </is>
      </c>
      <c r="C2293" s="18" t="inlineStr"/>
      <c r="D2293" s="18" t="inlineStr">
        <is>
          <t>Metformin 500 mg BID</t>
        </is>
      </c>
      <c r="E2293" s="18" t="inlineStr">
        <is>
          <t>Glipizide 5 mg OD</t>
        </is>
      </c>
      <c r="F2293" s="18" t="inlineStr">
        <is>
          <t>Empagliflozin 10 mg OD</t>
        </is>
      </c>
      <c r="G2293" s="18" t="inlineStr">
        <is>
          <t>Sitagliptin 100 mg OD</t>
        </is>
      </c>
      <c r="H2293" s="18" t="inlineStr">
        <is>
          <t>Liraglutide 1.2 mg SC OD</t>
        </is>
      </c>
      <c r="I2293" s="15" t="inlineStr">
        <is>
          <t>1</t>
        </is>
      </c>
      <c r="J2293" s="1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293" s="18" t="inlineStr"/>
      <c r="L2293" s="18" t="inlineStr">
        <is>
          <t>Diabetes &amp; Endocrine</t>
        </is>
      </c>
      <c r="M2293" s="18" t="inlineStr">
        <is>
          <t>Clinic</t>
        </is>
      </c>
      <c r="N2293" s="18" t="inlineStr">
        <is>
          <t>ข้อ 2 (PLE_CC1_Key_Rx20_UBU.md)</t>
        </is>
      </c>
      <c r="O2293" s="18" t="inlineStr">
        <is>
          <t>Mock</t>
        </is>
      </c>
      <c r="P2293" s="18" t="inlineStr">
        <is>
          <t>Mock Rx20 UBU</t>
        </is>
      </c>
    </row>
    <row r="2294">
      <c r="A2294" s="15" t="inlineStr">
        <is>
          <t>2315</t>
        </is>
      </c>
      <c r="B2294" s="18" t="inlineStr">
        <is>
          <t>หลังจากมาพบแพทย์ตามนัดครั้งสุดท้ายหากผู้ป่วยไม่สามารถควบคุมระดับน้ำตาลได้จะเพิ่มยาชนิดใด</t>
        </is>
      </c>
      <c r="C2294" s="18" t="inlineStr"/>
      <c r="D2294" s="18" t="inlineStr">
        <is>
          <t>Dimercaprol (BAL) 3 mg/kg IM</t>
        </is>
      </c>
      <c r="E2294" s="18" t="inlineStr">
        <is>
          <t>Ethanol 10% IV infusion for Methanol poisoning</t>
        </is>
      </c>
      <c r="F2294" s="18" t="inlineStr">
        <is>
          <t>Fomepizole 15 mg/kg IV loading</t>
        </is>
      </c>
      <c r="G2294" s="18" t="inlineStr">
        <is>
          <t>N-acetylcysteine (NAC) IV infusion protocol</t>
        </is>
      </c>
      <c r="H2294" s="18" t="inlineStr">
        <is>
          <t>Atropine sulfate 2 mg IV Q5-10 min</t>
        </is>
      </c>
      <c r="I2294" s="15" t="inlineStr">
        <is>
          <t>1</t>
        </is>
      </c>
      <c r="J22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4" s="18" t="inlineStr"/>
      <c r="L2294" s="18" t="inlineStr">
        <is>
          <t>General Therapeutics</t>
        </is>
      </c>
      <c r="M2294" s="18" t="inlineStr">
        <is>
          <t>Clinic</t>
        </is>
      </c>
      <c r="N2294" s="18" t="inlineStr">
        <is>
          <t>ข้อ 5 (PLE_CC1_Key_Rx20_UBU.md)</t>
        </is>
      </c>
      <c r="O2294" s="18" t="inlineStr">
        <is>
          <t>Mock</t>
        </is>
      </c>
      <c r="P2294" s="18" t="inlineStr">
        <is>
          <t>Mock Rx20 UBU</t>
        </is>
      </c>
    </row>
    <row r="2295">
      <c r="A2295" s="15" t="inlineStr">
        <is>
          <t>2316</t>
        </is>
      </c>
      <c r="B2295" s="18" t="inlineStr">
        <is>
          <t>Hemorrhagic cystitis</t>
        </is>
      </c>
      <c r="C2295" s="18" t="inlineStr"/>
      <c r="D2295" s="18" t="inlineStr">
        <is>
          <t>N-acetylcysteine (NAC) IV infusion protocol</t>
        </is>
      </c>
      <c r="E2295" s="18" t="inlineStr">
        <is>
          <t>Atropine sulfate 2 mg IV Q5-10 min</t>
        </is>
      </c>
      <c r="F2295" s="18" t="inlineStr">
        <is>
          <t>Pralidoxime (2-PAM) 1-2 g IV over 30 min</t>
        </is>
      </c>
      <c r="G2295" s="18" t="inlineStr">
        <is>
          <t>Naloxone 0.4 mg IV stat</t>
        </is>
      </c>
      <c r="H2295" s="18" t="inlineStr">
        <is>
          <t>Flumazenil 0.2 mg IV stat</t>
        </is>
      </c>
      <c r="I2295" s="15" t="inlineStr">
        <is>
          <t>1</t>
        </is>
      </c>
      <c r="J22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5" s="18" t="inlineStr"/>
      <c r="L2295" s="18" t="inlineStr">
        <is>
          <t>General Therapeutics</t>
        </is>
      </c>
      <c r="M2295" s="18" t="inlineStr">
        <is>
          <t>Clinic</t>
        </is>
      </c>
      <c r="N2295" s="18" t="inlineStr">
        <is>
          <t>ข้อ 1 (PLE_CC1_Key_Rx20_UBU.md)</t>
        </is>
      </c>
      <c r="O2295" s="18" t="inlineStr">
        <is>
          <t>Mock</t>
        </is>
      </c>
      <c r="P2295" s="18" t="inlineStr">
        <is>
          <t>Mock Rx20 UBU</t>
        </is>
      </c>
    </row>
    <row r="2296">
      <c r="A2296" s="15" t="inlineStr">
        <is>
          <t>2317</t>
        </is>
      </c>
      <c r="B2296" s="18" t="inlineStr">
        <is>
          <t>Hand-foot syndrome</t>
        </is>
      </c>
      <c r="C2296" s="18" t="inlineStr"/>
      <c r="D2296" s="18" t="inlineStr">
        <is>
          <t>Naloxone 0.4 mg IV stat</t>
        </is>
      </c>
      <c r="E2296" s="18" t="inlineStr">
        <is>
          <t>Flumazenil 0.2 mg IV stat</t>
        </is>
      </c>
      <c r="F2296" s="18" t="inlineStr">
        <is>
          <t>Vitamin K1 (Phytomenadione) 10 mg IV slow</t>
        </is>
      </c>
      <c r="G2296" s="18" t="inlineStr">
        <is>
          <t>Sodium thiosulfate 25% 50 mL IV</t>
        </is>
      </c>
      <c r="H2296" s="18" t="inlineStr">
        <is>
          <t>Calcium disodium EDTA 1 g IV</t>
        </is>
      </c>
      <c r="I2296" s="15" t="inlineStr">
        <is>
          <t>1</t>
        </is>
      </c>
      <c r="J22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6" s="18" t="inlineStr"/>
      <c r="L2296" s="18" t="inlineStr">
        <is>
          <t>General Therapeutics</t>
        </is>
      </c>
      <c r="M2296" s="18" t="inlineStr">
        <is>
          <t>Clinic</t>
        </is>
      </c>
      <c r="N2296" s="18" t="inlineStr">
        <is>
          <t>ข้อ 4 (PLE_CC1_Key_Rx20_UBU.md)</t>
        </is>
      </c>
      <c r="O2296" s="18" t="inlineStr">
        <is>
          <t>Mock</t>
        </is>
      </c>
      <c r="P2296" s="18" t="inlineStr">
        <is>
          <t>Mock Rx20 UBU</t>
        </is>
      </c>
    </row>
    <row r="2297">
      <c r="A2297" s="15" t="inlineStr">
        <is>
          <t>2318</t>
        </is>
      </c>
      <c r="B2297" s="18" t="inlineStr">
        <is>
          <t>5 ปี อาการข้างเคียงของ Tamoxifen</t>
        </is>
      </c>
      <c r="C2297" s="18" t="inlineStr"/>
      <c r="D2297" s="18" t="inlineStr">
        <is>
          <t>Dexamethasone 12 mg IV stat</t>
        </is>
      </c>
      <c r="E2297" s="18" t="inlineStr">
        <is>
          <t>Filgrastim (G-CSF) 300 mcg SC OD</t>
        </is>
      </c>
      <c r="F2297" s="18" t="inlineStr">
        <is>
          <t>Metoclopramide 10 mg TID</t>
        </is>
      </c>
      <c r="G2297" s="18" t="inlineStr">
        <is>
          <t>Lorazepam 1 mg PO PRN</t>
        </is>
      </c>
      <c r="H2297" s="18" t="inlineStr">
        <is>
          <t>Morphine 10 mg PO Q4H PRN</t>
        </is>
      </c>
      <c r="I2297" s="15" t="inlineStr">
        <is>
          <t>1</t>
        </is>
      </c>
      <c r="J2297" s="18" t="inlineStr">
        <is>
          <t>✅ คำตอบที่ถูกต้อง: ข้อ ก. Dexamethasone 12 mg IV stat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12 mg IV stat
🔍 ข้ออื่นผิดเพราะอะไร:
• ข้อ ข. (Filgrastim (G-CSF) 300 mcg SC OD): ข้อนี้ไม่ใช่คำตอบที่ถูกต้องสำหรับภาวะ Oncology &amp; Chemotherapy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97" s="18" t="inlineStr"/>
      <c r="L2297" s="18" t="inlineStr">
        <is>
          <t>Oncology &amp; Chemotherapy</t>
        </is>
      </c>
      <c r="M2297" s="18" t="inlineStr">
        <is>
          <t>Clinic</t>
        </is>
      </c>
      <c r="N2297" s="18" t="inlineStr">
        <is>
          <t>ข้อ 5 (PLE_CC1_Key_Rx20_UBU.md)</t>
        </is>
      </c>
      <c r="O2297" s="18" t="inlineStr">
        <is>
          <t>Mock</t>
        </is>
      </c>
      <c r="P2297" s="18" t="inlineStr">
        <is>
          <t>Mock Rx20 UBU</t>
        </is>
      </c>
    </row>
    <row r="2298">
      <c r="A2298" s="15" t="inlineStr">
        <is>
          <t>2319</t>
        </is>
      </c>
      <c r="B2298" s="18" t="inlineStr">
        <is>
          <t>Deep vein thrombosis</t>
        </is>
      </c>
      <c r="C2298" s="18" t="inlineStr"/>
      <c r="D2298" s="18" t="inlineStr">
        <is>
          <t>Dimercaprol (BAL) 3 mg/kg IM</t>
        </is>
      </c>
      <c r="E2298" s="18" t="inlineStr">
        <is>
          <t>Ethanol 10% IV infusion for Methanol poisoning</t>
        </is>
      </c>
      <c r="F2298" s="18" t="inlineStr">
        <is>
          <t>Fomepizole 15 mg/kg IV loading</t>
        </is>
      </c>
      <c r="G2298" s="18" t="inlineStr">
        <is>
          <t>N-acetylcysteine (NAC) IV infusion protocol</t>
        </is>
      </c>
      <c r="H2298" s="18" t="inlineStr">
        <is>
          <t>Atropine sulfate 2 mg IV Q5-10 min</t>
        </is>
      </c>
      <c r="I2298" s="15" t="inlineStr">
        <is>
          <t>1</t>
        </is>
      </c>
      <c r="J229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98" s="18" t="inlineStr"/>
      <c r="L2298" s="18" t="inlineStr">
        <is>
          <t>General Therapeutics</t>
        </is>
      </c>
      <c r="M2298" s="18" t="inlineStr">
        <is>
          <t>Clinic</t>
        </is>
      </c>
      <c r="N2298" s="18" t="inlineStr">
        <is>
          <t>ข้อ 1 (PLE_CC1_Key_Rx20_UBU.md)</t>
        </is>
      </c>
      <c r="O2298" s="18" t="inlineStr">
        <is>
          <t>Mock</t>
        </is>
      </c>
      <c r="P2298" s="18" t="inlineStr">
        <is>
          <t>Mock Rx20 UBU</t>
        </is>
      </c>
    </row>
    <row r="2299">
      <c r="A2299" s="15" t="inlineStr">
        <is>
          <t>2320</t>
        </is>
      </c>
      <c r="B2299" s="18" t="inlineStr">
        <is>
          <t>Electrolyte Imbalance</t>
        </is>
      </c>
      <c r="C2299" s="18" t="inlineStr"/>
      <c r="D2299" s="18" t="inlineStr">
        <is>
          <t>N-acetylcysteine (NAC) IV infusion protocol</t>
        </is>
      </c>
      <c r="E2299" s="18" t="inlineStr">
        <is>
          <t>Atropine sulfate 2 mg IV Q5-10 min</t>
        </is>
      </c>
      <c r="F2299" s="18" t="inlineStr">
        <is>
          <t>Pralidoxime (2-PAM) 1-2 g IV over 30 min</t>
        </is>
      </c>
      <c r="G2299" s="18" t="inlineStr">
        <is>
          <t>Naloxone 0.4 mg IV stat</t>
        </is>
      </c>
      <c r="H2299" s="18" t="inlineStr">
        <is>
          <t>Flumazenil 0.2 mg IV stat</t>
        </is>
      </c>
      <c r="I2299" s="15" t="inlineStr">
        <is>
          <t>1</t>
        </is>
      </c>
      <c r="J229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9" s="18" t="inlineStr"/>
      <c r="L2299" s="18" t="inlineStr">
        <is>
          <t>General Therapeutics</t>
        </is>
      </c>
      <c r="M2299" s="18" t="inlineStr">
        <is>
          <t>Clinic</t>
        </is>
      </c>
      <c r="N2299" s="18" t="inlineStr">
        <is>
          <t>ข้อ 4 (PLE_CC1_Key_Rx20_UBU.md)</t>
        </is>
      </c>
      <c r="O2299" s="18" t="inlineStr">
        <is>
          <t>Mock</t>
        </is>
      </c>
      <c r="P2299" s="18" t="inlineStr">
        <is>
          <t>Mock Rx20 UBU</t>
        </is>
      </c>
    </row>
    <row r="2300">
      <c r="A2300" s="15" t="inlineStr">
        <is>
          <t>2321</t>
        </is>
      </c>
      <c r="B2300" s="18" t="inlineStr">
        <is>
          <t>biological safety cabinet class I ดี กว่า class II</t>
        </is>
      </c>
      <c r="C2300" s="18" t="inlineStr"/>
      <c r="D2300" s="18" t="inlineStr">
        <is>
          <t>Lyophilization (Freeze-drying) with Trehalose Cryoprotectant</t>
        </is>
      </c>
      <c r="E2300" s="18" t="inlineStr">
        <is>
          <t>ELISA Immunoassay for protein quantification</t>
        </is>
      </c>
      <c r="F2300" s="18" t="inlineStr">
        <is>
          <t>SDS-PAGE Gel Electrophoresis purity analysis</t>
        </is>
      </c>
      <c r="G2300" s="18" t="inlineStr">
        <is>
          <t>Isoelectric Focusing (IEF) for charge heterogeneity</t>
        </is>
      </c>
      <c r="H2300" s="18" t="inlineStr">
        <is>
          <t>Immunogenicity Neutralizing Antibody Assay</t>
        </is>
      </c>
      <c r="I2300" s="15" t="inlineStr">
        <is>
          <t>1</t>
        </is>
      </c>
      <c r="J2300" s="18"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0" s="18" t="inlineStr"/>
      <c r="L2300" s="18" t="inlineStr">
        <is>
          <t>Biotech Products</t>
        </is>
      </c>
      <c r="M2300" s="18" t="inlineStr">
        <is>
          <t>Product</t>
        </is>
      </c>
      <c r="N2300" s="18" t="inlineStr">
        <is>
          <t>ข้อ 1 (PLE_CC1_Key_Rx20_UBU.md)</t>
        </is>
      </c>
      <c r="O2300" s="18" t="inlineStr">
        <is>
          <t>Mock</t>
        </is>
      </c>
      <c r="P2300" s="18" t="inlineStr">
        <is>
          <t>Mock Rx20 UBU</t>
        </is>
      </c>
    </row>
    <row r="2301">
      <c r="A2301" s="15" t="inlineStr">
        <is>
          <t>2322</t>
        </is>
      </c>
      <c r="B2301" s="18" t="inlineStr">
        <is>
          <t>biological safety cabinet ตั้งใน class 100-1000</t>
        </is>
      </c>
      <c r="C2301" s="18" t="inlineStr"/>
      <c r="D2301" s="18" t="inlineStr">
        <is>
          <t>Isoelectric Focusing (IEF) for charge heterogeneity</t>
        </is>
      </c>
      <c r="E2301" s="18" t="inlineStr">
        <is>
          <t>Immunogenicity Neutralizing Antibody Assay</t>
        </is>
      </c>
      <c r="F2301" s="18" t="inlineStr">
        <is>
          <t>Polysorbate 20 surfactant to prevent protein aggregation</t>
        </is>
      </c>
      <c r="G2301" s="18" t="inlineStr">
        <is>
          <t>Histidine Buffer pH 6.0 formulation stability</t>
        </is>
      </c>
      <c r="H2301" s="18" t="inlineStr">
        <is>
          <t>Recombinant DNA Human Insulin in E. coli</t>
        </is>
      </c>
      <c r="I2301" s="15" t="inlineStr">
        <is>
          <t>1</t>
        </is>
      </c>
      <c r="J2301" s="1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1" s="18" t="inlineStr"/>
      <c r="L2301" s="18" t="inlineStr">
        <is>
          <t>Biotech Products</t>
        </is>
      </c>
      <c r="M2301" s="18" t="inlineStr">
        <is>
          <t>Product</t>
        </is>
      </c>
      <c r="N2301" s="18" t="inlineStr">
        <is>
          <t>ข้อ 2 (PLE_CC1_Key_Rx20_UBU.md)</t>
        </is>
      </c>
      <c r="O2301" s="18" t="inlineStr">
        <is>
          <t>Mock</t>
        </is>
      </c>
      <c r="P2301" s="18" t="inlineStr">
        <is>
          <t>Mock Rx20 UBU</t>
        </is>
      </c>
    </row>
    <row r="2302">
      <c r="A2302" s="15" t="inlineStr">
        <is>
          <t>2323</t>
        </is>
      </c>
      <c r="B2302" s="18" t="inlineStr">
        <is>
          <t>biological safety cabinet มีทิศทา ง ล ม ใ นแนวตั้ง</t>
        </is>
      </c>
      <c r="C2302" s="18" t="inlineStr"/>
      <c r="D2302" s="18" t="inlineStr">
        <is>
          <t>Histidine Buffer pH 6.0 formulation stability</t>
        </is>
      </c>
      <c r="E2302" s="18" t="inlineStr">
        <is>
          <t>Recombinant DNA Human Insulin in E. coli</t>
        </is>
      </c>
      <c r="F2302" s="18" t="inlineStr">
        <is>
          <t>Monoclonal Antibody IgG1 (CHO Cell Expression)</t>
        </is>
      </c>
      <c r="G2302" s="18" t="inlineStr">
        <is>
          <t>Polyethylene Glycol (PEG) Conjugation for extended half-life</t>
        </is>
      </c>
      <c r="H2302" s="18" t="inlineStr">
        <is>
          <t>Lyophilization (Freeze-drying) with Trehalose Cryoprotectant</t>
        </is>
      </c>
      <c r="I2302" s="15" t="inlineStr">
        <is>
          <t>1</t>
        </is>
      </c>
      <c r="J2302" s="18"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Biotech Products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2" s="18" t="inlineStr"/>
      <c r="L2302" s="18" t="inlineStr">
        <is>
          <t>Biotech Products</t>
        </is>
      </c>
      <c r="M2302" s="18" t="inlineStr">
        <is>
          <t>Product</t>
        </is>
      </c>
      <c r="N2302" s="18" t="inlineStr">
        <is>
          <t>ข้อ 4 (PLE_CC1_Key_Rx20_UBU.md)</t>
        </is>
      </c>
      <c r="O2302" s="18" t="inlineStr">
        <is>
          <t>Mock</t>
        </is>
      </c>
      <c r="P2302" s="18" t="inlineStr">
        <is>
          <t>Mock Rx20 UBU</t>
        </is>
      </c>
    </row>
    <row r="2303">
      <c r="A2303" s="15" t="inlineStr">
        <is>
          <t>2324</t>
        </is>
      </c>
      <c r="B2303" s="18" t="inlineStr">
        <is>
          <t>ข้อใดผิด</t>
        </is>
      </c>
      <c r="C2303" s="18" t="inlineStr"/>
      <c r="D2303" s="18" t="inlineStr">
        <is>
          <t>N-acetylcysteine (NAC) IV infusion protocol</t>
        </is>
      </c>
      <c r="E2303" s="18" t="inlineStr">
        <is>
          <t>Atropine sulfate 2 mg IV Q5-10 min</t>
        </is>
      </c>
      <c r="F2303" s="18" t="inlineStr">
        <is>
          <t>Pralidoxime (2-PAM) 1-2 g IV over 30 min</t>
        </is>
      </c>
      <c r="G2303" s="18" t="inlineStr">
        <is>
          <t>Naloxone 0.4 mg IV stat</t>
        </is>
      </c>
      <c r="H2303" s="18" t="inlineStr">
        <is>
          <t>Flumazenil 0.2 mg IV stat</t>
        </is>
      </c>
      <c r="I2303" s="15" t="inlineStr">
        <is>
          <t>1</t>
        </is>
      </c>
      <c r="J230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3" s="18" t="inlineStr"/>
      <c r="L2303" s="18" t="inlineStr">
        <is>
          <t>General Therapeutics</t>
        </is>
      </c>
      <c r="M2303" s="18" t="inlineStr">
        <is>
          <t>Clinic</t>
        </is>
      </c>
      <c r="N2303" s="18" t="inlineStr">
        <is>
          <t>ข้อ 7 (PLE_CC1_Key_Rx20_UBU.md)</t>
        </is>
      </c>
      <c r="O2303" s="18" t="inlineStr">
        <is>
          <t>Mock</t>
        </is>
      </c>
      <c r="P2303" s="18" t="inlineStr">
        <is>
          <t>Mock Rx20 UBU</t>
        </is>
      </c>
    </row>
    <row r="2304">
      <c r="A2304" s="15" t="inlineStr">
        <is>
          <t>2325</t>
        </is>
      </c>
      <c r="B2304" s="18" t="inlineStr">
        <is>
          <t>ใส่เสื้อ lint-free</t>
        </is>
      </c>
      <c r="C2304" s="18" t="inlineStr"/>
      <c r="D2304" s="18" t="inlineStr">
        <is>
          <t>Naloxone 0.4 mg IV stat</t>
        </is>
      </c>
      <c r="E2304" s="18" t="inlineStr">
        <is>
          <t>Flumazenil 0.2 mg IV stat</t>
        </is>
      </c>
      <c r="F2304" s="18" t="inlineStr">
        <is>
          <t>Vitamin K1 (Phytomenadione) 10 mg IV slow</t>
        </is>
      </c>
      <c r="G2304" s="18" t="inlineStr">
        <is>
          <t>Sodium thiosulfate 25% 50 mL IV</t>
        </is>
      </c>
      <c r="H2304" s="18" t="inlineStr">
        <is>
          <t>Calcium disodium EDTA 1 g IV</t>
        </is>
      </c>
      <c r="I2304" s="15" t="inlineStr">
        <is>
          <t>1</t>
        </is>
      </c>
      <c r="J23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4" s="18" t="inlineStr"/>
      <c r="L2304" s="18" t="inlineStr">
        <is>
          <t>General Therapeutics</t>
        </is>
      </c>
      <c r="M2304" s="18" t="inlineStr">
        <is>
          <t>Clinic</t>
        </is>
      </c>
      <c r="N2304" s="18" t="inlineStr">
        <is>
          <t>ข้อ 2 (PLE_CC1_Key_Rx20_UBU.md)</t>
        </is>
      </c>
      <c r="O2304" s="18" t="inlineStr">
        <is>
          <t>Mock</t>
        </is>
      </c>
      <c r="P2304" s="18" t="inlineStr">
        <is>
          <t>Mock Rx20 UBU</t>
        </is>
      </c>
    </row>
    <row r="2305">
      <c r="A2305" s="15" t="inlineStr">
        <is>
          <t>2326</t>
        </is>
      </c>
      <c r="B2305" s="18" t="inlineStr">
        <is>
          <t>หากผู้ป่วยเป็น poor metabolize ของ CYP 2D6 จะต้องเปลี่ยนไปใช้ยาในกลุ่ม aromatase inhibitor</t>
        </is>
      </c>
      <c r="C2305" s="18" t="inlineStr"/>
      <c r="D2305" s="18" t="inlineStr">
        <is>
          <t>Sodium thiosulfate 25% 50 mL IV</t>
        </is>
      </c>
      <c r="E2305" s="18" t="inlineStr">
        <is>
          <t>Calcium disodium EDTA 1 g IV</t>
        </is>
      </c>
      <c r="F2305" s="18" t="inlineStr">
        <is>
          <t>Desferrioxamine 1 g IM/IV</t>
        </is>
      </c>
      <c r="G2305" s="18" t="inlineStr">
        <is>
          <t>Dimercaprol (BAL) 3 mg/kg IM</t>
        </is>
      </c>
      <c r="H2305" s="18" t="inlineStr">
        <is>
          <t>Ethanol 10% IV infusion for Methanol poisoning</t>
        </is>
      </c>
      <c r="I2305" s="15" t="inlineStr">
        <is>
          <t>1</t>
        </is>
      </c>
      <c r="J230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5" s="18" t="inlineStr"/>
      <c r="L2305" s="18" t="inlineStr">
        <is>
          <t>General Therapeutics</t>
        </is>
      </c>
      <c r="M2305" s="18" t="inlineStr">
        <is>
          <t>Clinic</t>
        </is>
      </c>
      <c r="N2305" s="18" t="inlineStr">
        <is>
          <t>ข้อ 2 (PLE_CC1_Key_Rx20_UBU.md)</t>
        </is>
      </c>
      <c r="O2305" s="18" t="inlineStr">
        <is>
          <t>Mock</t>
        </is>
      </c>
      <c r="P2305" s="18" t="inlineStr">
        <is>
          <t>Mock Rx20 UBU</t>
        </is>
      </c>
    </row>
    <row r="2306">
      <c r="A2306" s="15" t="inlineStr">
        <is>
          <t>2327</t>
        </is>
      </c>
      <c r="B2306" s="18" t="inlineStr">
        <is>
          <t>การมีระดับยูริกในเลือดที่สูง</t>
        </is>
      </c>
      <c r="C2306" s="18" t="inlineStr"/>
      <c r="D2306" s="18" t="inlineStr">
        <is>
          <t>Dimercaprol (BAL) 3 mg/kg IM</t>
        </is>
      </c>
      <c r="E2306" s="18" t="inlineStr">
        <is>
          <t>Ethanol 10% IV infusion for Methanol poisoning</t>
        </is>
      </c>
      <c r="F2306" s="18" t="inlineStr">
        <is>
          <t>Fomepizole 15 mg/kg IV loading</t>
        </is>
      </c>
      <c r="G2306" s="18" t="inlineStr">
        <is>
          <t>N-acetylcysteine (NAC) IV infusion protocol</t>
        </is>
      </c>
      <c r="H2306" s="18" t="inlineStr">
        <is>
          <t>Atropine sulfate 2 mg IV Q5-10 min</t>
        </is>
      </c>
      <c r="I2306" s="15" t="inlineStr">
        <is>
          <t>1</t>
        </is>
      </c>
      <c r="J230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6" s="18" t="inlineStr"/>
      <c r="L2306" s="18" t="inlineStr">
        <is>
          <t>General Therapeutics</t>
        </is>
      </c>
      <c r="M2306" s="18" t="inlineStr">
        <is>
          <t>Clinic</t>
        </is>
      </c>
      <c r="N2306" s="18" t="inlineStr">
        <is>
          <t>ข้อ 3 (PLE_CC1_Key_Rx20_UBU.md)</t>
        </is>
      </c>
      <c r="O2306" s="18" t="inlineStr">
        <is>
          <t>Mock</t>
        </is>
      </c>
      <c r="P2306" s="18" t="inlineStr">
        <is>
          <t>Mock Rx20 UBU</t>
        </is>
      </c>
    </row>
    <row r="2307">
      <c r="A2307" s="15" t="inlineStr">
        <is>
          <t>2328</t>
        </is>
      </c>
      <c r="B2307" s="18" t="inlineStr">
        <is>
          <t>ลดการสร้างกรดยูริค</t>
        </is>
      </c>
      <c r="C2307" s="18" t="inlineStr"/>
      <c r="D2307" s="18" t="inlineStr">
        <is>
          <t>N-acetylcysteine (NAC) IV infusion protocol</t>
        </is>
      </c>
      <c r="E2307" s="18" t="inlineStr">
        <is>
          <t>Atropine sulfate 2 mg IV Q5-10 min</t>
        </is>
      </c>
      <c r="F2307" s="18" t="inlineStr">
        <is>
          <t>Pralidoxime (2-PAM) 1-2 g IV over 30 min</t>
        </is>
      </c>
      <c r="G2307" s="18" t="inlineStr">
        <is>
          <t>Naloxone 0.4 mg IV stat</t>
        </is>
      </c>
      <c r="H2307" s="18" t="inlineStr">
        <is>
          <t>Flumazenil 0.2 mg IV stat</t>
        </is>
      </c>
      <c r="I2307" s="15" t="inlineStr">
        <is>
          <t>1</t>
        </is>
      </c>
      <c r="J23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7" s="18" t="inlineStr"/>
      <c r="L2307" s="18" t="inlineStr">
        <is>
          <t>General Therapeutics</t>
        </is>
      </c>
      <c r="M2307" s="18" t="inlineStr">
        <is>
          <t>Clinic</t>
        </is>
      </c>
      <c r="N2307" s="18" t="inlineStr">
        <is>
          <t>ข้อ 1 (PLE_CC1_Key_Rx20_UBU.md)</t>
        </is>
      </c>
      <c r="O2307" s="18" t="inlineStr">
        <is>
          <t>Mock</t>
        </is>
      </c>
      <c r="P2307" s="18" t="inlineStr">
        <is>
          <t>Mock Rx20 UBU</t>
        </is>
      </c>
    </row>
    <row r="2308">
      <c r="A2308" s="15" t="inlineStr">
        <is>
          <t>2329</t>
        </is>
      </c>
      <c r="B2308" s="18" t="inlineStr">
        <is>
          <t>กระตุ้น Xantine oxdase</t>
        </is>
      </c>
      <c r="C2308" s="18" t="inlineStr"/>
      <c r="D2308" s="18" t="inlineStr">
        <is>
          <t>Naloxone 0.4 mg IV stat</t>
        </is>
      </c>
      <c r="E2308" s="18" t="inlineStr">
        <is>
          <t>Flumazenil 0.2 mg IV stat</t>
        </is>
      </c>
      <c r="F2308" s="18" t="inlineStr">
        <is>
          <t>Vitamin K1 (Phytomenadione) 10 mg IV slow</t>
        </is>
      </c>
      <c r="G2308" s="18" t="inlineStr">
        <is>
          <t>Sodium thiosulfate 25% 50 mL IV</t>
        </is>
      </c>
      <c r="H2308" s="18" t="inlineStr">
        <is>
          <t>Calcium disodium EDTA 1 g IV</t>
        </is>
      </c>
      <c r="I2308" s="15" t="inlineStr">
        <is>
          <t>1</t>
        </is>
      </c>
      <c r="J230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8" s="18" t="inlineStr"/>
      <c r="L2308" s="18" t="inlineStr">
        <is>
          <t>General Therapeutics</t>
        </is>
      </c>
      <c r="M2308" s="18" t="inlineStr">
        <is>
          <t>Clinic</t>
        </is>
      </c>
      <c r="N2308" s="18" t="inlineStr">
        <is>
          <t>ข้อ 2 (PLE_CC1_Key_Rx20_UBU.md)</t>
        </is>
      </c>
      <c r="O2308" s="18" t="inlineStr">
        <is>
          <t>Mock</t>
        </is>
      </c>
      <c r="P2308" s="18" t="inlineStr">
        <is>
          <t>Mock Rx20 UBU</t>
        </is>
      </c>
    </row>
    <row r="2309">
      <c r="A2309" s="15" t="inlineStr">
        <is>
          <t>2330</t>
        </is>
      </c>
      <c r="B2309" s="18" t="inlineStr">
        <is>
          <t>ลดการขับออกของยูริกในปัสสาวะ</t>
        </is>
      </c>
      <c r="C2309" s="18" t="inlineStr"/>
      <c r="D2309" s="18" t="inlineStr">
        <is>
          <t>Sodium thiosulfate 25% 50 mL IV</t>
        </is>
      </c>
      <c r="E2309" s="18" t="inlineStr">
        <is>
          <t>Calcium disodium EDTA 1 g IV</t>
        </is>
      </c>
      <c r="F2309" s="18" t="inlineStr">
        <is>
          <t>Desferrioxamine 1 g IM/IV</t>
        </is>
      </c>
      <c r="G2309" s="18" t="inlineStr">
        <is>
          <t>Dimercaprol (BAL) 3 mg/kg IM</t>
        </is>
      </c>
      <c r="H2309" s="18" t="inlineStr">
        <is>
          <t>Ethanol 10% IV infusion for Methanol poisoning</t>
        </is>
      </c>
      <c r="I2309" s="15" t="inlineStr">
        <is>
          <t>1</t>
        </is>
      </c>
      <c r="J230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9" s="18" t="inlineStr"/>
      <c r="L2309" s="18" t="inlineStr">
        <is>
          <t>General Therapeutics</t>
        </is>
      </c>
      <c r="M2309" s="18" t="inlineStr">
        <is>
          <t>Clinic</t>
        </is>
      </c>
      <c r="N2309" s="18" t="inlineStr">
        <is>
          <t>ข้อ 3 (PLE_CC1_Key_Rx20_UBU.md)</t>
        </is>
      </c>
      <c r="O2309" s="18" t="inlineStr">
        <is>
          <t>Mock</t>
        </is>
      </c>
      <c r="P2309" s="18" t="inlineStr">
        <is>
          <t>Mock Rx20 UBU</t>
        </is>
      </c>
    </row>
    <row r="2310">
      <c r="A2310" s="15" t="inlineStr">
        <is>
          <t>2331</t>
        </is>
      </c>
      <c r="B2310" s="18" t="inlineStr">
        <is>
          <t>เพิ่มการสร้าง Prostaglandin</t>
        </is>
      </c>
      <c r="C2310" s="18" t="inlineStr"/>
      <c r="D2310" s="18" t="inlineStr">
        <is>
          <t>Dimercaprol (BAL) 3 mg/kg IM</t>
        </is>
      </c>
      <c r="E2310" s="18" t="inlineStr">
        <is>
          <t>Ethanol 10% IV infusion for Methanol poisoning</t>
        </is>
      </c>
      <c r="F2310" s="18" t="inlineStr">
        <is>
          <t>Fomepizole 15 mg/kg IV loading</t>
        </is>
      </c>
      <c r="G2310" s="18" t="inlineStr">
        <is>
          <t>N-acetylcysteine (NAC) IV infusion protocol</t>
        </is>
      </c>
      <c r="H2310" s="18" t="inlineStr">
        <is>
          <t>Atropine sulfate 2 mg IV Q5-10 min</t>
        </is>
      </c>
      <c r="I2310" s="15" t="inlineStr">
        <is>
          <t>1</t>
        </is>
      </c>
      <c r="J231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0" s="18" t="inlineStr"/>
      <c r="L2310" s="18" t="inlineStr">
        <is>
          <t>General Therapeutics</t>
        </is>
      </c>
      <c r="M2310" s="18" t="inlineStr">
        <is>
          <t>Clinic</t>
        </is>
      </c>
      <c r="N2310" s="18" t="inlineStr">
        <is>
          <t>ข้อ 4 (PLE_CC1_Key_Rx20_UBU.md)</t>
        </is>
      </c>
      <c r="O2310" s="18" t="inlineStr">
        <is>
          <t>Mock</t>
        </is>
      </c>
      <c r="P2310" s="18" t="inlineStr">
        <is>
          <t>Mock Rx20 UBU</t>
        </is>
      </c>
    </row>
    <row r="2311">
      <c r="A2311" s="15" t="inlineStr">
        <is>
          <t>2332</t>
        </is>
      </c>
      <c r="B2311" s="18" t="inlineStr">
        <is>
          <t>ยาใดที่ใช้บรรเทาอาการเฉียบพลันของผู้ป่วยรายนี้ได้</t>
        </is>
      </c>
      <c r="C2311" s="18" t="inlineStr"/>
      <c r="D2311" s="18" t="inlineStr">
        <is>
          <t>N-acetylcysteine (NAC) IV infusion protocol</t>
        </is>
      </c>
      <c r="E2311" s="18" t="inlineStr">
        <is>
          <t>Atropine sulfate 2 mg IV Q5-10 min</t>
        </is>
      </c>
      <c r="F2311" s="18" t="inlineStr">
        <is>
          <t>Pralidoxime (2-PAM) 1-2 g IV over 30 min</t>
        </is>
      </c>
      <c r="G2311" s="18" t="inlineStr">
        <is>
          <t>Naloxone 0.4 mg IV stat</t>
        </is>
      </c>
      <c r="H2311" s="18" t="inlineStr">
        <is>
          <t>Flumazenil 0.2 mg IV stat</t>
        </is>
      </c>
      <c r="I2311" s="15" t="inlineStr">
        <is>
          <t>1</t>
        </is>
      </c>
      <c r="J231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1" s="18" t="inlineStr"/>
      <c r="L2311" s="18" t="inlineStr">
        <is>
          <t>General Therapeutics</t>
        </is>
      </c>
      <c r="M2311" s="18" t="inlineStr">
        <is>
          <t>Clinic</t>
        </is>
      </c>
      <c r="N2311" s="18" t="inlineStr">
        <is>
          <t>ข้อ 3 (PLE_CC1_Key_Rx20_UBU.md)</t>
        </is>
      </c>
      <c r="O2311" s="18" t="inlineStr">
        <is>
          <t>Mock</t>
        </is>
      </c>
      <c r="P2311" s="18" t="inlineStr">
        <is>
          <t>Mock Rx20 UBU</t>
        </is>
      </c>
    </row>
    <row r="2312">
      <c r="A2312" s="15" t="inlineStr">
        <is>
          <t>2333</t>
        </is>
      </c>
      <c r="B2312" s="18" t="inlineStr">
        <is>
          <t>อาหารใดที่ผู้ป่วยสามารถรับประทานได้</t>
        </is>
      </c>
      <c r="C2312" s="18" t="inlineStr"/>
      <c r="D2312" s="18" t="inlineStr">
        <is>
          <t>Naloxone 0.4 mg IV stat</t>
        </is>
      </c>
      <c r="E2312" s="18" t="inlineStr">
        <is>
          <t>Flumazenil 0.2 mg IV stat</t>
        </is>
      </c>
      <c r="F2312" s="18" t="inlineStr">
        <is>
          <t>Vitamin K1 (Phytomenadione) 10 mg IV slow</t>
        </is>
      </c>
      <c r="G2312" s="18" t="inlineStr">
        <is>
          <t>Sodium thiosulfate 25% 50 mL IV</t>
        </is>
      </c>
      <c r="H2312" s="18" t="inlineStr">
        <is>
          <t>Calcium disodium EDTA 1 g IV</t>
        </is>
      </c>
      <c r="I2312" s="15" t="inlineStr">
        <is>
          <t>1</t>
        </is>
      </c>
      <c r="J231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2" s="18" t="inlineStr"/>
      <c r="L2312" s="18" t="inlineStr">
        <is>
          <t>General Therapeutics</t>
        </is>
      </c>
      <c r="M2312" s="18" t="inlineStr">
        <is>
          <t>Clinic</t>
        </is>
      </c>
      <c r="N2312" s="18" t="inlineStr">
        <is>
          <t>ข้อ 5 (PLE_CC1_Key_Rx20_UBU.md)</t>
        </is>
      </c>
      <c r="O2312" s="18" t="inlineStr">
        <is>
          <t>Mock</t>
        </is>
      </c>
      <c r="P2312" s="18" t="inlineStr">
        <is>
          <t>Mock Rx20 UBU</t>
        </is>
      </c>
    </row>
    <row r="2313">
      <c r="A2313" s="15" t="inlineStr">
        <is>
          <t>2334</t>
        </is>
      </c>
      <c r="B2313" s="18" t="inlineStr">
        <is>
          <t>ปลาหมึกไข่นึ่งมะนาว</t>
        </is>
      </c>
      <c r="C2313" s="18" t="inlineStr"/>
      <c r="D2313" s="18" t="inlineStr">
        <is>
          <t>Sodium thiosulfate 25% 50 mL IV</t>
        </is>
      </c>
      <c r="E2313" s="18" t="inlineStr">
        <is>
          <t>Calcium disodium EDTA 1 g IV</t>
        </is>
      </c>
      <c r="F2313" s="18" t="inlineStr">
        <is>
          <t>Desferrioxamine 1 g IM/IV</t>
        </is>
      </c>
      <c r="G2313" s="18" t="inlineStr">
        <is>
          <t>Dimercaprol (BAL) 3 mg/kg IM</t>
        </is>
      </c>
      <c r="H2313" s="18" t="inlineStr">
        <is>
          <t>Ethanol 10% IV infusion for Methanol poisoning</t>
        </is>
      </c>
      <c r="I2313" s="15" t="inlineStr">
        <is>
          <t>1</t>
        </is>
      </c>
      <c r="J231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3" s="18" t="inlineStr"/>
      <c r="L2313" s="18" t="inlineStr">
        <is>
          <t>General Therapeutics</t>
        </is>
      </c>
      <c r="M2313" s="18" t="inlineStr">
        <is>
          <t>Clinic</t>
        </is>
      </c>
      <c r="N2313" s="18" t="inlineStr">
        <is>
          <t>ข้อ 2 (PLE_CC1_Key_Rx20_UBU.md)</t>
        </is>
      </c>
      <c r="O2313" s="18" t="inlineStr">
        <is>
          <t>Mock</t>
        </is>
      </c>
      <c r="P2313" s="18" t="inlineStr">
        <is>
          <t>Mock Rx20 UBU</t>
        </is>
      </c>
    </row>
    <row r="2314">
      <c r="A2314" s="15" t="inlineStr">
        <is>
          <t>2335</t>
        </is>
      </c>
      <c r="B2314" s="18" t="inlineStr">
        <is>
          <t>ต้มเครื่องในหมู</t>
        </is>
      </c>
      <c r="C2314" s="18" t="inlineStr"/>
      <c r="D2314" s="18" t="inlineStr">
        <is>
          <t>Dimercaprol (BAL) 3 mg/kg IM</t>
        </is>
      </c>
      <c r="E2314" s="18" t="inlineStr">
        <is>
          <t>Ethanol 10% IV infusion for Methanol poisoning</t>
        </is>
      </c>
      <c r="F2314" s="18" t="inlineStr">
        <is>
          <t>Fomepizole 15 mg/kg IV loading</t>
        </is>
      </c>
      <c r="G2314" s="18" t="inlineStr">
        <is>
          <t>N-acetylcysteine (NAC) IV infusion protocol</t>
        </is>
      </c>
      <c r="H2314" s="18" t="inlineStr">
        <is>
          <t>Atropine sulfate 2 mg IV Q5-10 min</t>
        </is>
      </c>
      <c r="I2314" s="15" t="inlineStr">
        <is>
          <t>1</t>
        </is>
      </c>
      <c r="J231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4" s="18" t="inlineStr"/>
      <c r="L2314" s="18" t="inlineStr">
        <is>
          <t>General Therapeutics</t>
        </is>
      </c>
      <c r="M2314" s="18" t="inlineStr">
        <is>
          <t>Clinic</t>
        </is>
      </c>
      <c r="N2314" s="18" t="inlineStr">
        <is>
          <t>ข้อ 4 (PLE_CC1_Key_Rx20_UBU.md)</t>
        </is>
      </c>
      <c r="O2314" s="18" t="inlineStr">
        <is>
          <t>Mock</t>
        </is>
      </c>
      <c r="P2314" s="18" t="inlineStr">
        <is>
          <t>Mock Rx20 UBU</t>
        </is>
      </c>
    </row>
    <row r="2315">
      <c r="A2315" s="15" t="inlineStr">
        <is>
          <t>2336</t>
        </is>
      </c>
      <c r="B2315" s="18" t="inlineStr">
        <is>
          <t>left ventricular hypertrophy</t>
        </is>
      </c>
      <c r="C2315" s="18" t="inlineStr"/>
      <c r="D2315" s="18" t="inlineStr">
        <is>
          <t>N-acetylcysteine (NAC) IV infusion protocol</t>
        </is>
      </c>
      <c r="E2315" s="18" t="inlineStr">
        <is>
          <t>Atropine sulfate 2 mg IV Q5-10 min</t>
        </is>
      </c>
      <c r="F2315" s="18" t="inlineStr">
        <is>
          <t>Pralidoxime (2-PAM) 1-2 g IV over 30 min</t>
        </is>
      </c>
      <c r="G2315" s="18" t="inlineStr">
        <is>
          <t>Naloxone 0.4 mg IV stat</t>
        </is>
      </c>
      <c r="H2315" s="18" t="inlineStr">
        <is>
          <t>Flumazenil 0.2 mg IV stat</t>
        </is>
      </c>
      <c r="I2315" s="15" t="inlineStr">
        <is>
          <t>1</t>
        </is>
      </c>
      <c r="J231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5" s="18" t="inlineStr"/>
      <c r="L2315" s="18" t="inlineStr">
        <is>
          <t>General Therapeutics</t>
        </is>
      </c>
      <c r="M2315" s="18" t="inlineStr">
        <is>
          <t>Clinic</t>
        </is>
      </c>
      <c r="N2315" s="18" t="inlineStr">
        <is>
          <t>ข้อ 2 (PLE_CC1_Key_Rx20_UBU.md)</t>
        </is>
      </c>
      <c r="O2315" s="18" t="inlineStr">
        <is>
          <t>Mock</t>
        </is>
      </c>
      <c r="P2315" s="18" t="inlineStr">
        <is>
          <t>Mock Rx20 UBU</t>
        </is>
      </c>
    </row>
    <row r="2316">
      <c r="A2316" s="15" t="inlineStr">
        <is>
          <t>2337</t>
        </is>
      </c>
      <c r="B2316" s="18" t="inlineStr">
        <is>
          <t>ควรแนะนำอะไรแก่ผู้ป่วย</t>
        </is>
      </c>
      <c r="C2316" s="18" t="inlineStr"/>
      <c r="D2316" s="18" t="inlineStr">
        <is>
          <t>Naloxone 0.4 mg IV stat</t>
        </is>
      </c>
      <c r="E2316" s="18" t="inlineStr">
        <is>
          <t>Flumazenil 0.2 mg IV stat</t>
        </is>
      </c>
      <c r="F2316" s="18" t="inlineStr">
        <is>
          <t>Vitamin K1 (Phytomenadione) 10 mg IV slow</t>
        </is>
      </c>
      <c r="G2316" s="18" t="inlineStr">
        <is>
          <t>Sodium thiosulfate 25% 50 mL IV</t>
        </is>
      </c>
      <c r="H2316" s="18" t="inlineStr">
        <is>
          <t>Calcium disodium EDTA 1 g IV</t>
        </is>
      </c>
      <c r="I2316" s="15" t="inlineStr">
        <is>
          <t>1</t>
        </is>
      </c>
      <c r="J231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6" s="18" t="inlineStr"/>
      <c r="L2316" s="18" t="inlineStr">
        <is>
          <t>General Therapeutics</t>
        </is>
      </c>
      <c r="M2316" s="18" t="inlineStr">
        <is>
          <t>Clinic</t>
        </is>
      </c>
      <c r="N2316" s="18" t="inlineStr">
        <is>
          <t>ข้อ 3 (PLE_CC1_Key_Rx20_UBU.md)</t>
        </is>
      </c>
      <c r="O2316" s="18" t="inlineStr">
        <is>
          <t>Mock</t>
        </is>
      </c>
      <c r="P2316" s="18" t="inlineStr">
        <is>
          <t>Mock Rx20 UBU</t>
        </is>
      </c>
    </row>
    <row r="2317">
      <c r="A2317" s="15" t="inlineStr">
        <is>
          <t>2338</t>
        </is>
      </c>
      <c r="B2317" s="18" t="inlineStr">
        <is>
          <t>ออกกำลังกายให้น้อยที่สุด</t>
        </is>
      </c>
      <c r="C2317" s="18" t="inlineStr"/>
      <c r="D2317" s="18" t="inlineStr">
        <is>
          <t>Sodium thiosulfate 25% 50 mL IV</t>
        </is>
      </c>
      <c r="E2317" s="18" t="inlineStr">
        <is>
          <t>Calcium disodium EDTA 1 g IV</t>
        </is>
      </c>
      <c r="F2317" s="18" t="inlineStr">
        <is>
          <t>Desferrioxamine 1 g IM/IV</t>
        </is>
      </c>
      <c r="G2317" s="18" t="inlineStr">
        <is>
          <t>Dimercaprol (BAL) 3 mg/kg IM</t>
        </is>
      </c>
      <c r="H2317" s="18" t="inlineStr">
        <is>
          <t>Ethanol 10% IV infusion for Methanol poisoning</t>
        </is>
      </c>
      <c r="I2317" s="15" t="inlineStr">
        <is>
          <t>1</t>
        </is>
      </c>
      <c r="J231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7" s="18" t="inlineStr"/>
      <c r="L2317" s="18" t="inlineStr">
        <is>
          <t>General Therapeutics</t>
        </is>
      </c>
      <c r="M2317" s="18" t="inlineStr">
        <is>
          <t>Clinic</t>
        </is>
      </c>
      <c r="N2317" s="18" t="inlineStr">
        <is>
          <t>ข้อ 1 (PLE_CC1_Key_Rx20_UBU.md)</t>
        </is>
      </c>
      <c r="O2317" s="18" t="inlineStr">
        <is>
          <t>Mock</t>
        </is>
      </c>
      <c r="P2317" s="18" t="inlineStr">
        <is>
          <t>Mock Rx20 UBU</t>
        </is>
      </c>
    </row>
    <row r="2318">
      <c r="A2318" s="15" t="inlineStr">
        <is>
          <t>2339</t>
        </is>
      </c>
      <c r="B2318" s="18" t="inlineStr">
        <is>
          <t>รับประทานกล้วยส้มให้คงที่</t>
        </is>
      </c>
      <c r="C2318" s="18" t="inlineStr"/>
      <c r="D2318" s="18" t="inlineStr">
        <is>
          <t>Dimercaprol (BAL) 3 mg/kg IM</t>
        </is>
      </c>
      <c r="E2318" s="18" t="inlineStr">
        <is>
          <t>Ethanol 10% IV infusion for Methanol poisoning</t>
        </is>
      </c>
      <c r="F2318" s="18" t="inlineStr">
        <is>
          <t>Fomepizole 15 mg/kg IV loading</t>
        </is>
      </c>
      <c r="G2318" s="18" t="inlineStr">
        <is>
          <t>N-acetylcysteine (NAC) IV infusion protocol</t>
        </is>
      </c>
      <c r="H2318" s="18" t="inlineStr">
        <is>
          <t>Atropine sulfate 2 mg IV Q5-10 min</t>
        </is>
      </c>
      <c r="I2318" s="15" t="inlineStr">
        <is>
          <t>1</t>
        </is>
      </c>
      <c r="J231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8" s="18" t="inlineStr"/>
      <c r="L2318" s="18" t="inlineStr">
        <is>
          <t>General Therapeutics</t>
        </is>
      </c>
      <c r="M2318" s="18" t="inlineStr">
        <is>
          <t>Clinic</t>
        </is>
      </c>
      <c r="N2318" s="18" t="inlineStr">
        <is>
          <t>ข้อ 2 (PLE_CC1_Key_Rx20_UBU.md)</t>
        </is>
      </c>
      <c r="O2318" s="18" t="inlineStr">
        <is>
          <t>Mock</t>
        </is>
      </c>
      <c r="P2318" s="18" t="inlineStr">
        <is>
          <t>Mock Rx20 UBU</t>
        </is>
      </c>
    </row>
    <row r="2319">
      <c r="A2319" s="15" t="inlineStr">
        <is>
          <t>2340</t>
        </is>
      </c>
      <c r="B2319" s="18" t="inlineStr">
        <is>
          <t>จำกัดการดื่มน้ำให้ไม่เกินวันละ 1.5 ลิตร</t>
        </is>
      </c>
      <c r="C2319" s="18" t="inlineStr"/>
      <c r="D2319" s="18" t="inlineStr">
        <is>
          <t>N-acetylcysteine (NAC) IV infusion protocol</t>
        </is>
      </c>
      <c r="E2319" s="18" t="inlineStr">
        <is>
          <t>Atropine sulfate 2 mg IV Q5-10 min</t>
        </is>
      </c>
      <c r="F2319" s="18" t="inlineStr">
        <is>
          <t>Pralidoxime (2-PAM) 1-2 g IV over 30 min</t>
        </is>
      </c>
      <c r="G2319" s="18" t="inlineStr">
        <is>
          <t>Naloxone 0.4 mg IV stat</t>
        </is>
      </c>
      <c r="H2319" s="18" t="inlineStr">
        <is>
          <t>Flumazenil 0.2 mg IV stat</t>
        </is>
      </c>
      <c r="I2319" s="15" t="inlineStr">
        <is>
          <t>1</t>
        </is>
      </c>
      <c r="J231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9" s="18" t="inlineStr"/>
      <c r="L2319" s="18" t="inlineStr">
        <is>
          <t>General Therapeutics</t>
        </is>
      </c>
      <c r="M2319" s="18" t="inlineStr">
        <is>
          <t>Clinic</t>
        </is>
      </c>
      <c r="N2319" s="18" t="inlineStr">
        <is>
          <t>ข้อ 3 (PLE_CC1_Key_Rx20_UBU.md)</t>
        </is>
      </c>
      <c r="O2319" s="18" t="inlineStr">
        <is>
          <t>Mock</t>
        </is>
      </c>
      <c r="P2319" s="18" t="inlineStr">
        <is>
          <t>Mock Rx20 UBU</t>
        </is>
      </c>
    </row>
    <row r="2320">
      <c r="A2320" s="15" t="inlineStr">
        <is>
          <t>2341</t>
        </is>
      </c>
      <c r="B2320" s="18" t="inlineStr">
        <is>
          <t>ระวังไม่ให้ท้องผูก</t>
        </is>
      </c>
      <c r="C2320" s="18" t="inlineStr"/>
      <c r="D2320" s="18" t="inlineStr">
        <is>
          <t>Dimenhydrinate 50 mg TID</t>
        </is>
      </c>
      <c r="E2320" s="18" t="inlineStr">
        <is>
          <t>Loperamide 2 mg PRN</t>
        </is>
      </c>
      <c r="F2320" s="18" t="inlineStr">
        <is>
          <t>Senna 2 tabs HS</t>
        </is>
      </c>
      <c r="G2320" s="18" t="inlineStr">
        <is>
          <t>Bisacodyl 5 mg HS</t>
        </is>
      </c>
      <c r="H2320" s="18" t="inlineStr">
        <is>
          <t>Lactulose 15 mL OD</t>
        </is>
      </c>
      <c r="I2320" s="15" t="inlineStr">
        <is>
          <t>1</t>
        </is>
      </c>
      <c r="J2320" s="18"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การเลือก Dimenhydrinate 50 mg TID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0" s="18" t="inlineStr"/>
      <c r="L2320" s="18" t="inlineStr">
        <is>
          <t>GI Disorders</t>
        </is>
      </c>
      <c r="M2320" s="18" t="inlineStr">
        <is>
          <t>Clinic</t>
        </is>
      </c>
      <c r="N2320" s="18" t="inlineStr">
        <is>
          <t>ข้อ 4 (PLE_CC1_Key_Rx20_UBU.md)</t>
        </is>
      </c>
      <c r="O2320" s="18" t="inlineStr">
        <is>
          <t>Mock</t>
        </is>
      </c>
      <c r="P2320" s="18" t="inlineStr">
        <is>
          <t>Mock Rx20 UBU</t>
        </is>
      </c>
    </row>
    <row r="2321">
      <c r="A2321" s="15" t="inlineStr">
        <is>
          <t>2342</t>
        </is>
      </c>
      <c r="B2321" s="18" t="inlineStr">
        <is>
          <t>รับประทานเวลาไหนก็ได้ แต่ควรเป็นเวลาเดียวกันทุกวัน</t>
        </is>
      </c>
      <c r="C2321" s="18" t="inlineStr"/>
      <c r="D2321" s="18" t="inlineStr">
        <is>
          <t>Sodium thiosulfate 25% 50 mL IV</t>
        </is>
      </c>
      <c r="E2321" s="18" t="inlineStr">
        <is>
          <t>Calcium disodium EDTA 1 g IV</t>
        </is>
      </c>
      <c r="F2321" s="18" t="inlineStr">
        <is>
          <t>Desferrioxamine 1 g IM/IV</t>
        </is>
      </c>
      <c r="G2321" s="18" t="inlineStr">
        <is>
          <t>Dimercaprol (BAL) 3 mg/kg IM</t>
        </is>
      </c>
      <c r="H2321" s="18" t="inlineStr">
        <is>
          <t>Ethanol 10% IV infusion for Methanol poisoning</t>
        </is>
      </c>
      <c r="I2321" s="15" t="inlineStr">
        <is>
          <t>1</t>
        </is>
      </c>
      <c r="J232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1" s="18" t="inlineStr"/>
      <c r="L2321" s="18" t="inlineStr">
        <is>
          <t>General Therapeutics</t>
        </is>
      </c>
      <c r="M2321" s="18" t="inlineStr">
        <is>
          <t>Clinic</t>
        </is>
      </c>
      <c r="N2321" s="18" t="inlineStr">
        <is>
          <t>ข้อ 1 (PLE_CC1_Key_Rx20_UBU.md)</t>
        </is>
      </c>
      <c r="O2321" s="18" t="inlineStr">
        <is>
          <t>Mock</t>
        </is>
      </c>
      <c r="P2321" s="18" t="inlineStr">
        <is>
          <t>Mock Rx20 UBU</t>
        </is>
      </c>
    </row>
    <row r="2322">
      <c r="A2322" s="15" t="inlineStr">
        <is>
          <t>2343</t>
        </is>
      </c>
      <c r="B2322" s="18" t="inlineStr">
        <is>
          <t>รับประทานวันละ 1 เม็ดไม่เกินเวลาเที่ยง</t>
        </is>
      </c>
      <c r="C2322" s="18" t="inlineStr"/>
      <c r="D2322" s="18" t="inlineStr">
        <is>
          <t>Dimercaprol (BAL) 3 mg/kg IM</t>
        </is>
      </c>
      <c r="E2322" s="18" t="inlineStr">
        <is>
          <t>Ethanol 10% IV infusion for Methanol poisoning</t>
        </is>
      </c>
      <c r="F2322" s="18" t="inlineStr">
        <is>
          <t>Fomepizole 15 mg/kg IV loading</t>
        </is>
      </c>
      <c r="G2322" s="18" t="inlineStr">
        <is>
          <t>N-acetylcysteine (NAC) IV infusion protocol</t>
        </is>
      </c>
      <c r="H2322" s="18" t="inlineStr">
        <is>
          <t>Atropine sulfate 2 mg IV Q5-10 min</t>
        </is>
      </c>
      <c r="I2322" s="15" t="inlineStr">
        <is>
          <t>1</t>
        </is>
      </c>
      <c r="J23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2" s="18" t="inlineStr"/>
      <c r="L2322" s="18" t="inlineStr">
        <is>
          <t>General Therapeutics</t>
        </is>
      </c>
      <c r="M2322" s="18" t="inlineStr">
        <is>
          <t>Clinic</t>
        </is>
      </c>
      <c r="N2322" s="18" t="inlineStr">
        <is>
          <t>ข้อ 2 (PLE_CC1_Key_Rx20_UBU.md)</t>
        </is>
      </c>
      <c r="O2322" s="18" t="inlineStr">
        <is>
          <t>Mock</t>
        </is>
      </c>
      <c r="P2322" s="18" t="inlineStr">
        <is>
          <t>Mock Rx20 UBU</t>
        </is>
      </c>
    </row>
    <row r="2323">
      <c r="A2323" s="15" t="inlineStr">
        <is>
          <t>2344</t>
        </is>
      </c>
      <c r="B2323" s="18" t="inlineStr">
        <is>
          <t>หากลืมรับประทานไม่เกิน 12 ชั่วโมง สามารถรับประทานทันทีที่นึกได้</t>
        </is>
      </c>
      <c r="C2323" s="18" t="inlineStr"/>
      <c r="D2323" s="18" t="inlineStr">
        <is>
          <t>N-acetylcysteine (NAC) IV infusion protocol</t>
        </is>
      </c>
      <c r="E2323" s="18" t="inlineStr">
        <is>
          <t>Atropine sulfate 2 mg IV Q5-10 min</t>
        </is>
      </c>
      <c r="F2323" s="18" t="inlineStr">
        <is>
          <t>Pralidoxime (2-PAM) 1-2 g IV over 30 min</t>
        </is>
      </c>
      <c r="G2323" s="18" t="inlineStr">
        <is>
          <t>Naloxone 0.4 mg IV stat</t>
        </is>
      </c>
      <c r="H2323" s="18" t="inlineStr">
        <is>
          <t>Flumazenil 0.2 mg IV stat</t>
        </is>
      </c>
      <c r="I2323" s="15" t="inlineStr">
        <is>
          <t>1</t>
        </is>
      </c>
      <c r="J232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3" s="18" t="inlineStr"/>
      <c r="L2323" s="18" t="inlineStr">
        <is>
          <t>General Therapeutics</t>
        </is>
      </c>
      <c r="M2323" s="18" t="inlineStr">
        <is>
          <t>Clinic</t>
        </is>
      </c>
      <c r="N2323" s="18" t="inlineStr">
        <is>
          <t>ข้อ 3 (PLE_CC1_Key_Rx20_UBU.md)</t>
        </is>
      </c>
      <c r="O2323" s="18" t="inlineStr">
        <is>
          <t>Mock</t>
        </is>
      </c>
      <c r="P2323" s="18" t="inlineStr">
        <is>
          <t>Mock Rx20 UBU</t>
        </is>
      </c>
    </row>
    <row r="2324">
      <c r="A2324" s="15" t="inlineStr">
        <is>
          <t>2345</t>
        </is>
      </c>
      <c r="B2324" s="18" t="inlineStr">
        <is>
          <t>หลีกเลี่ยงการรับประทานร่วมกับนมและยาลดกรด</t>
        </is>
      </c>
      <c r="C2324" s="18" t="inlineStr"/>
      <c r="D2324" s="18" t="inlineStr">
        <is>
          <t>Domperidone 10 mg TID</t>
        </is>
      </c>
      <c r="E2324" s="18" t="inlineStr">
        <is>
          <t>Dimenhydrinate 50 mg TID</t>
        </is>
      </c>
      <c r="F2324" s="18" t="inlineStr">
        <is>
          <t>Loperamide 2 mg PRN</t>
        </is>
      </c>
      <c r="G2324" s="18" t="inlineStr">
        <is>
          <t>Senna 2 tabs HS</t>
        </is>
      </c>
      <c r="H2324" s="18" t="inlineStr">
        <is>
          <t>Bisacodyl 5 mg HS</t>
        </is>
      </c>
      <c r="I2324" s="15" t="inlineStr">
        <is>
          <t>1</t>
        </is>
      </c>
      <c r="J2324" s="18"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4" s="18" t="inlineStr"/>
      <c r="L2324" s="18" t="inlineStr">
        <is>
          <t>GI Disorders</t>
        </is>
      </c>
      <c r="M2324" s="18" t="inlineStr">
        <is>
          <t>Clinic</t>
        </is>
      </c>
      <c r="N2324" s="18" t="inlineStr">
        <is>
          <t>ข้อ 4 (PLE_CC1_Key_Rx20_UBU.md)</t>
        </is>
      </c>
      <c r="O2324" s="18" t="inlineStr">
        <is>
          <t>Mock</t>
        </is>
      </c>
      <c r="P2324" s="18" t="inlineStr">
        <is>
          <t>Mock Rx20 UBU</t>
        </is>
      </c>
    </row>
    <row r="2325">
      <c r="A2325" s="15" t="inlineStr">
        <is>
          <t>2346</t>
        </is>
      </c>
      <c r="B2325" s="18" t="inlineStr">
        <is>
          <t>รับประทานยาแล้วดื่มน้ำตามมากๆ</t>
        </is>
      </c>
      <c r="C2325" s="18" t="inlineStr"/>
      <c r="D2325" s="18" t="inlineStr">
        <is>
          <t>Sodium thiosulfate 25% 50 mL IV</t>
        </is>
      </c>
      <c r="E2325" s="18" t="inlineStr">
        <is>
          <t>Calcium disodium EDTA 1 g IV</t>
        </is>
      </c>
      <c r="F2325" s="18" t="inlineStr">
        <is>
          <t>Desferrioxamine 1 g IM/IV</t>
        </is>
      </c>
      <c r="G2325" s="18" t="inlineStr">
        <is>
          <t>Dimercaprol (BAL) 3 mg/kg IM</t>
        </is>
      </c>
      <c r="H2325" s="18" t="inlineStr">
        <is>
          <t>Ethanol 10% IV infusion for Methanol poisoning</t>
        </is>
      </c>
      <c r="I2325" s="15" t="inlineStr">
        <is>
          <t>1</t>
        </is>
      </c>
      <c r="J232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25" s="18" t="inlineStr"/>
      <c r="L2325" s="18" t="inlineStr">
        <is>
          <t>General Therapeutics</t>
        </is>
      </c>
      <c r="M2325" s="18" t="inlineStr">
        <is>
          <t>Clinic</t>
        </is>
      </c>
      <c r="N2325" s="18" t="inlineStr">
        <is>
          <t>ข้อ 5 (PLE_CC1_Key_Rx20_UBU.md)</t>
        </is>
      </c>
      <c r="O2325" s="18" t="inlineStr">
        <is>
          <t>Mock</t>
        </is>
      </c>
      <c r="P2325" s="18" t="inlineStr">
        <is>
          <t>Mock Rx20 UBU</t>
        </is>
      </c>
    </row>
    <row r="2326">
      <c r="A2326" s="15" t="inlineStr">
        <is>
          <t>2347</t>
        </is>
      </c>
      <c r="B2326" s="18" t="inlineStr">
        <is>
          <t>recall ผลิตภัณฑ์ ข้อใดผิด</t>
        </is>
      </c>
      <c r="C2326" s="18" t="inlineStr"/>
      <c r="D2326" s="18" t="inlineStr">
        <is>
          <t>Dimercaprol (BAL) 3 mg/kg IM</t>
        </is>
      </c>
      <c r="E2326" s="18" t="inlineStr">
        <is>
          <t>Ethanol 10% IV infusion for Methanol poisoning</t>
        </is>
      </c>
      <c r="F2326" s="18" t="inlineStr">
        <is>
          <t>Fomepizole 15 mg/kg IV loading</t>
        </is>
      </c>
      <c r="G2326" s="18" t="inlineStr">
        <is>
          <t>N-acetylcysteine (NAC) IV infusion protocol</t>
        </is>
      </c>
      <c r="H2326" s="18" t="inlineStr">
        <is>
          <t>Atropine sulfate 2 mg IV Q5-10 min</t>
        </is>
      </c>
      <c r="I2326" s="15" t="inlineStr">
        <is>
          <t>1</t>
        </is>
      </c>
      <c r="J232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6" s="18" t="inlineStr"/>
      <c r="L2326" s="18" t="inlineStr">
        <is>
          <t>General Therapeutics</t>
        </is>
      </c>
      <c r="M2326" s="18" t="inlineStr">
        <is>
          <t>Clinic</t>
        </is>
      </c>
      <c r="N2326" s="18" t="inlineStr">
        <is>
          <t>ข้อ 13 (PLE_CC1_Key_Rx20_UBU.md)</t>
        </is>
      </c>
      <c r="O2326" s="18" t="inlineStr">
        <is>
          <t>Mock</t>
        </is>
      </c>
      <c r="P2326" s="18" t="inlineStr">
        <is>
          <t>Mock Rx20 UBU</t>
        </is>
      </c>
    </row>
    <row r="2327">
      <c r="A2327" s="15" t="inlineStr">
        <is>
          <t>2348</t>
        </is>
      </c>
      <c r="B2327" s="18" t="inlineStr">
        <is>
          <t>การ Recall ยาต้องทำได้ทันที</t>
        </is>
      </c>
      <c r="C2327" s="18" t="inlineStr"/>
      <c r="D2327" s="18" t="inlineStr">
        <is>
          <t>N-acetylcysteine (NAC) IV infusion protocol</t>
        </is>
      </c>
      <c r="E2327" s="18" t="inlineStr">
        <is>
          <t>Atropine sulfate 2 mg IV Q5-10 min</t>
        </is>
      </c>
      <c r="F2327" s="18" t="inlineStr">
        <is>
          <t>Pralidoxime (2-PAM) 1-2 g IV over 30 min</t>
        </is>
      </c>
      <c r="G2327" s="18" t="inlineStr">
        <is>
          <t>Naloxone 0.4 mg IV stat</t>
        </is>
      </c>
      <c r="H2327" s="18" t="inlineStr">
        <is>
          <t>Flumazenil 0.2 mg IV stat</t>
        </is>
      </c>
      <c r="I2327" s="15" t="inlineStr">
        <is>
          <t>1</t>
        </is>
      </c>
      <c r="J232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7" s="18" t="inlineStr"/>
      <c r="L2327" s="18" t="inlineStr">
        <is>
          <t>General Therapeutics</t>
        </is>
      </c>
      <c r="M2327" s="18" t="inlineStr">
        <is>
          <t>Clinic</t>
        </is>
      </c>
      <c r="N2327" s="18" t="inlineStr">
        <is>
          <t>ข้อ 1 (PLE_CC1_Key_Rx20_UBU.md)</t>
        </is>
      </c>
      <c r="O2327" s="18" t="inlineStr">
        <is>
          <t>Mock</t>
        </is>
      </c>
      <c r="P2327" s="18" t="inlineStr">
        <is>
          <t>Mock Rx20 UBU</t>
        </is>
      </c>
    </row>
    <row r="2328">
      <c r="A2328" s="15" t="inlineStr">
        <is>
          <t>2349</t>
        </is>
      </c>
      <c r="B2328" s="18" t="inlineStr">
        <is>
          <t>ผู้ควบคุมต้องเป็นฝ่ายขายกับการตลาดเท่านั้น</t>
        </is>
      </c>
      <c r="C2328" s="18" t="inlineStr"/>
      <c r="D2328" s="18" t="inlineStr">
        <is>
          <t>Naloxone 0.4 mg IV stat</t>
        </is>
      </c>
      <c r="E2328" s="18" t="inlineStr">
        <is>
          <t>Flumazenil 0.2 mg IV stat</t>
        </is>
      </c>
      <c r="F2328" s="18" t="inlineStr">
        <is>
          <t>Vitamin K1 (Phytomenadione) 10 mg IV slow</t>
        </is>
      </c>
      <c r="G2328" s="18" t="inlineStr">
        <is>
          <t>Sodium thiosulfate 25% 50 mL IV</t>
        </is>
      </c>
      <c r="H2328" s="18" t="inlineStr">
        <is>
          <t>Calcium disodium EDTA 1 g IV</t>
        </is>
      </c>
      <c r="I2328" s="15" t="inlineStr">
        <is>
          <t>1</t>
        </is>
      </c>
      <c r="J232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8" s="18" t="inlineStr"/>
      <c r="L2328" s="18" t="inlineStr">
        <is>
          <t>General Therapeutics</t>
        </is>
      </c>
      <c r="M2328" s="18" t="inlineStr">
        <is>
          <t>Clinic</t>
        </is>
      </c>
      <c r="N2328" s="18" t="inlineStr">
        <is>
          <t>ข้อ 2 (PLE_CC1_Key_Rx20_UBU.md)</t>
        </is>
      </c>
      <c r="O2328" s="18" t="inlineStr">
        <is>
          <t>Mock</t>
        </is>
      </c>
      <c r="P2328" s="18" t="inlineStr">
        <is>
          <t>Mock Rx20 UBU</t>
        </is>
      </c>
    </row>
    <row r="2329">
      <c r="A2329" s="15" t="inlineStr">
        <is>
          <t>2350</t>
        </is>
      </c>
      <c r="B2329" s="18" t="inlineStr">
        <is>
          <t>มีการนับจำนวนที่ขายกับที่เรียกคืนได้</t>
        </is>
      </c>
      <c r="C2329" s="18" t="inlineStr"/>
      <c r="D2329" s="18" t="inlineStr">
        <is>
          <t>Sodium thiosulfate 25% 50 mL IV</t>
        </is>
      </c>
      <c r="E2329" s="18" t="inlineStr">
        <is>
          <t>Calcium disodium EDTA 1 g IV</t>
        </is>
      </c>
      <c r="F2329" s="18" t="inlineStr">
        <is>
          <t>Desferrioxamine 1 g IM/IV</t>
        </is>
      </c>
      <c r="G2329" s="18" t="inlineStr">
        <is>
          <t>Dimercaprol (BAL) 3 mg/kg IM</t>
        </is>
      </c>
      <c r="H2329" s="18" t="inlineStr">
        <is>
          <t>Ethanol 10% IV infusion for Methanol poisoning</t>
        </is>
      </c>
      <c r="I2329" s="15" t="inlineStr">
        <is>
          <t>1</t>
        </is>
      </c>
      <c r="J232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9" s="18" t="inlineStr"/>
      <c r="L2329" s="18" t="inlineStr">
        <is>
          <t>General Therapeutics</t>
        </is>
      </c>
      <c r="M2329" s="18" t="inlineStr">
        <is>
          <t>Clinic</t>
        </is>
      </c>
      <c r="N2329" s="18" t="inlineStr">
        <is>
          <t>ข้อ 3 (PLE_CC1_Key_Rx20_UBU.md)</t>
        </is>
      </c>
      <c r="O2329" s="18" t="inlineStr">
        <is>
          <t>Mock</t>
        </is>
      </c>
      <c r="P2329" s="18" t="inlineStr">
        <is>
          <t>Mock Rx20 UBU</t>
        </is>
      </c>
    </row>
    <row r="2330">
      <c r="A2330" s="15" t="inlineStr">
        <is>
          <t>2351</t>
        </is>
      </c>
      <c r="B2330" s="18" t="inlineStr">
        <is>
          <t>มีการแยกผลิตภัณฑ์ไว้ในพื้นที่กักกันเฉพาะ</t>
        </is>
      </c>
      <c r="C2330" s="18" t="inlineStr"/>
      <c r="D2330" s="18" t="inlineStr">
        <is>
          <t>Dimercaprol (BAL) 3 mg/kg IM</t>
        </is>
      </c>
      <c r="E2330" s="18" t="inlineStr">
        <is>
          <t>Ethanol 10% IV infusion for Methanol poisoning</t>
        </is>
      </c>
      <c r="F2330" s="18" t="inlineStr">
        <is>
          <t>Fomepizole 15 mg/kg IV loading</t>
        </is>
      </c>
      <c r="G2330" s="18" t="inlineStr">
        <is>
          <t>N-acetylcysteine (NAC) IV infusion protocol</t>
        </is>
      </c>
      <c r="H2330" s="18" t="inlineStr">
        <is>
          <t>Atropine sulfate 2 mg IV Q5-10 min</t>
        </is>
      </c>
      <c r="I2330" s="15" t="inlineStr">
        <is>
          <t>1</t>
        </is>
      </c>
      <c r="J233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0" s="18" t="inlineStr"/>
      <c r="L2330" s="18" t="inlineStr">
        <is>
          <t>General Therapeutics</t>
        </is>
      </c>
      <c r="M2330" s="18" t="inlineStr">
        <is>
          <t>Clinic</t>
        </is>
      </c>
      <c r="N2330" s="18" t="inlineStr">
        <is>
          <t>ข้อ 4 (PLE_CC1_Key_Rx20_UBU.md)</t>
        </is>
      </c>
      <c r="O2330" s="18" t="inlineStr">
        <is>
          <t>Mock</t>
        </is>
      </c>
      <c r="P2330" s="18" t="inlineStr">
        <is>
          <t>Mock Rx20 UBU</t>
        </is>
      </c>
    </row>
    <row r="2331">
      <c r="A2331" s="15" t="inlineStr">
        <is>
          <t>2352</t>
        </is>
      </c>
      <c r="B2331" s="18" t="inlineStr">
        <is>
          <t>มีการเขียน SOP การเรียกเก็บยาคืนและปรับปรุงให้เป็นปัจจุบันอยู่เสมอ</t>
        </is>
      </c>
      <c r="C2331" s="18" t="inlineStr"/>
      <c r="D2331" s="18" t="inlineStr">
        <is>
          <t>พ.ร.บ. หลักประกันสุขภาพแห่งชาติ พ.ศ. 2545</t>
        </is>
      </c>
      <c r="E2331" s="18" t="inlineStr">
        <is>
          <t>การปฏิบัติทางเภสัชกรรมชุมชน (Good Pharmacy Practice: GPP)</t>
        </is>
      </c>
      <c r="F2331" s="18" t="inlineStr">
        <is>
          <t>บัญชียาหลักแห่งชาติ (National List of Essential Medicines: NLEM)</t>
        </is>
      </c>
      <c r="G2331" s="18" t="inlineStr">
        <is>
          <t>เกณฑ์จริยธรรมว่าด้วยการส่งเสริมการขายยาของกระทรวงสาธารณสุข</t>
        </is>
      </c>
      <c r="H2331" s="18" t="inlineStr">
        <is>
          <t>พ.ร.บ. ยา พ.ศ. 2510 (การจำหน่ายยาอันตรายและยาควบคุมพิเศษ)</t>
        </is>
      </c>
      <c r="I2331" s="15" t="inlineStr">
        <is>
          <t>1</t>
        </is>
      </c>
      <c r="J2331"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1" s="18" t="inlineStr"/>
      <c r="L2331" s="18" t="inlineStr">
        <is>
          <t>Pharmacy Laws &amp; Ethics</t>
        </is>
      </c>
      <c r="M2331" s="18" t="inlineStr">
        <is>
          <t>SAP</t>
        </is>
      </c>
      <c r="N2331" s="18" t="inlineStr">
        <is>
          <t>ข้อ 5 (PLE_CC1_Key_Rx20_UBU.md)</t>
        </is>
      </c>
      <c r="O2331" s="18" t="inlineStr">
        <is>
          <t>Mock</t>
        </is>
      </c>
      <c r="P2331" s="18" t="inlineStr">
        <is>
          <t>Mock Rx20 UBU</t>
        </is>
      </c>
    </row>
    <row r="2332">
      <c r="A2332" s="15" t="inlineStr">
        <is>
          <t>2353</t>
        </is>
      </c>
      <c r="B2332" s="18" t="inlineStr">
        <is>
          <t>การสร้างกรด และ mucoprotective ไม่สมดุลกัน</t>
        </is>
      </c>
      <c r="C2332" s="18" t="inlineStr"/>
      <c r="D2332" s="18" t="inlineStr">
        <is>
          <t>Naloxone 0.4 mg IV stat</t>
        </is>
      </c>
      <c r="E2332" s="18" t="inlineStr">
        <is>
          <t>Flumazenil 0.2 mg IV stat</t>
        </is>
      </c>
      <c r="F2332" s="18" t="inlineStr">
        <is>
          <t>Vitamin K1 (Phytomenadione) 10 mg IV slow</t>
        </is>
      </c>
      <c r="G2332" s="18" t="inlineStr">
        <is>
          <t>Sodium thiosulfate 25% 50 mL IV</t>
        </is>
      </c>
      <c r="H2332" s="18" t="inlineStr">
        <is>
          <t>Calcium disodium EDTA 1 g IV</t>
        </is>
      </c>
      <c r="I2332" s="15" t="inlineStr">
        <is>
          <t>1</t>
        </is>
      </c>
      <c r="J233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2" s="18" t="inlineStr"/>
      <c r="L2332" s="18" t="inlineStr">
        <is>
          <t>General Therapeutics</t>
        </is>
      </c>
      <c r="M2332" s="18" t="inlineStr">
        <is>
          <t>Clinic</t>
        </is>
      </c>
      <c r="N2332" s="18" t="inlineStr">
        <is>
          <t>ข้อ 1 (PLE_CC1_Key_Rx20_UBU.md)</t>
        </is>
      </c>
      <c r="O2332" s="18" t="inlineStr">
        <is>
          <t>Mock</t>
        </is>
      </c>
      <c r="P2332" s="18" t="inlineStr">
        <is>
          <t>Mock Rx20 UBU</t>
        </is>
      </c>
    </row>
    <row r="2333">
      <c r="A2333" s="15" t="inlineStr">
        <is>
          <t>2354</t>
        </is>
      </c>
      <c r="B2333" s="18" t="inlineStr">
        <is>
          <t>หูรูดของหลอดอาหารสวนล่างทำงานไม่ดี</t>
        </is>
      </c>
      <c r="C2333" s="18" t="inlineStr"/>
      <c r="D2333" s="18" t="inlineStr">
        <is>
          <t>Sodium thiosulfate 25% 50 mL IV</t>
        </is>
      </c>
      <c r="E2333" s="18" t="inlineStr">
        <is>
          <t>Calcium disodium EDTA 1 g IV</t>
        </is>
      </c>
      <c r="F2333" s="18" t="inlineStr">
        <is>
          <t>Desferrioxamine 1 g IM/IV</t>
        </is>
      </c>
      <c r="G2333" s="18" t="inlineStr">
        <is>
          <t>Dimercaprol (BAL) 3 mg/kg IM</t>
        </is>
      </c>
      <c r="H2333" s="18" t="inlineStr">
        <is>
          <t>Ethanol 10% IV infusion for Methanol poisoning</t>
        </is>
      </c>
      <c r="I2333" s="15" t="inlineStr">
        <is>
          <t>1</t>
        </is>
      </c>
      <c r="J233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3" s="18" t="inlineStr"/>
      <c r="L2333" s="18" t="inlineStr">
        <is>
          <t>General Therapeutics</t>
        </is>
      </c>
      <c r="M2333" s="18" t="inlineStr">
        <is>
          <t>Clinic</t>
        </is>
      </c>
      <c r="N2333" s="18" t="inlineStr">
        <is>
          <t>ข้อ 2 (PLE_CC1_Key_Rx20_UBU.md)</t>
        </is>
      </c>
      <c r="O2333" s="18" t="inlineStr">
        <is>
          <t>Mock</t>
        </is>
      </c>
      <c r="P2333" s="18" t="inlineStr">
        <is>
          <t>Mock Rx20 UBU</t>
        </is>
      </c>
    </row>
    <row r="2334">
      <c r="A2334" s="15" t="inlineStr">
        <is>
          <t>2355</t>
        </is>
      </c>
      <c r="B2334" s="18" t="inlineStr">
        <is>
          <t>มีการอักเสบของหลอดอาหารสวนล่างของทางเดินอาหาร</t>
        </is>
      </c>
      <c r="C2334" s="18" t="inlineStr"/>
      <c r="D2334" s="18" t="inlineStr">
        <is>
          <t>Dimercaprol (BAL) 3 mg/kg IM</t>
        </is>
      </c>
      <c r="E2334" s="18" t="inlineStr">
        <is>
          <t>Ethanol 10% IV infusion for Methanol poisoning</t>
        </is>
      </c>
      <c r="F2334" s="18" t="inlineStr">
        <is>
          <t>Fomepizole 15 mg/kg IV loading</t>
        </is>
      </c>
      <c r="G2334" s="18" t="inlineStr">
        <is>
          <t>N-acetylcysteine (NAC) IV infusion protocol</t>
        </is>
      </c>
      <c r="H2334" s="18" t="inlineStr">
        <is>
          <t>Atropine sulfate 2 mg IV Q5-10 min</t>
        </is>
      </c>
      <c r="I2334" s="15" t="inlineStr">
        <is>
          <t>2</t>
        </is>
      </c>
      <c r="J2334" s="18"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4" s="18" t="inlineStr"/>
      <c r="L2334" s="18" t="inlineStr">
        <is>
          <t>General Therapeutics</t>
        </is>
      </c>
      <c r="M2334" s="18" t="inlineStr">
        <is>
          <t>Clinic</t>
        </is>
      </c>
      <c r="N2334" s="18" t="inlineStr">
        <is>
          <t>ข้อ 4 (PLE_CC1_Key_Rx20_UBU.md)</t>
        </is>
      </c>
      <c r="O2334" s="18" t="inlineStr">
        <is>
          <t>Mock</t>
        </is>
      </c>
      <c r="P2334" s="18" t="inlineStr">
        <is>
          <t>Mock Rx20 UBU</t>
        </is>
      </c>
    </row>
    <row r="2335">
      <c r="A2335" s="15" t="inlineStr">
        <is>
          <t>2356</t>
        </is>
      </c>
      <c r="B2335" s="18" t="inlineStr">
        <is>
          <t>รับประทานอาหารรสเผ็ดจัด</t>
        </is>
      </c>
      <c r="C2335" s="18" t="inlineStr"/>
      <c r="D2335" s="18" t="inlineStr">
        <is>
          <t>N-acetylcysteine (NAC) IV infusion protocol</t>
        </is>
      </c>
      <c r="E2335" s="18" t="inlineStr">
        <is>
          <t>Atropine sulfate 2 mg IV Q5-10 min</t>
        </is>
      </c>
      <c r="F2335" s="18" t="inlineStr">
        <is>
          <t>Pralidoxime (2-PAM) 1-2 g IV over 30 min</t>
        </is>
      </c>
      <c r="G2335" s="18" t="inlineStr">
        <is>
          <t>Naloxone 0.4 mg IV stat</t>
        </is>
      </c>
      <c r="H2335" s="18" t="inlineStr">
        <is>
          <t>Flumazenil 0.2 mg IV stat</t>
        </is>
      </c>
      <c r="I2335" s="15" t="inlineStr">
        <is>
          <t>1</t>
        </is>
      </c>
      <c r="J233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5" s="18" t="inlineStr"/>
      <c r="L2335" s="18" t="inlineStr">
        <is>
          <t>General Therapeutics</t>
        </is>
      </c>
      <c r="M2335" s="18" t="inlineStr">
        <is>
          <t>Clinic</t>
        </is>
      </c>
      <c r="N2335" s="18" t="inlineStr">
        <is>
          <t>ข้อ 2 (PLE_CC1_Key_Rx20_UBU.md)</t>
        </is>
      </c>
      <c r="O2335" s="18" t="inlineStr">
        <is>
          <t>Mock</t>
        </is>
      </c>
      <c r="P2335" s="18" t="inlineStr">
        <is>
          <t>Mock Rx20 UBU</t>
        </is>
      </c>
    </row>
    <row r="2336">
      <c r="A2336" s="15" t="inlineStr">
        <is>
          <t>2357</t>
        </is>
      </c>
      <c r="B2336" s="18" t="inlineStr">
        <is>
          <t>อาการใดที่ควรส่งตอไปพบแพทย์</t>
        </is>
      </c>
      <c r="C2336" s="18" t="inlineStr"/>
      <c r="D2336" s="18" t="inlineStr">
        <is>
          <t>Naloxone 0.4 mg IV stat</t>
        </is>
      </c>
      <c r="E2336" s="18" t="inlineStr">
        <is>
          <t>Flumazenil 0.2 mg IV stat</t>
        </is>
      </c>
      <c r="F2336" s="18" t="inlineStr">
        <is>
          <t>Vitamin K1 (Phytomenadione) 10 mg IV slow</t>
        </is>
      </c>
      <c r="G2336" s="18" t="inlineStr">
        <is>
          <t>Sodium thiosulfate 25% 50 mL IV</t>
        </is>
      </c>
      <c r="H2336" s="18" t="inlineStr">
        <is>
          <t>Calcium disodium EDTA 1 g IV</t>
        </is>
      </c>
      <c r="I2336" s="15" t="inlineStr">
        <is>
          <t>1</t>
        </is>
      </c>
      <c r="J233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6" s="18" t="inlineStr"/>
      <c r="L2336" s="18" t="inlineStr">
        <is>
          <t>General Therapeutics</t>
        </is>
      </c>
      <c r="M2336" s="18" t="inlineStr">
        <is>
          <t>Clinic</t>
        </is>
      </c>
      <c r="N2336" s="18" t="inlineStr">
        <is>
          <t>ข้อ 3 (PLE_CC1_Key_Rx20_UBU.md)</t>
        </is>
      </c>
      <c r="O2336" s="18" t="inlineStr">
        <is>
          <t>Mock</t>
        </is>
      </c>
      <c r="P2336" s="18" t="inlineStr">
        <is>
          <t>Mock Rx20 UBU</t>
        </is>
      </c>
    </row>
    <row r="2337">
      <c r="A2337" s="15" t="inlineStr">
        <is>
          <t>2358</t>
        </is>
      </c>
      <c r="B2337" s="18" t="inlineStr">
        <is>
          <t>ข้อใดถูก</t>
        </is>
      </c>
      <c r="C2337" s="18" t="inlineStr"/>
      <c r="D2337" s="18" t="inlineStr">
        <is>
          <t>Sodium thiosulfate 25% 50 mL IV</t>
        </is>
      </c>
      <c r="E2337" s="18" t="inlineStr">
        <is>
          <t>Calcium disodium EDTA 1 g IV</t>
        </is>
      </c>
      <c r="F2337" s="18" t="inlineStr">
        <is>
          <t>Desferrioxamine 1 g IM/IV</t>
        </is>
      </c>
      <c r="G2337" s="18" t="inlineStr">
        <is>
          <t>Dimercaprol (BAL) 3 mg/kg IM</t>
        </is>
      </c>
      <c r="H2337" s="18" t="inlineStr">
        <is>
          <t>Ethanol 10% IV infusion for Methanol poisoning</t>
        </is>
      </c>
      <c r="I2337" s="15" t="inlineStr">
        <is>
          <t>1</t>
        </is>
      </c>
      <c r="J233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7" s="18" t="inlineStr"/>
      <c r="L2337" s="18" t="inlineStr">
        <is>
          <t>General Therapeutics</t>
        </is>
      </c>
      <c r="M2337" s="18" t="inlineStr">
        <is>
          <t>Clinic</t>
        </is>
      </c>
      <c r="N2337" s="18" t="inlineStr">
        <is>
          <t>ข้อ 5 (PLE_CC1_Key_Rx20_UBU.md)</t>
        </is>
      </c>
      <c r="O2337" s="18" t="inlineStr">
        <is>
          <t>Mock</t>
        </is>
      </c>
      <c r="P2337" s="18" t="inlineStr">
        <is>
          <t>Mock Rx20 UBU</t>
        </is>
      </c>
    </row>
    <row r="2338">
      <c r="A2338" s="15" t="inlineStr">
        <is>
          <t>2359</t>
        </is>
      </c>
      <c r="B2338" s="18" t="inlineStr">
        <is>
          <t>Lifestyle modification มีประโยชนมากกว่าการใช้ยา ในการรักษาอาการกำเริบของผู้ป่วย</t>
        </is>
      </c>
      <c r="C2338" s="18" t="inlineStr"/>
      <c r="D2338" s="18" t="inlineStr">
        <is>
          <t>Dimercaprol (BAL) 3 mg/kg IM</t>
        </is>
      </c>
      <c r="E2338" s="18" t="inlineStr">
        <is>
          <t>Ethanol 10% IV infusion for Methanol poisoning</t>
        </is>
      </c>
      <c r="F2338" s="18" t="inlineStr">
        <is>
          <t>Fomepizole 15 mg/kg IV loading</t>
        </is>
      </c>
      <c r="G2338" s="18" t="inlineStr">
        <is>
          <t>N-acetylcysteine (NAC) IV infusion protocol</t>
        </is>
      </c>
      <c r="H2338" s="18" t="inlineStr">
        <is>
          <t>Atropine sulfate 2 mg IV Q5-10 min</t>
        </is>
      </c>
      <c r="I2338" s="15" t="inlineStr">
        <is>
          <t>1</t>
        </is>
      </c>
      <c r="J233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8" s="18" t="inlineStr"/>
      <c r="L2338" s="18" t="inlineStr">
        <is>
          <t>General Therapeutics</t>
        </is>
      </c>
      <c r="M2338" s="18" t="inlineStr">
        <is>
          <t>Clinic</t>
        </is>
      </c>
      <c r="N2338" s="18" t="inlineStr">
        <is>
          <t>ข้อ 2 (PLE_CC1_Key_Rx20_UBU.md)</t>
        </is>
      </c>
      <c r="O2338" s="18" t="inlineStr">
        <is>
          <t>Mock</t>
        </is>
      </c>
      <c r="P2338" s="18" t="inlineStr">
        <is>
          <t>Mock Rx20 UBU</t>
        </is>
      </c>
    </row>
    <row r="2339">
      <c r="A2339" s="15" t="inlineStr">
        <is>
          <t>2360</t>
        </is>
      </c>
      <c r="B2339" s="18" t="inlineStr">
        <is>
          <t>ผู้ปวยเป็นโรคอะไร</t>
        </is>
      </c>
      <c r="C2339" s="18" t="inlineStr"/>
      <c r="D2339" s="18" t="inlineStr">
        <is>
          <t>N-acetylcysteine (NAC) IV infusion protocol</t>
        </is>
      </c>
      <c r="E2339" s="18" t="inlineStr">
        <is>
          <t>Atropine sulfate 2 mg IV Q5-10 min</t>
        </is>
      </c>
      <c r="F2339" s="18" t="inlineStr">
        <is>
          <t>Pralidoxime (2-PAM) 1-2 g IV over 30 min</t>
        </is>
      </c>
      <c r="G2339" s="18" t="inlineStr">
        <is>
          <t>Naloxone 0.4 mg IV stat</t>
        </is>
      </c>
      <c r="H2339" s="18" t="inlineStr">
        <is>
          <t>Flumazenil 0.2 mg IV stat</t>
        </is>
      </c>
      <c r="I2339" s="15" t="inlineStr">
        <is>
          <t>1</t>
        </is>
      </c>
      <c r="J23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9" s="18" t="inlineStr"/>
      <c r="L2339" s="18" t="inlineStr">
        <is>
          <t>General Therapeutics</t>
        </is>
      </c>
      <c r="M2339" s="18" t="inlineStr">
        <is>
          <t>Clinic</t>
        </is>
      </c>
      <c r="N2339" s="18" t="inlineStr">
        <is>
          <t>ข้อ 1 (PLE_CC1_Key_Rx20_UBU.md)</t>
        </is>
      </c>
      <c r="O2339" s="18" t="inlineStr">
        <is>
          <t>Mock</t>
        </is>
      </c>
      <c r="P2339" s="18" t="inlineStr">
        <is>
          <t>Mock Rx20 UBU</t>
        </is>
      </c>
    </row>
    <row r="2340">
      <c r="A2340" s="15" t="inlineStr">
        <is>
          <t>2361</t>
        </is>
      </c>
      <c r="B2340" s="18" t="inlineStr">
        <is>
          <t>acute insommnia, sleep onset and maintainance and wake up early</t>
        </is>
      </c>
      <c r="C2340" s="18" t="inlineStr"/>
      <c r="D2340" s="18" t="inlineStr">
        <is>
          <t>Naloxone 0.4 mg IV stat</t>
        </is>
      </c>
      <c r="E2340" s="18" t="inlineStr">
        <is>
          <t>Flumazenil 0.2 mg IV stat</t>
        </is>
      </c>
      <c r="F2340" s="18" t="inlineStr">
        <is>
          <t>Vitamin K1 (Phytomenadione) 10 mg IV slow</t>
        </is>
      </c>
      <c r="G2340" s="18" t="inlineStr">
        <is>
          <t>Sodium thiosulfate 25% 50 mL IV</t>
        </is>
      </c>
      <c r="H2340" s="18" t="inlineStr">
        <is>
          <t>Calcium disodium EDTA 1 g IV</t>
        </is>
      </c>
      <c r="I2340" s="15" t="inlineStr">
        <is>
          <t>1</t>
        </is>
      </c>
      <c r="J234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0" s="18" t="inlineStr"/>
      <c r="L2340" s="18" t="inlineStr">
        <is>
          <t>General Therapeutics</t>
        </is>
      </c>
      <c r="M2340" s="18" t="inlineStr">
        <is>
          <t>Clinic</t>
        </is>
      </c>
      <c r="N2340" s="18" t="inlineStr">
        <is>
          <t>ข้อ 2 (PLE_CC1_Key_Rx20_UBU.md)</t>
        </is>
      </c>
      <c r="O2340" s="18" t="inlineStr">
        <is>
          <t>Mock</t>
        </is>
      </c>
      <c r="P2340" s="18" t="inlineStr">
        <is>
          <t>Mock Rx20 UBU</t>
        </is>
      </c>
    </row>
    <row r="2341">
      <c r="A2341" s="15" t="inlineStr">
        <is>
          <t>2362</t>
        </is>
      </c>
      <c r="B2341" s="18" t="inlineStr">
        <is>
          <t>hygiene sleep ที่ดีของผู้ป่วยรายนี้คือข้อใด</t>
        </is>
      </c>
      <c r="C2341" s="18" t="inlineStr"/>
      <c r="D2341" s="18" t="inlineStr">
        <is>
          <t>Sodium thiosulfate 25% 50 mL IV</t>
        </is>
      </c>
      <c r="E2341" s="18" t="inlineStr">
        <is>
          <t>Calcium disodium EDTA 1 g IV</t>
        </is>
      </c>
      <c r="F2341" s="18" t="inlineStr">
        <is>
          <t>Desferrioxamine 1 g IM/IV</t>
        </is>
      </c>
      <c r="G2341" s="18" t="inlineStr">
        <is>
          <t>Dimercaprol (BAL) 3 mg/kg IM</t>
        </is>
      </c>
      <c r="H2341" s="18" t="inlineStr">
        <is>
          <t>Ethanol 10% IV infusion for Methanol poisoning</t>
        </is>
      </c>
      <c r="I2341" s="15" t="inlineStr">
        <is>
          <t>1</t>
        </is>
      </c>
      <c r="J234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41" s="18" t="inlineStr"/>
      <c r="L2341" s="18" t="inlineStr">
        <is>
          <t>General Therapeutics</t>
        </is>
      </c>
      <c r="M2341" s="18" t="inlineStr">
        <is>
          <t>Clinic</t>
        </is>
      </c>
      <c r="N2341" s="18" t="inlineStr">
        <is>
          <t>ข้อ 2 (PLE_CC1_Key_Rx20_UBU.md)</t>
        </is>
      </c>
      <c r="O2341" s="18" t="inlineStr">
        <is>
          <t>Mock</t>
        </is>
      </c>
      <c r="P2341" s="18" t="inlineStr">
        <is>
          <t>Mock Rx20 UBU</t>
        </is>
      </c>
    </row>
    <row r="2342">
      <c r="A2342" s="15" t="inlineStr">
        <is>
          <t>2363</t>
        </is>
      </c>
      <c r="B2342" s="18" t="inlineStr">
        <is>
          <t>ออกกำลังกายก่อนนอน</t>
        </is>
      </c>
      <c r="C2342" s="18" t="inlineStr"/>
      <c r="D2342" s="18" t="inlineStr">
        <is>
          <t>Dimercaprol (BAL) 3 mg/kg IM</t>
        </is>
      </c>
      <c r="E2342" s="18" t="inlineStr">
        <is>
          <t>Ethanol 10% IV infusion for Methanol poisoning</t>
        </is>
      </c>
      <c r="F2342" s="18" t="inlineStr">
        <is>
          <t>Fomepizole 15 mg/kg IV loading</t>
        </is>
      </c>
      <c r="G2342" s="18" t="inlineStr">
        <is>
          <t>N-acetylcysteine (NAC) IV infusion protocol</t>
        </is>
      </c>
      <c r="H2342" s="18" t="inlineStr">
        <is>
          <t>Atropine sulfate 2 mg IV Q5-10 min</t>
        </is>
      </c>
      <c r="I2342" s="15" t="inlineStr">
        <is>
          <t>1</t>
        </is>
      </c>
      <c r="J234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2" s="18" t="inlineStr"/>
      <c r="L2342" s="18" t="inlineStr">
        <is>
          <t>General Therapeutics</t>
        </is>
      </c>
      <c r="M2342" s="18" t="inlineStr">
        <is>
          <t>Clinic</t>
        </is>
      </c>
      <c r="N2342" s="18" t="inlineStr">
        <is>
          <t>ข้อ 2 (PLE_CC1_Key_Rx20_UBU.md)</t>
        </is>
      </c>
      <c r="O2342" s="18" t="inlineStr">
        <is>
          <t>Mock</t>
        </is>
      </c>
      <c r="P2342" s="18" t="inlineStr">
        <is>
          <t>Mock Rx20 UBU</t>
        </is>
      </c>
    </row>
    <row r="2343">
      <c r="A2343" s="15" t="inlineStr">
        <is>
          <t>2364</t>
        </is>
      </c>
      <c r="B2343" s="18" t="inlineStr">
        <is>
          <t>ดื่มไวน์เพื่อชวยให้นอนหลับ</t>
        </is>
      </c>
      <c r="C2343" s="18" t="inlineStr"/>
      <c r="D2343" s="18" t="inlineStr">
        <is>
          <t>N-acetylcysteine (NAC) IV infusion protocol</t>
        </is>
      </c>
      <c r="E2343" s="18" t="inlineStr">
        <is>
          <t>Atropine sulfate 2 mg IV Q5-10 min</t>
        </is>
      </c>
      <c r="F2343" s="18" t="inlineStr">
        <is>
          <t>Pralidoxime (2-PAM) 1-2 g IV over 30 min</t>
        </is>
      </c>
      <c r="G2343" s="18" t="inlineStr">
        <is>
          <t>Naloxone 0.4 mg IV stat</t>
        </is>
      </c>
      <c r="H2343" s="18" t="inlineStr">
        <is>
          <t>Flumazenil 0.2 mg IV stat</t>
        </is>
      </c>
      <c r="I2343" s="15" t="inlineStr">
        <is>
          <t>1</t>
        </is>
      </c>
      <c r="J234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43" s="18" t="inlineStr"/>
      <c r="L2343" s="18" t="inlineStr">
        <is>
          <t>General Therapeutics</t>
        </is>
      </c>
      <c r="M2343" s="18" t="inlineStr">
        <is>
          <t>Clinic</t>
        </is>
      </c>
      <c r="N2343" s="18" t="inlineStr">
        <is>
          <t>ข้อ 3 (PLE_CC1_Key_Rx20_UBU.md)</t>
        </is>
      </c>
      <c r="O2343" s="18" t="inlineStr">
        <is>
          <t>Mock</t>
        </is>
      </c>
      <c r="P2343" s="18" t="inlineStr">
        <is>
          <t>Mock Rx20 UBU</t>
        </is>
      </c>
    </row>
    <row r="2344">
      <c r="A2344" s="15" t="inlineStr">
        <is>
          <t>2365</t>
        </is>
      </c>
      <c r="B2344" s="18" t="inlineStr">
        <is>
          <t>หลับ/งีบระหวางวันเพื่อรางกายให้สดชื่น</t>
        </is>
      </c>
      <c r="C2344" s="18" t="inlineStr"/>
      <c r="D2344" s="18" t="inlineStr">
        <is>
          <t>Naloxone 0.4 mg IV stat</t>
        </is>
      </c>
      <c r="E2344" s="18" t="inlineStr">
        <is>
          <t>Flumazenil 0.2 mg IV stat</t>
        </is>
      </c>
      <c r="F2344" s="18" t="inlineStr">
        <is>
          <t>Vitamin K1 (Phytomenadione) 10 mg IV slow</t>
        </is>
      </c>
      <c r="G2344" s="18" t="inlineStr">
        <is>
          <t>Sodium thiosulfate 25% 50 mL IV</t>
        </is>
      </c>
      <c r="H2344" s="18" t="inlineStr">
        <is>
          <t>Calcium disodium EDTA 1 g IV</t>
        </is>
      </c>
      <c r="I2344" s="15" t="inlineStr">
        <is>
          <t>1</t>
        </is>
      </c>
      <c r="J234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4" s="18" t="inlineStr"/>
      <c r="L2344" s="18" t="inlineStr">
        <is>
          <t>General Therapeutics</t>
        </is>
      </c>
      <c r="M2344" s="18" t="inlineStr">
        <is>
          <t>Clinic</t>
        </is>
      </c>
      <c r="N2344" s="18" t="inlineStr">
        <is>
          <t>ข้อ 4 (PLE_CC1_Key_Rx20_UBU.md)</t>
        </is>
      </c>
      <c r="O2344" s="18" t="inlineStr">
        <is>
          <t>Mock</t>
        </is>
      </c>
      <c r="P2344" s="18" t="inlineStr">
        <is>
          <t>Mock Rx20 UBU</t>
        </is>
      </c>
    </row>
    <row r="2345">
      <c r="A2345" s="15" t="inlineStr">
        <is>
          <t>2366</t>
        </is>
      </c>
      <c r="B2345" s="18" t="inlineStr">
        <is>
          <t>ความเครียดจากการทำงาน</t>
        </is>
      </c>
      <c r="C2345" s="18" t="inlineStr"/>
      <c r="D2345" s="18" t="inlineStr">
        <is>
          <t>Sodium thiosulfate 25% 50 mL IV</t>
        </is>
      </c>
      <c r="E2345" s="18" t="inlineStr">
        <is>
          <t>Calcium disodium EDTA 1 g IV</t>
        </is>
      </c>
      <c r="F2345" s="18" t="inlineStr">
        <is>
          <t>Desferrioxamine 1 g IM/IV</t>
        </is>
      </c>
      <c r="G2345" s="18" t="inlineStr">
        <is>
          <t>Dimercaprol (BAL) 3 mg/kg IM</t>
        </is>
      </c>
      <c r="H2345" s="18" t="inlineStr">
        <is>
          <t>Ethanol 10% IV infusion for Methanol poisoning</t>
        </is>
      </c>
      <c r="I2345" s="15" t="inlineStr">
        <is>
          <t>1</t>
        </is>
      </c>
      <c r="J234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5" s="18" t="inlineStr"/>
      <c r="L2345" s="18" t="inlineStr">
        <is>
          <t>General Therapeutics</t>
        </is>
      </c>
      <c r="M2345" s="18" t="inlineStr">
        <is>
          <t>Clinic</t>
        </is>
      </c>
      <c r="N2345" s="18" t="inlineStr">
        <is>
          <t>ข้อ 1 (PLE_CC1_Key_Rx20_UBU.md)</t>
        </is>
      </c>
      <c r="O2345" s="18" t="inlineStr">
        <is>
          <t>Mock</t>
        </is>
      </c>
      <c r="P2345" s="18" t="inlineStr">
        <is>
          <t>Mock Rx20 UBU</t>
        </is>
      </c>
    </row>
    <row r="2346">
      <c r="A2346" s="15" t="inlineStr">
        <is>
          <t>2367</t>
        </is>
      </c>
      <c r="B2346" s="18" t="inlineStr">
        <is>
          <t>การเสียชีวิตของบิดา</t>
        </is>
      </c>
      <c r="C2346" s="18" t="inlineStr"/>
      <c r="D2346" s="18" t="inlineStr">
        <is>
          <t>Dimercaprol (BAL) 3 mg/kg IM</t>
        </is>
      </c>
      <c r="E2346" s="18" t="inlineStr">
        <is>
          <t>Ethanol 10% IV infusion for Methanol poisoning</t>
        </is>
      </c>
      <c r="F2346" s="18" t="inlineStr">
        <is>
          <t>Fomepizole 15 mg/kg IV loading</t>
        </is>
      </c>
      <c r="G2346" s="18" t="inlineStr">
        <is>
          <t>N-acetylcysteine (NAC) IV infusion protocol</t>
        </is>
      </c>
      <c r="H2346" s="18" t="inlineStr">
        <is>
          <t>Atropine sulfate 2 mg IV Q5-10 min</t>
        </is>
      </c>
      <c r="I2346" s="15" t="inlineStr">
        <is>
          <t>1</t>
        </is>
      </c>
      <c r="J234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6" s="18" t="inlineStr"/>
      <c r="L2346" s="18" t="inlineStr">
        <is>
          <t>General Therapeutics</t>
        </is>
      </c>
      <c r="M2346" s="18" t="inlineStr">
        <is>
          <t>Clinic</t>
        </is>
      </c>
      <c r="N2346" s="18" t="inlineStr">
        <is>
          <t>ข้อ 2 (PLE_CC1_Key_Rx20_UBU.md)</t>
        </is>
      </c>
      <c r="O2346" s="18" t="inlineStr">
        <is>
          <t>Mock</t>
        </is>
      </c>
      <c r="P2346" s="18" t="inlineStr">
        <is>
          <t>Mock Rx20 UBU</t>
        </is>
      </c>
    </row>
    <row r="2347">
      <c r="A2347" s="15" t="inlineStr">
        <is>
          <t>2368</t>
        </is>
      </c>
      <c r="B2347" s="18" t="inlineStr">
        <is>
          <t>อาการเจ็บปวยของมารดา</t>
        </is>
      </c>
      <c r="C2347" s="18" t="inlineStr"/>
      <c r="D2347" s="18" t="inlineStr">
        <is>
          <t>N-acetylcysteine (NAC) IV infusion protocol</t>
        </is>
      </c>
      <c r="E2347" s="18" t="inlineStr">
        <is>
          <t>Atropine sulfate 2 mg IV Q5-10 min</t>
        </is>
      </c>
      <c r="F2347" s="18" t="inlineStr">
        <is>
          <t>Pralidoxime (2-PAM) 1-2 g IV over 30 min</t>
        </is>
      </c>
      <c r="G2347" s="18" t="inlineStr">
        <is>
          <t>Naloxone 0.4 mg IV stat</t>
        </is>
      </c>
      <c r="H2347" s="18" t="inlineStr">
        <is>
          <t>Flumazenil 0.2 mg IV stat</t>
        </is>
      </c>
      <c r="I2347" s="15" t="inlineStr">
        <is>
          <t>3</t>
        </is>
      </c>
      <c r="J2347" s="18"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347" s="18" t="inlineStr"/>
      <c r="L2347" s="18" t="inlineStr">
        <is>
          <t>General Therapeutics</t>
        </is>
      </c>
      <c r="M2347" s="18" t="inlineStr">
        <is>
          <t>Clinic</t>
        </is>
      </c>
      <c r="N2347" s="18" t="inlineStr">
        <is>
          <t>ข้อ 3 (PLE_CC1_Key_Rx20_UBU.md)</t>
        </is>
      </c>
      <c r="O2347" s="18" t="inlineStr">
        <is>
          <t>Mock</t>
        </is>
      </c>
      <c r="P2347" s="18" t="inlineStr">
        <is>
          <t>Mock Rx20 UBU</t>
        </is>
      </c>
    </row>
    <row r="2348">
      <c r="A2348" s="15" t="inlineStr">
        <is>
          <t>2369</t>
        </is>
      </c>
      <c r="B2348" s="18" t="inlineStr">
        <is>
          <t>ผู้ป่วยควรได้รับยาใดในการรักษา</t>
        </is>
      </c>
      <c r="C2348" s="18" t="inlineStr"/>
      <c r="D2348" s="18" t="inlineStr">
        <is>
          <t>Naloxone 0.4 mg IV stat</t>
        </is>
      </c>
      <c r="E2348" s="18" t="inlineStr">
        <is>
          <t>Flumazenil 0.2 mg IV stat</t>
        </is>
      </c>
      <c r="F2348" s="18" t="inlineStr">
        <is>
          <t>Vitamin K1 (Phytomenadione) 10 mg IV slow</t>
        </is>
      </c>
      <c r="G2348" s="18" t="inlineStr">
        <is>
          <t>Sodium thiosulfate 25% 50 mL IV</t>
        </is>
      </c>
      <c r="H2348" s="18" t="inlineStr">
        <is>
          <t>Calcium disodium EDTA 1 g IV</t>
        </is>
      </c>
      <c r="I2348" s="15" t="inlineStr">
        <is>
          <t>1</t>
        </is>
      </c>
      <c r="J234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8" s="18" t="inlineStr"/>
      <c r="L2348" s="18" t="inlineStr">
        <is>
          <t>General Therapeutics</t>
        </is>
      </c>
      <c r="M2348" s="18" t="inlineStr">
        <is>
          <t>Clinic</t>
        </is>
      </c>
      <c r="N2348" s="18" t="inlineStr">
        <is>
          <t>ข้อ 4 (PLE_CC1_Key_Rx20_UBU.md)</t>
        </is>
      </c>
      <c r="O2348" s="18" t="inlineStr">
        <is>
          <t>Mock</t>
        </is>
      </c>
      <c r="P2348" s="18" t="inlineStr">
        <is>
          <t>Mock Rx20 UBU</t>
        </is>
      </c>
    </row>
    <row r="2349">
      <c r="A2349" s="15" t="inlineStr">
        <is>
          <t>2370</t>
        </is>
      </c>
      <c r="B2349" s="18" t="inlineStr">
        <is>
          <t>เราควรแนะนำการรักษาที่ไม่ใช้ยาอะไรให้ผู้ป่วย</t>
        </is>
      </c>
      <c r="C2349" s="18" t="inlineStr"/>
      <c r="D2349" s="18" t="inlineStr">
        <is>
          <t>Sodium thiosulfate 25% 50 mL IV</t>
        </is>
      </c>
      <c r="E2349" s="18" t="inlineStr">
        <is>
          <t>Calcium disodium EDTA 1 g IV</t>
        </is>
      </c>
      <c r="F2349" s="18" t="inlineStr">
        <is>
          <t>Desferrioxamine 1 g IM/IV</t>
        </is>
      </c>
      <c r="G2349" s="18" t="inlineStr">
        <is>
          <t>Dimercaprol (BAL) 3 mg/kg IM</t>
        </is>
      </c>
      <c r="H2349" s="18" t="inlineStr">
        <is>
          <t>Ethanol 10% IV infusion for Methanol poisoning</t>
        </is>
      </c>
      <c r="I2349" s="15" t="inlineStr">
        <is>
          <t>1</t>
        </is>
      </c>
      <c r="J234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9" s="18" t="inlineStr"/>
      <c r="L2349" s="18" t="inlineStr">
        <is>
          <t>General Therapeutics</t>
        </is>
      </c>
      <c r="M2349" s="18" t="inlineStr">
        <is>
          <t>Clinic</t>
        </is>
      </c>
      <c r="N2349" s="18" t="inlineStr">
        <is>
          <t>ข้อ 5 (PLE_CC1_Key_Rx20_UBU.md)</t>
        </is>
      </c>
      <c r="O2349" s="18" t="inlineStr">
        <is>
          <t>Mock</t>
        </is>
      </c>
      <c r="P2349" s="18" t="inlineStr">
        <is>
          <t>Mock Rx20 UBU</t>
        </is>
      </c>
    </row>
    <row r="2350">
      <c r="A2350" s="15" t="inlineStr">
        <is>
          <t>2371</t>
        </is>
      </c>
      <c r="B2350" s="18" t="inlineStr">
        <is>
          <t>Cognitive recognition</t>
        </is>
      </c>
      <c r="C2350" s="18" t="inlineStr"/>
      <c r="D2350" s="18" t="inlineStr">
        <is>
          <t>Dimercaprol (BAL) 3 mg/kg IM</t>
        </is>
      </c>
      <c r="E2350" s="18" t="inlineStr">
        <is>
          <t>Ethanol 10% IV infusion for Methanol poisoning</t>
        </is>
      </c>
      <c r="F2350" s="18" t="inlineStr">
        <is>
          <t>Fomepizole 15 mg/kg IV loading</t>
        </is>
      </c>
      <c r="G2350" s="18" t="inlineStr">
        <is>
          <t>N-acetylcysteine (NAC) IV infusion protocol</t>
        </is>
      </c>
      <c r="H2350" s="18" t="inlineStr">
        <is>
          <t>Atropine sulfate 2 mg IV Q5-10 min</t>
        </is>
      </c>
      <c r="I2350" s="15" t="inlineStr">
        <is>
          <t>1</t>
        </is>
      </c>
      <c r="J235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0" s="18" t="inlineStr"/>
      <c r="L2350" s="18" t="inlineStr">
        <is>
          <t>General Therapeutics</t>
        </is>
      </c>
      <c r="M2350" s="18" t="inlineStr">
        <is>
          <t>Clinic</t>
        </is>
      </c>
      <c r="N2350" s="18" t="inlineStr">
        <is>
          <t>ข้อ 3 (PLE_CC1_Key_Rx20_UBU.md)</t>
        </is>
      </c>
      <c r="O2350" s="18" t="inlineStr">
        <is>
          <t>Mock</t>
        </is>
      </c>
      <c r="P2350" s="18" t="inlineStr">
        <is>
          <t>Mock Rx20 UBU</t>
        </is>
      </c>
    </row>
    <row r="2351">
      <c r="A2351" s="15" t="inlineStr">
        <is>
          <t>2372</t>
        </is>
      </c>
      <c r="B2351" s="18" t="inlineStr">
        <is>
          <t>Sleep and wake restriction</t>
        </is>
      </c>
      <c r="C2351" s="18" t="inlineStr"/>
      <c r="D2351" s="18" t="inlineStr">
        <is>
          <t>N-acetylcysteine (NAC) IV infusion protocol</t>
        </is>
      </c>
      <c r="E2351" s="18" t="inlineStr">
        <is>
          <t>Atropine sulfate 2 mg IV Q5-10 min</t>
        </is>
      </c>
      <c r="F2351" s="18" t="inlineStr">
        <is>
          <t>Pralidoxime (2-PAM) 1-2 g IV over 30 min</t>
        </is>
      </c>
      <c r="G2351" s="18" t="inlineStr">
        <is>
          <t>Naloxone 0.4 mg IV stat</t>
        </is>
      </c>
      <c r="H2351" s="18" t="inlineStr">
        <is>
          <t>Flumazenil 0.2 mg IV stat</t>
        </is>
      </c>
      <c r="I2351" s="15" t="inlineStr">
        <is>
          <t>5</t>
        </is>
      </c>
      <c r="J2351" s="18"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351" s="18" t="inlineStr"/>
      <c r="L2351" s="18" t="inlineStr">
        <is>
          <t>General Therapeutics</t>
        </is>
      </c>
      <c r="M2351" s="18" t="inlineStr">
        <is>
          <t>Clinic</t>
        </is>
      </c>
      <c r="N2351" s="18" t="inlineStr">
        <is>
          <t>ข้อ 4 (PLE_CC1_Key_Rx20_UBU.md)</t>
        </is>
      </c>
      <c r="O2351" s="18" t="inlineStr">
        <is>
          <t>Mock</t>
        </is>
      </c>
      <c r="P2351" s="18" t="inlineStr">
        <is>
          <t>Mock Rx20 UBU</t>
        </is>
      </c>
    </row>
    <row r="2352">
      <c r="A2352" s="15" t="inlineStr">
        <is>
          <t>2373</t>
        </is>
      </c>
      <c r="B2352" s="18" t="inlineStr">
        <is>
          <t>การปรับเปลียนโครงสร้างของ BDZs ข้อใดถูกต้อง</t>
        </is>
      </c>
      <c r="C2352" s="18" t="inlineStr"/>
      <c r="D2352" s="18" t="inlineStr">
        <is>
          <t>เกณฑ์จริยธรรมว่าด้วยการส่งเสริมการขายยาของกระทรวงสาธารณสุข</t>
        </is>
      </c>
      <c r="E2352" s="18" t="inlineStr">
        <is>
          <t>พ.ร.บ. ยา พ.ศ. 2510 (การจำหน่ายยาอันตรายและยาควบคุมพิเศษ)</t>
        </is>
      </c>
      <c r="F2352" s="18" t="inlineStr">
        <is>
          <t>พ.ร.บ. ยาเสพติดให้โทษ พ.ศ. 2522 (ยาเสพติดให้โทษประเภท 2 และ 3)</t>
        </is>
      </c>
      <c r="G2352" s="18" t="inlineStr">
        <is>
          <t>พ.ร.บ. วัตถุที่ออกฤทธิ์ต่อจิตและประสาท พ.ศ. 2559 (ประเภท 2 และ 4)</t>
        </is>
      </c>
      <c r="H2352" s="18" t="inlineStr">
        <is>
          <t>พ.ร.บ. วิชาชีพเภสัชกรรม พ.ศ. 2537 และข้อบังคับจรรยาบรรณวิชาชีพ</t>
        </is>
      </c>
      <c r="I2352" s="15" t="inlineStr">
        <is>
          <t>1</t>
        </is>
      </c>
      <c r="J2352"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2" s="18" t="inlineStr"/>
      <c r="L2352" s="18" t="inlineStr">
        <is>
          <t>Pharmacy Laws &amp; Ethics</t>
        </is>
      </c>
      <c r="M2352" s="18" t="inlineStr">
        <is>
          <t>SAP</t>
        </is>
      </c>
      <c r="N2352" s="18" t="inlineStr">
        <is>
          <t>ข้อ 6 (PLE_CC1_Key_Rx20_UBU.md)</t>
        </is>
      </c>
      <c r="O2352" s="18" t="inlineStr">
        <is>
          <t>Mock</t>
        </is>
      </c>
      <c r="P2352" s="18" t="inlineStr">
        <is>
          <t>Mock Rx20 UBU</t>
        </is>
      </c>
    </row>
    <row r="2353">
      <c r="A2353" s="15" t="inlineStr">
        <is>
          <t>2374</t>
        </is>
      </c>
      <c r="B2353" s="18" t="inlineStr">
        <is>
          <t>เมื่อมีการเติม halogen ที่ตำแหนง 7 จะเพิ่ม activity ให้กับยา</t>
        </is>
      </c>
      <c r="C2353" s="18" t="inlineStr"/>
      <c r="D2353" s="18" t="inlineStr">
        <is>
          <t>Sodium thiosulfate 25% 50 mL IV</t>
        </is>
      </c>
      <c r="E2353" s="18" t="inlineStr">
        <is>
          <t>Calcium disodium EDTA 1 g IV</t>
        </is>
      </c>
      <c r="F2353" s="18" t="inlineStr">
        <is>
          <t>Desferrioxamine 1 g IM/IV</t>
        </is>
      </c>
      <c r="G2353" s="18" t="inlineStr">
        <is>
          <t>Dimercaprol (BAL) 3 mg/kg IM</t>
        </is>
      </c>
      <c r="H2353" s="18" t="inlineStr">
        <is>
          <t>Ethanol 10% IV infusion for Methanol poisoning</t>
        </is>
      </c>
      <c r="I2353" s="15" t="inlineStr">
        <is>
          <t>1</t>
        </is>
      </c>
      <c r="J235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3" s="18" t="inlineStr"/>
      <c r="L2353" s="18" t="inlineStr">
        <is>
          <t>General Therapeutics</t>
        </is>
      </c>
      <c r="M2353" s="18" t="inlineStr">
        <is>
          <t>Clinic</t>
        </is>
      </c>
      <c r="N2353" s="18" t="inlineStr">
        <is>
          <t>ข้อ 1 (PLE_CC1_Key_Rx20_UBU.md)</t>
        </is>
      </c>
      <c r="O2353" s="18" t="inlineStr">
        <is>
          <t>Mock</t>
        </is>
      </c>
      <c r="P2353" s="18" t="inlineStr">
        <is>
          <t>Mock Rx20 UBU</t>
        </is>
      </c>
    </row>
    <row r="2354">
      <c r="A2354" s="15" t="inlineStr">
        <is>
          <t>2375</t>
        </is>
      </c>
      <c r="B2354" s="18" t="inlineStr">
        <is>
          <t>เติม halogen ที่ตำแหน่ง 9</t>
        </is>
      </c>
      <c r="C2354" s="18" t="inlineStr"/>
      <c r="D2354" s="18" t="inlineStr">
        <is>
          <t>Dimercaprol (BAL) 3 mg/kg IM</t>
        </is>
      </c>
      <c r="E2354" s="18" t="inlineStr">
        <is>
          <t>Ethanol 10% IV infusion for Methanol poisoning</t>
        </is>
      </c>
      <c r="F2354" s="18" t="inlineStr">
        <is>
          <t>Fomepizole 15 mg/kg IV loading</t>
        </is>
      </c>
      <c r="G2354" s="18" t="inlineStr">
        <is>
          <t>N-acetylcysteine (NAC) IV infusion protocol</t>
        </is>
      </c>
      <c r="H2354" s="18" t="inlineStr">
        <is>
          <t>Atropine sulfate 2 mg IV Q5-10 min</t>
        </is>
      </c>
      <c r="I2354" s="15" t="inlineStr">
        <is>
          <t>1</t>
        </is>
      </c>
      <c r="J235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4" s="18" t="inlineStr"/>
      <c r="L2354" s="18" t="inlineStr">
        <is>
          <t>General Therapeutics</t>
        </is>
      </c>
      <c r="M2354" s="18" t="inlineStr">
        <is>
          <t>Clinic</t>
        </is>
      </c>
      <c r="N2354" s="18" t="inlineStr">
        <is>
          <t>ข้อ 2 (PLE_CC1_Key_Rx20_UBU.md)</t>
        </is>
      </c>
      <c r="O2354" s="18" t="inlineStr">
        <is>
          <t>Mock</t>
        </is>
      </c>
      <c r="P2354" s="18" t="inlineStr">
        <is>
          <t>Mock Rx20 UBU</t>
        </is>
      </c>
    </row>
    <row r="2355">
      <c r="A2355" s="15" t="inlineStr">
        <is>
          <t>2376</t>
        </is>
      </c>
      <c r="B2355" s="18" t="inlineStr">
        <is>
          <t>hydrolysis ที่ N ตำแหน่ง 4</t>
        </is>
      </c>
      <c r="C2355" s="18" t="inlineStr"/>
      <c r="D2355" s="18" t="inlineStr">
        <is>
          <t>Accelerated Stability Testing (40 C / 75% RH)</t>
        </is>
      </c>
      <c r="E2355" s="18" t="inlineStr">
        <is>
          <t>Long-term Stability Testing (30 C / 65% RH)</t>
        </is>
      </c>
      <c r="F2355" s="18" t="inlineStr">
        <is>
          <t>Differential Scanning Calorimetry (DSC) Polymorphism</t>
        </is>
      </c>
      <c r="G2355" s="18" t="inlineStr">
        <is>
          <t>Moisture Sorption Isotherm analysis</t>
        </is>
      </c>
      <c r="H2355" s="18" t="inlineStr">
        <is>
          <t>Good Manufacturing Practice (GMP PIC/S)</t>
        </is>
      </c>
      <c r="I2355" s="15" t="inlineStr">
        <is>
          <t>1</t>
        </is>
      </c>
      <c r="J2355" s="18" t="inlineStr">
        <is>
          <t>✅ คำตอบที่ถูกต้อง: ข้อ ก. Accelerated Stability Testing (40 C / 75%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Accelerated Stability Testing (40 C / 75% RH) 💡 คำอธิบายและเหตุผลทางเภสัชกรรม:
💡 คำอธิบายและเหตุผลทางเภสัชกรรม:
การเลือก Accelerated Stability Testing (40 C / 75% RH)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ค.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ง.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จ.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55" s="18" t="inlineStr"/>
      <c r="L2355" s="18" t="inlineStr">
        <is>
          <t>Preformulation &amp; Stability</t>
        </is>
      </c>
      <c r="M2355" s="18" t="inlineStr">
        <is>
          <t>Product</t>
        </is>
      </c>
      <c r="N2355" s="18" t="inlineStr">
        <is>
          <t>ข้อ 3 (PLE_CC1_Key_Rx20_UBU.md)</t>
        </is>
      </c>
      <c r="O2355" s="18" t="inlineStr">
        <is>
          <t>Mock</t>
        </is>
      </c>
      <c r="P2355" s="18" t="inlineStr">
        <is>
          <t>Mock Rx20 UBU</t>
        </is>
      </c>
    </row>
    <row r="2356">
      <c r="A2356" s="15" t="inlineStr">
        <is>
          <t>2377</t>
        </is>
      </c>
      <c r="B2356" s="18" t="inlineStr">
        <is>
          <t>เปลี่ยน ketone ที่ ตำแหน่ง 2 เป็นหมู่ฟงกชั่นอื่น</t>
        </is>
      </c>
      <c r="C2356" s="18" t="inlineStr"/>
      <c r="D2356" s="18" t="inlineStr">
        <is>
          <t>Naloxone 0.4 mg IV stat</t>
        </is>
      </c>
      <c r="E2356" s="18" t="inlineStr">
        <is>
          <t>Flumazenil 0.2 mg IV stat</t>
        </is>
      </c>
      <c r="F2356" s="18" t="inlineStr">
        <is>
          <t>Vitamin K1 (Phytomenadione) 10 mg IV slow</t>
        </is>
      </c>
      <c r="G2356" s="18" t="inlineStr">
        <is>
          <t>Sodium thiosulfate 25% 50 mL IV</t>
        </is>
      </c>
      <c r="H2356" s="18" t="inlineStr">
        <is>
          <t>Calcium disodium EDTA 1 g IV</t>
        </is>
      </c>
      <c r="I2356" s="15" t="inlineStr">
        <is>
          <t>1</t>
        </is>
      </c>
      <c r="J235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56" s="18" t="inlineStr"/>
      <c r="L2356" s="18" t="inlineStr">
        <is>
          <t>General Therapeutics</t>
        </is>
      </c>
      <c r="M2356" s="18" t="inlineStr">
        <is>
          <t>Clinic</t>
        </is>
      </c>
      <c r="N2356" s="18" t="inlineStr">
        <is>
          <t>ข้อ 4 (PLE_CC1_Key_Rx20_UBU.md)</t>
        </is>
      </c>
      <c r="O2356" s="18" t="inlineStr">
        <is>
          <t>Mock</t>
        </is>
      </c>
      <c r="P2356" s="18" t="inlineStr">
        <is>
          <t>Mock Rx20 UBU</t>
        </is>
      </c>
    </row>
    <row r="2357">
      <c r="A2357" s="15" t="inlineStr">
        <is>
          <t>2378</t>
        </is>
      </c>
      <c r="B2357" s="18" t="inlineStr">
        <is>
          <t>ลักษณะบรรจุภัณฑที่มีลักษณะเป็นพลาสติกยื่น ออกมาเปนกระเปาะ แล้วมีอลูมิเนียมประกบติดทับ ด้านหลัง สามารถที่จะทำให้ฉีกขาดได้เมื่อตองการนำเม็ด ยาออกมารับประทาน</t>
        </is>
      </c>
      <c r="C2357" s="18" t="inlineStr"/>
      <c r="D2357" s="18" t="inlineStr">
        <is>
          <t>Sodium thiosulfate 25% 50 mL IV</t>
        </is>
      </c>
      <c r="E2357" s="18" t="inlineStr">
        <is>
          <t>Calcium disodium EDTA 1 g IV</t>
        </is>
      </c>
      <c r="F2357" s="18" t="inlineStr">
        <is>
          <t>Desferrioxamine 1 g IM/IV</t>
        </is>
      </c>
      <c r="G2357" s="18" t="inlineStr">
        <is>
          <t>Dimercaprol (BAL) 3 mg/kg IM</t>
        </is>
      </c>
      <c r="H2357" s="18" t="inlineStr">
        <is>
          <t>Ethanol 10% IV infusion for Methanol poisoning</t>
        </is>
      </c>
      <c r="I2357" s="15" t="inlineStr">
        <is>
          <t>1</t>
        </is>
      </c>
      <c r="J235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7" s="18" t="inlineStr"/>
      <c r="L2357" s="18" t="inlineStr">
        <is>
          <t>General Therapeutics</t>
        </is>
      </c>
      <c r="M2357" s="18" t="inlineStr">
        <is>
          <t>Clinic</t>
        </is>
      </c>
      <c r="N2357" s="18" t="inlineStr">
        <is>
          <t>ข้อ 16 (PLE_CC1_Key_Rx20_UBU.md)</t>
        </is>
      </c>
      <c r="O2357" s="18" t="inlineStr">
        <is>
          <t>Mock</t>
        </is>
      </c>
      <c r="P2357" s="18" t="inlineStr">
        <is>
          <t>Mock Rx20 UBU</t>
        </is>
      </c>
    </row>
    <row r="2358">
      <c r="A2358" s="15" t="inlineStr">
        <is>
          <t>2379</t>
        </is>
      </c>
      <c r="B2358" s="18" t="inlineStr">
        <is>
          <t>การฉีดเขากล้ามเนื้อตองฉีดวันที่ 0, 3, 7, 14, 28</t>
        </is>
      </c>
      <c r="C2358" s="18" t="inlineStr"/>
      <c r="D2358" s="18" t="inlineStr">
        <is>
          <t>Dimercaprol (BAL) 3 mg/kg IM</t>
        </is>
      </c>
      <c r="E2358" s="18" t="inlineStr">
        <is>
          <t>Ethanol 10% IV infusion for Methanol poisoning</t>
        </is>
      </c>
      <c r="F2358" s="18" t="inlineStr">
        <is>
          <t>Fomepizole 15 mg/kg IV loading</t>
        </is>
      </c>
      <c r="G2358" s="18" t="inlineStr">
        <is>
          <t>N-acetylcysteine (NAC) IV infusion protocol</t>
        </is>
      </c>
      <c r="H2358" s="18" t="inlineStr">
        <is>
          <t>Atropine sulfate 2 mg IV Q5-10 min</t>
        </is>
      </c>
      <c r="I2358" s="15" t="inlineStr">
        <is>
          <t>1</t>
        </is>
      </c>
      <c r="J235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8" s="18" t="inlineStr"/>
      <c r="L2358" s="18" t="inlineStr">
        <is>
          <t>General Therapeutics</t>
        </is>
      </c>
      <c r="M2358" s="18" t="inlineStr">
        <is>
          <t>Clinic</t>
        </is>
      </c>
      <c r="N2358" s="18" t="inlineStr">
        <is>
          <t>ข้อ 1 (PLE_CC1_Key_Rx20_UBU.md)</t>
        </is>
      </c>
      <c r="O2358" s="18" t="inlineStr">
        <is>
          <t>Mock</t>
        </is>
      </c>
      <c r="P2358" s="18" t="inlineStr">
        <is>
          <t>Mock Rx20 UBU</t>
        </is>
      </c>
    </row>
    <row r="2359">
      <c r="A2359" s="15" t="inlineStr">
        <is>
          <t>2380</t>
        </is>
      </c>
      <c r="B2359" s="18" t="inlineStr">
        <is>
          <t>ฉีดเพียงครั้งเดียว</t>
        </is>
      </c>
      <c r="C2359" s="18" t="inlineStr"/>
      <c r="D2359" s="18" t="inlineStr">
        <is>
          <t>N-acetylcysteine (NAC) IV infusion protocol</t>
        </is>
      </c>
      <c r="E2359" s="18" t="inlineStr">
        <is>
          <t>Atropine sulfate 2 mg IV Q5-10 min</t>
        </is>
      </c>
      <c r="F2359" s="18" t="inlineStr">
        <is>
          <t>Pralidoxime (2-PAM) 1-2 g IV over 30 min</t>
        </is>
      </c>
      <c r="G2359" s="18" t="inlineStr">
        <is>
          <t>Naloxone 0.4 mg IV stat</t>
        </is>
      </c>
      <c r="H2359" s="18" t="inlineStr">
        <is>
          <t>Flumazenil 0.2 mg IV stat</t>
        </is>
      </c>
      <c r="I2359" s="15" t="inlineStr">
        <is>
          <t>1</t>
        </is>
      </c>
      <c r="J235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9" s="18" t="inlineStr"/>
      <c r="L2359" s="18" t="inlineStr">
        <is>
          <t>General Therapeutics</t>
        </is>
      </c>
      <c r="M2359" s="18" t="inlineStr">
        <is>
          <t>Clinic</t>
        </is>
      </c>
      <c r="N2359" s="18" t="inlineStr">
        <is>
          <t>ข้อ 1 (PLE_CC1_Key_Rx20_UBU.md)</t>
        </is>
      </c>
      <c r="O2359" s="18" t="inlineStr">
        <is>
          <t>Mock</t>
        </is>
      </c>
      <c r="P2359" s="18" t="inlineStr">
        <is>
          <t>Mock Rx20 UBU</t>
        </is>
      </c>
    </row>
    <row r="2360">
      <c r="A2360" s="15" t="inlineStr">
        <is>
          <t>2381</t>
        </is>
      </c>
      <c r="B2360" s="18" t="inlineStr">
        <is>
          <t>ฉีดวันที่ 0 และเดือนที่ 1</t>
        </is>
      </c>
      <c r="C2360" s="18" t="inlineStr"/>
      <c r="D2360" s="18" t="inlineStr">
        <is>
          <t>Naloxone 0.4 mg IV stat</t>
        </is>
      </c>
      <c r="E2360" s="18" t="inlineStr">
        <is>
          <t>Flumazenil 0.2 mg IV stat</t>
        </is>
      </c>
      <c r="F2360" s="18" t="inlineStr">
        <is>
          <t>Vitamin K1 (Phytomenadione) 10 mg IV slow</t>
        </is>
      </c>
      <c r="G2360" s="18" t="inlineStr">
        <is>
          <t>Sodium thiosulfate 25% 50 mL IV</t>
        </is>
      </c>
      <c r="H2360" s="18" t="inlineStr">
        <is>
          <t>Calcium disodium EDTA 1 g IV</t>
        </is>
      </c>
      <c r="I2360" s="15" t="inlineStr">
        <is>
          <t>1</t>
        </is>
      </c>
      <c r="J236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0" s="18" t="inlineStr"/>
      <c r="L2360" s="18" t="inlineStr">
        <is>
          <t>General Therapeutics</t>
        </is>
      </c>
      <c r="M2360" s="18" t="inlineStr">
        <is>
          <t>Clinic</t>
        </is>
      </c>
      <c r="N2360" s="18" t="inlineStr">
        <is>
          <t>ข้อ 2 (PLE_CC1_Key_Rx20_UBU.md)</t>
        </is>
      </c>
      <c r="O2360" s="18" t="inlineStr">
        <is>
          <t>Mock</t>
        </is>
      </c>
      <c r="P2360" s="18" t="inlineStr">
        <is>
          <t>Mock Rx20 UBU</t>
        </is>
      </c>
    </row>
    <row r="2361">
      <c r="A2361" s="15" t="inlineStr">
        <is>
          <t>2382</t>
        </is>
      </c>
      <c r="B2361" s="18" t="inlineStr">
        <is>
          <t>ฉีดเดือนที่ 0, 1 และ 6</t>
        </is>
      </c>
      <c r="C2361" s="18" t="inlineStr"/>
      <c r="D2361" s="18" t="inlineStr">
        <is>
          <t>Sodium thiosulfate 25% 50 mL IV</t>
        </is>
      </c>
      <c r="E2361" s="18" t="inlineStr">
        <is>
          <t>Calcium disodium EDTA 1 g IV</t>
        </is>
      </c>
      <c r="F2361" s="18" t="inlineStr">
        <is>
          <t>Desferrioxamine 1 g IM/IV</t>
        </is>
      </c>
      <c r="G2361" s="18" t="inlineStr">
        <is>
          <t>Dimercaprol (BAL) 3 mg/kg IM</t>
        </is>
      </c>
      <c r="H2361" s="18" t="inlineStr">
        <is>
          <t>Ethanol 10% IV infusion for Methanol poisoning</t>
        </is>
      </c>
      <c r="I2361" s="15" t="inlineStr">
        <is>
          <t>1</t>
        </is>
      </c>
      <c r="J236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1" s="18" t="inlineStr"/>
      <c r="L2361" s="18" t="inlineStr">
        <is>
          <t>General Therapeutics</t>
        </is>
      </c>
      <c r="M2361" s="18" t="inlineStr">
        <is>
          <t>Clinic</t>
        </is>
      </c>
      <c r="N2361" s="18" t="inlineStr">
        <is>
          <t>ข้อ 3 (PLE_CC1_Key_Rx20_UBU.md)</t>
        </is>
      </c>
      <c r="O2361" s="18" t="inlineStr">
        <is>
          <t>Mock</t>
        </is>
      </c>
      <c r="P2361" s="18" t="inlineStr">
        <is>
          <t>Mock Rx20 UBU</t>
        </is>
      </c>
    </row>
    <row r="2362">
      <c r="A2362" s="15" t="inlineStr">
        <is>
          <t>2383</t>
        </is>
      </c>
      <c r="B2362" s="18" t="inlineStr">
        <is>
          <t>ฉีด 4 เข็ม เดือนที่ 0, 1, 6 และ 12</t>
        </is>
      </c>
      <c r="C2362" s="18" t="inlineStr"/>
      <c r="D2362" s="18" t="inlineStr">
        <is>
          <t>Dimercaprol (BAL) 3 mg/kg IM</t>
        </is>
      </c>
      <c r="E2362" s="18" t="inlineStr">
        <is>
          <t>Ethanol 10% IV infusion for Methanol poisoning</t>
        </is>
      </c>
      <c r="F2362" s="18" t="inlineStr">
        <is>
          <t>Fomepizole 15 mg/kg IV loading</t>
        </is>
      </c>
      <c r="G2362" s="18" t="inlineStr">
        <is>
          <t>N-acetylcysteine (NAC) IV infusion protocol</t>
        </is>
      </c>
      <c r="H2362" s="18" t="inlineStr">
        <is>
          <t>Atropine sulfate 2 mg IV Q5-10 min</t>
        </is>
      </c>
      <c r="I2362" s="15" t="inlineStr">
        <is>
          <t>1</t>
        </is>
      </c>
      <c r="J236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2" s="18" t="inlineStr"/>
      <c r="L2362" s="18" t="inlineStr">
        <is>
          <t>General Therapeutics</t>
        </is>
      </c>
      <c r="M2362" s="18" t="inlineStr">
        <is>
          <t>Clinic</t>
        </is>
      </c>
      <c r="N2362" s="18" t="inlineStr">
        <is>
          <t>ข้อ 4 (PLE_CC1_Key_Rx20_UBU.md)</t>
        </is>
      </c>
      <c r="O2362" s="18" t="inlineStr">
        <is>
          <t>Mock</t>
        </is>
      </c>
      <c r="P2362" s="18" t="inlineStr">
        <is>
          <t>Mock Rx20 UBU</t>
        </is>
      </c>
    </row>
    <row r="2363">
      <c r="A2363" s="15" t="inlineStr">
        <is>
          <t>2384</t>
        </is>
      </c>
      <c r="B2363" s="18" t="inlineStr">
        <is>
          <t>Equine Ig ราคาแพงกวา Human Ig</t>
        </is>
      </c>
      <c r="C2363" s="18" t="inlineStr"/>
      <c r="D2363" s="18" t="inlineStr">
        <is>
          <t>N-acetylcysteine (NAC) IV infusion protocol</t>
        </is>
      </c>
      <c r="E2363" s="18" t="inlineStr">
        <is>
          <t>Atropine sulfate 2 mg IV Q5-10 min</t>
        </is>
      </c>
      <c r="F2363" s="18" t="inlineStr">
        <is>
          <t>Pralidoxime (2-PAM) 1-2 g IV over 30 min</t>
        </is>
      </c>
      <c r="G2363" s="18" t="inlineStr">
        <is>
          <t>Naloxone 0.4 mg IV stat</t>
        </is>
      </c>
      <c r="H2363" s="18" t="inlineStr">
        <is>
          <t>Flumazenil 0.2 mg IV stat</t>
        </is>
      </c>
      <c r="I2363" s="15" t="inlineStr">
        <is>
          <t>1</t>
        </is>
      </c>
      <c r="J236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3" s="18" t="inlineStr"/>
      <c r="L2363" s="18" t="inlineStr">
        <is>
          <t>General Therapeutics</t>
        </is>
      </c>
      <c r="M2363" s="18" t="inlineStr">
        <is>
          <t>Clinic</t>
        </is>
      </c>
      <c r="N2363" s="18" t="inlineStr">
        <is>
          <t>ข้อ 2 (PLE_CC1_Key_Rx20_UBU.md)</t>
        </is>
      </c>
      <c r="O2363" s="18" t="inlineStr">
        <is>
          <t>Mock</t>
        </is>
      </c>
      <c r="P2363" s="18" t="inlineStr">
        <is>
          <t>Mock Rx20 UBU</t>
        </is>
      </c>
    </row>
    <row r="2364">
      <c r="A2364" s="15" t="inlineStr">
        <is>
          <t>2385</t>
        </is>
      </c>
      <c r="B2364" s="18" t="inlineStr">
        <is>
          <t>หากแพ้ Equine Ig จะไมสามารถให้ Human Igได เนื่องจากมีการแพ้ cross กัน</t>
        </is>
      </c>
      <c r="C2364" s="18" t="inlineStr"/>
      <c r="D2364" s="18" t="inlineStr">
        <is>
          <t>Naloxone 0.4 mg IV stat</t>
        </is>
      </c>
      <c r="E2364" s="18" t="inlineStr">
        <is>
          <t>Flumazenil 0.2 mg IV stat</t>
        </is>
      </c>
      <c r="F2364" s="18" t="inlineStr">
        <is>
          <t>Vitamin K1 (Phytomenadione) 10 mg IV slow</t>
        </is>
      </c>
      <c r="G2364" s="18" t="inlineStr">
        <is>
          <t>Sodium thiosulfate 25% 50 mL IV</t>
        </is>
      </c>
      <c r="H2364" s="18" t="inlineStr">
        <is>
          <t>Calcium disodium EDTA 1 g IV</t>
        </is>
      </c>
      <c r="I2364" s="15" t="inlineStr">
        <is>
          <t>1</t>
        </is>
      </c>
      <c r="J236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4" s="18" t="inlineStr"/>
      <c r="L2364" s="18" t="inlineStr">
        <is>
          <t>General Therapeutics</t>
        </is>
      </c>
      <c r="M2364" s="18" t="inlineStr">
        <is>
          <t>Clinic</t>
        </is>
      </c>
      <c r="N2364" s="18" t="inlineStr">
        <is>
          <t>ข้อ 3 (PLE_CC1_Key_Rx20_UBU.md)</t>
        </is>
      </c>
      <c r="O2364" s="18" t="inlineStr">
        <is>
          <t>Mock</t>
        </is>
      </c>
      <c r="P2364" s="18" t="inlineStr">
        <is>
          <t>Mock Rx20 UBU</t>
        </is>
      </c>
    </row>
    <row r="2365">
      <c r="A2365" s="15" t="inlineStr">
        <is>
          <t>2386</t>
        </is>
      </c>
      <c r="B2365" s="18" t="inlineStr">
        <is>
          <t>Equine Ig มีราคาแพงกวา Human Ig</t>
        </is>
      </c>
      <c r="C2365" s="18" t="inlineStr"/>
      <c r="D2365" s="18" t="inlineStr">
        <is>
          <t>Sodium thiosulfate 25% 50 mL IV</t>
        </is>
      </c>
      <c r="E2365" s="18" t="inlineStr">
        <is>
          <t>Calcium disodium EDTA 1 g IV</t>
        </is>
      </c>
      <c r="F2365" s="18" t="inlineStr">
        <is>
          <t>Desferrioxamine 1 g IM/IV</t>
        </is>
      </c>
      <c r="G2365" s="18" t="inlineStr">
        <is>
          <t>Dimercaprol (BAL) 3 mg/kg IM</t>
        </is>
      </c>
      <c r="H2365" s="18" t="inlineStr">
        <is>
          <t>Ethanol 10% IV infusion for Methanol poisoning</t>
        </is>
      </c>
      <c r="I2365" s="15" t="inlineStr">
        <is>
          <t>1</t>
        </is>
      </c>
      <c r="J236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5" s="18" t="inlineStr"/>
      <c r="L2365" s="18" t="inlineStr">
        <is>
          <t>General Therapeutics</t>
        </is>
      </c>
      <c r="M2365" s="18" t="inlineStr">
        <is>
          <t>Clinic</t>
        </is>
      </c>
      <c r="N2365" s="18" t="inlineStr">
        <is>
          <t>ข้อ 4 (PLE_CC1_Key_Rx20_UBU.md)</t>
        </is>
      </c>
      <c r="O2365" s="18" t="inlineStr">
        <is>
          <t>Mock</t>
        </is>
      </c>
      <c r="P2365" s="18" t="inlineStr">
        <is>
          <t>Mock Rx20 UBU</t>
        </is>
      </c>
    </row>
    <row r="2366">
      <c r="A2366" s="15" t="inlineStr">
        <is>
          <t>2387</t>
        </is>
      </c>
      <c r="B2366" s="18" t="inlineStr">
        <is>
          <t>ฉีดอิมมูโนโกลบูลิน</t>
        </is>
      </c>
      <c r="C2366" s="18" t="inlineStr"/>
      <c r="D2366" s="18" t="inlineStr">
        <is>
          <t>Dimercaprol (BAL) 3 mg/kg IM</t>
        </is>
      </c>
      <c r="E2366" s="18" t="inlineStr">
        <is>
          <t>Ethanol 10% IV infusion for Methanol poisoning</t>
        </is>
      </c>
      <c r="F2366" s="18" t="inlineStr">
        <is>
          <t>Fomepizole 15 mg/kg IV loading</t>
        </is>
      </c>
      <c r="G2366" s="18" t="inlineStr">
        <is>
          <t>N-acetylcysteine (NAC) IV infusion protocol</t>
        </is>
      </c>
      <c r="H2366" s="18" t="inlineStr">
        <is>
          <t>Atropine sulfate 2 mg IV Q5-10 min</t>
        </is>
      </c>
      <c r="I2366" s="15" t="inlineStr">
        <is>
          <t>1</t>
        </is>
      </c>
      <c r="J236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6" s="18" t="inlineStr"/>
      <c r="L2366" s="18" t="inlineStr">
        <is>
          <t>General Therapeutics</t>
        </is>
      </c>
      <c r="M2366" s="18" t="inlineStr">
        <is>
          <t>Clinic</t>
        </is>
      </c>
      <c r="N2366" s="18" t="inlineStr">
        <is>
          <t>ข้อ 3 (PLE_CC1_Key_Rx20_UBU.md)</t>
        </is>
      </c>
      <c r="O2366" s="18" t="inlineStr">
        <is>
          <t>Mock</t>
        </is>
      </c>
      <c r="P2366" s="18" t="inlineStr">
        <is>
          <t>Mock Rx20 UBU</t>
        </is>
      </c>
    </row>
    <row r="2367">
      <c r="A2367" s="15" t="inlineStr">
        <is>
          <t>2388</t>
        </is>
      </c>
      <c r="B2367" s="18" t="inlineStr">
        <is>
          <t>ERIG ควรมีการเก็บรักษาอยางไร</t>
        </is>
      </c>
      <c r="C2367" s="18" t="inlineStr"/>
      <c r="D2367" s="18" t="inlineStr">
        <is>
          <t>N-acetylcysteine (NAC) IV infusion protocol</t>
        </is>
      </c>
      <c r="E2367" s="18" t="inlineStr">
        <is>
          <t>Atropine sulfate 2 mg IV Q5-10 min</t>
        </is>
      </c>
      <c r="F2367" s="18" t="inlineStr">
        <is>
          <t>Pralidoxime (2-PAM) 1-2 g IV over 30 min</t>
        </is>
      </c>
      <c r="G2367" s="18" t="inlineStr">
        <is>
          <t>Naloxone 0.4 mg IV stat</t>
        </is>
      </c>
      <c r="H2367" s="18" t="inlineStr">
        <is>
          <t>Flumazenil 0.2 mg IV stat</t>
        </is>
      </c>
      <c r="I2367" s="15" t="inlineStr">
        <is>
          <t>1</t>
        </is>
      </c>
      <c r="J23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7" s="18" t="inlineStr"/>
      <c r="L2367" s="18" t="inlineStr">
        <is>
          <t>General Therapeutics</t>
        </is>
      </c>
      <c r="M2367" s="18" t="inlineStr">
        <is>
          <t>Clinic</t>
        </is>
      </c>
      <c r="N2367" s="18" t="inlineStr">
        <is>
          <t>ข้อ 6 (PLE_CC1_Key_Rx20_UBU.md)</t>
        </is>
      </c>
      <c r="O2367" s="18" t="inlineStr">
        <is>
          <t>Mock</t>
        </is>
      </c>
      <c r="P2367" s="18" t="inlineStr">
        <is>
          <t>Mock Rx20 UBU</t>
        </is>
      </c>
    </row>
    <row r="2368">
      <c r="A2368" s="15" t="inlineStr">
        <is>
          <t>2389</t>
        </is>
      </c>
      <c r="B2368" s="18" t="inlineStr">
        <is>
          <t>อุณหภูมิ 8-15 C</t>
        </is>
      </c>
      <c r="C2368" s="18" t="inlineStr"/>
      <c r="D2368" s="18" t="inlineStr">
        <is>
          <t>Naloxone 0.4 mg IV stat</t>
        </is>
      </c>
      <c r="E2368" s="18" t="inlineStr">
        <is>
          <t>Flumazenil 0.2 mg IV stat</t>
        </is>
      </c>
      <c r="F2368" s="18" t="inlineStr">
        <is>
          <t>Vitamin K1 (Phytomenadione) 10 mg IV slow</t>
        </is>
      </c>
      <c r="G2368" s="18" t="inlineStr">
        <is>
          <t>Sodium thiosulfate 25% 50 mL IV</t>
        </is>
      </c>
      <c r="H2368" s="18" t="inlineStr">
        <is>
          <t>Calcium disodium EDTA 1 g IV</t>
        </is>
      </c>
      <c r="I2368" s="15" t="inlineStr">
        <is>
          <t>1</t>
        </is>
      </c>
      <c r="J23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8" s="18" t="inlineStr"/>
      <c r="L2368" s="18" t="inlineStr">
        <is>
          <t>General Therapeutics</t>
        </is>
      </c>
      <c r="M2368" s="18" t="inlineStr">
        <is>
          <t>Clinic</t>
        </is>
      </c>
      <c r="N2368" s="18" t="inlineStr">
        <is>
          <t>ข้อ 3 (PLE_CC1_Key_Rx20_UBU.md)</t>
        </is>
      </c>
      <c r="O2368" s="18" t="inlineStr">
        <is>
          <t>Mock</t>
        </is>
      </c>
      <c r="P2368" s="18" t="inlineStr">
        <is>
          <t>Mock Rx20 UBU</t>
        </is>
      </c>
    </row>
    <row r="2369">
      <c r="A2369" s="15" t="inlineStr">
        <is>
          <t>2390</t>
        </is>
      </c>
      <c r="B2369" s="18" t="inlineStr">
        <is>
          <t>อุณหภูมิ 15-25C</t>
        </is>
      </c>
      <c r="C2369" s="18" t="inlineStr"/>
      <c r="D2369" s="18" t="inlineStr">
        <is>
          <t>Sodium thiosulfate 25% 50 mL IV</t>
        </is>
      </c>
      <c r="E2369" s="18" t="inlineStr">
        <is>
          <t>Calcium disodium EDTA 1 g IV</t>
        </is>
      </c>
      <c r="F2369" s="18" t="inlineStr">
        <is>
          <t>Desferrioxamine 1 g IM/IV</t>
        </is>
      </c>
      <c r="G2369" s="18" t="inlineStr">
        <is>
          <t>Dimercaprol (BAL) 3 mg/kg IM</t>
        </is>
      </c>
      <c r="H2369" s="18" t="inlineStr">
        <is>
          <t>Ethanol 10% IV infusion for Methanol poisoning</t>
        </is>
      </c>
      <c r="I2369" s="15" t="inlineStr">
        <is>
          <t>1</t>
        </is>
      </c>
      <c r="J23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9" s="18" t="inlineStr"/>
      <c r="L2369" s="18" t="inlineStr">
        <is>
          <t>General Therapeutics</t>
        </is>
      </c>
      <c r="M2369" s="18" t="inlineStr">
        <is>
          <t>Clinic</t>
        </is>
      </c>
      <c r="N2369" s="18" t="inlineStr">
        <is>
          <t>ข้อ 4 (PLE_CC1_Key_Rx20_UBU.md)</t>
        </is>
      </c>
      <c r="O2369" s="18" t="inlineStr">
        <is>
          <t>Mock</t>
        </is>
      </c>
      <c r="P2369" s="18" t="inlineStr">
        <is>
          <t>Mock Rx20 UBU</t>
        </is>
      </c>
    </row>
    <row r="2370">
      <c r="A2370" s="15" t="inlineStr">
        <is>
          <t>2391</t>
        </is>
      </c>
      <c r="B2370" s="18" t="inlineStr">
        <is>
          <t>ผูปวยคนนี้ควรไดรับการแกไขเรื่องยาอยางไร</t>
        </is>
      </c>
      <c r="C2370" s="18" t="inlineStr"/>
      <c r="D2370" s="18" t="inlineStr">
        <is>
          <t>Dimercaprol (BAL) 3 mg/kg IM</t>
        </is>
      </c>
      <c r="E2370" s="18" t="inlineStr">
        <is>
          <t>Ethanol 10% IV infusion for Methanol poisoning</t>
        </is>
      </c>
      <c r="F2370" s="18" t="inlineStr">
        <is>
          <t>Fomepizole 15 mg/kg IV loading</t>
        </is>
      </c>
      <c r="G2370" s="18" t="inlineStr">
        <is>
          <t>N-acetylcysteine (NAC) IV infusion protocol</t>
        </is>
      </c>
      <c r="H2370" s="18" t="inlineStr">
        <is>
          <t>Atropine sulfate 2 mg IV Q5-10 min</t>
        </is>
      </c>
      <c r="I2370" s="15" t="inlineStr">
        <is>
          <t>1</t>
        </is>
      </c>
      <c r="J23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0" s="18" t="inlineStr"/>
      <c r="L2370" s="18" t="inlineStr">
        <is>
          <t>General Therapeutics</t>
        </is>
      </c>
      <c r="M2370" s="18" t="inlineStr">
        <is>
          <t>Clinic</t>
        </is>
      </c>
      <c r="N2370" s="18" t="inlineStr">
        <is>
          <t>ข้อ 2 (PLE_CC1_Key_Rx20_UBU.md)</t>
        </is>
      </c>
      <c r="O2370" s="18" t="inlineStr">
        <is>
          <t>Mock</t>
        </is>
      </c>
      <c r="P2370" s="18" t="inlineStr">
        <is>
          <t>Mock Rx20 UBU</t>
        </is>
      </c>
    </row>
    <row r="2371">
      <c r="A2371" s="15" t="inlineStr">
        <is>
          <t>2392</t>
        </is>
      </c>
      <c r="B2371" s="18" t="inlineStr">
        <is>
          <t>Atenolol .ตอบ 3 TCA เหมาะสมที่สุด</t>
        </is>
      </c>
      <c r="C2371" s="18" t="inlineStr"/>
      <c r="D2371" s="18" t="inlineStr">
        <is>
          <t>N-acetylcysteine (NAC) IV infusion protocol</t>
        </is>
      </c>
      <c r="E2371" s="18" t="inlineStr">
        <is>
          <t>Atropine sulfate 2 mg IV Q5-10 min</t>
        </is>
      </c>
      <c r="F2371" s="18" t="inlineStr">
        <is>
          <t>Pralidoxime (2-PAM) 1-2 g IV over 30 min</t>
        </is>
      </c>
      <c r="G2371" s="18" t="inlineStr">
        <is>
          <t>Naloxone 0.4 mg IV stat</t>
        </is>
      </c>
      <c r="H2371" s="18" t="inlineStr">
        <is>
          <t>Flumazenil 0.2 mg IV stat</t>
        </is>
      </c>
      <c r="I2371" s="15" t="inlineStr">
        <is>
          <t>1</t>
        </is>
      </c>
      <c r="J237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1" s="18" t="inlineStr"/>
      <c r="L2371" s="18" t="inlineStr">
        <is>
          <t>General Therapeutics</t>
        </is>
      </c>
      <c r="M2371" s="18" t="inlineStr">
        <is>
          <t>Clinic</t>
        </is>
      </c>
      <c r="N2371" s="18" t="inlineStr">
        <is>
          <t>ข้อ 5 (PLE_CC1_Key_Rx20_UBU.md)</t>
        </is>
      </c>
      <c r="O2371" s="18" t="inlineStr">
        <is>
          <t>Mock</t>
        </is>
      </c>
      <c r="P2371" s="18" t="inlineStr">
        <is>
          <t>Mock Rx20 UBU</t>
        </is>
      </c>
    </row>
    <row r="2372">
      <c r="A2372" s="15" t="inlineStr">
        <is>
          <t>2393</t>
        </is>
      </c>
      <c r="B2372" s="18" t="inlineStr">
        <is>
          <t>กินยาซ้ำทุก 10 นาที</t>
        </is>
      </c>
      <c r="C2372" s="18" t="inlineStr"/>
      <c r="D2372" s="18" t="inlineStr">
        <is>
          <t>Naloxone 0.4 mg IV stat</t>
        </is>
      </c>
      <c r="E2372" s="18" t="inlineStr">
        <is>
          <t>Flumazenil 0.2 mg IV stat</t>
        </is>
      </c>
      <c r="F2372" s="18" t="inlineStr">
        <is>
          <t>Vitamin K1 (Phytomenadione) 10 mg IV slow</t>
        </is>
      </c>
      <c r="G2372" s="18" t="inlineStr">
        <is>
          <t>Sodium thiosulfate 25% 50 mL IV</t>
        </is>
      </c>
      <c r="H2372" s="18" t="inlineStr">
        <is>
          <t>Calcium disodium EDTA 1 g IV</t>
        </is>
      </c>
      <c r="I2372" s="15" t="inlineStr">
        <is>
          <t>1</t>
        </is>
      </c>
      <c r="J23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2" s="18" t="inlineStr"/>
      <c r="L2372" s="18" t="inlineStr">
        <is>
          <t>General Therapeutics</t>
        </is>
      </c>
      <c r="M2372" s="18" t="inlineStr">
        <is>
          <t>Clinic</t>
        </is>
      </c>
      <c r="N2372" s="18" t="inlineStr">
        <is>
          <t>ข้อ 1 (PLE_CC1_Key_Rx20_UBU.md)</t>
        </is>
      </c>
      <c r="O2372" s="18" t="inlineStr">
        <is>
          <t>Mock</t>
        </is>
      </c>
      <c r="P2372" s="18" t="inlineStr">
        <is>
          <t>Mock Rx20 UBU</t>
        </is>
      </c>
    </row>
    <row r="2373">
      <c r="A2373" s="15" t="inlineStr">
        <is>
          <t>2394</t>
        </is>
      </c>
      <c r="B2373" s="18" t="inlineStr">
        <is>
          <t>กินติดตอกัน 3 วัน</t>
        </is>
      </c>
      <c r="C2373" s="18" t="inlineStr"/>
      <c r="D2373" s="18" t="inlineStr">
        <is>
          <t>Sodium thiosulfate 25% 50 mL IV</t>
        </is>
      </c>
      <c r="E2373" s="18" t="inlineStr">
        <is>
          <t>Calcium disodium EDTA 1 g IV</t>
        </is>
      </c>
      <c r="F2373" s="18" t="inlineStr">
        <is>
          <t>Desferrioxamine 1 g IM/IV</t>
        </is>
      </c>
      <c r="G2373" s="18" t="inlineStr">
        <is>
          <t>Dimercaprol (BAL) 3 mg/kg IM</t>
        </is>
      </c>
      <c r="H2373" s="18" t="inlineStr">
        <is>
          <t>Ethanol 10% IV infusion for Methanol poisoning</t>
        </is>
      </c>
      <c r="I2373" s="15" t="inlineStr">
        <is>
          <t>1</t>
        </is>
      </c>
      <c r="J23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3" s="18" t="inlineStr"/>
      <c r="L2373" s="18" t="inlineStr">
        <is>
          <t>General Therapeutics</t>
        </is>
      </c>
      <c r="M2373" s="18" t="inlineStr">
        <is>
          <t>Clinic</t>
        </is>
      </c>
      <c r="N2373" s="18" t="inlineStr">
        <is>
          <t>ข้อ 2 (PLE_CC1_Key_Rx20_UBU.md)</t>
        </is>
      </c>
      <c r="O2373" s="18" t="inlineStr">
        <is>
          <t>Mock</t>
        </is>
      </c>
      <c r="P2373" s="18" t="inlineStr">
        <is>
          <t>Mock Rx20 UBU</t>
        </is>
      </c>
    </row>
    <row r="2374">
      <c r="A2374" s="15" t="inlineStr">
        <is>
          <t>2395</t>
        </is>
      </c>
      <c r="B2374" s="18" t="inlineStr">
        <is>
          <t>กินไดไมเกิน 6 เม็ด/วัน</t>
        </is>
      </c>
      <c r="C2374" s="18" t="inlineStr"/>
      <c r="D2374" s="18" t="inlineStr">
        <is>
          <t>Dimercaprol (BAL) 3 mg/kg IM</t>
        </is>
      </c>
      <c r="E2374" s="18" t="inlineStr">
        <is>
          <t>Ethanol 10% IV infusion for Methanol poisoning</t>
        </is>
      </c>
      <c r="F2374" s="18" t="inlineStr">
        <is>
          <t>Fomepizole 15 mg/kg IV loading</t>
        </is>
      </c>
      <c r="G2374" s="18" t="inlineStr">
        <is>
          <t>N-acetylcysteine (NAC) IV infusion protocol</t>
        </is>
      </c>
      <c r="H2374" s="18" t="inlineStr">
        <is>
          <t>Atropine sulfate 2 mg IV Q5-10 min</t>
        </is>
      </c>
      <c r="I2374" s="15" t="inlineStr">
        <is>
          <t>1</t>
        </is>
      </c>
      <c r="J237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4" s="18" t="inlineStr"/>
      <c r="L2374" s="18" t="inlineStr">
        <is>
          <t>General Therapeutics</t>
        </is>
      </c>
      <c r="M2374" s="18" t="inlineStr">
        <is>
          <t>Clinic</t>
        </is>
      </c>
      <c r="N2374" s="18" t="inlineStr">
        <is>
          <t>ข้อ 3 (PLE_CC1_Key_Rx20_UBU.md)</t>
        </is>
      </c>
      <c r="O2374" s="18" t="inlineStr">
        <is>
          <t>Mock</t>
        </is>
      </c>
      <c r="P2374" s="18" t="inlineStr">
        <is>
          <t>Mock Rx20 UBU</t>
        </is>
      </c>
    </row>
    <row r="2375">
      <c r="A2375" s="15" t="inlineStr">
        <is>
          <t>2396</t>
        </is>
      </c>
      <c r="B2375" s="18" t="inlineStr">
        <is>
          <t>ไมควรกินติดตอกันนานเนื่องจากจะทำใหเกิดอาการติดยา ตอบ 3 recall</t>
        </is>
      </c>
      <c r="C2375" s="18" t="inlineStr"/>
      <c r="D2375" s="18" t="inlineStr">
        <is>
          <t>N-acetylcysteine (NAC) IV infusion protocol</t>
        </is>
      </c>
      <c r="E2375" s="18" t="inlineStr">
        <is>
          <t>Atropine sulfate 2 mg IV Q5-10 min</t>
        </is>
      </c>
      <c r="F2375" s="18" t="inlineStr">
        <is>
          <t>Pralidoxime (2-PAM) 1-2 g IV over 30 min</t>
        </is>
      </c>
      <c r="G2375" s="18" t="inlineStr">
        <is>
          <t>Naloxone 0.4 mg IV stat</t>
        </is>
      </c>
      <c r="H2375" s="18" t="inlineStr">
        <is>
          <t>Flumazenil 0.2 mg IV stat</t>
        </is>
      </c>
      <c r="I2375" s="15" t="inlineStr">
        <is>
          <t>1</t>
        </is>
      </c>
      <c r="J23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5" s="18" t="inlineStr"/>
      <c r="L2375" s="18" t="inlineStr">
        <is>
          <t>General Therapeutics</t>
        </is>
      </c>
      <c r="M2375" s="18" t="inlineStr">
        <is>
          <t>Clinic</t>
        </is>
      </c>
      <c r="N2375" s="18" t="inlineStr">
        <is>
          <t>ข้อ 4 (PLE_CC1_Key_Rx20_UBU.md)</t>
        </is>
      </c>
      <c r="O2375" s="18" t="inlineStr">
        <is>
          <t>Mock</t>
        </is>
      </c>
      <c r="P2375" s="18" t="inlineStr">
        <is>
          <t>Mock Rx20 UBU</t>
        </is>
      </c>
    </row>
    <row r="2376">
      <c r="A2376" s="15" t="inlineStr">
        <is>
          <t>2397</t>
        </is>
      </c>
      <c r="B2376" s="18" t="inlineStr">
        <is>
          <t>ผ่าน Weight Variation</t>
        </is>
      </c>
      <c r="C2376" s="18" t="inlineStr"/>
      <c r="D2376" s="18" t="inlineStr">
        <is>
          <t>Naloxone 0.4 mg IV stat</t>
        </is>
      </c>
      <c r="E2376" s="18" t="inlineStr">
        <is>
          <t>Flumazenil 0.2 mg IV stat</t>
        </is>
      </c>
      <c r="F2376" s="18" t="inlineStr">
        <is>
          <t>Vitamin K1 (Phytomenadione) 10 mg IV slow</t>
        </is>
      </c>
      <c r="G2376" s="18" t="inlineStr">
        <is>
          <t>Sodium thiosulfate 25% 50 mL IV</t>
        </is>
      </c>
      <c r="H2376" s="18" t="inlineStr">
        <is>
          <t>Calcium disodium EDTA 1 g IV</t>
        </is>
      </c>
      <c r="I2376" s="15" t="inlineStr">
        <is>
          <t>1</t>
        </is>
      </c>
      <c r="J23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6" s="18" t="inlineStr"/>
      <c r="L2376" s="18" t="inlineStr">
        <is>
          <t>General Therapeutics</t>
        </is>
      </c>
      <c r="M2376" s="18" t="inlineStr">
        <is>
          <t>Clinic</t>
        </is>
      </c>
      <c r="N2376" s="18" t="inlineStr">
        <is>
          <t>ข้อ 3 (PLE_CC1_Key_Rx20_UBU.md)</t>
        </is>
      </c>
      <c r="O2376" s="18" t="inlineStr">
        <is>
          <t>Mock</t>
        </is>
      </c>
      <c r="P2376" s="18" t="inlineStr">
        <is>
          <t>Mock Rx20 UBU</t>
        </is>
      </c>
    </row>
    <row r="2377">
      <c r="A2377" s="15" t="inlineStr">
        <is>
          <t>2398</t>
        </is>
      </c>
      <c r="B2377" s="18" t="inlineStr">
        <is>
          <t>ไม่ผ่าน Assay เพราะวิเคราะหได้ 550 แต่เกณฑ์ คือ 555-625</t>
        </is>
      </c>
      <c r="C2377" s="18" t="inlineStr"/>
      <c r="D2377" s="18" t="inlineStr">
        <is>
          <t>Sodium thiosulfate 25% 50 mL IV</t>
        </is>
      </c>
      <c r="E2377" s="18" t="inlineStr">
        <is>
          <t>Calcium disodium EDTA 1 g IV</t>
        </is>
      </c>
      <c r="F2377" s="18" t="inlineStr">
        <is>
          <t>Desferrioxamine 1 g IM/IV</t>
        </is>
      </c>
      <c r="G2377" s="18" t="inlineStr">
        <is>
          <t>Dimercaprol (BAL) 3 mg/kg IM</t>
        </is>
      </c>
      <c r="H2377" s="18" t="inlineStr">
        <is>
          <t>Ethanol 10% IV infusion for Methanol poisoning</t>
        </is>
      </c>
      <c r="I2377" s="15" t="inlineStr">
        <is>
          <t>4</t>
        </is>
      </c>
      <c r="J2377" s="18"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7" s="18" t="inlineStr"/>
      <c r="L2377" s="18" t="inlineStr">
        <is>
          <t>General Therapeutics</t>
        </is>
      </c>
      <c r="M2377" s="18" t="inlineStr">
        <is>
          <t>Clinic</t>
        </is>
      </c>
      <c r="N2377" s="18" t="inlineStr">
        <is>
          <t>ข้อ 5 (PLE_CC1_Key_Rx20_UBU.md)</t>
        </is>
      </c>
      <c r="O2377" s="18" t="inlineStr">
        <is>
          <t>Mock</t>
        </is>
      </c>
      <c r="P2377" s="18" t="inlineStr">
        <is>
          <t>Mock Rx20 UBU</t>
        </is>
      </c>
    </row>
    <row r="2378">
      <c r="A2378" s="15" t="inlineStr">
        <is>
          <t>2399</t>
        </is>
      </c>
      <c r="B2378" s="18" t="inlineStr">
        <is>
          <t>20 ng/L = 0.2(1)/(36L/kg 50 kg) = 0.002 mcg/L = 2 ng/L</t>
        </is>
      </c>
      <c r="C2378" s="18" t="inlineStr"/>
      <c r="D2378" s="18" t="inlineStr">
        <is>
          <t>Dimercaprol (BAL) 3 mg/kg IM</t>
        </is>
      </c>
      <c r="E2378" s="18" t="inlineStr">
        <is>
          <t>Ethanol 10% IV infusion for Methanol poisoning</t>
        </is>
      </c>
      <c r="F2378" s="18" t="inlineStr">
        <is>
          <t>Fomepizole 15 mg/kg IV loading</t>
        </is>
      </c>
      <c r="G2378" s="18" t="inlineStr">
        <is>
          <t>N-acetylcysteine (NAC) IV infusion protocol</t>
        </is>
      </c>
      <c r="H2378" s="18" t="inlineStr">
        <is>
          <t>Atropine sulfate 2 mg IV Q5-10 min</t>
        </is>
      </c>
      <c r="I2378" s="15" t="inlineStr">
        <is>
          <t>3</t>
        </is>
      </c>
      <c r="J2378" s="18"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8" s="18" t="inlineStr"/>
      <c r="L2378" s="18" t="inlineStr">
        <is>
          <t>General Therapeutics</t>
        </is>
      </c>
      <c r="M2378" s="18" t="inlineStr">
        <is>
          <t>Clinic</t>
        </is>
      </c>
      <c r="N2378" s="18" t="inlineStr">
        <is>
          <t>ข้อ 5 (PLE_CC1_Key_Rx20_UBU.md)</t>
        </is>
      </c>
      <c r="O2378" s="18" t="inlineStr">
        <is>
          <t>Mock</t>
        </is>
      </c>
      <c r="P2378" s="18" t="inlineStr">
        <is>
          <t>Mock Rx20 UBU</t>
        </is>
      </c>
    </row>
    <row r="2379">
      <c r="A2379" s="15" t="inlineStr">
        <is>
          <t>2400</t>
        </is>
      </c>
      <c r="B2379" s="18" t="inlineStr">
        <is>
          <t>การทำ Residual on Ignition คือการทำอะไร</t>
        </is>
      </c>
      <c r="C2379" s="18" t="inlineStr"/>
      <c r="D2379" s="18" t="inlineStr">
        <is>
          <t>N-acetylcysteine (NAC) IV infusion protocol</t>
        </is>
      </c>
      <c r="E2379" s="18" t="inlineStr">
        <is>
          <t>Atropine sulfate 2 mg IV Q5-10 min</t>
        </is>
      </c>
      <c r="F2379" s="18" t="inlineStr">
        <is>
          <t>Pralidoxime (2-PAM) 1-2 g IV over 30 min</t>
        </is>
      </c>
      <c r="G2379" s="18" t="inlineStr">
        <is>
          <t>Naloxone 0.4 mg IV stat</t>
        </is>
      </c>
      <c r="H2379" s="18" t="inlineStr">
        <is>
          <t>Flumazenil 0.2 mg IV stat</t>
        </is>
      </c>
      <c r="I2379" s="15" t="inlineStr">
        <is>
          <t>1</t>
        </is>
      </c>
      <c r="J237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9" s="18" t="inlineStr"/>
      <c r="L2379" s="18" t="inlineStr">
        <is>
          <t>General Therapeutics</t>
        </is>
      </c>
      <c r="M2379" s="18" t="inlineStr">
        <is>
          <t>Clinic</t>
        </is>
      </c>
      <c r="N2379" s="18" t="inlineStr">
        <is>
          <t>ข้อ 3 (PLE_CC1_Key_Rx20_UBU.md)</t>
        </is>
      </c>
      <c r="O2379" s="18" t="inlineStr">
        <is>
          <t>Mock</t>
        </is>
      </c>
      <c r="P2379" s="18" t="inlineStr">
        <is>
          <t>Mock Rx20 UBU</t>
        </is>
      </c>
    </row>
    <row r="2380">
      <c r="A2380" s="15" t="inlineStr">
        <is>
          <t>2401</t>
        </is>
      </c>
      <c r="B2380" s="18" t="inlineStr">
        <is>
          <t>ปริมาณของสาร organic</t>
        </is>
      </c>
      <c r="C2380" s="18" t="inlineStr"/>
      <c r="D2380" s="18" t="inlineStr">
        <is>
          <t>Naloxone 0.4 mg IV stat</t>
        </is>
      </c>
      <c r="E2380" s="18" t="inlineStr">
        <is>
          <t>Flumazenil 0.2 mg IV stat</t>
        </is>
      </c>
      <c r="F2380" s="18" t="inlineStr">
        <is>
          <t>Vitamin K1 (Phytomenadione) 10 mg IV slow</t>
        </is>
      </c>
      <c r="G2380" s="18" t="inlineStr">
        <is>
          <t>Sodium thiosulfate 25% 50 mL IV</t>
        </is>
      </c>
      <c r="H2380" s="18" t="inlineStr">
        <is>
          <t>Calcium disodium EDTA 1 g IV</t>
        </is>
      </c>
      <c r="I2380" s="15" t="inlineStr">
        <is>
          <t>1</t>
        </is>
      </c>
      <c r="J2380"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0" s="18" t="inlineStr"/>
      <c r="L2380" s="18" t="inlineStr">
        <is>
          <t>General Therapeutics</t>
        </is>
      </c>
      <c r="M2380" s="18" t="inlineStr">
        <is>
          <t>Clinic</t>
        </is>
      </c>
      <c r="N2380" s="18" t="inlineStr">
        <is>
          <t>ข้อ 1 (PLE_CC1_Key_Rx20_UBU.md)</t>
        </is>
      </c>
      <c r="O2380" s="18" t="inlineStr">
        <is>
          <t>Mock</t>
        </is>
      </c>
      <c r="P2380" s="18" t="inlineStr">
        <is>
          <t>Mock Rx20 UBU</t>
        </is>
      </c>
    </row>
    <row r="2381">
      <c r="A2381" s="15" t="inlineStr">
        <is>
          <t>2402</t>
        </is>
      </c>
      <c r="B2381" s="18" t="inlineStr">
        <is>
          <t>ปริมาณของสาร inorganic</t>
        </is>
      </c>
      <c r="C2381" s="18" t="inlineStr"/>
      <c r="D2381" s="18" t="inlineStr">
        <is>
          <t>Sodium thiosulfate 25% 50 mL IV</t>
        </is>
      </c>
      <c r="E2381" s="18" t="inlineStr">
        <is>
          <t>Calcium disodium EDTA 1 g IV</t>
        </is>
      </c>
      <c r="F2381" s="18" t="inlineStr">
        <is>
          <t>Desferrioxamine 1 g IM/IV</t>
        </is>
      </c>
      <c r="G2381" s="18" t="inlineStr">
        <is>
          <t>Dimercaprol (BAL) 3 mg/kg IM</t>
        </is>
      </c>
      <c r="H2381" s="18" t="inlineStr">
        <is>
          <t>Ethanol 10% IV infusion for Methanol poisoning</t>
        </is>
      </c>
      <c r="I2381" s="15" t="inlineStr">
        <is>
          <t>1</t>
        </is>
      </c>
      <c r="J2381"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1" s="18" t="inlineStr"/>
      <c r="L2381" s="18" t="inlineStr">
        <is>
          <t>General Therapeutics</t>
        </is>
      </c>
      <c r="M2381" s="18" t="inlineStr">
        <is>
          <t>Clinic</t>
        </is>
      </c>
      <c r="N2381" s="18" t="inlineStr">
        <is>
          <t>ข้อ 2 (PLE_CC1_Key_Rx20_UBU.md)</t>
        </is>
      </c>
      <c r="O2381" s="18" t="inlineStr">
        <is>
          <t>Mock</t>
        </is>
      </c>
      <c r="P2381" s="18" t="inlineStr">
        <is>
          <t>Mock Rx20 UBU</t>
        </is>
      </c>
    </row>
    <row r="2382">
      <c r="A2382" s="15" t="inlineStr">
        <is>
          <t>2403</t>
        </is>
      </c>
      <c r="B2382" s="18" t="inlineStr">
        <is>
          <t>ชนิดของสาร inorganic</t>
        </is>
      </c>
      <c r="C2382" s="18" t="inlineStr"/>
      <c r="D2382" s="18" t="inlineStr">
        <is>
          <t>Dimercaprol (BAL) 3 mg/kg IM</t>
        </is>
      </c>
      <c r="E2382" s="18" t="inlineStr">
        <is>
          <t>Ethanol 10% IV infusion for Methanol poisoning</t>
        </is>
      </c>
      <c r="F2382" s="18" t="inlineStr">
        <is>
          <t>Fomepizole 15 mg/kg IV loading</t>
        </is>
      </c>
      <c r="G2382" s="18" t="inlineStr">
        <is>
          <t>N-acetylcysteine (NAC) IV infusion protocol</t>
        </is>
      </c>
      <c r="H2382" s="18" t="inlineStr">
        <is>
          <t>Atropine sulfate 2 mg IV Q5-10 min</t>
        </is>
      </c>
      <c r="I2382" s="15" t="inlineStr">
        <is>
          <t>1</t>
        </is>
      </c>
      <c r="J238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2" s="18" t="inlineStr"/>
      <c r="L2382" s="18" t="inlineStr">
        <is>
          <t>General Therapeutics</t>
        </is>
      </c>
      <c r="M2382" s="18" t="inlineStr">
        <is>
          <t>Clinic</t>
        </is>
      </c>
      <c r="N2382" s="18" t="inlineStr">
        <is>
          <t>ข้อ 3 (PLE_CC1_Key_Rx20_UBU.md)</t>
        </is>
      </c>
      <c r="O2382" s="18" t="inlineStr">
        <is>
          <t>Mock</t>
        </is>
      </c>
      <c r="P2382" s="18" t="inlineStr">
        <is>
          <t>Mock Rx20 UBU</t>
        </is>
      </c>
    </row>
    <row r="2383">
      <c r="A2383" s="15" t="inlineStr">
        <is>
          <t>2404</t>
        </is>
      </c>
      <c r="B2383" s="18" t="inlineStr">
        <is>
          <t>ปริมาณของสาร ที่ระเหยได้</t>
        </is>
      </c>
      <c r="C2383" s="18" t="inlineStr"/>
      <c r="D2383" s="18" t="inlineStr">
        <is>
          <t>N-acetylcysteine (NAC) IV infusion protocol</t>
        </is>
      </c>
      <c r="E2383" s="18" t="inlineStr">
        <is>
          <t>Atropine sulfate 2 mg IV Q5-10 min</t>
        </is>
      </c>
      <c r="F2383" s="18" t="inlineStr">
        <is>
          <t>Pralidoxime (2-PAM) 1-2 g IV over 30 min</t>
        </is>
      </c>
      <c r="G2383" s="18" t="inlineStr">
        <is>
          <t>Naloxone 0.4 mg IV stat</t>
        </is>
      </c>
      <c r="H2383" s="18" t="inlineStr">
        <is>
          <t>Flumazenil 0.2 mg IV stat</t>
        </is>
      </c>
      <c r="I2383" s="15" t="inlineStr">
        <is>
          <t>1</t>
        </is>
      </c>
      <c r="J2383"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3" s="18" t="inlineStr"/>
      <c r="L2383" s="18" t="inlineStr">
        <is>
          <t>General Therapeutics</t>
        </is>
      </c>
      <c r="M2383" s="18" t="inlineStr">
        <is>
          <t>Clinic</t>
        </is>
      </c>
      <c r="N2383" s="18" t="inlineStr">
        <is>
          <t>ข้อ 4 (PLE_CC1_Key_Rx20_UBU.md)</t>
        </is>
      </c>
      <c r="O2383" s="18" t="inlineStr">
        <is>
          <t>Mock</t>
        </is>
      </c>
      <c r="P2383" s="18" t="inlineStr">
        <is>
          <t>Mock Rx20 UBU</t>
        </is>
      </c>
    </row>
    <row r="2384">
      <c r="A2384" s="15" t="inlineStr">
        <is>
          <t>2405</t>
        </is>
      </c>
      <c r="B2384" s="18" t="inlineStr">
        <is>
          <t>Stage 2: ให้ข้อมูลมา 12 เม็ด ไม่ผ่านเพราะมี 1 เม็ดน้อยกว่า 65%</t>
        </is>
      </c>
      <c r="C2384" s="18" t="inlineStr"/>
      <c r="D2384" s="18" t="inlineStr">
        <is>
          <t>Naloxone 0.4 mg IV stat</t>
        </is>
      </c>
      <c r="E2384" s="18" t="inlineStr">
        <is>
          <t>Flumazenil 0.2 mg IV stat</t>
        </is>
      </c>
      <c r="F2384" s="18" t="inlineStr">
        <is>
          <t>Vitamin K1 (Phytomenadione) 10 mg IV slow</t>
        </is>
      </c>
      <c r="G2384" s="18" t="inlineStr">
        <is>
          <t>Sodium thiosulfate 25% 50 mL IV</t>
        </is>
      </c>
      <c r="H2384" s="18" t="inlineStr">
        <is>
          <t>Calcium disodium EDTA 1 g IV</t>
        </is>
      </c>
      <c r="I2384" s="15" t="inlineStr">
        <is>
          <t>1</t>
        </is>
      </c>
      <c r="J238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4" s="18" t="inlineStr"/>
      <c r="L2384" s="18" t="inlineStr">
        <is>
          <t>General Therapeutics</t>
        </is>
      </c>
      <c r="M2384" s="18" t="inlineStr">
        <is>
          <t>Clinic</t>
        </is>
      </c>
      <c r="N2384" s="18" t="inlineStr">
        <is>
          <t>ข้อ 1 (PLE_CC1_Key_Rx20_UBU.md)</t>
        </is>
      </c>
      <c r="O2384" s="18" t="inlineStr">
        <is>
          <t>Mock</t>
        </is>
      </c>
      <c r="P2384" s="18" t="inlineStr">
        <is>
          <t>Mock Rx20 UBU</t>
        </is>
      </c>
    </row>
    <row r="2385">
      <c r="A2385" s="15" t="inlineStr">
        <is>
          <t>2406</t>
        </is>
      </c>
      <c r="B2385" s="18" t="inlineStr">
        <is>
          <t>Stage 2:ให้ข้อมูลมา 12 เม็ด ผ่านเพราะไม่มีเม็ดใดน้อยกว่า 65% และค่าเฉลี่ยมากกว่า 80%</t>
        </is>
      </c>
      <c r="C2385" s="18" t="inlineStr"/>
      <c r="D2385" s="18" t="inlineStr">
        <is>
          <t>Sodium thiosulfate 25% 50 mL IV</t>
        </is>
      </c>
      <c r="E2385" s="18" t="inlineStr">
        <is>
          <t>Calcium disodium EDTA 1 g IV</t>
        </is>
      </c>
      <c r="F2385" s="18" t="inlineStr">
        <is>
          <t>Desferrioxamine 1 g IM/IV</t>
        </is>
      </c>
      <c r="G2385" s="18" t="inlineStr">
        <is>
          <t>Dimercaprol (BAL) 3 mg/kg IM</t>
        </is>
      </c>
      <c r="H2385" s="18" t="inlineStr">
        <is>
          <t>Ethanol 10% IV infusion for Methanol poisoning</t>
        </is>
      </c>
      <c r="I2385" s="15" t="inlineStr">
        <is>
          <t>1</t>
        </is>
      </c>
      <c r="J238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5" s="18" t="inlineStr"/>
      <c r="L2385" s="18" t="inlineStr">
        <is>
          <t>General Therapeutics</t>
        </is>
      </c>
      <c r="M2385" s="18" t="inlineStr">
        <is>
          <t>Clinic</t>
        </is>
      </c>
      <c r="N2385" s="18" t="inlineStr">
        <is>
          <t>ข้อ 2 (PLE_CC1_Key_Rx20_UBU.md)</t>
        </is>
      </c>
      <c r="O2385" s="18" t="inlineStr">
        <is>
          <t>Mock</t>
        </is>
      </c>
      <c r="P2385" s="18" t="inlineStr">
        <is>
          <t>Mock Rx20 UBU</t>
        </is>
      </c>
    </row>
    <row r="2386">
      <c r="A2386" s="15" t="inlineStr">
        <is>
          <t>2407</t>
        </is>
      </c>
      <c r="B2386" s="18" t="inlineStr">
        <is>
          <t>Stage 1:ให้ข้อมูลมา 6 เม็ด ไม่ผ่านเพราะมี 1 เม็ดน้อยกว่า 85%</t>
        </is>
      </c>
      <c r="C2386" s="18" t="inlineStr"/>
      <c r="D2386" s="18" t="inlineStr">
        <is>
          <t>Dimercaprol (BAL) 3 mg/kg IM</t>
        </is>
      </c>
      <c r="E2386" s="18" t="inlineStr">
        <is>
          <t>Ethanol 10% IV infusion for Methanol poisoning</t>
        </is>
      </c>
      <c r="F2386" s="18" t="inlineStr">
        <is>
          <t>Fomepizole 15 mg/kg IV loading</t>
        </is>
      </c>
      <c r="G2386" s="18" t="inlineStr">
        <is>
          <t>N-acetylcysteine (NAC) IV infusion protocol</t>
        </is>
      </c>
      <c r="H2386" s="18" t="inlineStr">
        <is>
          <t>Atropine sulfate 2 mg IV Q5-10 min</t>
        </is>
      </c>
      <c r="I2386" s="15" t="inlineStr">
        <is>
          <t>1</t>
        </is>
      </c>
      <c r="J2386"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6" s="18" t="inlineStr"/>
      <c r="L2386" s="18" t="inlineStr">
        <is>
          <t>General Therapeutics</t>
        </is>
      </c>
      <c r="M2386" s="18" t="inlineStr">
        <is>
          <t>Clinic</t>
        </is>
      </c>
      <c r="N2386" s="18" t="inlineStr">
        <is>
          <t>ข้อ 3 (PLE_CC1_Key_Rx20_UBU.md)</t>
        </is>
      </c>
      <c r="O2386" s="18" t="inlineStr">
        <is>
          <t>Mock</t>
        </is>
      </c>
      <c r="P2386" s="18" t="inlineStr">
        <is>
          <t>Mock Rx20 UBU</t>
        </is>
      </c>
    </row>
    <row r="2387">
      <c r="A2387" s="15" t="inlineStr">
        <is>
          <t>2408</t>
        </is>
      </c>
      <c r="B2387" s="18" t="inlineStr">
        <is>
          <t>Stage 1: ไม่ผ่านเพราะให้ค่าเฉลี่ยมา</t>
        </is>
      </c>
      <c r="C2387" s="18" t="inlineStr"/>
      <c r="D2387" s="18" t="inlineStr">
        <is>
          <t>N-acetylcysteine (NAC) IV infusion protocol</t>
        </is>
      </c>
      <c r="E2387" s="18" t="inlineStr">
        <is>
          <t>Atropine sulfate 2 mg IV Q5-10 min</t>
        </is>
      </c>
      <c r="F2387" s="18" t="inlineStr">
        <is>
          <t>Pralidoxime (2-PAM) 1-2 g IV over 30 min</t>
        </is>
      </c>
      <c r="G2387" s="18" t="inlineStr">
        <is>
          <t>Naloxone 0.4 mg IV stat</t>
        </is>
      </c>
      <c r="H2387" s="18" t="inlineStr">
        <is>
          <t>Flumazenil 0.2 mg IV stat</t>
        </is>
      </c>
      <c r="I2387" s="15" t="inlineStr">
        <is>
          <t>1</t>
        </is>
      </c>
      <c r="J238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7" s="18" t="inlineStr"/>
      <c r="L2387" s="18" t="inlineStr">
        <is>
          <t>General Therapeutics</t>
        </is>
      </c>
      <c r="M2387" s="18" t="inlineStr">
        <is>
          <t>Clinic</t>
        </is>
      </c>
      <c r="N2387" s="18" t="inlineStr">
        <is>
          <t>ข้อ 5 (PLE_CC1_Key_Rx20_UBU.md)</t>
        </is>
      </c>
      <c r="O2387" s="18" t="inlineStr">
        <is>
          <t>Mock</t>
        </is>
      </c>
      <c r="P2387" s="18" t="inlineStr">
        <is>
          <t>Mock Rx20 UBU</t>
        </is>
      </c>
    </row>
    <row r="2388">
      <c r="A2388" s="15" t="inlineStr">
        <is>
          <t>2409</t>
        </is>
      </c>
      <c r="B2388" s="18" t="inlineStr">
        <is>
          <t>Multiple linear regression</t>
        </is>
      </c>
      <c r="C2388" s="18" t="inlineStr"/>
      <c r="D2388" s="18" t="inlineStr">
        <is>
          <t>Naloxone 0.4 mg IV stat</t>
        </is>
      </c>
      <c r="E2388" s="18" t="inlineStr">
        <is>
          <t>Flumazenil 0.2 mg IV stat</t>
        </is>
      </c>
      <c r="F2388" s="18" t="inlineStr">
        <is>
          <t>Vitamin K1 (Phytomenadione) 10 mg IV slow</t>
        </is>
      </c>
      <c r="G2388" s="18" t="inlineStr">
        <is>
          <t>Sodium thiosulfate 25% 50 mL IV</t>
        </is>
      </c>
      <c r="H2388" s="18" t="inlineStr">
        <is>
          <t>Calcium disodium EDTA 1 g IV</t>
        </is>
      </c>
      <c r="I2388" s="15" t="inlineStr">
        <is>
          <t>1</t>
        </is>
      </c>
      <c r="J238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8" s="18" t="inlineStr"/>
      <c r="L2388" s="18" t="inlineStr">
        <is>
          <t>General Therapeutics</t>
        </is>
      </c>
      <c r="M2388" s="18" t="inlineStr">
        <is>
          <t>Clinic</t>
        </is>
      </c>
      <c r="N2388" s="18" t="inlineStr">
        <is>
          <t>ข้อ 4 (PLE_CC1_Key_Rx20_UBU.md)</t>
        </is>
      </c>
      <c r="O2388" s="18" t="inlineStr">
        <is>
          <t>Mock</t>
        </is>
      </c>
      <c r="P2388" s="18" t="inlineStr">
        <is>
          <t>Mock Rx20 UBU</t>
        </is>
      </c>
    </row>
    <row r="2389">
      <c r="A2389" s="15" t="inlineStr">
        <is>
          <t>2410</t>
        </is>
      </c>
      <c r="B2389" s="18" t="inlineStr">
        <is>
          <t>ยาอะไร ช่วยในการขจัดยานี้</t>
        </is>
      </c>
      <c r="C2389" s="18" t="inlineStr"/>
      <c r="D2389" s="18" t="inlineStr">
        <is>
          <t>Sodium thiosulfate 25% 50 mL IV</t>
        </is>
      </c>
      <c r="E2389" s="18" t="inlineStr">
        <is>
          <t>Calcium disodium EDTA 1 g IV</t>
        </is>
      </c>
      <c r="F2389" s="18" t="inlineStr">
        <is>
          <t>Desferrioxamine 1 g IM/IV</t>
        </is>
      </c>
      <c r="G2389" s="18" t="inlineStr">
        <is>
          <t>Dimercaprol (BAL) 3 mg/kg IM</t>
        </is>
      </c>
      <c r="H2389" s="18" t="inlineStr">
        <is>
          <t>Ethanol 10% IV infusion for Methanol poisoning</t>
        </is>
      </c>
      <c r="I2389" s="15" t="inlineStr">
        <is>
          <t>1</t>
        </is>
      </c>
      <c r="J238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9" s="18" t="inlineStr"/>
      <c r="L2389" s="18" t="inlineStr">
        <is>
          <t>General Therapeutics</t>
        </is>
      </c>
      <c r="M2389" s="18" t="inlineStr">
        <is>
          <t>Clinic</t>
        </is>
      </c>
      <c r="N2389" s="18" t="inlineStr">
        <is>
          <t>ข้อ 6 (PLE_CC1_Key_Rx20_UBU.md)</t>
        </is>
      </c>
      <c r="O2389" s="18" t="inlineStr">
        <is>
          <t>Mock</t>
        </is>
      </c>
      <c r="P2389" s="18" t="inlineStr">
        <is>
          <t>Mock Rx20 UBU</t>
        </is>
      </c>
    </row>
    <row r="2390">
      <c r="A2390" s="15" t="inlineStr">
        <is>
          <t>2411</t>
        </is>
      </c>
      <c r="B2390" s="18" t="inlineStr">
        <is>
          <t>Phenzopyridine 8.) CL ยาทำเพื่อจุดประสงค์อะไร</t>
        </is>
      </c>
      <c r="C2390" s="18" t="inlineStr"/>
      <c r="D2390" s="18" t="inlineStr">
        <is>
          <t>Dimercaprol (BAL) 3 mg/kg IM</t>
        </is>
      </c>
      <c r="E2390" s="18" t="inlineStr">
        <is>
          <t>Ethanol 10% IV infusion for Methanol poisoning</t>
        </is>
      </c>
      <c r="F2390" s="18" t="inlineStr">
        <is>
          <t>Fomepizole 15 mg/kg IV loading</t>
        </is>
      </c>
      <c r="G2390" s="18" t="inlineStr">
        <is>
          <t>N-acetylcysteine (NAC) IV infusion protocol</t>
        </is>
      </c>
      <c r="H2390" s="18" t="inlineStr">
        <is>
          <t>Atropine sulfate 2 mg IV Q5-10 min</t>
        </is>
      </c>
      <c r="I2390" s="15" t="inlineStr">
        <is>
          <t>4</t>
        </is>
      </c>
      <c r="J2390" s="18"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0" s="18" t="inlineStr"/>
      <c r="L2390" s="18" t="inlineStr">
        <is>
          <t>General Therapeutics</t>
        </is>
      </c>
      <c r="M2390" s="18" t="inlineStr">
        <is>
          <t>Clinic</t>
        </is>
      </c>
      <c r="N2390" s="18" t="inlineStr">
        <is>
          <t>ข้อ 5 (PLE_CC1_Key_Rx20_UBU.md)</t>
        </is>
      </c>
      <c r="O2390" s="18" t="inlineStr">
        <is>
          <t>Mock</t>
        </is>
      </c>
      <c r="P2390" s="18" t="inlineStr">
        <is>
          <t>Mock Rx20 UBU</t>
        </is>
      </c>
    </row>
    <row r="2391">
      <c r="A2391" s="15" t="inlineStr">
        <is>
          <t>2412</t>
        </is>
      </c>
      <c r="B2391" s="18" t="inlineStr">
        <is>
          <t>ใช้ยาอย่างสมเหตุสมผล</t>
        </is>
      </c>
      <c r="C2391" s="18" t="inlineStr"/>
      <c r="D2391" s="18" t="inlineStr">
        <is>
          <t>N-acetylcysteine (NAC) IV infusion protocol</t>
        </is>
      </c>
      <c r="E2391" s="18" t="inlineStr">
        <is>
          <t>Atropine sulfate 2 mg IV Q5-10 min</t>
        </is>
      </c>
      <c r="F2391" s="18" t="inlineStr">
        <is>
          <t>Pralidoxime (2-PAM) 1-2 g IV over 30 min</t>
        </is>
      </c>
      <c r="G2391" s="18" t="inlineStr">
        <is>
          <t>Naloxone 0.4 mg IV stat</t>
        </is>
      </c>
      <c r="H2391" s="18" t="inlineStr">
        <is>
          <t>Flumazenil 0.2 mg IV stat</t>
        </is>
      </c>
      <c r="I2391" s="15" t="inlineStr">
        <is>
          <t>1</t>
        </is>
      </c>
      <c r="J2391"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1" s="18" t="inlineStr"/>
      <c r="L2391" s="18" t="inlineStr">
        <is>
          <t>General Therapeutics</t>
        </is>
      </c>
      <c r="M2391" s="18" t="inlineStr">
        <is>
          <t>Clinic</t>
        </is>
      </c>
      <c r="N2391" s="18" t="inlineStr">
        <is>
          <t>ข้อ 3 (PLE_CC1_Key_Rx20_UBU.md)</t>
        </is>
      </c>
      <c r="O2391" s="18" t="inlineStr">
        <is>
          <t>Mock</t>
        </is>
      </c>
      <c r="P2391" s="18" t="inlineStr">
        <is>
          <t>Mock Rx20 UBU</t>
        </is>
      </c>
    </row>
    <row r="2392">
      <c r="A2392" s="15" t="inlineStr">
        <is>
          <t>2413</t>
        </is>
      </c>
      <c r="B2392" s="18" t="inlineStr">
        <is>
          <t>เติม Halogen ที่ Carbon ตำแหน่ง 9</t>
        </is>
      </c>
      <c r="C2392" s="18" t="inlineStr"/>
      <c r="D2392" s="18" t="inlineStr">
        <is>
          <t>Naloxone 0.4 mg IV stat</t>
        </is>
      </c>
      <c r="E2392" s="18" t="inlineStr">
        <is>
          <t>Flumazenil 0.2 mg IV stat</t>
        </is>
      </c>
      <c r="F2392" s="18" t="inlineStr">
        <is>
          <t>Vitamin K1 (Phytomenadione) 10 mg IV slow</t>
        </is>
      </c>
      <c r="G2392" s="18" t="inlineStr">
        <is>
          <t>Sodium thiosulfate 25% 50 mL IV</t>
        </is>
      </c>
      <c r="H2392" s="18" t="inlineStr">
        <is>
          <t>Calcium disodium EDTA 1 g IV</t>
        </is>
      </c>
      <c r="I2392" s="15" t="inlineStr">
        <is>
          <t>1</t>
        </is>
      </c>
      <c r="J239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2" s="18" t="inlineStr"/>
      <c r="L2392" s="18" t="inlineStr">
        <is>
          <t>General Therapeutics</t>
        </is>
      </c>
      <c r="M2392" s="18" t="inlineStr">
        <is>
          <t>Clinic</t>
        </is>
      </c>
      <c r="N2392" s="18" t="inlineStr">
        <is>
          <t>ข้อ 1 (PLE_CC1_Key_Rx20_UBU.md)</t>
        </is>
      </c>
      <c r="O2392" s="18" t="inlineStr">
        <is>
          <t>Mock</t>
        </is>
      </c>
      <c r="P2392" s="18" t="inlineStr">
        <is>
          <t>Mock Rx20 UBU</t>
        </is>
      </c>
    </row>
    <row r="2393">
      <c r="A2393" s="15" t="inlineStr">
        <is>
          <t>2414</t>
        </is>
      </c>
      <c r="B2393" s="18" t="inlineStr">
        <is>
          <t>เติม Halogen ที่ Carbon ตำแหน่ง 7</t>
        </is>
      </c>
      <c r="C2393" s="18" t="inlineStr"/>
      <c r="D2393" s="18" t="inlineStr">
        <is>
          <t>Sodium thiosulfate 25% 50 mL IV</t>
        </is>
      </c>
      <c r="E2393" s="18" t="inlineStr">
        <is>
          <t>Calcium disodium EDTA 1 g IV</t>
        </is>
      </c>
      <c r="F2393" s="18" t="inlineStr">
        <is>
          <t>Desferrioxamine 1 g IM/IV</t>
        </is>
      </c>
      <c r="G2393" s="18" t="inlineStr">
        <is>
          <t>Dimercaprol (BAL) 3 mg/kg IM</t>
        </is>
      </c>
      <c r="H2393" s="18" t="inlineStr">
        <is>
          <t>Ethanol 10% IV infusion for Methanol poisoning</t>
        </is>
      </c>
      <c r="I2393" s="15" t="inlineStr">
        <is>
          <t>1</t>
        </is>
      </c>
      <c r="J239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3" s="18" t="inlineStr"/>
      <c r="L2393" s="18" t="inlineStr">
        <is>
          <t>General Therapeutics</t>
        </is>
      </c>
      <c r="M2393" s="18" t="inlineStr">
        <is>
          <t>Clinic</t>
        </is>
      </c>
      <c r="N2393" s="18" t="inlineStr">
        <is>
          <t>ข้อ 2 (PLE_CC1_Key_Rx20_UBU.md)</t>
        </is>
      </c>
      <c r="O2393" s="18" t="inlineStr">
        <is>
          <t>Mock</t>
        </is>
      </c>
      <c r="P2393" s="18" t="inlineStr">
        <is>
          <t>Mock Rx20 UBU</t>
        </is>
      </c>
    </row>
    <row r="2394">
      <c r="A2394" s="15" t="inlineStr">
        <is>
          <t>2415</t>
        </is>
      </c>
      <c r="B2394" s="18" t="inlineStr">
        <is>
          <t>เปลี่ยน Ring A เป็น Heterocyclic ring</t>
        </is>
      </c>
      <c r="C2394" s="18" t="inlineStr"/>
      <c r="D2394" s="18" t="inlineStr">
        <is>
          <t>Dimercaprol (BAL) 3 mg/kg IM</t>
        </is>
      </c>
      <c r="E2394" s="18" t="inlineStr">
        <is>
          <t>Ethanol 10% IV infusion for Methanol poisoning</t>
        </is>
      </c>
      <c r="F2394" s="18" t="inlineStr">
        <is>
          <t>Fomepizole 15 mg/kg IV loading</t>
        </is>
      </c>
      <c r="G2394" s="18" t="inlineStr">
        <is>
          <t>N-acetylcysteine (NAC) IV infusion protocol</t>
        </is>
      </c>
      <c r="H2394" s="18" t="inlineStr">
        <is>
          <t>Atropine sulfate 2 mg IV Q5-10 min</t>
        </is>
      </c>
      <c r="I2394" s="15" t="inlineStr">
        <is>
          <t>1</t>
        </is>
      </c>
      <c r="J239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4" s="18" t="inlineStr"/>
      <c r="L2394" s="18" t="inlineStr">
        <is>
          <t>General Therapeutics</t>
        </is>
      </c>
      <c r="M2394" s="18" t="inlineStr">
        <is>
          <t>Clinic</t>
        </is>
      </c>
      <c r="N2394" s="18" t="inlineStr">
        <is>
          <t>ข้อ 3 (PLE_CC1_Key_Rx20_UBU.md)</t>
        </is>
      </c>
      <c r="O2394" s="18" t="inlineStr">
        <is>
          <t>Mock</t>
        </is>
      </c>
      <c r="P2394" s="18" t="inlineStr">
        <is>
          <t>Mock Rx20 UBU</t>
        </is>
      </c>
    </row>
    <row r="2395">
      <c r="A2395" s="15" t="inlineStr">
        <is>
          <t>2416</t>
        </is>
      </c>
      <c r="B2395" s="18" t="inlineStr">
        <is>
          <t>เปลี่ยนตำแหน่ง 4 เป็นพันธะเดี่ยว</t>
        </is>
      </c>
      <c r="C2395" s="18" t="inlineStr"/>
      <c r="D2395" s="18" t="inlineStr">
        <is>
          <t>N-acetylcysteine (NAC) IV infusion protocol</t>
        </is>
      </c>
      <c r="E2395" s="18" t="inlineStr">
        <is>
          <t>Atropine sulfate 2 mg IV Q5-10 min</t>
        </is>
      </c>
      <c r="F2395" s="18" t="inlineStr">
        <is>
          <t>Pralidoxime (2-PAM) 1-2 g IV over 30 min</t>
        </is>
      </c>
      <c r="G2395" s="18" t="inlineStr">
        <is>
          <t>Naloxone 0.4 mg IV stat</t>
        </is>
      </c>
      <c r="H2395" s="18" t="inlineStr">
        <is>
          <t>Flumazenil 0.2 mg IV stat</t>
        </is>
      </c>
      <c r="I2395" s="15" t="inlineStr">
        <is>
          <t>1</t>
        </is>
      </c>
      <c r="J239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5" s="18" t="inlineStr"/>
      <c r="L2395" s="18" t="inlineStr">
        <is>
          <t>General Therapeutics</t>
        </is>
      </c>
      <c r="M2395" s="18" t="inlineStr">
        <is>
          <t>Clinic</t>
        </is>
      </c>
      <c r="N2395" s="18" t="inlineStr">
        <is>
          <t>ข้อ 4 (PLE_CC1_Key_Rx20_UBU.md)</t>
        </is>
      </c>
      <c r="O2395" s="18" t="inlineStr">
        <is>
          <t>Mock</t>
        </is>
      </c>
      <c r="P2395" s="18" t="inlineStr">
        <is>
          <t>Mock Rx20 UBU</t>
        </is>
      </c>
    </row>
    <row r="2396">
      <c r="A2396" s="15" t="inlineStr">
        <is>
          <t>2417</t>
        </is>
      </c>
      <c r="B2396" s="18" t="inlineStr">
        <is>
          <t>เปลี่ยน Ring A เป็น Heterocyclic ring ทำให้ฤทธิ์ลดลง</t>
        </is>
      </c>
      <c r="C2396" s="18" t="inlineStr"/>
      <c r="D2396" s="18" t="inlineStr">
        <is>
          <t>Naloxone 0.4 mg IV stat</t>
        </is>
      </c>
      <c r="E2396" s="18" t="inlineStr">
        <is>
          <t>Flumazenil 0.2 mg IV stat</t>
        </is>
      </c>
      <c r="F2396" s="18" t="inlineStr">
        <is>
          <t>Vitamin K1 (Phytomenadione) 10 mg IV slow</t>
        </is>
      </c>
      <c r="G2396" s="18" t="inlineStr">
        <is>
          <t>Sodium thiosulfate 25% 50 mL IV</t>
        </is>
      </c>
      <c r="H2396" s="18" t="inlineStr">
        <is>
          <t>Calcium disodium EDTA 1 g IV</t>
        </is>
      </c>
      <c r="I2396" s="15" t="inlineStr">
        <is>
          <t>1</t>
        </is>
      </c>
      <c r="J239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6" s="18" t="inlineStr"/>
      <c r="L2396" s="18" t="inlineStr">
        <is>
          <t>General Therapeutics</t>
        </is>
      </c>
      <c r="M2396" s="18" t="inlineStr">
        <is>
          <t>Clinic</t>
        </is>
      </c>
      <c r="N2396" s="18" t="inlineStr">
        <is>
          <t>ข้อ 3 (PLE_CC1_Key_Rx20_UBU.md)</t>
        </is>
      </c>
      <c r="O2396" s="18" t="inlineStr">
        <is>
          <t>Mock</t>
        </is>
      </c>
      <c r="P2396" s="18" t="inlineStr">
        <is>
          <t>Mock Rx20 UBU</t>
        </is>
      </c>
    </row>
    <row r="2397">
      <c r="A2397" s="15" t="inlineStr">
        <is>
          <t>2418</t>
        </is>
      </c>
      <c r="B2397" s="18" t="inlineStr">
        <is>
          <t>เปลี่ยนตำแหน่ง 4 เป็นพันธะเดี่ยว ตำแหน่ง 4 พันธะคู่จำเป็นต่อการออกฤทธิ์</t>
        </is>
      </c>
      <c r="C2397" s="18" t="inlineStr"/>
      <c r="D2397" s="18" t="inlineStr">
        <is>
          <t>Sodium thiosulfate 25% 50 mL IV</t>
        </is>
      </c>
      <c r="E2397" s="18" t="inlineStr">
        <is>
          <t>Calcium disodium EDTA 1 g IV</t>
        </is>
      </c>
      <c r="F2397" s="18" t="inlineStr">
        <is>
          <t>Desferrioxamine 1 g IM/IV</t>
        </is>
      </c>
      <c r="G2397" s="18" t="inlineStr">
        <is>
          <t>Dimercaprol (BAL) 3 mg/kg IM</t>
        </is>
      </c>
      <c r="H2397" s="18" t="inlineStr">
        <is>
          <t>Ethanol 10% IV infusion for Methanol poisoning</t>
        </is>
      </c>
      <c r="I2397" s="15" t="inlineStr">
        <is>
          <t>1</t>
        </is>
      </c>
      <c r="J239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7" s="18" t="inlineStr"/>
      <c r="L2397" s="18" t="inlineStr">
        <is>
          <t>General Therapeutics</t>
        </is>
      </c>
      <c r="M2397" s="18" t="inlineStr">
        <is>
          <t>Clinic</t>
        </is>
      </c>
      <c r="N2397" s="18" t="inlineStr">
        <is>
          <t>ข้อ 4 (PLE_CC1_Key_Rx20_UBU.md)</t>
        </is>
      </c>
      <c r="O2397" s="18" t="inlineStr">
        <is>
          <t>Mock</t>
        </is>
      </c>
      <c r="P2397" s="18" t="inlineStr">
        <is>
          <t>Mock Rx20 UBU</t>
        </is>
      </c>
    </row>
    <row r="2398">
      <c r="A2398" s="15" t="inlineStr">
        <is>
          <t>2419</t>
        </is>
      </c>
      <c r="B2398" s="18" t="inlineStr">
        <is>
          <t>ราคา 10 บาท กินยาครั้งละ 1 เม็ด วันละ 4 ครั้ง 5 วัน</t>
        </is>
      </c>
      <c r="C2398" s="18" t="inlineStr"/>
      <c r="D2398" s="18" t="inlineStr">
        <is>
          <t>ราคา 15 บาท กินยาครั้งละ 1 เม็ด วันละ 3 ครั้ง 5 วัน</t>
        </is>
      </c>
      <c r="E2398" s="18" t="inlineStr">
        <is>
          <t>ราคา 20 บาท กินยาครั้งละ 1 เม็ด วันละ 2 ครั้ง 7 วัน</t>
        </is>
      </c>
      <c r="F2398" s="18" t="inlineStr">
        <is>
          <t>ราคา 30 บาท กินยาครั้งละ 1 เม็ด วันละ 1 ครั้ง 7 วัน</t>
        </is>
      </c>
      <c r="G2398" s="18" t="inlineStr">
        <is>
          <t>ราคา 40 บาท กินยาครั้งละ 4 เม็ด ครั้งเดียว</t>
        </is>
      </c>
      <c r="H2398" s="18" t="inlineStr">
        <is>
          <t>ราคา 10 บาท กินยาครั้งละ 1 เม็ด วันละ 4 ครั้ง 5 วัน 10x4x5 = 200 บาท</t>
        </is>
      </c>
      <c r="I2398" s="15" t="inlineStr">
        <is>
          <t>3</t>
        </is>
      </c>
      <c r="J2398" s="18" t="inlineStr">
        <is>
          <t>✅ คำตอบที่ถูกต้อง: ข้อ ค. ราคา 30 บาท กินยาครั้งละ 1 เม็ด วันละ 1 ครั้ง 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ราคา 30 บาท กินยาครั้งละ 1 เม็ด วันละ 1 ครั้ง 7 วัน การเลือก ราคา 30 บาท กินยาครั้งละ 1 เม็ด วันละ 1 ครั้ง 7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(ราคา 15 บาท กินยาครั้งละ 1 เม็ด วันละ 3 ครั้ง 5 วัน): ข้อนี้ไม่ใช่คำตอบที่ถูกต้องสำหรับภาวะ General Therapeutics เนื่องจากกลไกการออกฤทธิ์, efficacy หรือข้อบ่งใช้ไม่ตรงกับโจทย์ที่กำหนด
• ข้อ ข. (ราคา 20 บาท กินยาครั้งละ 1 เม็ด วันละ 2 ครั้ง 7 วัน): ข้อนี้ไม่ใช่คำตอบที่ถูกต้องสำหรับภาวะ General Therapeutics เนื่องจากกลไกการออกฤทธิ์, efficacy หรือข้อบ่งใช้ไม่ตรงกับโจทย์ที่กำหนด
• ข้อ ง. (ราคา 40 บาท กินยาครั้งละ 4 เม็ด ครั้งเดียว): ข้อนี้ไม่ใช่คำตอบที่ถูกต้องสำหรับภาวะ General Therapeutics เนื่องจากกลไกการออกฤทธิ์, efficacy หรือข้อบ่งใช้ไม่ตรงกับโจทย์ที่กำหนด
• ข้อ จ. (ราคา 10 บาท กินยาครั้งละ 1 เม็ด วันละ 4 ครั้ง 5 วัน 10x4x5 = 200 บาท):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8" s="18" t="inlineStr"/>
      <c r="L2398" s="18" t="inlineStr">
        <is>
          <t>General Therapeutics</t>
        </is>
      </c>
      <c r="M2398" s="18" t="inlineStr">
        <is>
          <t>Clinic</t>
        </is>
      </c>
      <c r="N2398" s="18" t="inlineStr">
        <is>
          <t>ข้อ 1 (PLE_CC1_Key_Rx20_UBU.md)</t>
        </is>
      </c>
      <c r="O2398" s="18" t="inlineStr">
        <is>
          <t>Mock</t>
        </is>
      </c>
      <c r="P2398" s="18" t="inlineStr">
        <is>
          <t>Mock Rx20 UBU</t>
        </is>
      </c>
    </row>
    <row r="2399">
      <c r="A2399" s="15" t="inlineStr">
        <is>
          <t>2420</t>
        </is>
      </c>
      <c r="B2399" s="18" t="inlineStr">
        <is>
          <t>การศึกษาระบาดวิทยา พบว่า วันที่ 1 ก.ค.59 มีประชากรทั้งหมด 5,000 คน เป็นเกลื้อน 100 คน ต่อมา ระหว่างวันที่ 2 ก.ค 59 ถึง 1 ก.ค.60 มีคนเป็นเกลื้อนใหม่ 20 คน (สมมุติว่าเป็นกลุ่มประชากรปิด ไม่ป่วย ไม่ตาย ไม่เกิด ไม่ย้ายออก) ข้อใดแสดงการคำนวณความชุกที่ถูกต้อง</t>
        </is>
      </c>
      <c r="C2399" s="18" t="inlineStr"/>
      <c r="D2399" s="18" t="inlineStr">
        <is>
          <t>20/5,000</t>
        </is>
      </c>
      <c r="E2399" s="18" t="inlineStr">
        <is>
          <t>80/5,000</t>
        </is>
      </c>
      <c r="F2399" s="18" t="inlineStr">
        <is>
          <t>100/5,000</t>
        </is>
      </c>
      <c r="G2399" s="18" t="inlineStr">
        <is>
          <t>120/5,000</t>
        </is>
      </c>
      <c r="H2399" s="18" t="inlineStr">
        <is>
          <t>365/5,000</t>
        </is>
      </c>
      <c r="I2399" s="15" t="inlineStr">
        <is>
          <t>4</t>
        </is>
      </c>
      <c r="J2399" s="18" t="inlineStr">
        <is>
          <t>✅ คำตอบที่ถูกต้อง: ข้อ ง. 120/5,000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120/5,000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120/5,000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(20/5,000): ข้อนี้ไม่ใช่คำตอบที่ถูกต้องสำหรับภาวะ Biostats &amp; Research เนื่องจากกลไกการออกฤทธิ์, efficacy หรือข้อบ่งใช้ไม่ตรงกับโจทย์ที่กำหนด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9" s="18" t="inlineStr"/>
      <c r="L2399" s="18" t="inlineStr">
        <is>
          <t>Biostats &amp; Research</t>
        </is>
      </c>
      <c r="M2399" s="18" t="inlineStr">
        <is>
          <t>SAP</t>
        </is>
      </c>
      <c r="N2399" s="18" t="inlineStr">
        <is>
          <t>ข้อ 17 (PLE_CC1_Key_Rx20_UBU.md)</t>
        </is>
      </c>
      <c r="O2399" s="18" t="inlineStr">
        <is>
          <t>Mock</t>
        </is>
      </c>
      <c r="P2399" s="18" t="inlineStr">
        <is>
          <t>Mock Rx20 UBU</t>
        </is>
      </c>
    </row>
    <row r="2400">
      <c r="A2400" s="15" t="inlineStr">
        <is>
          <t>2421</t>
        </is>
      </c>
      <c r="B2400" s="18" t="inlineStr">
        <is>
          <t>ยาใดใช้รักษาอาการนี้</t>
        </is>
      </c>
      <c r="C2400" s="18" t="inlineStr"/>
      <c r="D2400" s="18" t="inlineStr">
        <is>
          <t>Moxifloxacin 400 mg 1x1 7 days</t>
        </is>
      </c>
      <c r="E2400" s="18" t="inlineStr">
        <is>
          <t>Eryhthromycin 300 mg 1x2 7 days</t>
        </is>
      </c>
      <c r="F2400" s="18" t="inlineStr">
        <is>
          <t>Cefixime 400 mg OD single dose</t>
        </is>
      </c>
      <c r="G2400" s="18" t="inlineStr">
        <is>
          <t>Metronidazole 2 g hs single dose</t>
        </is>
      </c>
      <c r="H2400" s="18" t="inlineStr">
        <is>
          <t>Norfloxacin 400 mg 1x2 7 days</t>
        </is>
      </c>
      <c r="I2400" s="15" t="inlineStr">
        <is>
          <t>3</t>
        </is>
      </c>
      <c r="J2400" s="18" t="inlineStr">
        <is>
          <t>✅ คำตอบที่ถูกต้อง: ข้อ ค. Cefixime 400 mg OD single dose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400 mg OD single dose การเลือก Cefixime 400 mg OD single dose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(Moxifloxacin 400 mg 1x1 7 days): ข้อนี้ไม่ใช่คำตอบที่ถูกต้องสำหรับภาวะ General Therapeutics เนื่องจากกลไกการออกฤทธิ์, efficacy หรือข้อบ่งใช้ไม่ตรงกับโจทย์ที่กำหนด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(Norfloxacin 400 mg 1x2 7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0" s="18" t="inlineStr"/>
      <c r="L2400" s="18" t="inlineStr">
        <is>
          <t>General Therapeutics</t>
        </is>
      </c>
      <c r="M2400" s="18" t="inlineStr">
        <is>
          <t>Clinic</t>
        </is>
      </c>
      <c r="N2400" s="18" t="inlineStr">
        <is>
          <t>ข้อ 20 (PLE_CC1_Key_Rx20_UBU.md)</t>
        </is>
      </c>
      <c r="O2400" s="18" t="inlineStr">
        <is>
          <t>Mock</t>
        </is>
      </c>
      <c r="P2400" s="18" t="inlineStr">
        <is>
          <t>Mock Rx20 UBU</t>
        </is>
      </c>
    </row>
    <row r="2401">
      <c r="A2401" s="15" t="inlineStr">
        <is>
          <t>2422</t>
        </is>
      </c>
      <c r="B2401" s="18" t="inlineStr">
        <is>
          <t>ควรใช้ยาใดร่วมในการรักษา</t>
        </is>
      </c>
      <c r="C2401" s="18" t="inlineStr"/>
      <c r="D2401" s="18" t="inlineStr">
        <is>
          <t>Sulfamethoxazole/trimethoprim</t>
        </is>
      </c>
      <c r="E2401" s="18" t="inlineStr">
        <is>
          <t>Vancomycin</t>
        </is>
      </c>
      <c r="F2401" s="18" t="inlineStr">
        <is>
          <t>Ethinyl estradiol/Gestodene</t>
        </is>
      </c>
      <c r="G2401" s="18" t="inlineStr">
        <is>
          <t>Azithromycin</t>
        </is>
      </c>
      <c r="H2401" s="18" t="inlineStr">
        <is>
          <t>Atovaquone</t>
        </is>
      </c>
      <c r="I2401" s="15" t="inlineStr">
        <is>
          <t>4</t>
        </is>
      </c>
      <c r="J2401" s="18" t="inlineStr">
        <is>
          <t>✅ คำตอบที่ถูกต้อง: ข้อ ง.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ก. (Sulfamethoxazole/trimethoprim): ข้อนี้ไม่ใช่คำตอบที่ถูกต้องสำหรับภาวะ General Therapeutics เนื่องจากกลไกการออกฤทธิ์, efficacy หรือข้อบ่งใช้ไม่ตรงกับโจทย์ที่กำหนด
• ข้อ ข. (Vancomycin): เป็น Glycopeptide antibiotic ยับยั้ง MRSA และ Enterococcus ต้อง monitoring trough level (target 15-20 mcg/mL ใน severe infections) เพื่อป้องกัน nephrotoxicity และ ototoxity
• ข้อ ค. (Ethinyl estradiol/Gestodene):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1" s="18" t="inlineStr"/>
      <c r="L2401" s="18" t="inlineStr">
        <is>
          <t>General Therapeutics</t>
        </is>
      </c>
      <c r="M2401" s="18" t="inlineStr">
        <is>
          <t>Clinic</t>
        </is>
      </c>
      <c r="N2401" s="18" t="inlineStr">
        <is>
          <t>ข้อ 21 (PLE_CC1_Key_Rx20_UBU.md)</t>
        </is>
      </c>
      <c r="O2401" s="18" t="inlineStr">
        <is>
          <t>Mock</t>
        </is>
      </c>
      <c r="P2401" s="18" t="inlineStr">
        <is>
          <t>Mock Rx20 UBU</t>
        </is>
      </c>
    </row>
    <row r="2402">
      <c r="A2402" s="15" t="inlineStr">
        <is>
          <t>2423</t>
        </is>
      </c>
      <c r="B2402" s="18" t="inlineStr">
        <is>
          <t>Metoprolol succinate CR/XL 25 mg 1 tab od pc</t>
        </is>
      </c>
      <c r="C2402" s="18" t="inlineStr"/>
      <c r="D2402" s="18" t="inlineStr">
        <is>
          <t>Aspirin 81 mg OD</t>
        </is>
      </c>
      <c r="E2402" s="18" t="inlineStr">
        <is>
          <t>Sacubitril/Valsartan 49/51 mg BID</t>
        </is>
      </c>
      <c r="F2402" s="18" t="inlineStr">
        <is>
          <t>Empagliflozin 10 mg OD</t>
        </is>
      </c>
      <c r="G2402" s="18" t="inlineStr">
        <is>
          <t>Diltiazem 30 mg TID</t>
        </is>
      </c>
      <c r="H2402" s="18" t="inlineStr">
        <is>
          <t>Warfarin 3 mg OD (target INR 2.0-3.0)</t>
        </is>
      </c>
      <c r="I2402" s="15" t="inlineStr">
        <is>
          <t>1</t>
        </is>
      </c>
      <c r="J2402" s="18"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2" s="18" t="inlineStr"/>
      <c r="L2402" s="18" t="inlineStr">
        <is>
          <t>Cardiovascular Diseases</t>
        </is>
      </c>
      <c r="M2402" s="18" t="inlineStr">
        <is>
          <t>Clinic</t>
        </is>
      </c>
      <c r="N2402" s="18" t="inlineStr">
        <is>
          <t>ข้อ 2 (PLE_CC1_Key_Rx20_UBU.md)</t>
        </is>
      </c>
      <c r="O2402" s="18" t="inlineStr">
        <is>
          <t>Mock</t>
        </is>
      </c>
      <c r="P2402" s="18" t="inlineStr">
        <is>
          <t>Mock Rx20 UBU</t>
        </is>
      </c>
    </row>
    <row r="2403">
      <c r="A2403" s="15" t="inlineStr">
        <is>
          <t>2424</t>
        </is>
      </c>
      <c r="B2403" s="18" t="inlineStr">
        <is>
          <t>การเพิ่มยาในข้อใดสามารถช่วยลดอัตราการตายได้</t>
        </is>
      </c>
      <c r="C2403" s="18" t="inlineStr"/>
      <c r="D2403" s="18" t="inlineStr">
        <is>
          <t>Amlodipine</t>
        </is>
      </c>
      <c r="E2403" s="18" t="inlineStr">
        <is>
          <t>Diltiazem</t>
        </is>
      </c>
      <c r="F2403" s="18" t="inlineStr">
        <is>
          <t>Spironolactone</t>
        </is>
      </c>
      <c r="G2403" s="18" t="inlineStr">
        <is>
          <t>Digoxin</t>
        </is>
      </c>
      <c r="H2403" s="18" t="inlineStr">
        <is>
          <t>Furosemide จากข้อมูล</t>
        </is>
      </c>
      <c r="I2403" s="15" t="inlineStr">
        <is>
          <t>3</t>
        </is>
      </c>
      <c r="J2403" s="18" t="inlineStr">
        <is>
          <t>✅ คำตอบที่ถูกต้อง: ข้อ ค. Spironolactone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การเลือก Spironolactone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ข. (Diltiazem): เป็น non-DHP CCB ลดอัตราการเต้นของหัวใจและ myocardial contractility มี contraindication ในผู้ป่วย HFrEF (LVEF &lt; 40%) และ 2nd/3rd degree AV block
• ข้อ ง. (Digoxin): เป็น cardiac glycoside ยับยั้ง Na+/K+ ATPase เพิ่ม inotrope แต่มี narrow therapeutic index (target 0.5-0.9 ng/mL ใน HF) และเสี่ยงต่อ fatal arrhythmia เมื่อมี hypokalemia
• ข้อ จ. (Furosemide จากข้อมูล):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2403" s="18" t="inlineStr"/>
      <c r="L2403" s="18" t="inlineStr">
        <is>
          <t>General Therapeutics</t>
        </is>
      </c>
      <c r="M2403" s="18" t="inlineStr">
        <is>
          <t>Clinic</t>
        </is>
      </c>
      <c r="N2403" s="18" t="inlineStr">
        <is>
          <t>ข้อ 38 (PLE_CC1_Key_Rx20_UBU.md)</t>
        </is>
      </c>
      <c r="O2403" s="18" t="inlineStr">
        <is>
          <t>Mock</t>
        </is>
      </c>
      <c r="P2403" s="18" t="inlineStr">
        <is>
          <t>Mock Rx20 UBU</t>
        </is>
      </c>
    </row>
    <row r="2404">
      <c r="A2404" s="15" t="inlineStr">
        <is>
          <t>2425</t>
        </is>
      </c>
      <c r="B2404" s="18" t="inlineStr">
        <is>
          <t>แบบทดสอบความรู้ทางเภสัชกรรม ข้อที่ 2425</t>
        </is>
      </c>
      <c r="C2404" s="18" t="inlineStr"/>
      <c r="D2404" s="18" t="inlineStr">
        <is>
          <t>Naloxone 0.4 mg IV stat</t>
        </is>
      </c>
      <c r="E2404" s="18" t="inlineStr">
        <is>
          <t>Flumazenil 0.2 mg IV stat</t>
        </is>
      </c>
      <c r="F2404" s="18" t="inlineStr">
        <is>
          <t>Vitamin K1 (Phytomenadione) 10 mg IV slow</t>
        </is>
      </c>
      <c r="G2404" s="18" t="inlineStr">
        <is>
          <t>Sodium thiosulfate 25% 50 mL IV</t>
        </is>
      </c>
      <c r="H2404" s="18" t="inlineStr">
        <is>
          <t>Calcium disodium EDTA 1 g IV</t>
        </is>
      </c>
      <c r="I2404" s="15" t="inlineStr">
        <is>
          <t>1</t>
        </is>
      </c>
      <c r="J240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4" s="18" t="inlineStr"/>
      <c r="L2404" s="18" t="inlineStr">
        <is>
          <t>General Therapeutics</t>
        </is>
      </c>
      <c r="M2404" s="18" t="inlineStr">
        <is>
          <t>Clinic</t>
        </is>
      </c>
      <c r="N2404" s="18" t="inlineStr">
        <is>
          <t>ข้อ 2 (PLE_CC1_Key_Rx20_UBU.md)</t>
        </is>
      </c>
      <c r="O2404" s="18" t="inlineStr">
        <is>
          <t>Mock</t>
        </is>
      </c>
      <c r="P2404" s="18" t="inlineStr">
        <is>
          <t>Mock Rx20 UBU</t>
        </is>
      </c>
    </row>
    <row r="2405">
      <c r="A2405" s="15" t="inlineStr">
        <is>
          <t>2426</t>
        </is>
      </c>
      <c r="B2405" s="18" t="inlineStr">
        <is>
          <t>ข้อใดถูกต้องเกี่ยวกับการใช้ Beta-blocker</t>
        </is>
      </c>
      <c r="C2405" s="18" t="inlineStr"/>
      <c r="D2405" s="18" t="inlineStr">
        <is>
          <t>ยาที่แนะนำให้ใช้ ได้แก่ Atenolol</t>
        </is>
      </c>
      <c r="E2405" s="18" t="inlineStr">
        <is>
          <t>ควรให้ตอนที่ผู้ป่วยอาการคงที่แล้ว</t>
        </is>
      </c>
      <c r="F2405" s="18" t="inlineStr">
        <is>
          <t>ให้ตอนผู้ป่วย Acute decompensated heart failure</t>
        </is>
      </c>
      <c r="G2405" s="18" t="inlineStr">
        <is>
          <t>ใช้เมื่อไม่สามารถใช้ Diureticได้</t>
        </is>
      </c>
      <c r="H2405" s="18" t="inlineStr">
        <is>
          <t>ใช้เมื่อไม่สามารถใช้ ACEI/ARB ได้</t>
        </is>
      </c>
      <c r="I2405" s="15" t="inlineStr">
        <is>
          <t>2</t>
        </is>
      </c>
      <c r="J2405" s="18" t="inlineStr">
        <is>
          <t>✅ คำตอบที่ถูกต้อง: ข้อ ข. ควรให้ตอนที่ผู้ป่วยอาการคงที่แล้ว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ควรให้ตอนที่ผู้ป่วยอาการคงที่แล้ว การเลือก ควรให้ตอนที่ผู้ป่วยอาการคงที่แล้ว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(ยาที่แนะนำให้ใช้ ได้แก่ Atenolol): เป็น hydrophilic cardioselective beta-1 blocker ขับออกทางไตเป็นหลัก แต่ evidence ในการลด stroke และ cardiovascular events ด้อยกว่า antihypertensive อื่นๆ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(ใช้เมื่อไม่สามารถใช้ Diureticได้): ข้อนี้ไม่ใช่คำตอบที่ถูกต้องสำหรับภาวะ General Therapeutics เนื่องจากกลไกการออกฤทธิ์, efficacy หรือข้อบ่งใช้ไม่ตรงกับโจทย์ที่กำหนด
• ข้อ จ. (ใช้เมื่อไม่สามารถใช้ ACEI/ARB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5" s="18" t="inlineStr"/>
      <c r="L2405" s="18" t="inlineStr">
        <is>
          <t>General Therapeutics</t>
        </is>
      </c>
      <c r="M2405" s="18" t="inlineStr">
        <is>
          <t>Clinic</t>
        </is>
      </c>
      <c r="N2405" s="18" t="inlineStr">
        <is>
          <t>ข้อ 39 (PLE_CC1_Key_Rx20_UBU.md)</t>
        </is>
      </c>
      <c r="O2405" s="18" t="inlineStr">
        <is>
          <t>Mock</t>
        </is>
      </c>
      <c r="P2405" s="18" t="inlineStr">
        <is>
          <t>Mock Rx20 UBU</t>
        </is>
      </c>
    </row>
    <row r="2406">
      <c r="A2406" s="15" t="inlineStr">
        <is>
          <t>2427</t>
        </is>
      </c>
      <c r="B2406" s="18" t="inlineStr">
        <is>
          <t>ข้อใดคือสารที่ใช้ในการทำ Matrix-sustained release ของยา Metoprolol succinate</t>
        </is>
      </c>
      <c r="C2406" s="18" t="inlineStr"/>
      <c r="D2406" s="18" t="inlineStr">
        <is>
          <t>Hypromellose</t>
        </is>
      </c>
      <c r="E2406" s="18" t="inlineStr">
        <is>
          <t>PVP K90</t>
        </is>
      </c>
      <c r="F2406" s="18" t="inlineStr">
        <is>
          <t>PEG 6000</t>
        </is>
      </c>
      <c r="G2406" s="18" t="inlineStr">
        <is>
          <t>Polysorbate</t>
        </is>
      </c>
      <c r="H2406" s="18" t="inlineStr">
        <is>
          <t>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t>
        </is>
      </c>
      <c r="I2406" s="15" t="inlineStr">
        <is>
          <t>1</t>
        </is>
      </c>
      <c r="J2406" s="18" t="inlineStr">
        <is>
          <t>✅ คำตอบที่ถูกต้อง: ข้อ ก. Hypromellose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Hypromellose การเลือก Hypromellose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(PVP K90): ข้อนี้ไม่ใช่คำตอบที่ถูกต้องสำหรับภาวะ Cardiovascular Diseases เนื่องจากกลไกการออกฤทธิ์, efficacy หรือข้อบ่งใช้ไม่ตรงกับโจทย์ที่กำหนด
• ข้อ ค. (PEG 6000): ข้อนี้ไม่ใช่คำตอบที่ถูกต้องสำหรับภาวะ Cardiovascular Diseases เนื่องจากกลไกการออกฤทธิ์, efficacy หรือข้อบ่งใช้ไม่ตรงกับโจทย์ที่กำหนด
• ข้อ ง. (Polysorbate): ข้อนี้ไม่ใช่คำตอบที่ถูกต้องสำหรับภาวะ Cardiovascular Diseases เนื่องจากกลไกการออกฤทธิ์, efficacy หรือข้อบ่งใช้ไม่ตรงกับโจทย์ที่กำหนด
• ข้อ จ. (Sugar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6" s="18" t="inlineStr"/>
      <c r="L2406" s="18" t="inlineStr">
        <is>
          <t>Cardiovascular Diseases</t>
        </is>
      </c>
      <c r="M2406" s="18" t="inlineStr">
        <is>
          <t>Clinic</t>
        </is>
      </c>
      <c r="N2406" s="18" t="inlineStr">
        <is>
          <t>ข้อ 46 (PLE_CC1_Key_Rx20_UBU.md)</t>
        </is>
      </c>
      <c r="O2406" s="18" t="inlineStr">
        <is>
          <t>Mock</t>
        </is>
      </c>
      <c r="P2406" s="18" t="inlineStr">
        <is>
          <t>Mock Rx20 UBU</t>
        </is>
      </c>
    </row>
    <row r="2407">
      <c r="A2407" s="15" t="inlineStr">
        <is>
          <t>2428</t>
        </is>
      </c>
      <c r="B2407" s="18" t="inlineStr">
        <is>
          <t>แบบทดสอบความรู้ทางเภสัชกรรม ข้อที่ 2428</t>
        </is>
      </c>
      <c r="C2407" s="18" t="inlineStr"/>
      <c r="D2407" s="18" t="inlineStr">
        <is>
          <t>N-acetylcysteine (NAC) IV infusion protocol</t>
        </is>
      </c>
      <c r="E2407" s="18" t="inlineStr">
        <is>
          <t>Atropine sulfate 2 mg IV Q5-10 min</t>
        </is>
      </c>
      <c r="F2407" s="18" t="inlineStr">
        <is>
          <t>Pralidoxime (2-PAM) 1-2 g IV over 30 min</t>
        </is>
      </c>
      <c r="G2407" s="18" t="inlineStr">
        <is>
          <t>Naloxone 0.4 mg IV stat</t>
        </is>
      </c>
      <c r="H2407" s="18" t="inlineStr">
        <is>
          <t>Flumazenil 0.2 mg IV stat</t>
        </is>
      </c>
      <c r="I2407" s="15" t="inlineStr">
        <is>
          <t>1</t>
        </is>
      </c>
      <c r="J240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07" s="18" t="inlineStr"/>
      <c r="L2407" s="18" t="inlineStr">
        <is>
          <t>General Therapeutics</t>
        </is>
      </c>
      <c r="M2407" s="18" t="inlineStr">
        <is>
          <t>Clinic</t>
        </is>
      </c>
      <c r="N2407" s="18" t="inlineStr">
        <is>
          <t>ข้อ 1 (PLE_CC1_Key_Rx20_UBU.md)</t>
        </is>
      </c>
      <c r="O2407" s="18" t="inlineStr">
        <is>
          <t>Mock</t>
        </is>
      </c>
      <c r="P2407" s="18" t="inlineStr">
        <is>
          <t>Mock Rx20 UBU</t>
        </is>
      </c>
    </row>
    <row r="2408">
      <c r="A2408" s="15" t="inlineStr">
        <is>
          <t>2429</t>
        </is>
      </c>
      <c r="B2408" s="18" t="inlineStr">
        <is>
          <t>Regimen ใด เหมาะสมที่วุด</t>
        </is>
      </c>
      <c r="C2408" s="18" t="inlineStr"/>
      <c r="D2408" s="18" t="inlineStr">
        <is>
          <t>Omeprazole 20 mg 1x1 pc ร่วมกับ Domperidone 10 mg 1x3 pc</t>
        </is>
      </c>
      <c r="E2408" s="18" t="inlineStr">
        <is>
          <t>Omeprazole 20 mg 1x1 pc ร่วมกับ Domperidone 10 mg 1x3 ac</t>
        </is>
      </c>
      <c r="F2408" s="18" t="inlineStr">
        <is>
          <t>Omeprazole 20 mg 1x1 ac ร่วมกับ Domperidone 10 mg 1x3 pc</t>
        </is>
      </c>
      <c r="G2408" s="18" t="inlineStr">
        <is>
          <t>Omeprazole 20 mg 1x1 ac ร่วมกับ Domperidone 10 mg 1x3 พร้อมอาหาร</t>
        </is>
      </c>
      <c r="H2408" s="18" t="inlineStr">
        <is>
          <t>Omeprazole 20 mg 1x1 ac ร่วมกับ Domperidone 10 mg 1x3 ac เนืองจากยาทั้งสองต้องกินก่อนอาหาร</t>
        </is>
      </c>
      <c r="I2408" s="15" t="inlineStr">
        <is>
          <t>5</t>
        </is>
      </c>
      <c r="J2408" s="18" t="inlineStr">
        <is>
          <t>✅ คำตอบที่ถูกต้อง: ข้อ จ. Omeprazole 20 mg 1x1 ac ร่วมกับ Domperidone 10 mg 1x3 ac เนืองจากยาทั้งสองต้องกินก่อนอาหาร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ac ร่วมกับ Domperidone 10 mg 1x3 ac เนืองจากยาทั้งสองต้องกินก่อนอาหาร การเลือก Omeprazole 20 mg 1x1 ac ร่วมกับ Domperidone 10 mg 1x3 ac เนืองจากยาทั้งสองต้องกินก่อนอาหาร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(Omeprazole 20 mg 1x1 pc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08" s="18" t="inlineStr"/>
      <c r="L2408" s="18" t="inlineStr">
        <is>
          <t>General Therapeutics</t>
        </is>
      </c>
      <c r="M2408" s="18" t="inlineStr">
        <is>
          <t>Clinic</t>
        </is>
      </c>
      <c r="N2408" s="18" t="inlineStr">
        <is>
          <t>ข้อ 47 (PLE_CC1_Key_Rx20_UBU.md)</t>
        </is>
      </c>
      <c r="O2408" s="18" t="inlineStr">
        <is>
          <t>Mock</t>
        </is>
      </c>
      <c r="P2408" s="18" t="inlineStr">
        <is>
          <t>Mock Rx20 UBU</t>
        </is>
      </c>
    </row>
    <row r="2409">
      <c r="A2409" s="15" t="inlineStr">
        <is>
          <t>2430</t>
        </is>
      </c>
      <c r="B2409" s="18" t="inlineStr">
        <is>
          <t>ยาใดไม่ถูกต้องในการรักษา H.pylori infection</t>
        </is>
      </c>
      <c r="C2409" s="18" t="inlineStr"/>
      <c r="D2409" s="18" t="inlineStr">
        <is>
          <t>Omeprazole + Clarithromycin + Bismuth subsalicylate</t>
        </is>
      </c>
      <c r="E2409" s="18" t="inlineStr">
        <is>
          <t>Omeprazole + Clarithromycin + Amoxicillin</t>
        </is>
      </c>
      <c r="F2409" s="18" t="inlineStr">
        <is>
          <t>Omeprazole + Clarithromycin + Metronidazole</t>
        </is>
      </c>
      <c r="G2409" s="18" t="inlineStr">
        <is>
          <t>Omeprazole + Clarithromycin + Levofloxacin</t>
        </is>
      </c>
      <c r="H2409" s="18" t="inlineStr">
        <is>
          <t>Omeprazole + Clarithromycin + Tetracycline + Bismuth subsalicylate</t>
        </is>
      </c>
      <c r="I2409" s="15" t="inlineStr">
        <is>
          <t>1</t>
        </is>
      </c>
      <c r="J2409" s="18"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9" s="18" t="inlineStr"/>
      <c r="L2409" s="18" t="inlineStr">
        <is>
          <t>General Therapeutics</t>
        </is>
      </c>
      <c r="M2409" s="18" t="inlineStr">
        <is>
          <t>Clinic</t>
        </is>
      </c>
      <c r="N2409" s="18" t="inlineStr">
        <is>
          <t>ข้อ 53 (PLE_CC1_Key_Rx20_UBU.md)</t>
        </is>
      </c>
      <c r="O2409" s="18" t="inlineStr">
        <is>
          <t>Mock</t>
        </is>
      </c>
      <c r="P2409" s="18" t="inlineStr">
        <is>
          <t>Mock Rx20 UBU</t>
        </is>
      </c>
    </row>
    <row r="2410">
      <c r="A2410" s="15" t="inlineStr">
        <is>
          <t>2431</t>
        </is>
      </c>
      <c r="B2410" s="18" t="inlineStr">
        <is>
          <t>แพทย์ต้องการศึกษาเพื่อเปรียบเทียบอาการข้างเคียงจากการใช้ยาลดกรดระยะยาว โดยสุ่มเวชระเบียนผู้ป่วยที่ใช้ยาลดกรด มากกว่า 3 เดือน จากฐานข้อมูลของปี พ.ศ. 2559 จัดเป็นการศึกษาแบบใด</t>
        </is>
      </c>
      <c r="C2410" s="18" t="inlineStr"/>
      <c r="D2410" s="18" t="inlineStr">
        <is>
          <t>Research survey descriptive</t>
        </is>
      </c>
      <c r="E2410" s="18" t="inlineStr">
        <is>
          <t>Systemic review</t>
        </is>
      </c>
      <c r="F2410" s="18" t="inlineStr">
        <is>
          <t>Meta-analysis</t>
        </is>
      </c>
      <c r="G2410" s="18" t="inlineStr">
        <is>
          <t>Case-control</t>
        </is>
      </c>
      <c r="H2410" s="18" t="inlineStr">
        <is>
          <t>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t>
        </is>
      </c>
      <c r="I2410" s="15" t="inlineStr">
        <is>
          <t>1</t>
        </is>
      </c>
      <c r="J2410" s="18" t="inlineStr">
        <is>
          <t>✅ คำตอบที่ถูกต้อง: ข้อ ก. Research survey descriptive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Research survey descriptive เดือนก่อน ได้รับการวินิจฉัยว่าเป็นโรคไตวายเรื้อรัง stage 4 ได้รับยา ดังนี้ Aspirin, Glipizide, Moduretic
🔍 ข้ออื่นผิดเพราะอะไร:
• ข้อ ข. (Systemic review): ข้อนี้ไม่ใช่คำตอบที่ถูกต้องสำหรับภาวะ GI Disorders เนื่องจากกลไกการออกฤทธิ์, efficacy หรือข้อบ่งใช้ไม่ตรงกับโจทย์ที่กำหนด
• ข้อ ค. (Meta-analysis): ข้อนี้ไม่ใช่คำตอบที่ถูกต้องสำหรับภาวะ GI Disorders เนื่องจากกลไกการออกฤทธิ์, efficacy หรือข้อบ่งใช้ไม่ตรงกับโจทย์ที่กำหนด
• ข้อ ง. (Case-control): ข้อนี้ไม่ใช่คำตอบที่ถูกต้องสำหรับภาวะ GI Disorders เนื่องจากกลไกการออกฤทธิ์, efficacy หรือข้อบ่งใช้ไม่ตรงกับโจทย์ที่กำหนด
• ข้อ จ. (Randomized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0" s="18" t="inlineStr"/>
      <c r="L2410" s="18" t="inlineStr">
        <is>
          <t>GI Disorders</t>
        </is>
      </c>
      <c r="M2410" s="18" t="inlineStr">
        <is>
          <t>Clinic</t>
        </is>
      </c>
      <c r="N2410" s="18" t="inlineStr">
        <is>
          <t>ข้อ 55 (PLE_CC1_Key_Rx20_UBU.md)</t>
        </is>
      </c>
      <c r="O2410" s="18" t="inlineStr">
        <is>
          <t>Mock</t>
        </is>
      </c>
      <c r="P2410" s="18" t="inlineStr">
        <is>
          <t>Mock Rx20 UBU</t>
        </is>
      </c>
    </row>
    <row r="2411">
      <c r="A2411" s="15" t="inlineStr">
        <is>
          <t>2432</t>
        </is>
      </c>
      <c r="B2411" s="18" t="inlineStr">
        <is>
          <t>Sumatriptan มีกลไกการออกฤทธิ์อย่างไร</t>
        </is>
      </c>
      <c r="C2411" s="18" t="inlineStr"/>
      <c r="D2411" s="18" t="inlineStr">
        <is>
          <t>5-HT1 agonist</t>
        </is>
      </c>
      <c r="E2411" s="18" t="inlineStr">
        <is>
          <t>5-HT1 antagonist</t>
        </is>
      </c>
      <c r="F2411" s="18" t="inlineStr">
        <is>
          <t>5-HT2 agonist</t>
        </is>
      </c>
      <c r="G2411" s="18" t="inlineStr">
        <is>
          <t>5-HT2 antagonist</t>
        </is>
      </c>
      <c r="H2411" s="18" t="inlineStr">
        <is>
          <t>5-HT3 agonist</t>
        </is>
      </c>
      <c r="I2411" s="15" t="inlineStr">
        <is>
          <t>1</t>
        </is>
      </c>
      <c r="J2411" s="18"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1" s="18" t="inlineStr"/>
      <c r="L2411" s="18" t="inlineStr">
        <is>
          <t>Neurologic Disorders</t>
        </is>
      </c>
      <c r="M2411" s="18" t="inlineStr">
        <is>
          <t>Clinic</t>
        </is>
      </c>
      <c r="N2411" s="18" t="inlineStr">
        <is>
          <t>ข้อ 70 (PLE_CC1_Key_Rx20_UBU.md)</t>
        </is>
      </c>
      <c r="O2411" s="18" t="inlineStr">
        <is>
          <t>Mock</t>
        </is>
      </c>
      <c r="P2411" s="18" t="inlineStr">
        <is>
          <t>Mock Rx20 UBU</t>
        </is>
      </c>
    </row>
    <row r="2412">
      <c r="A2412" s="15" t="inlineStr">
        <is>
          <t>2433</t>
        </is>
      </c>
      <c r="B2412" s="18" t="inlineStr">
        <is>
          <t>ผู้ป่วยใช้ Cafergotห เป็นประจำ เมื่อเข้าโรงพยาบาลแล้วได้รับยาจนเกิดภาวะ Egotism เนื่องจากไม่มีคนถามว่าผู้ป่วยใช้ยาอะไรอยู่ กรณีนี้ถือว่าโรงพยาบาลขาดกระบวนการใด</t>
        </is>
      </c>
      <c r="C2412" s="18" t="inlineStr"/>
      <c r="D2412" s="18" t="inlineStr">
        <is>
          <t>Medication reconciliation system</t>
        </is>
      </c>
      <c r="E2412" s="18" t="inlineStr">
        <is>
          <t>Medication error system</t>
        </is>
      </c>
      <c r="F2412" s="18" t="inlineStr">
        <is>
          <t>Referral system</t>
        </is>
      </c>
      <c r="G2412" s="18" t="inlineStr">
        <is>
          <t>Spontaneous Adverse drug reaction system</t>
        </is>
      </c>
      <c r="H2412" s="18" t="inlineStr">
        <is>
          <t>Medication dispensing system</t>
        </is>
      </c>
      <c r="I2412" s="15" t="inlineStr">
        <is>
          <t>1</t>
        </is>
      </c>
      <c r="J2412" s="18" t="inlineStr">
        <is>
          <t>✅ คำตอบที่ถูกต้อง: ข้อ ก. Medication reconciliation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reconciliation system การเลือก Medication reconciliation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(Referral system): ข้อนี้ไม่ใช่คำตอบที่ถูกต้องสำหรับภาวะ General Therapeutics เนื่องจากกลไกการออกฤทธิ์, efficacy หรือข้อบ่งใช้ไม่ตรงกับโจทย์ที่กำหนด
• ข้อ ง. (Spontaneous Adverse drug reaction system): ข้อนี้ไม่ใช่คำตอบที่ถูกต้องสำหรับภาวะ General Therapeutics เนื่องจากกลไกการออกฤทธิ์, efficacy หรือข้อบ่งใช้ไม่ตรงกับโจทย์ที่กำหนด
• ข้อ จ. (Medication dispensing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2" s="18" t="inlineStr"/>
      <c r="L2412" s="18" t="inlineStr">
        <is>
          <t>General Therapeutics</t>
        </is>
      </c>
      <c r="M2412" s="18" t="inlineStr">
        <is>
          <t>Clinic</t>
        </is>
      </c>
      <c r="N2412" s="18" t="inlineStr">
        <is>
          <t>ข้อ 72 (PLE_CC1_Key_Rx20_UBU.md)</t>
        </is>
      </c>
      <c r="O2412" s="18" t="inlineStr">
        <is>
          <t>Mock</t>
        </is>
      </c>
      <c r="P2412" s="18" t="inlineStr">
        <is>
          <t>Mock Rx20 UBU</t>
        </is>
      </c>
    </row>
    <row r="2413">
      <c r="A2413" s="15" t="inlineStr">
        <is>
          <t>2434</t>
        </is>
      </c>
      <c r="B2413" s="18" t="inlineStr">
        <is>
          <t>เภสัชกรควรให้คำแนะนำกับผู้ป่วยอย่างไร ตามคำแนะนาขององค์การอนามัยโลก</t>
        </is>
      </c>
      <c r="C2413" s="18" t="inlineStr"/>
      <c r="D2413" s="18" t="inlineStr">
        <is>
          <t>ไม่ต้องทำอะไร เพราะอยู่ในช่วงปลอดภัย</t>
        </is>
      </c>
      <c r="E2413" s="18" t="inlineStr">
        <is>
          <t>ให้รับประทาน COCs ติดต่อกัน 5 วัน</t>
        </is>
      </c>
      <c r="F2413" s="18" t="inlineStr">
        <is>
          <t>รับประทานยาคุมฉุกเฉิน Levonorgestrel 750 mcg ทันที 1 เม็ด</t>
        </is>
      </c>
      <c r="G2413" s="18" t="inlineStr">
        <is>
          <t>รับประทานยาคุมฉุกเฉิน Levonorgestrel 750 mcg ทันที 2 เม็ด</t>
        </is>
      </c>
      <c r="H2413" s="18" t="inlineStr">
        <is>
          <t>เกิน 24 ชั่วโมง ไม่สามารถทำอะไรได้แล้ว</t>
        </is>
      </c>
      <c r="I2413" s="15" t="inlineStr">
        <is>
          <t>4</t>
        </is>
      </c>
      <c r="J2413" s="18" t="inlineStr">
        <is>
          <t>✅ คำตอบที่ถูกต้อง: ข้อ ง. รับประทานยาคุมฉุกเฉิน Levonorgestrel 750 mcg ทันที 2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รับประทานยาคุมฉุกเฉิน Levonorgestrel 750 mcg ทันที 2 เม็ด การเลือก รับประทานยาคุมฉุกเฉิน Levonorgestrel 750 mcg ทันที 2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(ไม่ต้องทำอะไร เพราะอยู่ในช่วงปลอดภัย): ข้อนี้ไม่ใช่คำตอบที่ถูกต้องสำหรับภาวะ General Therapeutics เนื่องจากกลไกการออกฤทธิ์, efficacy หรือข้อบ่งใช้ไม่ตรงกับโจทย์ที่กำหนด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ไม่สามารถทำอะไรได้แล้ว):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13" s="18" t="inlineStr"/>
      <c r="L2413" s="18" t="inlineStr">
        <is>
          <t>General Therapeutics</t>
        </is>
      </c>
      <c r="M2413" s="18" t="inlineStr">
        <is>
          <t>Clinic</t>
        </is>
      </c>
      <c r="N2413" s="18" t="inlineStr">
        <is>
          <t>ข้อ 82 (PLE_CC1_Key_Rx20_UBU.md)</t>
        </is>
      </c>
      <c r="O2413" s="18" t="inlineStr">
        <is>
          <t>Mock</t>
        </is>
      </c>
      <c r="P2413" s="18" t="inlineStr">
        <is>
          <t>Mock Rx20 UBU</t>
        </is>
      </c>
    </row>
    <row r="2414">
      <c r="A2414" s="15" t="inlineStr">
        <is>
          <t>2435</t>
        </is>
      </c>
      <c r="B2414" s="18" t="inlineStr">
        <is>
          <t>อาการข้างเคียงใดที่อาจเกิดได้จาก Levonorgestrel</t>
        </is>
      </c>
      <c r="C2414" s="18" t="inlineStr"/>
      <c r="D2414" s="18" t="inlineStr">
        <is>
          <t>เลือดออกกระปริบกระปอย</t>
        </is>
      </c>
      <c r="E2414" s="18" t="inlineStr">
        <is>
          <t>น้ำนมไหล</t>
        </is>
      </c>
      <c r="F2414" s="18" t="inlineStr">
        <is>
          <t>มูกใสออกมาจากช่องคลอด</t>
        </is>
      </c>
      <c r="G2414" s="18" t="inlineStr">
        <is>
          <t>เบื่ออาหาร</t>
        </is>
      </c>
      <c r="H2414" s="18" t="inlineStr">
        <is>
          <t>น้ำหนักลด</t>
        </is>
      </c>
      <c r="I2414" s="15" t="inlineStr">
        <is>
          <t>1</t>
        </is>
      </c>
      <c r="J2414" s="18"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4" s="18" t="inlineStr"/>
      <c r="L2414" s="18" t="inlineStr">
        <is>
          <t>General Therapeutics</t>
        </is>
      </c>
      <c r="M2414" s="18" t="inlineStr">
        <is>
          <t>Clinic</t>
        </is>
      </c>
      <c r="N2414" s="18" t="inlineStr">
        <is>
          <t>ข้อ 83 (PLE_CC1_Key_Rx20_UBU.md)</t>
        </is>
      </c>
      <c r="O2414" s="18" t="inlineStr">
        <is>
          <t>Mock</t>
        </is>
      </c>
      <c r="P2414" s="18" t="inlineStr">
        <is>
          <t>Mock Rx20 UBU</t>
        </is>
      </c>
    </row>
    <row r="2415">
      <c r="A2415" s="15" t="inlineStr">
        <is>
          <t>2436</t>
        </is>
      </c>
      <c r="B2415" s="18" t="inlineStr">
        <is>
          <t>Levonorgestrel กับ Dextronorgestrel สามารถใช้เครื่องมือใดในการแยก</t>
        </is>
      </c>
      <c r="C2415" s="18" t="inlineStr"/>
      <c r="D2415" s="18" t="inlineStr">
        <is>
          <t>Polarimeter</t>
        </is>
      </c>
      <c r="E2415" s="18" t="inlineStr">
        <is>
          <t>NMR</t>
        </is>
      </c>
      <c r="F2415" s="18" t="inlineStr">
        <is>
          <t>HPLC</t>
        </is>
      </c>
      <c r="G2415" s="18" t="inlineStr">
        <is>
          <t>TLC</t>
        </is>
      </c>
      <c r="H2415" s="18" t="inlineStr">
        <is>
          <t>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t>
        </is>
      </c>
      <c r="I2415" s="15" t="inlineStr">
        <is>
          <t>1</t>
        </is>
      </c>
      <c r="J2415" s="18" t="inlineStr">
        <is>
          <t>✅ คำตอบที่ถูกต้อง: ข้อ ก. Polarimeter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Polarimeter การเลือก Polarimeter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(NMR): ข้อนี้ไม่ใช่คำตอบที่ถูกต้องสำหรับภาวะ General Therapeutics เนื่องจากกลไกการออกฤทธิ์, efficacy หรือข้อบ่งใช้ไม่ตรงกับโจทย์ที่กำหนด
• ข้อ ค. (HPLC): ข้อนี้ไม่ใช่คำตอบที่ถูกต้องสำหรับภาวะ General Therapeutics เนื่องจากกลไกการออกฤทธิ์, efficacy หรือข้อบ่งใช้ไม่ตรงกับโจทย์ที่กำหนด
• ข้อ ง. (TLC): ข้อนี้ไม่ใช่คำตอบที่ถูกต้องสำหรับภาวะ General Therapeutics เนื่องจากกลไกการออกฤทธิ์, efficacy หรือข้อบ่งใช้ไม่ตรงกับโจทย์ที่กำหนด
• ข้อ จ. (MS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5" s="18" t="inlineStr"/>
      <c r="L2415" s="18" t="inlineStr">
        <is>
          <t>General Therapeutics</t>
        </is>
      </c>
      <c r="M2415" s="18" t="inlineStr">
        <is>
          <t>Clinic</t>
        </is>
      </c>
      <c r="N2415" s="18" t="inlineStr">
        <is>
          <t>ข้อ 90 (PLE_CC1_Key_Rx20_UBU.md)</t>
        </is>
      </c>
      <c r="O2415" s="18" t="inlineStr">
        <is>
          <t>Mock</t>
        </is>
      </c>
      <c r="P2415" s="18" t="inlineStr">
        <is>
          <t>Mock Rx20 UBU</t>
        </is>
      </c>
    </row>
    <row r="2416">
      <c r="A2416" s="15" t="inlineStr">
        <is>
          <t>2437</t>
        </is>
      </c>
      <c r="B2416" s="18" t="inlineStr">
        <is>
          <t>เภสัชกรพบว่ามีการระบาดของยาแผนโบราณแก้ปวดเมื่อยในชุมชน เมื่อนำมาตรวจพบว่ามีสเตียรอยด์ผสมอยู่ หากต้องการแก้ไขปัญหาตาม health promotion planning (Precede proceed model) นี้ควรมีการประเมินพฤติกรรมของคนในชุมชนข้อใด</t>
        </is>
      </c>
      <c r="C2416" s="18" t="inlineStr"/>
      <c r="D2416" s="18" t="inlineStr">
        <is>
          <t>Social assessment</t>
        </is>
      </c>
      <c r="E2416" s="18" t="inlineStr">
        <is>
          <t>Behavior and environment assessment</t>
        </is>
      </c>
      <c r="F2416" s="18" t="inlineStr">
        <is>
          <t>Outcome…. &gt; Educational and ecological assessment (?)</t>
        </is>
      </c>
      <c r="G2416" s="18" t="inlineStr">
        <is>
          <t>Epidemiological assessment</t>
        </is>
      </c>
      <c r="H2416" s="18" t="inlineStr">
        <is>
          <t>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t>
        </is>
      </c>
      <c r="I2416" s="15" t="inlineStr">
        <is>
          <t>2</t>
        </is>
      </c>
      <c r="J2416" s="18" t="inlineStr">
        <is>
          <t>✅ คำตอบที่ถูกต้อง: ข้อ ข. Behavior and environment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Behavior and environment assessment 💡 คำอธิบายและเหตุผลทางเภสัชกรรม:
💡 คำอธิบายและเหตุผลทางเภสัชกรรม:
เคยได้รับการวินิจฉัยว่าเป็นเกาต์เมื่อ 3-4 ปีก่อน มีอาการปวดข้ออยู่บ่อยซื้อยาแก้ปวดเองทานเป็นครั้งคราว
USP/NF, British Pharmacopoeia (BP) และ Remington: The Science and Practice of Pharmacy (หัวข้อ Herbal Medicine)
🔍 ข้ออื่นผิดเพราะอะไร:
• ข้อ ก. (Social assessment): ข้อนี้ไม่ใช่คำตอบที่ถูกต้องสำหรับภาวะ Herbal Medicine เนื่องจากกลไกการออกฤทธิ์, efficacy หรือข้อบ่งใช้ไม่ตรงกับโจทย์ที่กำหนด
• ข้อ ค. (Outcome…. &gt; Educational and ecological assessment (?)): ข้อนี้ไม่ใช่คำตอบที่ถูกต้องสำหรับภาวะ Herbal Medicine เนื่องจากกลไกการออกฤทธิ์, efficacy หรือข้อบ่งใช้ไม่ตรงกับโจทย์ที่กำหนด
• ข้อ ง. (Epidemiological assessment): ข้อนี้ไม่ใช่คำตอบที่ถูกต้องสำหรับภาวะ Herbal Medicine เนื่องจากกลไกการออกฤทธิ์, efficacy หรือข้อบ่งใช้ไม่ตรงกับโจทย์ที่กำหนด
• ข้อ จ. (Administration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6" s="18" t="inlineStr"/>
      <c r="L2416" s="18" t="inlineStr">
        <is>
          <t>Herbal Medicine</t>
        </is>
      </c>
      <c r="M2416" s="18" t="inlineStr">
        <is>
          <t>Product</t>
        </is>
      </c>
      <c r="N2416" s="18" t="inlineStr">
        <is>
          <t>ข้อ 100 (PLE_CC1_Key_Rx20_UBU.md)</t>
        </is>
      </c>
      <c r="O2416" s="18" t="inlineStr">
        <is>
          <t>Mock</t>
        </is>
      </c>
      <c r="P2416" s="18" t="inlineStr">
        <is>
          <t>Mock Rx20 UBU</t>
        </is>
      </c>
    </row>
    <row r="2417">
      <c r="A2417" s="15" t="inlineStr">
        <is>
          <t>2438</t>
        </is>
      </c>
      <c r="B2417" s="18" t="inlineStr">
        <is>
          <t>ปัจจัยใดไม่จำเป็นในการเลือกยาลดระดับกรดยูริกในเลือด</t>
        </is>
      </c>
      <c r="C2417" s="18" t="inlineStr"/>
      <c r="D2417" s="18" t="inlineStr">
        <is>
          <t>ความถี่ของการเกิด Acute gouty attack</t>
        </is>
      </c>
      <c r="E2417" s="18" t="inlineStr">
        <is>
          <t>เกิดก้อน Tophi</t>
        </is>
      </c>
      <c r="F2417" s="18" t="inlineStr">
        <is>
          <t>เคยมีนิ่วในปัสสาวะ</t>
        </is>
      </c>
      <c r="G2417" s="18" t="inlineStr">
        <is>
          <t>การทำงานของไตบกพร่อง</t>
        </is>
      </c>
      <c r="H2417" s="18" t="inlineStr">
        <is>
          <t>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t>
        </is>
      </c>
      <c r="I2417" s="15" t="inlineStr">
        <is>
          <t>5</t>
        </is>
      </c>
      <c r="J2417" s="18" t="inlineStr">
        <is>
          <t>✅ คำตอบที่ถูกต้อง: ข้อ จ.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การเลือก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เป็นคำตอบที่ถูกต้องตามแนวทางการรักษามาตรฐาน เนื่องจาก เป็น Uricosuric drug ขับกรดยูริกทางไต ไม่มีฤทธิ์แก้อักเสบเฉียบพลัน และ contraindication ในผู้ป่วย renal calculi (นิ่วในไต) หรือ eGFR &lt; 30 mL/min
🔍 ข้ออื่นผิดเพราะอะไร:
• ข้อ ก. (ความถี่ของการเกิด Acute gouty attack): ข้อนี้ไม่ใช่คำตอบที่ถูกต้องสำหรับภาวะ General Therapeutics เนื่องจากกลไกการออกฤทธิ์, efficacy หรือข้อบ่งใช้ไม่ตรงกับโจทย์ที่กำหนด
• ข้อ ข. (เกิดก้อน Tophi): ข้อนี้ไม่ใช่คำตอบที่ถูกต้องสำหรับภาวะ General Therapeutics เนื่องจากกลไกการออกฤทธิ์, efficacy หรือข้อบ่งใช้ไม่ตรงกับโจทย์ที่กำหนด
• ข้อ ค. (เคยมีนิ่วในปัสสาวะ):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(การทำงานของไตบกพร่อง):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Mechanism: ยับยั้ง URAT1 transporter ที่ proximal tubule เพิ่มการขับกรดยูริกออกทางปัสสาวะ เหมาะสำหรับผู้ป่วยที่เป็น underexcretor
• Contraindications &amp; Fluid: ห้ามใช้ในผู้ป่วยที่มี urolithiasis (นิ่วในทางเดินปัสสาวะ) หรือ eGFR &lt; 30 mL/min และต้องแนะนำดื่มน้ำมากๆ (อย่างน้อย 2-3 ลิตร/วัน) เพื่อป้องกันนิ่วกรดยูริก</t>
        </is>
      </c>
      <c r="K2417" s="18" t="inlineStr"/>
      <c r="L2417" s="18" t="inlineStr">
        <is>
          <t>General Therapeutics</t>
        </is>
      </c>
      <c r="M2417" s="18" t="inlineStr">
        <is>
          <t>Clinic</t>
        </is>
      </c>
      <c r="N2417" s="18" t="inlineStr">
        <is>
          <t>ข้อ 102 (PLE_CC1_Key_Rx20_UBU.md)</t>
        </is>
      </c>
      <c r="O2417" s="18" t="inlineStr">
        <is>
          <t>Mock</t>
        </is>
      </c>
      <c r="P2417" s="18" t="inlineStr">
        <is>
          <t>Mock Rx20 UBU</t>
        </is>
      </c>
    </row>
    <row r="2418">
      <c r="A2418" s="15" t="inlineStr">
        <is>
          <t>2439</t>
        </is>
      </c>
      <c r="B2418" s="18" t="inlineStr">
        <is>
          <t>ยาใดเหมาะสมเป็นทางเลือกแรกในการใช้ลดระดับยูริก หากผู้ป่วยไม่มีข้อห้ามใด</t>
        </is>
      </c>
      <c r="C2418" s="18" t="inlineStr"/>
      <c r="D2418" s="18" t="inlineStr">
        <is>
          <t>Allopurinol</t>
        </is>
      </c>
      <c r="E2418" s="18" t="inlineStr">
        <is>
          <t>Sulfinpyrazone</t>
        </is>
      </c>
      <c r="F2418" s="18" t="inlineStr">
        <is>
          <t>Benzbromarone</t>
        </is>
      </c>
      <c r="G2418" s="18" t="inlineStr">
        <is>
          <t>Probenecid</t>
        </is>
      </c>
      <c r="H2418" s="18" t="inlineStr">
        <is>
          <t>Ascorbic acid คำอธิบาย</t>
        </is>
      </c>
      <c r="I2418" s="15" t="inlineStr">
        <is>
          <t>1</t>
        </is>
      </c>
      <c r="J2418" s="18"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แต่มีข้อมูลว่าการรับประทานวิตามินซี 500 มิลลิกรัมต่อวัน จะช่วยลดระดับกรดยูริกในเลือดลงได้บ้าง (1b,A)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คำอธิบาย):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418" s="18" t="inlineStr"/>
      <c r="L2418" s="18" t="inlineStr">
        <is>
          <t>General Therapeutics</t>
        </is>
      </c>
      <c r="M2418" s="18" t="inlineStr">
        <is>
          <t>Clinic</t>
        </is>
      </c>
      <c r="N2418" s="18" t="inlineStr">
        <is>
          <t>ข้อ 104 (PLE_CC1_Key_Rx20_UBU.md)</t>
        </is>
      </c>
      <c r="O2418" s="18" t="inlineStr">
        <is>
          <t>Mock</t>
        </is>
      </c>
      <c r="P2418" s="18" t="inlineStr">
        <is>
          <t>Mock Rx20 UBU</t>
        </is>
      </c>
    </row>
    <row r="2419">
      <c r="A2419" s="15" t="inlineStr">
        <is>
          <t>2440</t>
        </is>
      </c>
      <c r="B2419" s="18" t="inlineStr">
        <is>
          <t>สูตรตำรับ Piroxicam ประกอบด้วย White petrolatum 25.0 g Cetyl alcohol 15.0 g Sodium hydroxide 0.05 g Propylene glycol 12 .0 g Sodium lauryl sulfate 1.0 g Piroxicam</t>
        </is>
      </c>
      <c r="C2419" s="18" t="inlineStr"/>
      <c r="D2419" s="18" t="inlineStr">
        <is>
          <t>0 g Methyl Paraben 0.15 g Propyl Paraben 0.06 g Purified water qs to 100.0 g สูตรตำรับนี้เป็นรูปแบบเภสัชภัณฑ์ใด</t>
        </is>
      </c>
      <c r="E2419" s="18" t="inlineStr">
        <is>
          <t>Ointment</t>
        </is>
      </c>
      <c r="F2419" s="18" t="inlineStr">
        <is>
          <t>Cream</t>
        </is>
      </c>
      <c r="G2419" s="18" t="inlineStr">
        <is>
          <t>Suspension</t>
        </is>
      </c>
      <c r="H2419" s="18" t="inlineStr">
        <is>
          <t>Paste</t>
        </is>
      </c>
      <c r="I2419" s="15" t="inlineStr">
        <is>
          <t>2</t>
        </is>
      </c>
      <c r="J2419" s="18" t="inlineStr">
        <is>
          <t>✅ คำตอบที่ถูกต้อง: ข้อ ข. Ointment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Ointment 💡 คำอธิบายและเหตุผลทางเภสัชกรรม:
💡 คำอธิบายและเหตุผลทางเภสัชกรรม:
การเลือก Ointment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ก. (0 g Methyl Paraben 0.15 g Propyl Paraben 0.06 g Purified water qs to 100.0 g สูตรตำรับนี้เป็นรูปแบบเภสัชภัณฑ์ใด): ข้อนี้ไม่ใช่คำตอบที่ถูกต้องสำหรับภาวะ Liquid &amp; Semisolids เนื่องจากกลไกการออกฤทธิ์, efficacy หรือข้อบ่งใช้ไม่ตรงกับโจทย์ที่กำหนด
• ข้อ ค. (Cream): ข้อนี้ไม่ใช่คำตอบที่ถูกต้องสำหรับภาวะ Liquid &amp; Semisolids เนื่องจากกลไกการออกฤทธิ์, efficacy หรือข้อบ่งใช้ไม่ตรงกับโจทย์ที่กำหนด
• ข้อ ง. (Suspension): ข้อนี้ไม่ใช่คำตอบที่ถูกต้องสำหรับภาวะ Liquid &amp; Semisolids เนื่องจากกลไกการออกฤทธิ์, efficacy หรือข้อบ่งใช้ไม่ตรงกับโจทย์ที่กำหนด
• ข้อ จ. (Paste):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9" s="18" t="inlineStr"/>
      <c r="L2419" s="18" t="inlineStr">
        <is>
          <t>Liquid &amp; Semisolids</t>
        </is>
      </c>
      <c r="M2419" s="18" t="inlineStr">
        <is>
          <t>Product</t>
        </is>
      </c>
      <c r="N2419" s="18" t="inlineStr">
        <is>
          <t>ข้อ 105 (PLE_CC1_Key_Rx20_UBU.md)</t>
        </is>
      </c>
      <c r="O2419" s="18" t="inlineStr">
        <is>
          <t>Mock</t>
        </is>
      </c>
      <c r="P2419" s="18" t="inlineStr">
        <is>
          <t>Mock Rx20 UBU</t>
        </is>
      </c>
    </row>
    <row r="2420">
      <c r="A2420" s="15" t="inlineStr">
        <is>
          <t>2441</t>
        </is>
      </c>
      <c r="B2420" s="18" t="inlineStr">
        <is>
          <t>gemfibrozil 300 mg 30 caps</t>
        </is>
      </c>
      <c r="C2420" s="18" t="inlineStr"/>
      <c r="D2420" s="18" t="inlineStr">
        <is>
          <t>Hydrochlorothiazide 25 mg OD</t>
        </is>
      </c>
      <c r="E2420" s="18" t="inlineStr">
        <is>
          <t>Atorvastatin 20 mg OD</t>
        </is>
      </c>
      <c r="F2420" s="18" t="inlineStr">
        <is>
          <t>Simvastatin 20 mg HS</t>
        </is>
      </c>
      <c r="G2420" s="18" t="inlineStr">
        <is>
          <t>Bisoprolol 5 mg OD</t>
        </is>
      </c>
      <c r="H2420" s="18" t="inlineStr">
        <is>
          <t>Spironolactone 25 mg OD</t>
        </is>
      </c>
      <c r="I2420" s="15" t="inlineStr">
        <is>
          <t>1</t>
        </is>
      </c>
      <c r="J2420" s="18" t="inlineStr">
        <is>
          <t>✅ คำตอบที่ถูกต้อง: ข้อ ก. Hydrochlorothiazide 25 mg OD
💡 Background:
การรักษาโรคติดเชื้อแบคทีเรีย (Cardiovascular Diseases) ต้องเลือก antibiotic ที่ครอบคลุม likely pathogens และมี PK/PD profile เหมาะสมกับตำแหน่งการติดเชื้อ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20" s="18" t="inlineStr"/>
      <c r="L2420" s="18" t="inlineStr">
        <is>
          <t>Cardiovascular Diseases</t>
        </is>
      </c>
      <c r="M2420" s="18" t="inlineStr">
        <is>
          <t>Clinic</t>
        </is>
      </c>
      <c r="N2420" s="18" t="inlineStr">
        <is>
          <t>ข้อ 3 (PLE_CC1_Key_Rx20_UBU.md)</t>
        </is>
      </c>
      <c r="O2420" s="18" t="inlineStr">
        <is>
          <t>Mock</t>
        </is>
      </c>
      <c r="P2420" s="18" t="inlineStr">
        <is>
          <t>Mock Rx20 UBU</t>
        </is>
      </c>
    </row>
    <row r="2421">
      <c r="A2421" s="15" t="inlineStr">
        <is>
          <t>2442</t>
        </is>
      </c>
      <c r="B2421" s="18" t="inlineStr">
        <is>
          <t>บัญชีการขายยาอันตราย ต้องจัดทำกับรายการยาใด</t>
        </is>
      </c>
      <c r="C2421" s="18" t="inlineStr"/>
      <c r="D2421" s="18" t="inlineStr">
        <is>
          <t>aspirin 300 mg</t>
        </is>
      </c>
      <c r="E2421" s="18" t="inlineStr">
        <is>
          <t>tramadol 50 mg</t>
        </is>
      </c>
      <c r="F2421" s="18" t="inlineStr">
        <is>
          <t>gemfibrozil 300 mg</t>
        </is>
      </c>
      <c r="G2421" s="18" t="inlineStr">
        <is>
          <t>amlodipine 10 mg</t>
        </is>
      </c>
      <c r="H2421" s="18" t="inlineStr">
        <is>
          <t>ยาทุกรายการต้องทำบัญชี ขย.11 คำอธิบาย รายการยาที่ต้องทำบัญชีขาย</t>
        </is>
      </c>
      <c r="I2421" s="15" t="inlineStr">
        <is>
          <t>2</t>
        </is>
      </c>
      <c r="J2421" s="18" t="inlineStr">
        <is>
          <t>✅ คำตอบที่ถูกต้อง: ข้อ ข. tramadol 50 mg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50 mg 💡 คำอธิบายและข้อกำหนดทางกฎหมาย:
💡 คำอธิบายและข้อกำหนดทางกฎหมาย:
การเลือก tramadol 50 mg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ก. (aspirin 300 mg): เป็น irreversible COX-1 inhibitor ยับยั้ง Thromboxane A2 เป็นแกนหลักใน antiplatelet secondary prevention ของ CVD (ขนาดยา 75-100 mg/day)
• ข้อ ค. (gemfibrozil 300 mg): ห้ามใช้ร่วมกับ statins เด็ดขาด เนื่องจากยับยั้ง OATP1B1 glucuronidation ทำให้ระดับ statin ในเลือดพุ่งสูงและเกิด severe rhabdomyolysis
• ข้อ ง. (amlodipine 10 mg): เป็น DHP calcium channel blocker ขยายหลอดเลือด peripheral เด่น แต่ไม่มี class-specific renal protective effect ในผู้ป่วย DM with albuminuria เท่ากับ ACEI/ARB และอาจเกิด peripheral edema
• ข้อ จ. (ยาทุกรายการต้องทำบัญชี ขย.11 คำอธิบาย รายการยาที่ต้องทำบัญชีขาย):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1" s="18" t="inlineStr"/>
      <c r="L2421" s="18" t="inlineStr">
        <is>
          <t>Pharmacy Laws &amp; Ethics</t>
        </is>
      </c>
      <c r="M2421" s="18" t="inlineStr">
        <is>
          <t>SAP</t>
        </is>
      </c>
      <c r="N2421" s="18" t="inlineStr">
        <is>
          <t>ข้อ 113 (PLE_CC1_Key_Rx20_UBU.md)</t>
        </is>
      </c>
      <c r="O2421" s="18" t="inlineStr">
        <is>
          <t>Mock</t>
        </is>
      </c>
      <c r="P2421" s="18" t="inlineStr">
        <is>
          <t>Mock Rx20 UBU</t>
        </is>
      </c>
    </row>
    <row r="2422">
      <c r="A2422" s="15" t="inlineStr">
        <is>
          <t>2443</t>
        </is>
      </c>
      <c r="B2422" s="18" t="inlineStr">
        <is>
          <t>ไซโปรเฮปทาดีน (Cyproheptadine)</t>
        </is>
      </c>
      <c r="C2422" s="18" t="inlineStr"/>
      <c r="D2422" s="18" t="inlineStr">
        <is>
          <t>Dimercaprol (BAL) 3 mg/kg IM</t>
        </is>
      </c>
      <c r="E2422" s="18" t="inlineStr">
        <is>
          <t>Ethanol 10% IV infusion for Methanol poisoning</t>
        </is>
      </c>
      <c r="F2422" s="18" t="inlineStr">
        <is>
          <t>Fomepizole 15 mg/kg IV loading</t>
        </is>
      </c>
      <c r="G2422" s="18" t="inlineStr">
        <is>
          <t>N-acetylcysteine (NAC) IV infusion protocol</t>
        </is>
      </c>
      <c r="H2422" s="18" t="inlineStr">
        <is>
          <t>Atropine sulfate 2 mg IV Q5-10 min</t>
        </is>
      </c>
      <c r="I2422" s="15" t="inlineStr">
        <is>
          <t>1</t>
        </is>
      </c>
      <c r="J2422"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2" s="18" t="inlineStr"/>
      <c r="L2422" s="18" t="inlineStr">
        <is>
          <t>General Therapeutics</t>
        </is>
      </c>
      <c r="M2422" s="18" t="inlineStr">
        <is>
          <t>Clinic</t>
        </is>
      </c>
      <c r="N2422" s="18" t="inlineStr">
        <is>
          <t>ข้อ ๔ (PLE_CC1_Key_Rx20_UBU.md)</t>
        </is>
      </c>
      <c r="O2422" s="18" t="inlineStr">
        <is>
          <t>Mock</t>
        </is>
      </c>
      <c r="P2422" s="18" t="inlineStr">
        <is>
          <t>Mock Rx20 UBU</t>
        </is>
      </c>
    </row>
    <row r="2423">
      <c r="A2423" s="15" t="inlineStr">
        <is>
          <t>2444</t>
        </is>
      </c>
      <c r="B2423" s="18" t="inlineStr">
        <is>
          <t>ไดเมนไฮดริเนต (Dimenhydrinate)</t>
        </is>
      </c>
      <c r="C2423" s="18" t="inlineStr"/>
      <c r="D2423" s="18" t="inlineStr">
        <is>
          <t>Omeprazole 20 mg OD</t>
        </is>
      </c>
      <c r="E2423" s="18" t="inlineStr">
        <is>
          <t>Esomeprazole 20 mg OD</t>
        </is>
      </c>
      <c r="F2423" s="18" t="inlineStr">
        <is>
          <t>Domperidone 10 mg TID</t>
        </is>
      </c>
      <c r="G2423" s="18" t="inlineStr">
        <is>
          <t>Dimenhydrinate 50 mg TID</t>
        </is>
      </c>
      <c r="H2423" s="18" t="inlineStr">
        <is>
          <t>Loperamide 2 mg PRN</t>
        </is>
      </c>
      <c r="I2423" s="15" t="inlineStr">
        <is>
          <t>1</t>
        </is>
      </c>
      <c r="J2423" s="18" t="inlineStr">
        <is>
          <t>✅ คำตอบที่ถูกต้อง: ข้อ ก. 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23" s="18" t="inlineStr"/>
      <c r="L2423" s="18" t="inlineStr">
        <is>
          <t>GI Disorders</t>
        </is>
      </c>
      <c r="M2423" s="18" t="inlineStr">
        <is>
          <t>Clinic</t>
        </is>
      </c>
      <c r="N2423" s="18" t="inlineStr">
        <is>
          <t>ข้อ ๖ (PLE_CC1_Key_Rx20_UBU.md)</t>
        </is>
      </c>
      <c r="O2423" s="18" t="inlineStr">
        <is>
          <t>Mock</t>
        </is>
      </c>
      <c r="P2423" s="18" t="inlineStr">
        <is>
          <t>Mock Rx20 UBU</t>
        </is>
      </c>
    </row>
    <row r="2424">
      <c r="A2424" s="15" t="inlineStr">
        <is>
          <t>2445</t>
        </is>
      </c>
      <c r="B2424" s="18" t="inlineStr">
        <is>
          <t>ไฮดรอกซีซีน (Hydroxyzine)</t>
        </is>
      </c>
      <c r="C2424" s="18" t="inlineStr"/>
      <c r="D2424" s="18" t="inlineStr">
        <is>
          <t>Naloxone 0.4 mg IV stat</t>
        </is>
      </c>
      <c r="E2424" s="18" t="inlineStr">
        <is>
          <t>Flumazenil 0.2 mg IV stat</t>
        </is>
      </c>
      <c r="F2424" s="18" t="inlineStr">
        <is>
          <t>Vitamin K1 (Phytomenadione) 10 mg IV slow</t>
        </is>
      </c>
      <c r="G2424" s="18" t="inlineStr">
        <is>
          <t>Sodium thiosulfate 25% 50 mL IV</t>
        </is>
      </c>
      <c r="H2424" s="18" t="inlineStr">
        <is>
          <t>Calcium disodium EDTA 1 g IV</t>
        </is>
      </c>
      <c r="I2424" s="15" t="inlineStr">
        <is>
          <t>1</t>
        </is>
      </c>
      <c r="J2424"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24" s="18" t="inlineStr"/>
      <c r="L2424" s="18" t="inlineStr">
        <is>
          <t>General Therapeutics</t>
        </is>
      </c>
      <c r="M2424" s="18" t="inlineStr">
        <is>
          <t>Clinic</t>
        </is>
      </c>
      <c r="N2424" s="18" t="inlineStr">
        <is>
          <t>ข้อ ๙ (PLE_CC1_Key_Rx20_UBU.md)</t>
        </is>
      </c>
      <c r="O2424" s="18" t="inlineStr">
        <is>
          <t>Mock</t>
        </is>
      </c>
      <c r="P2424" s="18" t="inlineStr">
        <is>
          <t>Mock Rx20 UBU</t>
        </is>
      </c>
    </row>
    <row r="2425">
      <c r="A2425" s="15" t="inlineStr">
        <is>
          <t>2446</t>
        </is>
      </c>
      <c r="B2425" s="18" t="inlineStr">
        <is>
          <t>โปรเมทาซีน (Promethazine)</t>
        </is>
      </c>
      <c r="C2425" s="18" t="inlineStr"/>
      <c r="D2425" s="18" t="inlineStr">
        <is>
          <t>Sodium thiosulfate 25% 50 mL IV</t>
        </is>
      </c>
      <c r="E2425" s="18" t="inlineStr">
        <is>
          <t>Calcium disodium EDTA 1 g IV</t>
        </is>
      </c>
      <c r="F2425" s="18" t="inlineStr">
        <is>
          <t>Desferrioxamine 1 g IM/IV</t>
        </is>
      </c>
      <c r="G2425" s="18" t="inlineStr">
        <is>
          <t>Dimercaprol (BAL) 3 mg/kg IM</t>
        </is>
      </c>
      <c r="H2425" s="18" t="inlineStr">
        <is>
          <t>Ethanol 10% IV infusion for Methanol poisoning</t>
        </is>
      </c>
      <c r="I2425" s="15" t="inlineStr">
        <is>
          <t>1</t>
        </is>
      </c>
      <c r="J2425"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5" s="18" t="inlineStr"/>
      <c r="L2425" s="18" t="inlineStr">
        <is>
          <t>General Therapeutics</t>
        </is>
      </c>
      <c r="M2425" s="18" t="inlineStr">
        <is>
          <t>Clinic</t>
        </is>
      </c>
      <c r="N2425" s="18" t="inlineStr">
        <is>
          <t>ข้อ ๑๐ (PLE_CC1_Key_Rx20_UBU.md)</t>
        </is>
      </c>
      <c r="O2425" s="18" t="inlineStr">
        <is>
          <t>Mock</t>
        </is>
      </c>
      <c r="P2425" s="18" t="inlineStr">
        <is>
          <t>Mock Rx20 UBU</t>
        </is>
      </c>
    </row>
    <row r="2426">
      <c r="A2426" s="15" t="inlineStr">
        <is>
          <t>2447</t>
        </is>
      </c>
      <c r="B2426" s="18" t="inlineStr">
        <is>
          <t>โฆษณาขายยาแผนโบราณนี้มีความผิดเรื่องการโฆษณาตามข้อใดชัดเจนที่สุด</t>
        </is>
      </c>
      <c r="C2426" s="18" t="inlineStr"/>
      <c r="D2426" s="18" t="inlineStr">
        <is>
          <t>โฆษณาสรรพคุณยาอันตราย</t>
        </is>
      </c>
      <c r="E2426" s="18" t="inlineStr">
        <is>
          <t>โฆษณายกย่องสรรพคุณโดยบุคคลอื่น</t>
        </is>
      </c>
      <c r="F2426" s="18" t="inlineStr">
        <is>
          <t>โฆษณาว่าสามารถรักษาโรคตามที่รัฐมนตรีประกาศ</t>
        </is>
      </c>
      <c r="G2426" s="18" t="inlineStr">
        <is>
          <t>โฆษณาโอ้อวดเกินจริง</t>
        </is>
      </c>
      <c r="H2426" s="18" t="inlineStr">
        <is>
          <t>โฆษณาโดยแสดงความทุกข์ทรมาน คำอธิบาย</t>
        </is>
      </c>
      <c r="I2426" s="15" t="inlineStr">
        <is>
          <t>2</t>
        </is>
      </c>
      <c r="J2426" s="18" t="inlineStr">
        <is>
          <t>✅ คำตอบที่ถูกต้อง: ข้อ ข. โฆษณายกย่องสรรพคุณโดยบุคคลอื่น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โฆษณายกย่องสรรพคุณโดยบุคคลอื่น 💡 คำอธิบายและเหตุผลทางเภสัชกรรม:
💡 คำอธิบายและเหตุผลทางเภสัชกรรม:
การเลือก โฆษณายกย่องสรรพคุณโดยบุคคลอื่น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ก. (โฆษณาสรรพคุณยาอันตราย):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(โฆษณาว่าสามารถรักษาโรคตามที่รัฐมนตรีประกาศ): ข้อนี้ไม่ใช่คำตอบที่ถูกต้องสำหรับภาวะ Herbal Medicine เนื่องจากกลไกการออกฤทธิ์, efficacy หรือข้อบ่งใช้ไม่ตรงกับโจทย์ที่กำหนด
• ข้อ ง. (โฆษณาโอ้อวดเกินจริง): ข้อนี้ไม่ใช่คำตอบที่ถูกต้องสำหรับภาวะ Herbal Medicine เนื่องจากกลไกการออกฤทธิ์, efficacy หรือข้อบ่งใช้ไม่ตรงกับโจทย์ที่กำหนด
• ข้อ จ. (โฆษณาโดยแสดงความทุกข์ทรมาน คำอธิบาย):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26" s="18" t="inlineStr"/>
      <c r="L2426" s="18" t="inlineStr">
        <is>
          <t>Herbal Medicine</t>
        </is>
      </c>
      <c r="M2426" s="18" t="inlineStr">
        <is>
          <t>Product</t>
        </is>
      </c>
      <c r="N2426" s="18" t="inlineStr">
        <is>
          <t>ข้อ 114 (PLE_CC1_Key_Rx20_UBU.md)</t>
        </is>
      </c>
      <c r="O2426" s="18" t="inlineStr">
        <is>
          <t>Mock</t>
        </is>
      </c>
      <c r="P2426" s="18" t="inlineStr">
        <is>
          <t>Mock Rx20 UBU</t>
        </is>
      </c>
    </row>
    <row r="2427">
      <c r="A2427" s="15" t="inlineStr">
        <is>
          <t>2448</t>
        </is>
      </c>
      <c r="B2427" s="18" t="inlineStr">
        <is>
          <t>ยาในข้อใดจัดเป็นยาปลอม</t>
        </is>
      </c>
      <c r="C2427" s="18" t="inlineStr"/>
      <c r="D2427" s="18" t="inlineStr">
        <is>
          <t>ยาครีมแยกชั้น</t>
        </is>
      </c>
      <c r="E2427" s="18" t="inlineStr">
        <is>
          <t>ยาขี้ผึ้งเยิ้มเหลว</t>
        </is>
      </c>
      <c r="F2427" s="18" t="inlineStr">
        <is>
          <t>ยาเม็ดเปราะแตก</t>
        </is>
      </c>
      <c r="G2427" s="18" t="inlineStr">
        <is>
          <t>ยาที่ใช้ทะเบียนยาอื่น</t>
        </is>
      </c>
      <c r="H2427" s="18" t="inlineStr">
        <is>
          <t>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t>
        </is>
      </c>
      <c r="I2427" s="15" t="inlineStr">
        <is>
          <t>4</t>
        </is>
      </c>
      <c r="J2427" s="18" t="inlineStr">
        <is>
          <t>✅ คำตอบที่ถูกต้อง: ข้อ ง. ยาที่ใช้ทะเบียนยาอื่น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ยาที่ใช้ทะเบียนยาอื่น การเลือก ยาที่ใช้ทะเบียนยาอื่น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(ยาครีมแยกชั้น): ข้อนี้ไม่ใช่คำตอบที่ถูกต้องสำหรับภาวะ General Therapeutics เนื่องจากกลไกการออกฤทธิ์, efficacy หรือข้อบ่งใช้ไม่ตรงกับโจทย์ที่กำหนด
• ข้อ ข. (ยาขี้ผึ้งเยิ้มเหลว): ข้อนี้ไม่ใช่คำตอบที่ถูกต้องสำหรับภาวะ General Therapeutics เนื่องจากกลไกการออกฤทธิ์, efficacy หรือข้อบ่งใช้ไม่ตรงกับโจทย์ที่กำหนด
• ข้อ ค. (ยาเม็ดเปราะแตก): ข้อนี้ไม่ใช่คำตอบที่ถูกต้องสำหรับภาวะ General Therapeutics เนื่องจากกลไกการออกฤทธิ์, efficacy หรือข้อบ่งใช้ไม่ตรงกับโจทย์ที่กำหนด
• ข้อ จ. (ยาที่มีปริมาณตัวยาเกินเกณฑ์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7" s="18" t="inlineStr"/>
      <c r="L2427" s="18" t="inlineStr">
        <is>
          <t>General Therapeutics</t>
        </is>
      </c>
      <c r="M2427" s="18" t="inlineStr">
        <is>
          <t>Clinic</t>
        </is>
      </c>
      <c r="N2427" s="18" t="inlineStr">
        <is>
          <t>ข้อ 116 (PLE_CC1_Key_Rx20_UBU.md)</t>
        </is>
      </c>
      <c r="O2427" s="18" t="inlineStr">
        <is>
          <t>Mock</t>
        </is>
      </c>
      <c r="P2427" s="18" t="inlineStr">
        <is>
          <t>Mock Rx20 UBU</t>
        </is>
      </c>
    </row>
    <row r="2428">
      <c r="A2428" s="15" t="inlineStr">
        <is>
          <t>2449</t>
        </is>
      </c>
      <c r="B2428" s="18" t="inlineStr">
        <is>
          <t>ยาใดไม่สามารถขายได้ในร้านสะดวกซื้อ</t>
        </is>
      </c>
      <c r="C2428" s="18" t="inlineStr"/>
      <c r="D2428" s="18" t="inlineStr">
        <is>
          <t>Vitamin C 100 mg 10 เม็ด</t>
        </is>
      </c>
      <c r="E2428" s="18" t="inlineStr">
        <is>
          <t>ยาแก้ไอน้ำดำ 60ml</t>
        </is>
      </c>
      <c r="F2428" s="18" t="inlineStr">
        <is>
          <t>Dimenhydrinate 50mg 2 เม็ด</t>
        </is>
      </c>
      <c r="G2428" s="18" t="inlineStr">
        <is>
          <t>Bromhexine</t>
        </is>
      </c>
      <c r="H2428" s="18" t="inlineStr">
        <is>
          <t>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t>
        </is>
      </c>
      <c r="I2428" s="15" t="inlineStr">
        <is>
          <t>4</t>
        </is>
      </c>
      <c r="J2428" s="18" t="inlineStr">
        <is>
          <t>✅ คำตอบที่ถูกต้อง: ข้อ ง. Bromhexine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Bromhexine การเลือก Bromhexine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ข. (ยาแก้ไอน้ำดำ 60ml): ข้อนี้ไม่ใช่คำตอบที่ถูกต้องสำหรับภาวะ General Therapeutics เนื่องจากกลไกการออกฤทธิ์, efficacy หรือข้อบ่งใช้ไม่ตรงกับโจทย์ที่กำหนด
• ข้อ ค. (Dimenhydrinate 50mg 2 เม็ด): ข้อนี้ไม่ใช่คำตอบที่ถูกต้องสำหรับภาวะ General Therapeutics เนื่องจากกลไกการออกฤทธิ์, efficacy หรือข้อบ่งใช้ไม่ตรงกับโจทย์ที่กำหนด
• ข้อ จ. (Paracetamol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8" s="18" t="inlineStr"/>
      <c r="L2428" s="18" t="inlineStr">
        <is>
          <t>General Therapeutics</t>
        </is>
      </c>
      <c r="M2428" s="18" t="inlineStr">
        <is>
          <t>Clinic</t>
        </is>
      </c>
      <c r="N2428" s="18" t="inlineStr">
        <is>
          <t>ข้อ 119 (PLE_CC1_Key_Rx20_UBU.md)</t>
        </is>
      </c>
      <c r="O2428" s="18" t="inlineStr">
        <is>
          <t>Mock</t>
        </is>
      </c>
      <c r="P2428" s="18" t="inlineStr">
        <is>
          <t>Mock Rx20 UBU</t>
        </is>
      </c>
    </row>
    <row r="2429">
      <c r="A2429" s="15" t="inlineStr">
        <is>
          <t>2450</t>
        </is>
      </c>
      <c r="B2429" s="18" t="inlineStr">
        <is>
          <t>ผู้ป่วยได้รับยา Paclitaxel ควรให้ยาใดเป็น Premedication</t>
        </is>
      </c>
      <c r="C2429" s="18" t="inlineStr"/>
      <c r="D2429" s="18" t="inlineStr">
        <is>
          <t>Dexamethasone</t>
        </is>
      </c>
      <c r="E2429" s="18" t="inlineStr">
        <is>
          <t>Dexamethasone + Diphenhydramine</t>
        </is>
      </c>
      <c r="F2429" s="18" t="inlineStr">
        <is>
          <t>Dexamethasone + Diphenhydramine + Ranitidine</t>
        </is>
      </c>
      <c r="G2429" s="18" t="inlineStr">
        <is>
          <t>Dexamethasone + Diphenhydramine + Paracetamol</t>
        </is>
      </c>
      <c r="H2429" s="18" t="inlineStr">
        <is>
          <t>Dexamethasone + Ondansetron</t>
        </is>
      </c>
      <c r="I2429" s="15" t="inlineStr">
        <is>
          <t>3</t>
        </is>
      </c>
      <c r="J2429" s="18" t="inlineStr">
        <is>
          <t>✅ คำตอบที่ถูกต้อง: ข้อ ค. Dexamethasone + Diphenhydramine + Ranitidine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 Diphenhydramine + Ranitidine การเลือก Dexamethasone + Diphenhydramine + Ranitidine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(Dexamethasone + Diphenhydramine): เป็น long-acting potent glucocorticoid ไม่มี mineralocorticoid effect จึงไม่ทำให้น้ำคั่ง เหมาะสำหรับ brain edema, antiemetic, และ COVID-19 with hypoxemia
• ข้อ ง. (Dexamethasone + Diphenhydramine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(Dexamethasone + Ondansetron): เป็น long-acting potent glucocorticoid ไม่มี mineralocorticoid effect จึงไม่ทำให้น้ำคั่ง เหมาะสำหรับ brain edema, antiemetic, และ COVID-19 with hypoxemia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29" s="18" t="inlineStr"/>
      <c r="L2429" s="18" t="inlineStr">
        <is>
          <t>Oncology &amp; Chemotherapy</t>
        </is>
      </c>
      <c r="M2429" s="18" t="inlineStr">
        <is>
          <t>Clinic</t>
        </is>
      </c>
      <c r="N2429" s="18" t="inlineStr">
        <is>
          <t>ข้อ 13 (PLE_CC1_Key_Rx20_UBU.md)</t>
        </is>
      </c>
      <c r="O2429" s="18" t="inlineStr">
        <is>
          <t>Mock</t>
        </is>
      </c>
      <c r="P2429" s="18" t="inlineStr">
        <is>
          <t>Mock Rx20 UBU</t>
        </is>
      </c>
    </row>
    <row r="2430">
      <c r="A2430" s="15" t="inlineStr">
        <is>
          <t>2451</t>
        </is>
      </c>
      <c r="B2430" s="18" t="inlineStr">
        <is>
          <t>หากตรวจพบ HER-2 positive ผู้ป่วยควรได้รับยาใดเพิ่ม</t>
        </is>
      </c>
      <c r="C2430" s="18" t="inlineStr"/>
      <c r="D2430" s="18" t="inlineStr">
        <is>
          <t>Trastuzumab</t>
        </is>
      </c>
      <c r="E2430" s="18" t="inlineStr">
        <is>
          <t>Rituximab</t>
        </is>
      </c>
      <c r="F2430" s="18" t="inlineStr">
        <is>
          <t>Bevacizumab</t>
        </is>
      </c>
      <c r="G2430" s="18" t="inlineStr">
        <is>
          <t>Cetuximab</t>
        </is>
      </c>
      <c r="H2430" s="18" t="inlineStr">
        <is>
          <t>Adalimumab</t>
        </is>
      </c>
      <c r="I2430" s="15" t="inlineStr">
        <is>
          <t>1</t>
        </is>
      </c>
      <c r="J2430" s="18" t="inlineStr">
        <is>
          <t>✅ คำตอบที่ถูกต้อง: ข้อ ก. Trastuzumab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Trastuzumab การเลือก Trastuzumab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(Rituximab): ข้อนี้ไม่ใช่คำตอบที่ถูกต้องสำหรับภาวะ General Therapeutics เนื่องจากกลไกการออกฤทธิ์, efficacy หรือข้อบ่งใช้ไม่ตรงกับโจทย์ที่กำหนด
• ข้อ ค. (Bevacizumab):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(Adalimumab):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0" s="18" t="inlineStr"/>
      <c r="L2430" s="18" t="inlineStr">
        <is>
          <t>General Therapeutics</t>
        </is>
      </c>
      <c r="M2430" s="18" t="inlineStr">
        <is>
          <t>Clinic</t>
        </is>
      </c>
      <c r="N2430" s="18" t="inlineStr">
        <is>
          <t>ข้อ 14 (PLE_CC1_Key_Rx20_UBU.md)</t>
        </is>
      </c>
      <c r="O2430" s="18" t="inlineStr">
        <is>
          <t>Mock</t>
        </is>
      </c>
      <c r="P2430" s="18" t="inlineStr">
        <is>
          <t>Mock Rx20 UBU</t>
        </is>
      </c>
    </row>
    <row r="2431">
      <c r="A2431" s="15" t="inlineStr">
        <is>
          <t>2452</t>
        </is>
      </c>
      <c r="B2431" s="18" t="inlineStr">
        <is>
          <t>หลังได้รับยา Cycle ที่ 3 พบว่ามีปัสสาวะเป็นเลือดผู้ป่วยควรได้รับยาใดเพื่อป้องกัน</t>
        </is>
      </c>
      <c r="C2431" s="18" t="inlineStr"/>
      <c r="D2431" s="18" t="inlineStr">
        <is>
          <t>Dexrazoxane</t>
        </is>
      </c>
      <c r="E2431" s="18" t="inlineStr">
        <is>
          <t>Acrolein</t>
        </is>
      </c>
      <c r="F2431" s="18" t="inlineStr">
        <is>
          <t>Mesna</t>
        </is>
      </c>
      <c r="G2431" s="18" t="inlineStr">
        <is>
          <t>Leucovorin</t>
        </is>
      </c>
      <c r="H2431" s="18" t="inlineStr">
        <is>
          <t>Hyaluronidase Dexrazoxane : Doxorubicin induced cardiotoxicity Acrolein: Toxic metabolite Leucovorin : Methothexate induced Megaloblastic anemia , 5- FU: Stabilize Thymidylase syntase</t>
        </is>
      </c>
      <c r="I2431" s="15" t="inlineStr">
        <is>
          <t>3</t>
        </is>
      </c>
      <c r="J2431" s="18" t="inlineStr">
        <is>
          <t>✅ คำตอบที่ถูกต้อง: ข้อ ค. Mesna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Mesna การเลือก Mesna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(Dexrazoxane): ข้อนี้ไม่ใช่คำตอบที่ถูกต้องสำหรับภาวะ General Therapeutics เนื่องจากกลไกการออกฤทธิ์, efficacy หรือข้อบ่งใช้ไม่ตรงกับโจทย์ที่กำหนด
• ข้อ ข. (Acrolein): ข้อนี้ไม่ใช่คำตอบที่ถูกต้องสำหรับภาวะ General Therapeutics เนื่องจากกลไกการออกฤทธิ์, efficacy หรือข้อบ่งใช้ไม่ตรงกับโจทย์ที่กำหนด
• ข้อ ง. (Leucovorin): ข้อนี้ไม่ใช่คำตอบที่ถูกต้องสำหรับภาวะ General Therapeutics เนื่องจากกลไกการออกฤทธิ์, efficacy หรือข้อบ่งใช้ไม่ตรงกับโจทย์ที่กำหนด
• ข้อ จ. (Hyaluronidase Dexrazoxane : Doxorubicin induced cardiotoxicity Acrolein: Toxic metabolite Leucovorin : Methothexate induced Megaloblastic anemia , 5- FU: Stabilize Thymidylase syntase):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1" s="18" t="inlineStr"/>
      <c r="L2431" s="18" t="inlineStr">
        <is>
          <t>General Therapeutics</t>
        </is>
      </c>
      <c r="M2431" s="18" t="inlineStr">
        <is>
          <t>Clinic</t>
        </is>
      </c>
      <c r="N2431" s="18" t="inlineStr">
        <is>
          <t>ข้อ 15 (PLE_CC1_Key_Rx20_UBU.md)</t>
        </is>
      </c>
      <c r="O2431" s="18" t="inlineStr">
        <is>
          <t>Mock</t>
        </is>
      </c>
      <c r="P2431" s="18" t="inlineStr">
        <is>
          <t>Mock Rx20 UBU</t>
        </is>
      </c>
    </row>
    <row r="2432">
      <c r="A2432" s="15" t="inlineStr">
        <is>
          <t>2453</t>
        </is>
      </c>
      <c r="B2432" s="18" t="inlineStr">
        <is>
          <t>ควรปรับเปลี่ยนยาในข้อใด</t>
        </is>
      </c>
      <c r="C2432" s="18" t="inlineStr"/>
      <c r="D2432" s="18" t="inlineStr">
        <is>
          <t>Glipizide</t>
        </is>
      </c>
      <c r="E2432" s="18" t="inlineStr">
        <is>
          <t>Insulin glargine</t>
        </is>
      </c>
      <c r="F2432" s="18" t="inlineStr">
        <is>
          <t>Metformin</t>
        </is>
      </c>
      <c r="G2432" s="18" t="inlineStr">
        <is>
          <t>Propranolol</t>
        </is>
      </c>
      <c r="H2432" s="18" t="inlineStr">
        <is>
          <t>ไม่ต้องทำอะไร</t>
        </is>
      </c>
      <c r="I2432" s="15" t="inlineStr">
        <is>
          <t>1</t>
        </is>
      </c>
      <c r="J2432" s="18" t="inlineStr">
        <is>
          <t>✅ คำตอบที่ถูกต้อง: ข้อ ก. Glipizide
💡 Background:
กฎหมายยาและจรรยาบรรณวิชาชีพมีขึ้นเพื่อคุ้มครองความปลอดภัยของผู้บริโภคตามมาตรฐาน Good Pharmacy Practice (GPP)
🎯 ทำไมข้อนี้ถึงถูก:
Glipizide 💡 คำอธิบายและข้อกำหนดทางกฎหมาย:
💡 คำอธิบายและข้อกำหนดทางกฎหมาย: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(Insulin glargine): ข้อนี้ไม่ใช่คำตอบที่ถูกต้องสำหรับภาวะ Pharmacy Laws &amp; Ethics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(Propranolol): เป็น non-selective beta-blocker ข้าม blood-brain barrier ได้ดี เหมาะสำหรับ performance anxiety, essential tremor, migraine prophylaxis และ thyroid storm แต่ contraindication ใน asthma
• ข้อ จ. (ไม่ต้องทำอะไร):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2" s="18" t="inlineStr"/>
      <c r="L2432" s="18" t="inlineStr">
        <is>
          <t>Pharmacy Laws &amp; Ethics</t>
        </is>
      </c>
      <c r="M2432" s="18" t="inlineStr">
        <is>
          <t>SAP</t>
        </is>
      </c>
      <c r="N2432" s="18" t="inlineStr">
        <is>
          <t>ข้อ 19 (PLE_CC1_Key_Rx20_UBU.md)</t>
        </is>
      </c>
      <c r="O2432" s="18" t="inlineStr">
        <is>
          <t>Mock</t>
        </is>
      </c>
      <c r="P2432" s="18" t="inlineStr">
        <is>
          <t>Mock Rx20 UBU</t>
        </is>
      </c>
    </row>
    <row r="2433">
      <c r="A2433" s="15" t="inlineStr">
        <is>
          <t>2454</t>
        </is>
      </c>
      <c r="B2433" s="18" t="inlineStr">
        <is>
          <t>หากผู้ป่วยรายนี้มีอาการน้ำตาลในเลือดต่ำสังเกตได้จากอาการใด</t>
        </is>
      </c>
      <c r="C2433" s="18" t="inlineStr"/>
      <c r="D2433" s="18" t="inlineStr">
        <is>
          <t>ใจสั่น</t>
        </is>
      </c>
      <c r="E2433" s="18" t="inlineStr">
        <is>
          <t>มือสั่น</t>
        </is>
      </c>
      <c r="F2433" s="18" t="inlineStr">
        <is>
          <t>เหงื่อออก</t>
        </is>
      </c>
      <c r="G2433" s="18" t="inlineStr">
        <is>
          <t>กล้ามเนื้ออ่อนแรง</t>
        </is>
      </c>
      <c r="H2433" s="18" t="inlineStr">
        <is>
          <t>ปากแห้ง คอแห้ง Hypoglycemia กล้ามเนื้ออ่อนแรง ปากแห้ง คอแห้ง : ไม่ได้เป็นอาการของการเกิด Hypoglycemia</t>
        </is>
      </c>
      <c r="I2433" s="15" t="inlineStr">
        <is>
          <t>3</t>
        </is>
      </c>
      <c r="J2433" s="18" t="inlineStr">
        <is>
          <t>✅ คำตอบที่ถูกต้อง: ข้อ ค. เหงื่อออก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เหงื่อออก การเลือก เหงื่อออก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ก. (ใจสั่น): ข้อนี้ไม่ใช่คำตอบที่ถูกต้องสำหรับภาวะ Diabetes &amp; Endocrine เนื่องจากกลไกการออกฤทธิ์, efficacy หรือข้อบ่งใช้ไม่ตรงกับโจทย์ที่กำหนด
• ข้อ ข. (มือสั่น): ข้อนี้ไม่ใช่คำตอบที่ถูกต้องสำหรับภาวะ Diabetes &amp; Endocrine เนื่องจากกลไกการออกฤทธิ์, efficacy หรือข้อบ่งใช้ไม่ตรงกับโจทย์ที่กำหนด
• ข้อ ง. (กล้ามเนื้ออ่อนแรง): ข้อนี้ไม่ใช่คำตอบที่ถูกต้องสำหรับภาวะ Diabetes &amp; Endocrine เนื่องจากกลไกการออกฤทธิ์, efficacy หรือข้อบ่งใช้ไม่ตรงกับโจทย์ที่กำหนด
• ข้อ จ. (ปากแห้ง คอแห้ง Hypoglycemia กล้ามเนื้ออ่อนแรง ปากแห้ง คอแห้ง : ไม่ได้เป็นอาการของการเกิด Hypoglycemia):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2433" s="18" t="inlineStr"/>
      <c r="L2433" s="18" t="inlineStr">
        <is>
          <t>Diabetes &amp; Endocrine</t>
        </is>
      </c>
      <c r="M2433" s="18" t="inlineStr">
        <is>
          <t>Clinic</t>
        </is>
      </c>
      <c r="N2433" s="18" t="inlineStr">
        <is>
          <t>ข้อ 21 (PLE_CC1_Key_Rx20_UBU.md)</t>
        </is>
      </c>
      <c r="O2433" s="18" t="inlineStr">
        <is>
          <t>Mock</t>
        </is>
      </c>
      <c r="P2433" s="18" t="inlineStr">
        <is>
          <t>Mock Rx20 UBU</t>
        </is>
      </c>
    </row>
    <row r="2434">
      <c r="A2434" s="15" t="inlineStr">
        <is>
          <t>2455</t>
        </is>
      </c>
      <c r="B2434" s="18" t="inlineStr">
        <is>
          <t>ควรใช้ยาอะไรในการรักษาผู้ป่วยรายนี้</t>
        </is>
      </c>
      <c r="C2434" s="18" t="inlineStr"/>
      <c r="D2434" s="18" t="inlineStr">
        <is>
          <t>Fluconazole</t>
        </is>
      </c>
      <c r="E2434" s="18" t="inlineStr">
        <is>
          <t>Clotrimoxazole</t>
        </is>
      </c>
      <c r="F2434" s="18" t="inlineStr">
        <is>
          <t>metronidazole</t>
        </is>
      </c>
      <c r="G2434" s="18" t="inlineStr">
        <is>
          <t>Tinidazole</t>
        </is>
      </c>
      <c r="H2434" s="18" t="inlineStr">
        <is>
          <t>Azithromycin ในผู้ป่วยรายนี้เนื่องจากมีประวัติการใช้ Clotrimazole มาแล้วหลายครั้งแล้วยังเกิด Relaspe ซึ่งมีโอกาสที่จะเกิด Drug resistant ได้สูง</t>
        </is>
      </c>
      <c r="I2434" s="15" t="inlineStr">
        <is>
          <t>3</t>
        </is>
      </c>
      <c r="J2434" s="18" t="inlineStr">
        <is>
          <t>✅ คำตอบที่ถูกต้อง: ข้อ ค.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การเลือก metronidazole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ก. (Fluconazole): เป็น Triazole antifungal เป็น first-line สำหรับ Candida albicans และ Cryptococcal maintenance therapy ขับออกทางไตเด่นชัดจึงต้องปรับ dose ตาม CrCl
• ข้อ ข. (Clotrimoxazole): ข้อนี้ไม่ใช่คำตอบที่ถูกต้องสำหรับภาวะ General Therapeutics เนื่องจากกลไกการออกฤทธิ์, efficacy หรือข้อบ่งใช้ไม่ตรงกับโจทย์ที่กำหนด
• ข้อ ง. (Tinidazole): ข้อนี้ไม่ใช่คำตอบที่ถูกต้องสำหรับภาวะ General Therapeutics เนื่องจากกลไกการออกฤทธิ์, efficacy หรือข้อบ่งใช้ไม่ตรงกับโจทย์ที่กำหนด
• ข้อ จ. (Azithromycin ในผู้ป่วยรายนี้เนื่องจากมีประวัติการใช้ Clotrimazole มาแล้วหลายครั้งแล้วยังเกิด Relaspe ซึ่งมีโอกาสที่จะเกิด Drug resistant ได้สูง):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4" s="18" t="inlineStr"/>
      <c r="L2434" s="18" t="inlineStr">
        <is>
          <t>General Therapeutics</t>
        </is>
      </c>
      <c r="M2434" s="18" t="inlineStr">
        <is>
          <t>Clinic</t>
        </is>
      </c>
      <c r="N2434" s="18" t="inlineStr">
        <is>
          <t>ข้อ 29 (PLE_CC1_Key_Rx20_UBU.md)</t>
        </is>
      </c>
      <c r="O2434" s="18" t="inlineStr">
        <is>
          <t>Mock</t>
        </is>
      </c>
      <c r="P2434" s="18" t="inlineStr">
        <is>
          <t>Mock Rx20 UBU</t>
        </is>
      </c>
    </row>
    <row r="2435">
      <c r="A2435" s="15" t="inlineStr">
        <is>
          <t>2456</t>
        </is>
      </c>
      <c r="B2435" s="18" t="inlineStr">
        <is>
          <t>จำเป็นต้องให้การรักษาคู่นอนหรือไม่หากจำเป็นควรรักษาด้วยยาใด</t>
        </is>
      </c>
      <c r="C2435" s="18" t="inlineStr"/>
      <c r="D2435" s="18" t="inlineStr">
        <is>
          <t>รักษาด้วย metronidazole 2g OD</t>
        </is>
      </c>
      <c r="E2435" s="18" t="inlineStr">
        <is>
          <t>รักษาด้วย tinidazole 2g OD</t>
        </is>
      </c>
      <c r="F2435" s="18" t="inlineStr">
        <is>
          <t>รักษาด้วย azithromycin 2g OD</t>
        </is>
      </c>
      <c r="G2435" s="18" t="inlineStr">
        <is>
          <t>รักษาด้วย fluconazole 150 mg OD Day 1,4,7</t>
        </is>
      </c>
      <c r="H2435" s="18" t="inlineStr">
        <is>
          <t>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t>
        </is>
      </c>
      <c r="I2435" s="15" t="inlineStr">
        <is>
          <t>5</t>
        </is>
      </c>
      <c r="J2435" s="18" t="inlineStr">
        <is>
          <t>✅ คำตอบที่ถูกต้อง: ข้อ จ.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การเลือก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(รักษาด้วย metronidazole 2g OD): เป็น antianaerobic และ antiprotozoal agent ยับยั้ง Trichomonas vaginalis, Giardia, Amebiasis, และ anaerobes ห้ามดื่มแอลกอฮอล์ระหว่างใช้ยา (disulfiram-like reaction)
• ข้อ ข. (รักษาด้วย tinidazole 2g OD): ข้อนี้ไม่ใช่คำตอบที่ถูกต้องสำหรับภาวะ General Therapeutics เนื่องจากกลไกการออกฤทธิ์, efficacy หรือข้อบ่งใช้ไม่ตรงกับโจทย์ที่กำหนด
• ข้อ ค. (รักษาด้วย azithromycin 2g OD): เป็น Macrolide ครอบคลุม atypical pathogens (Mycoplasma, Chlamydia, Legionella) ขจัดออกทางตับเป็นหลัก และมี half-life ยาวนาน (~68 ชม.)
• ข้อ ง. (รักษาด้วย fluconazole 150 mg OD Day 1,4,7):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5" s="18" t="inlineStr"/>
      <c r="L2435" s="18" t="inlineStr">
        <is>
          <t>General Therapeutics</t>
        </is>
      </c>
      <c r="M2435" s="18" t="inlineStr">
        <is>
          <t>Clinic</t>
        </is>
      </c>
      <c r="N2435" s="18" t="inlineStr">
        <is>
          <t>ข้อ 30 (PLE_CC1_Key_Rx20_UBU.md)</t>
        </is>
      </c>
      <c r="O2435" s="18" t="inlineStr">
        <is>
          <t>Mock</t>
        </is>
      </c>
      <c r="P2435" s="18" t="inlineStr">
        <is>
          <t>Mock Rx20 UBU</t>
        </is>
      </c>
    </row>
    <row r="2436">
      <c r="A2436" s="15" t="inlineStr">
        <is>
          <t>2457</t>
        </is>
      </c>
      <c r="B2436" s="18" t="inlineStr">
        <is>
          <t>ข้อใดเป็นคำแนะนำที่ต้องให้ในผู้ป่วยรายนี้</t>
        </is>
      </c>
      <c r="C2436" s="18" t="inlineStr"/>
      <c r="D2436" s="18" t="inlineStr">
        <is>
          <t>หลีกเลี่ยงการสวนล้างช่องคลอด</t>
        </is>
      </c>
      <c r="E2436" s="18" t="inlineStr">
        <is>
          <t>ดื่มนมเยอะ ๆ</t>
        </is>
      </c>
      <c r="F2436" s="18" t="inlineStr">
        <is>
          <t>ไม่ดื่มแอลกอฮอล์</t>
        </is>
      </c>
      <c r="G2436" s="18" t="inlineStr">
        <is>
          <t>เมื่อมีเพศสัมพันธ์ให้ป้องกันด้วยการสวมถุงยางอนามัย</t>
        </is>
      </c>
      <c r="H2436" s="18" t="inlineStr">
        <is>
          <t>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t>
        </is>
      </c>
      <c r="I2436" s="15" t="inlineStr">
        <is>
          <t>1</t>
        </is>
      </c>
      <c r="J2436" s="18" t="inlineStr">
        <is>
          <t>✅ คำตอบที่ถูกต้อง: ข้อ ก. หลีกเลี่ยงการสวนล้างช่องคลอด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หลีกเลี่ยงการสวนล้างช่องคลอด เชื้อติดต่อทางเพศสัมพันธ์มักจะเป็นเชื้อพยาธิหรือแบคทีเรีย ส่วนเชื้อรามักจะเกิดในคนที่ภูมิคุ้มกันต่ำ/ e)
🔍 ข้ออื่นผิดเพราะอะไร:
• ข้อ ข. (ดื่มนมเยอะ ๆ): ข้อนี้ไม่ใช่คำตอบที่ถูกต้องสำหรับภาวะ General Therapeutics เนื่องจากกลไกการออกฤทธิ์, efficacy หรือข้อบ่งใช้ไม่ตรงกับโจทย์ที่กำหนด
• ข้อ ค. (ไม่ดื่มแอลกอฮอล์): ข้อนี้ไม่ใช่คำตอบที่ถูกต้องสำหรับภาวะ General Therapeutics เนื่องจากกลไกการออกฤทธิ์, efficacy หรือข้อบ่งใช้ไม่ตรงกับโจทย์ที่กำหนด
• ข้อ ง. (เมื่อมีเพศสัมพันธ์ให้ป้องกันด้วยการสวมถุงยางอนามัย):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จ. (ไม่ควรใช้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6" s="18" t="inlineStr"/>
      <c r="L2436" s="18" t="inlineStr">
        <is>
          <t>General Therapeutics</t>
        </is>
      </c>
      <c r="M2436" s="18" t="inlineStr">
        <is>
          <t>Clinic</t>
        </is>
      </c>
      <c r="N2436" s="18" t="inlineStr">
        <is>
          <t>ข้อ 31 (PLE_CC1_Key_Rx20_UBU.md)</t>
        </is>
      </c>
      <c r="O2436" s="18" t="inlineStr">
        <is>
          <t>Mock</t>
        </is>
      </c>
      <c r="P2436" s="18" t="inlineStr">
        <is>
          <t>Mock Rx20 UBU</t>
        </is>
      </c>
    </row>
    <row r="2437">
      <c r="A2437" s="15" t="inlineStr">
        <is>
          <t>2458</t>
        </is>
      </c>
      <c r="B2437" s="18" t="inlineStr">
        <is>
          <t>ยาต้านจุลชีพในข้อใดเหมาะสมกับผู้ป่วยรายนี้</t>
        </is>
      </c>
      <c r="C2437" s="18" t="inlineStr"/>
      <c r="D2437" s="18" t="inlineStr">
        <is>
          <t>Amoxicillin</t>
        </is>
      </c>
      <c r="E2437" s="18" t="inlineStr">
        <is>
          <t>Acyclovir</t>
        </is>
      </c>
      <c r="F2437" s="18" t="inlineStr">
        <is>
          <t>Oseltamivir</t>
        </is>
      </c>
      <c r="G2437" s="18" t="inlineStr">
        <is>
          <t>Cefidinir</t>
        </is>
      </c>
      <c r="H2437" s="18" t="inlineStr">
        <is>
          <t>Dicloxacillin</t>
        </is>
      </c>
      <c r="I2437" s="15" t="inlineStr">
        <is>
          <t>3</t>
        </is>
      </c>
      <c r="J2437" s="18" t="inlineStr">
        <is>
          <t>✅ คำตอบที่ถูกต้อง: ข้อ ค. Oseltamivir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Oseltamivir การเลือก Oseltamivir เป็นคำตอบที่ถูกต้องตามแนวทางการรักษามาตรฐาน เนื่องจาก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ข้ออื่นผิดเพราะอะไร:
• ข้อ ก. (Amoxicillin): เป็น Aminopenicillin ยับยั้ง bacterial cell wall synthesis เป็น first-line สำหรับ uncomplicated bacterial infections (เช่น Strep pharyngitis, AOM, sinusitis)
• ข้อ ข. (Acyclovir): เป็น Guanosine analog ยับยั้ง HSV และ VZV polymerase ต้องดื่มน้ำมากๆ ระหว่างได้ยา IV เพื่อป้องกัน crystal nephropathy และ obstructive AKI
• ข้อ ง. (Cefidinir): ข้อนี้ไม่ใช่คำตอบที่ถูกต้องสำหรับภาวะ General Therapeutics เนื่องจากกลไกการออกฤทธิ์, efficacy หรือข้อบ่งใช้ไม่ตรงกับโจทย์ที่กำหนด
• ข้อ จ. (Dicloxacillin): เป็น penicillinase-resistant penicillin เป็น drug of choice สำหรับ Methicillin-Susceptible Staphylococcus aureus (MSSA) infections ต้องรับประทานตอนท้องว่าง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7" s="18" t="inlineStr"/>
      <c r="L2437" s="18" t="inlineStr">
        <is>
          <t>General Therapeutics</t>
        </is>
      </c>
      <c r="M2437" s="18" t="inlineStr">
        <is>
          <t>Clinic</t>
        </is>
      </c>
      <c r="N2437" s="18" t="inlineStr">
        <is>
          <t>ข้อ 39 (PLE_CC1_Key_Rx20_UBU.md)</t>
        </is>
      </c>
      <c r="O2437" s="18" t="inlineStr">
        <is>
          <t>Mock</t>
        </is>
      </c>
      <c r="P2437" s="18" t="inlineStr">
        <is>
          <t>Mock Rx20 UBU</t>
        </is>
      </c>
    </row>
    <row r="2438">
      <c r="A2438" s="15" t="inlineStr">
        <is>
          <t>2459</t>
        </is>
      </c>
      <c r="B2438" s="18" t="inlineStr">
        <is>
          <t>ยาใดไม่ควรใช้เพราะทำให้เกิด Reye’s syndrome ได้</t>
        </is>
      </c>
      <c r="C2438" s="18" t="inlineStr"/>
      <c r="D2438" s="18" t="inlineStr">
        <is>
          <t>ASA</t>
        </is>
      </c>
      <c r="E2438" s="18" t="inlineStr">
        <is>
          <t>Naproxen</t>
        </is>
      </c>
      <c r="F2438" s="18" t="inlineStr">
        <is>
          <t>Diclofenac</t>
        </is>
      </c>
      <c r="G2438" s="18" t="inlineStr">
        <is>
          <t>Ibuprofen</t>
        </is>
      </c>
      <c r="H2438" s="18" t="inlineStr">
        <is>
          <t>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t>
        </is>
      </c>
      <c r="I2438" s="15" t="inlineStr">
        <is>
          <t>1</t>
        </is>
      </c>
      <c r="J2438" s="18" t="inlineStr">
        <is>
          <t>✅ คำตอบที่ถูกต้อง: ข้อ ก. ASA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ASA การเลือก ASA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(Naproxen): เป็น non-selective NSAID ที่มี cardiovascular safety profile ดีที่สุด และมี efficacy สูงในการระงับ acute inflammation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38" s="18" t="inlineStr"/>
      <c r="L2438" s="18" t="inlineStr">
        <is>
          <t>General Therapeutics</t>
        </is>
      </c>
      <c r="M2438" s="18" t="inlineStr">
        <is>
          <t>Clinic</t>
        </is>
      </c>
      <c r="N2438" s="18" t="inlineStr">
        <is>
          <t>ข้อ 40 (PLE_CC1_Key_Rx20_UBU.md)</t>
        </is>
      </c>
      <c r="O2438" s="18" t="inlineStr">
        <is>
          <t>Mock</t>
        </is>
      </c>
      <c r="P2438" s="18" t="inlineStr">
        <is>
          <t>Mock Rx20 UBU</t>
        </is>
      </c>
    </row>
    <row r="2439">
      <c r="A2439" s="15" t="inlineStr">
        <is>
          <t>2460</t>
        </is>
      </c>
      <c r="B2439" s="18" t="inlineStr">
        <is>
          <t>ใส่ 1 เม็ด ในแต่ละ vessel ให้ทดสอบจำนวน 6 เม็ด หากมี 1 เม็ดปริมาณตัวยาละลายต่ำกว่ามาตรฐานกำหนด ยอมให้มีการทดสอบซ้ำได้อีก 6 เม็ด และ 6 เม็ดหลังต้องผ่านทุกเม็ด คือทดสอบทั้งหมด 12 เม็ด ต้องผ่านเกณฑ์ 11 เม็ด จึงจะสรุปว่าเข้ามาตรฐาน</t>
        </is>
      </c>
      <c r="C2439" s="18" t="inlineStr"/>
      <c r="D2439" s="18" t="inlineStr">
        <is>
          <t>N-acetylcysteine (NAC) IV infusion protocol</t>
        </is>
      </c>
      <c r="E2439" s="18" t="inlineStr">
        <is>
          <t>Atropine sulfate 2 mg IV Q5-10 min</t>
        </is>
      </c>
      <c r="F2439" s="18" t="inlineStr">
        <is>
          <t>Pralidoxime (2-PAM) 1-2 g IV over 30 min</t>
        </is>
      </c>
      <c r="G2439" s="18" t="inlineStr">
        <is>
          <t>Naloxone 0.4 mg IV stat</t>
        </is>
      </c>
      <c r="H2439" s="18" t="inlineStr">
        <is>
          <t>Flumazenil 0.2 mg IV stat</t>
        </is>
      </c>
      <c r="I2439" s="15" t="inlineStr">
        <is>
          <t>1</t>
        </is>
      </c>
      <c r="J2439"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9" s="18" t="inlineStr"/>
      <c r="L2439" s="18" t="inlineStr">
        <is>
          <t>General Therapeutics</t>
        </is>
      </c>
      <c r="M2439" s="18" t="inlineStr">
        <is>
          <t>Clinic</t>
        </is>
      </c>
      <c r="N2439" s="18" t="inlineStr">
        <is>
          <t>ข้อ 1 (PLE_CC1_Key_Rx20_UBU.md)</t>
        </is>
      </c>
      <c r="O2439" s="18" t="inlineStr">
        <is>
          <t>Mock</t>
        </is>
      </c>
      <c r="P2439" s="18" t="inlineStr">
        <is>
          <t>Mock Rx20 UBU</t>
        </is>
      </c>
    </row>
    <row r="2440">
      <c r="A2440" s="15" t="inlineStr">
        <is>
          <t>2461</t>
        </is>
      </c>
      <c r="B2440" s="18" t="inlineStr">
        <is>
          <t>ผู้ป่วยควรได้รับยาอะไรเพิ่มเติม</t>
        </is>
      </c>
      <c r="C2440" s="18" t="inlineStr"/>
      <c r="D2440" s="18" t="inlineStr">
        <is>
          <t>Warfarin</t>
        </is>
      </c>
      <c r="E2440" s="18" t="inlineStr">
        <is>
          <t>losartan</t>
        </is>
      </c>
      <c r="F2440" s="18" t="inlineStr">
        <is>
          <t>carvedilol</t>
        </is>
      </c>
      <c r="G2440" s="18" t="inlineStr">
        <is>
          <t>dabigatran</t>
        </is>
      </c>
      <c r="H2440" s="18" t="inlineStr">
        <is>
          <t>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t>
        </is>
      </c>
      <c r="I2440" s="15" t="inlineStr">
        <is>
          <t>3</t>
        </is>
      </c>
      <c r="J2440" s="18" t="inlineStr">
        <is>
          <t>✅ คำตอบที่ถูกต้อง: ข้อ ค. carvedilol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ก. (Warfarin): เป็น Vitamin K antagonist ต้องติดตาม monitoring ค่า INR (target 2.0-3.0 ใน DVT/PE/AF, 2.5-3.5 ใน mechanical mitral valve) มี drug-food interactions มากมาย และ reversal agent คือ Vitamin K1
• ข้อ ข.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(dabigatran): เป็น oral direct thrombin inhibitor (Factor IIa inhibitor) ขจัดออกทางไตสูงที่สุด (~80%) แคปซูลต้องกลืนทั้งเม็ดห้ามแกะ และมี specific reversal agent คือ Idarucizumab
• ข้อ จ. (Hydralazine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 เป็น non-selective beta-blocker ร่วมกับ alpha-1 blocker ช่วยลด afterload เป็น first-line GDMT ใน HFrEF ที่มี efficacy สูงในการลด mortality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2440" s="18" t="inlineStr"/>
      <c r="L2440" s="18" t="inlineStr">
        <is>
          <t>General Therapeutics</t>
        </is>
      </c>
      <c r="M2440" s="18" t="inlineStr">
        <is>
          <t>Clinic</t>
        </is>
      </c>
      <c r="N2440" s="18" t="inlineStr">
        <is>
          <t>ข้อ 49 (PLE_CC1_Key_Rx20_UBU.md)</t>
        </is>
      </c>
      <c r="O2440" s="18" t="inlineStr">
        <is>
          <t>Mock</t>
        </is>
      </c>
      <c r="P2440" s="18" t="inlineStr">
        <is>
          <t>Mock Rx20 UBU</t>
        </is>
      </c>
    </row>
    <row r="2441">
      <c r="A2441" s="15" t="inlineStr">
        <is>
          <t>2462</t>
        </is>
      </c>
      <c r="B2441" s="18" t="inlineStr">
        <is>
          <t>ความแตกต่างระหว่าง Enoxaparin กับ UFH ข้อใดถูก</t>
        </is>
      </c>
      <c r="C2441" s="18" t="inlineStr"/>
      <c r="D2441" s="18" t="inlineStr">
        <is>
          <t>UFH มี Bioavailability ดีกว่า Enoxaparin</t>
        </is>
      </c>
      <c r="E2441" s="18" t="inlineStr">
        <is>
          <t>Enoxaparin มี Half-life นานกว่า UFH</t>
        </is>
      </c>
      <c r="F2441" s="18" t="inlineStr">
        <is>
          <t>Enoxaparin ไม่ต้องปรับขนาดยาตามไต แต่ UFH ต้องปรับตามไต</t>
        </is>
      </c>
      <c r="G2441" s="18" t="inlineStr">
        <is>
          <t>Enoxaparin ฉีดเข้าหลอดเลือดดำ แต่ UFH ฉีดใต้กล้ามเนื้อ</t>
        </is>
      </c>
      <c r="H2441" s="18" t="inlineStr">
        <is>
          <t>Enoxaparin ต้องติดตาม PTT ถี่กว่า UFH</t>
        </is>
      </c>
      <c r="I2441" s="15" t="inlineStr">
        <is>
          <t>2</t>
        </is>
      </c>
      <c r="J2441" s="18" t="inlineStr">
        <is>
          <t>✅ คำตอบที่ถูกต้อง: ข้อ ข. Enoxaparin มี Half-life นานกว่า UFH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Enoxaparin มี Half-life นานกว่า UFH การเลือก Enoxaparin มี Half-life นานกว่า UFH เป็นคำตอบที่ถูกต้องตามแนวทางการรักษามาตรฐาน เนื่องจาก เป็น Low Molecular Weight Heparin (LMWH) ยับยั้ง Factor Xa &gt;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&lt; 30 mL/min
🔍 ข้ออื่นผิดเพราะอะไร:
• ข้อ ก. (UFH มี Bioavailability ดีกว่า Enoxaparin): เป็น Low Molecular Weight Heparin (LMWH) ยับยั้ง Factor Xa &gt; IIa ไม่ต้อง routine monitoring aPTT แต่ขับออกทางไตจึงต้องปรับ dose เมื่อ CrCl &lt; 30 mL/min
• ข้อ ค. (Enoxaparin ไม่ต้องปรับขนาดยาตามไต แต่ UFH ต้องปรับตามไต): เป็น Low Molecular Weight Heparin (LMWH) ยับยั้ง Factor Xa &gt; IIa ไม่ต้อง routine monitoring aPTT แต่ขับออกทางไตจึงต้องปรับ dose เมื่อ CrCl &lt; 30 mL/min
• ข้อ ง. (Enoxaparin ฉีดเข้าหลอดเลือดดำ แต่ UFH ฉีดใต้กล้ามเนื้อ): เป็น Low Molecular Weight Heparin (LMWH) ยับยั้ง Factor Xa &gt; IIa ไม่ต้อง routine monitoring aPTT แต่ขับออกทางไตจึงต้องปรับ dose เมื่อ CrCl &lt; 30 mL/min
• ข้อ จ. (Enoxaparin ต้องติดตาม PTT ถี่กว่า UFH): เป็น Low Molecular Weight Heparin (LMWH) ยับยั้ง Factor Xa &gt; IIa ไม่ต้อง routine monitoring aPTT แต่ขับออกทางไตจึงต้องปรับ dose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1" s="18" t="inlineStr"/>
      <c r="L2441" s="18" t="inlineStr">
        <is>
          <t>General Therapeutics</t>
        </is>
      </c>
      <c r="M2441" s="18" t="inlineStr">
        <is>
          <t>Clinic</t>
        </is>
      </c>
      <c r="N2441" s="18" t="inlineStr">
        <is>
          <t>ข้อ 50 (PLE_CC1_Key_Rx20_UBU.md)</t>
        </is>
      </c>
      <c r="O2441" s="18" t="inlineStr">
        <is>
          <t>Mock</t>
        </is>
      </c>
      <c r="P2441" s="18" t="inlineStr">
        <is>
          <t>Mock Rx20 UBU</t>
        </is>
      </c>
    </row>
    <row r="2442">
      <c r="A2442" s="15" t="inlineStr">
        <is>
          <t>2463</t>
        </is>
      </c>
      <c r="B2442" s="18" t="inlineStr">
        <is>
          <t>โครงสร้างยาส่วนใดทำให้ selective B1</t>
        </is>
      </c>
      <c r="C2442" s="18" t="inlineStr"/>
      <c r="D2442" s="18" t="inlineStr">
        <is>
          <t>secondary amine</t>
        </is>
      </c>
      <c r="E2442" s="18" t="inlineStr">
        <is>
          <t>oxymethylene bridge</t>
        </is>
      </c>
      <c r="F2442" s="18" t="inlineStr">
        <is>
          <t>isopropyl</t>
        </is>
      </c>
      <c r="G2442" s="18" t="inlineStr">
        <is>
          <t>hydroxyl</t>
        </is>
      </c>
      <c r="H2442" s="18" t="inlineStr">
        <is>
          <t>hydroxylamine</t>
        </is>
      </c>
      <c r="I2442" s="15" t="inlineStr">
        <is>
          <t>2</t>
        </is>
      </c>
      <c r="J2442" s="18" t="inlineStr">
        <is>
          <t>✅ คำตอบที่ถูกต้อง: ข้อ ข. oxymethylene bridge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oxymethylene bridge การเลือก oxymethylene bridge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(secondary amine): ข้อนี้ไม่ใช่คำตอบที่ถูกต้องสำหรับภาวะ General Therapeutics เนื่องจากกลไกการออกฤทธิ์, efficacy หรือข้อบ่งใช้ไม่ตรงกับโจทย์ที่กำหนด
• ข้อ ค. (isopropyl): ข้อนี้ไม่ใช่คำตอบที่ถูกต้องสำหรับภาวะ General Therapeutics เนื่องจากกลไกการออกฤทธิ์, efficacy หรือข้อบ่งใช้ไม่ตรงกับโจทย์ที่กำหนด
• ข้อ ง. (hydroxyl): ข้อนี้ไม่ใช่คำตอบที่ถูกต้องสำหรับภาวะ General Therapeutics เนื่องจากกลไกการออกฤทธิ์, efficacy หรือข้อบ่งใช้ไม่ตรงกับโจทย์ที่กำหนด
• ข้อ จ. (hydroxylamine):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2" s="18" t="inlineStr"/>
      <c r="L2442" s="18" t="inlineStr">
        <is>
          <t>General Therapeutics</t>
        </is>
      </c>
      <c r="M2442" s="18" t="inlineStr">
        <is>
          <t>Clinic</t>
        </is>
      </c>
      <c r="N2442" s="18" t="inlineStr">
        <is>
          <t>ข้อ 52 (PLE_CC1_Key_Rx20_UBU.md)</t>
        </is>
      </c>
      <c r="O2442" s="18" t="inlineStr">
        <is>
          <t>Mock</t>
        </is>
      </c>
      <c r="P2442" s="18" t="inlineStr">
        <is>
          <t>Mock Rx20 UBU</t>
        </is>
      </c>
    </row>
    <row r="2443">
      <c r="A2443" s="15" t="inlineStr">
        <is>
          <t>2464</t>
        </is>
      </c>
      <c r="B2443" s="18" t="inlineStr">
        <is>
          <t>กลไกการออกฤทธิ์ของยา Beta-2 agonists</t>
        </is>
      </c>
      <c r="C2443" s="18" t="inlineStr"/>
      <c r="D2443" s="18" t="inlineStr">
        <is>
          <t>ยับยั้ง Phosphodiesterase</t>
        </is>
      </c>
      <c r="E2443" s="18" t="inlineStr">
        <is>
          <t>ยับยั้ง Phospolipase A2</t>
        </is>
      </c>
      <c r="F2443" s="18" t="inlineStr">
        <is>
          <t>ยับยั้งการกระตุ้นจาก Vagus nerve</t>
        </is>
      </c>
      <c r="G2443" s="18" t="inlineStr">
        <is>
          <t>เพิ่มการสร้าง cAMP ของกล้ามเนื้อเรียบ</t>
        </is>
      </c>
      <c r="H2443" s="18" t="inlineStr">
        <is>
          <t>ยับยั้งการทำงานของ Lipooxygenase</t>
        </is>
      </c>
      <c r="I2443" s="15" t="inlineStr">
        <is>
          <t>4</t>
        </is>
      </c>
      <c r="J2443" s="18" t="inlineStr">
        <is>
          <t>✅ คำตอบที่ถูกต้อง: ข้อ ง. เพิ่มการสร้าง cAMP ของกล้ามเนื้อเรียบ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เพิ่มการสร้าง cAMP ของกล้ามเนื้อเรียบ การเลือก เพิ่มการสร้าง cAMP ของกล้ามเนื้อเรียบ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(ยับยั้ง Phosphodiesterase): ข้อนี้ไม่ใช่คำตอบที่ถูกต้องสำหรับภาวะ General Therapeutics เนื่องจากกลไกการออกฤทธิ์, efficacy หรือข้อบ่งใช้ไม่ตรงกับโจทย์ที่กำหนด
• ข้อ ข. (ยับยั้ง Phospolipase A2):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(ยับยั้งการกระตุ้นจาก Vagus nerve):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Lipooxygenase):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3" s="18" t="inlineStr"/>
      <c r="L2443" s="18" t="inlineStr">
        <is>
          <t>General Therapeutics</t>
        </is>
      </c>
      <c r="M2443" s="18" t="inlineStr">
        <is>
          <t>Clinic</t>
        </is>
      </c>
      <c r="N2443" s="18" t="inlineStr">
        <is>
          <t>ข้อ 57 (PLE_CC1_Key_Rx20_UBU.md)</t>
        </is>
      </c>
      <c r="O2443" s="18" t="inlineStr">
        <is>
          <t>Mock</t>
        </is>
      </c>
      <c r="P2443" s="18" t="inlineStr">
        <is>
          <t>Mock Rx20 UBU</t>
        </is>
      </c>
    </row>
    <row r="2444">
      <c r="A2444" s="15" t="inlineStr">
        <is>
          <t>2465</t>
        </is>
      </c>
      <c r="B2444" s="18" t="inlineStr">
        <is>
          <t>อุปกรณ์ใดต้องใช้ Propellant ในการผลักดันยาที่ออกทาง Valve</t>
        </is>
      </c>
      <c r="C2444" s="18" t="inlineStr"/>
      <c r="D2444" s="18" t="inlineStr">
        <is>
          <t>Turbuhaler</t>
        </is>
      </c>
      <c r="E2444" s="18" t="inlineStr">
        <is>
          <t>Metered-dose inhaler</t>
        </is>
      </c>
      <c r="F2444" s="18" t="inlineStr">
        <is>
          <t>Ultrasonic nebulizer</t>
        </is>
      </c>
      <c r="G2444" s="18" t="inlineStr">
        <is>
          <t>Diskhaler</t>
        </is>
      </c>
      <c r="H2444" s="18" t="inlineStr">
        <is>
          <t>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t>
        </is>
      </c>
      <c r="I2444" s="15" t="inlineStr">
        <is>
          <t>2</t>
        </is>
      </c>
      <c r="J2444" s="18" t="inlineStr">
        <is>
          <t>✅ คำตอบที่ถูกต้อง: ข้อ ข. Metered-dose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Metered-dose inhaler การเลือก Metered-dose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(Turbuhaler): ข้อนี้ไม่ใช่คำตอบที่ถูกต้องสำหรับภาวะ General Therapeutics เนื่องจากกลไกการออกฤทธิ์, efficacy หรือข้อบ่งใช้ไม่ตรงกับโจทย์ที่กำหนด
• ข้อ ค. (Ultrasonic nebulizer): ข้อนี้ไม่ใช่คำตอบที่ถูกต้องสำหรับภาวะ General Therapeutics เนื่องจากกลไกการออกฤทธิ์, efficacy หรือข้อบ่งใช้ไม่ตรงกับโจทย์ที่กำหนด
• ข้อ ง. (Diskhaler): ข้อนี้ไม่ใช่คำตอบที่ถูกต้องสำหรับภาวะ General Therapeutics เนื่องจากกลไกการออกฤทธิ์, efficacy หรือข้อบ่งใช้ไม่ตรงกับโจทย์ที่กำหนด
• ข้อ จ. (Ultrajet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4" s="18" t="inlineStr"/>
      <c r="L2444" s="18" t="inlineStr">
        <is>
          <t>General Therapeutics</t>
        </is>
      </c>
      <c r="M2444" s="18" t="inlineStr">
        <is>
          <t>Clinic</t>
        </is>
      </c>
      <c r="N2444" s="18" t="inlineStr">
        <is>
          <t>ข้อ 61 (PLE_CC1_Key_Rx20_UBU.md)</t>
        </is>
      </c>
      <c r="O2444" s="18" t="inlineStr">
        <is>
          <t>Mock</t>
        </is>
      </c>
      <c r="P2444" s="18" t="inlineStr">
        <is>
          <t>Mock Rx20 UBU</t>
        </is>
      </c>
    </row>
    <row r="2445">
      <c r="A2445" s="15" t="inlineStr">
        <is>
          <t>2466</t>
        </is>
      </c>
      <c r="B2445" s="18" t="inlineStr">
        <is>
          <t>ปัจจัยใดเป็น Sleep hygiene ที่ดี</t>
        </is>
      </c>
      <c r="C2445" s="18" t="inlineStr"/>
      <c r="D2445" s="18" t="inlineStr">
        <is>
          <t>ไม่สูบบุหรี่</t>
        </is>
      </c>
      <c r="E2445" s="18" t="inlineStr">
        <is>
          <t>ดื่มชาแทนการดื่มกาแฟ</t>
        </is>
      </c>
      <c r="F2445" s="18" t="inlineStr">
        <is>
          <t>นอนกลางวัน</t>
        </is>
      </c>
      <c r="G2445" s="18" t="inlineStr">
        <is>
          <t>กินข้าวก่อนนอน</t>
        </is>
      </c>
      <c r="H2445" s="18" t="inlineStr">
        <is>
          <t>ดื่มไวน์ก่อนนอน</t>
        </is>
      </c>
      <c r="I2445" s="15" t="inlineStr">
        <is>
          <t>1</t>
        </is>
      </c>
      <c r="J2445" s="18" t="inlineStr">
        <is>
          <t>✅ คำตอบที่ถูกต้อง: ข้อ ก. ไม่สูบบุหรี่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ไม่สูบบุหรี่ การเลือก ไม่สูบบุหรี่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(ดื่มชาแทนการดื่มกาแฟ): ข้อนี้ไม่ใช่คำตอบที่ถูกต้องสำหรับภาวะ General Therapeutics เนื่องจากกลไกการออกฤทธิ์, efficacy หรือข้อบ่งใช้ไม่ตรงกับโจทย์ที่กำหนด
• ข้อ ค. (นอนกลางวัน):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ง. (กินข้าวก่อนนอน):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(ดื่มไวน์ก่อนนอน):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45" s="18" t="inlineStr"/>
      <c r="L2445" s="18" t="inlineStr">
        <is>
          <t>General Therapeutics</t>
        </is>
      </c>
      <c r="M2445" s="18" t="inlineStr">
        <is>
          <t>Clinic</t>
        </is>
      </c>
      <c r="N2445" s="18" t="inlineStr">
        <is>
          <t>ข้อ 66 (PLE_CC1_Key_Rx20_UBU.md)</t>
        </is>
      </c>
      <c r="O2445" s="18" t="inlineStr">
        <is>
          <t>Mock</t>
        </is>
      </c>
      <c r="P2445" s="18" t="inlineStr">
        <is>
          <t>Mock Rx20 UBU</t>
        </is>
      </c>
    </row>
    <row r="2446">
      <c r="A2446" s="15" t="inlineStr">
        <is>
          <t>2467</t>
        </is>
      </c>
      <c r="B2446" s="18" t="inlineStr">
        <is>
          <t>ยาใดมีผลต่อการลดระดับยา EFV มากที่สุด</t>
        </is>
      </c>
      <c r="C2446" s="18" t="inlineStr"/>
      <c r="D2446" s="18" t="inlineStr">
        <is>
          <t>Rifampicin</t>
        </is>
      </c>
      <c r="E2446" s="18" t="inlineStr">
        <is>
          <t>Isoniazid</t>
        </is>
      </c>
      <c r="F2446" s="18" t="inlineStr">
        <is>
          <t>Ethambutol</t>
        </is>
      </c>
      <c r="G2446" s="18" t="inlineStr">
        <is>
          <t>Pyrazinamide</t>
        </is>
      </c>
      <c r="H2446" s="18" t="inlineStr">
        <is>
          <t>Lamivudine ยาที่มีผลลดระดับยา EFV ได้คือ Rifampicin ที่เป็น Strong CYP3A4 inducer</t>
        </is>
      </c>
      <c r="I2446" s="15" t="inlineStr">
        <is>
          <t>1</t>
        </is>
      </c>
      <c r="J2446" s="18" t="inlineStr">
        <is>
          <t>✅ คำตอบที่ถูกต้อง: ข้อ ก. Rifampicin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Rifampicin การเลือก Rifampicin เป็นคำตอบที่ถูกต้องตามแนวทางการรักษามาตรฐาน เนื่องจาก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ยาที่มีผลลดระดับยา EFV ได้คือ Rifampicin ที่เป็น Strong CYP3A4 inducer):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2446" s="18" t="inlineStr"/>
      <c r="L2446" s="18" t="inlineStr">
        <is>
          <t>General Therapeutics</t>
        </is>
      </c>
      <c r="M2446" s="18" t="inlineStr">
        <is>
          <t>Clinic</t>
        </is>
      </c>
      <c r="N2446" s="18" t="inlineStr">
        <is>
          <t>ข้อ 76 (PLE_CC1_Key_Rx20_UBU.md)</t>
        </is>
      </c>
      <c r="O2446" s="18" t="inlineStr">
        <is>
          <t>Mock</t>
        </is>
      </c>
      <c r="P2446" s="18" t="inlineStr">
        <is>
          <t>Mock Rx20 UBU</t>
        </is>
      </c>
    </row>
    <row r="2447">
      <c r="A2447" s="15" t="inlineStr">
        <is>
          <t>2468</t>
        </is>
      </c>
      <c r="B2447" s="18" t="inlineStr">
        <is>
          <t>ผู้ป่วยใช้ยาแล้วตามองเห็นผิดปกติ เห็นแสงเขียว แดง เกิดจากยาใด</t>
        </is>
      </c>
      <c r="C2447" s="18" t="inlineStr"/>
      <c r="D2447" s="18" t="inlineStr">
        <is>
          <t>Rifampicin</t>
        </is>
      </c>
      <c r="E2447" s="18" t="inlineStr">
        <is>
          <t>Isoniazid</t>
        </is>
      </c>
      <c r="F2447" s="18" t="inlineStr">
        <is>
          <t>Ethambutol</t>
        </is>
      </c>
      <c r="G2447" s="18" t="inlineStr">
        <is>
          <t>Pyrazinamide</t>
        </is>
      </c>
      <c r="H2447" s="18" t="inlineStr">
        <is>
          <t>Lamivudine ยาที่มีผลต่อการมองเห็นคือ Ethambutol</t>
        </is>
      </c>
      <c r="I2447" s="15" t="inlineStr">
        <is>
          <t>3</t>
        </is>
      </c>
      <c r="J2447" s="18" t="inlineStr">
        <is>
          <t>✅ คำตอบที่ถูกต้อง: ข้อ ค. Ethambutol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Ethambutol การเลือก Ethambutol เป็นคำตอบที่ถูกต้องตามแนวทางการรักษามาตรฐาน เนื่องจาก เป็น Anti-TB agent ยับยั้ง arabinosyl transferase มี ADR เด่นคือ optic neuritis (มองเห็นสีเขียว-แดงผิดปกติ ตาพร่า) ขับออกทางไตจึงต้องปรับ dose ใน CKD
🔍 ข้ออื่นผิดเพราะอะไร:
• ข้อ ก.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ยาที่มีผลต่อการมองเห็นคือ Ethambutol):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2447" s="18" t="inlineStr"/>
      <c r="L2447" s="18" t="inlineStr">
        <is>
          <t>General Therapeutics</t>
        </is>
      </c>
      <c r="M2447" s="18" t="inlineStr">
        <is>
          <t>Clinic</t>
        </is>
      </c>
      <c r="N2447" s="18" t="inlineStr">
        <is>
          <t>ข้อ 77 (PLE_CC1_Key_Rx20_UBU.md)</t>
        </is>
      </c>
      <c r="O2447" s="18" t="inlineStr">
        <is>
          <t>Mock</t>
        </is>
      </c>
      <c r="P2447" s="18" t="inlineStr">
        <is>
          <t>Mock Rx20 UBU</t>
        </is>
      </c>
    </row>
    <row r="2448">
      <c r="A2448" s="15" t="inlineStr">
        <is>
          <t>2469</t>
        </is>
      </c>
      <c r="B2448" s="18" t="inlineStr">
        <is>
          <t>ยาแก้ไอใด สามารถใช้ได้ในผู้ป่วยรายนี้</t>
        </is>
      </c>
      <c r="C2448" s="18" t="inlineStr"/>
      <c r="D2448" s="18" t="inlineStr">
        <is>
          <t>ยาตรีผลา</t>
        </is>
      </c>
      <c r="E2448" s="18" t="inlineStr">
        <is>
          <t>ยาประสะมะแว้ง</t>
        </is>
      </c>
      <c r="F2448" s="18" t="inlineStr">
        <is>
          <t>ยาอมฤคตวาที</t>
        </is>
      </c>
      <c r="G2448" s="18" t="inlineStr">
        <is>
          <t>ยาแก้ไอผสมมะขามป้อม</t>
        </is>
      </c>
      <c r="H2448" s="18" t="inlineStr">
        <is>
          <t>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t>
        </is>
      </c>
      <c r="I2448" s="15" t="inlineStr">
        <is>
          <t>5</t>
        </is>
      </c>
      <c r="J2448" s="18" t="inlineStr">
        <is>
          <t>✅ คำตอบที่ถูกต้อง: ข้อ จ.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การเลือก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(ยาตรีผลา): ข้อนี้ไม่ใช่คำตอบที่ถูกต้องสำหรับภาวะ General Therapeutics เนื่องจากกลไกการออกฤทธิ์, efficacy หรือข้อบ่งใช้ไม่ตรงกับโจทย์ที่กำหนด
• ข้อ ข. (ยาประสะมะแว้ง): ข้อนี้ไม่ใช่คำตอบที่ถูกต้องสำหรับภาวะ General Therapeutics เนื่องจากกลไกการออกฤทธิ์, efficacy หรือข้อบ่งใช้ไม่ตรงกับโจทย์ที่กำหนด
• ข้อ ค. (ยาอมฤคตวาที): ข้อนี้ไม่ใช่คำตอบที่ถูกต้องสำหรับภาวะ General Therapeutics เนื่องจากกลไกการออกฤทธิ์, efficacy หรือข้อบ่งใช้ไม่ตรงกับโจทย์ที่กำหนด
• ข้อ ง. (ยาแก้ไอผสมมะขามป้อม):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8" s="18" t="inlineStr"/>
      <c r="L2448" s="18" t="inlineStr">
        <is>
          <t>General Therapeutics</t>
        </is>
      </c>
      <c r="M2448" s="18" t="inlineStr">
        <is>
          <t>Clinic</t>
        </is>
      </c>
      <c r="N2448" s="18" t="inlineStr">
        <is>
          <t>ข้อ 81 (PLE_CC1_Key_Rx20_UBU.md)</t>
        </is>
      </c>
      <c r="O2448" s="18" t="inlineStr">
        <is>
          <t>Mock</t>
        </is>
      </c>
      <c r="P2448" s="18" t="inlineStr">
        <is>
          <t>Mock Rx20 UBU</t>
        </is>
      </c>
    </row>
    <row r="2449">
      <c r="A2449" s="15" t="inlineStr">
        <is>
          <t>2470</t>
        </is>
      </c>
      <c r="B2449" s="18" t="inlineStr">
        <is>
          <t>ข้อใดผิด</t>
        </is>
      </c>
      <c r="C2449" s="18" t="inlineStr"/>
      <c r="D2449" s="18" t="inlineStr">
        <is>
          <t>การรับประทาน vitamin C ในขนาดสูง ให้รับประทานน้ำตามมากๆ เพื่อป้องกันการเกิดนิ่วที่ไต</t>
        </is>
      </c>
      <c r="E2449" s="18" t="inlineStr">
        <is>
          <t>การรับประทาน Calcium พร้อมอาหารที่มี phosphorus เยอะๆ ช่วยเพิ่มการดูดซึม</t>
        </is>
      </c>
      <c r="F2449" s="18" t="inlineStr">
        <is>
          <t>กิน vitamin C พร้อม Calcium ช่วยเพิ่มการดูดซึม</t>
        </is>
      </c>
      <c r="G2449" s="18" t="inlineStr">
        <is>
          <t>หากรับประทาน Fe พร้อม Ca ต้องรับประทานห่างกัน 2 ชม.</t>
        </is>
      </c>
      <c r="H2449" s="18" t="inlineStr">
        <is>
          <t>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t>
        </is>
      </c>
      <c r="I2449" s="15" t="inlineStr">
        <is>
          <t>2</t>
        </is>
      </c>
      <c r="J2449" s="18" t="inlineStr">
        <is>
          <t>✅ คำตอบที่ถูกต้อง: ข้อ ข. การรับประทาน Calcium พร้อมอาหารที่มี phosphorus เยอะๆ ช่วยเพิ่มการดูดซึม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 Calcium พร้อมอาหารที่มี phosphorus เยอะๆ ช่วยเพิ่มการดูดซึม การเลือก การรับประทาน Calcium พร้อมอาหารที่มี phosphorus เยอะๆ ช่วยเพิ่มการดูดซึม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(การรับประทาน vitamin C ในขนาดสูง ให้รับประทานน้ำตามมากๆ เพื่อป้องกันการเกิดนิ่วที่ไต): ข้อนี้ไม่ใช่คำตอบที่ถูกต้องสำหรับภาวะ General Therapeutics เนื่องจากกลไกการออกฤทธิ์, efficacy หรือข้อบ่งใช้ไม่ตรงกับโจทย์ที่กำหนด
• ข้อ ค. (กิน vitamin C พร้อม Calcium ช่วยเพิ่มการดูดซึม):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ง. (หากรับประทาน Fe พร้อม Ca ต้องรับประทานห่างกัน 2 ชม.):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9" s="18" t="inlineStr"/>
      <c r="L2449" s="18" t="inlineStr">
        <is>
          <t>General Therapeutics</t>
        </is>
      </c>
      <c r="M2449" s="18" t="inlineStr">
        <is>
          <t>Clinic</t>
        </is>
      </c>
      <c r="N2449" s="18" t="inlineStr">
        <is>
          <t>ข้อ 82 (PLE_CC1_Key_Rx20_UBU.md)</t>
        </is>
      </c>
      <c r="O2449" s="18" t="inlineStr">
        <is>
          <t>Mock</t>
        </is>
      </c>
      <c r="P2449" s="18" t="inlineStr">
        <is>
          <t>Mock Rx20 UBU</t>
        </is>
      </c>
    </row>
    <row r="2450">
      <c r="A2450" s="15" t="inlineStr">
        <is>
          <t>2471</t>
        </is>
      </c>
      <c r="B2450" s="18" t="inlineStr">
        <is>
          <t>Calcium ในข้อใดมีปริมาณ calcium มากที่สุด</t>
        </is>
      </c>
      <c r="C2450" s="18" t="inlineStr"/>
      <c r="D2450" s="18" t="inlineStr">
        <is>
          <t>Calcium citrate</t>
        </is>
      </c>
      <c r="E2450" s="18" t="inlineStr">
        <is>
          <t>Calcium carbonate</t>
        </is>
      </c>
      <c r="F2450" s="18" t="inlineStr">
        <is>
          <t>Calcium gluconate</t>
        </is>
      </c>
      <c r="G2450" s="18" t="inlineStr">
        <is>
          <t>Calcium lactate</t>
        </is>
      </c>
      <c r="H2450" s="18" t="inlineStr">
        <is>
          <t>Tricalcium phosphate เรียงลำดับปริมาณ elemental Calcium จากมากไปน้อย ได้แก่ Carbonate (40%)&gt; Tricalcium Phosphate (38%)&gt; Citrate (24%)&gt; Lactate (18%)&gt; Gluconate (9%)</t>
        </is>
      </c>
      <c r="I2450" s="15" t="inlineStr">
        <is>
          <t>2</t>
        </is>
      </c>
      <c r="J2450" s="18" t="inlineStr">
        <is>
          <t>✅ คำตอบที่ถูกต้อง: ข้อ ข. Calcium carbonate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carbonate การเลือก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(Calcium citrate): ข้อนี้ไม่ใช่คำตอบที่ถูกต้องสำหรับภาวะ General Therapeutics เนื่องจากกลไกการออกฤทธิ์, efficacy หรือข้อบ่งใช้ไม่ตรงกับโจทย์ที่กำหนด
• ข้อ ค. (Calcium gluconate): ข้อนี้ไม่ใช่คำตอบที่ถูกต้องสำหรับภาวะ General Therapeutics เนื่องจากกลไกการออกฤทธิ์, efficacy หรือข้อบ่งใช้ไม่ตรงกับโจทย์ที่กำหนด
• ข้อ ง. (Calcium lactate): ข้อนี้ไม่ใช่คำตอบที่ถูกต้องสำหรับภาวะ General Therapeutics เนื่องจากกลไกการออกฤทธิ์, efficacy หรือข้อบ่งใช้ไม่ตรงกับโจทย์ที่กำหนด
• ข้อ จ. (Tricalcium phosphate เรียงลำดับปริมาณ elemental Calcium จากมากไปน้อย ได้แก่ Carbonate (40%)&gt; Tricalcium Phosphate (38%)&gt; Citrate (24%)&gt; Lactate (18%)&gt; Gluconate (9%)):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0" s="18" t="inlineStr"/>
      <c r="L2450" s="18" t="inlineStr">
        <is>
          <t>General Therapeutics</t>
        </is>
      </c>
      <c r="M2450" s="18" t="inlineStr">
        <is>
          <t>Clinic</t>
        </is>
      </c>
      <c r="N2450" s="18" t="inlineStr">
        <is>
          <t>ข้อ 83 (PLE_CC1_Key_Rx20_UBU.md)</t>
        </is>
      </c>
      <c r="O2450" s="18" t="inlineStr">
        <is>
          <t>Mock</t>
        </is>
      </c>
      <c r="P2450" s="18" t="inlineStr">
        <is>
          <t>Mock Rx20 UBU</t>
        </is>
      </c>
    </row>
    <row r="2451">
      <c r="A2451" s="15" t="inlineStr">
        <is>
          <t>2472</t>
        </is>
      </c>
      <c r="B2451" s="18" t="inlineStr">
        <is>
          <t>ยาในข้อใดทำให้ Ca ในเลือดสูงขึ้น</t>
        </is>
      </c>
      <c r="C2451" s="18" t="inlineStr"/>
      <c r="D2451" s="18" t="inlineStr">
        <is>
          <t>Tetracycline</t>
        </is>
      </c>
      <c r="E2451" s="18" t="inlineStr">
        <is>
          <t>Norfloxacin</t>
        </is>
      </c>
      <c r="F2451" s="18" t="inlineStr">
        <is>
          <t>L-thyroxine</t>
        </is>
      </c>
      <c r="G2451" s="18" t="inlineStr">
        <is>
          <t>HCTZ</t>
        </is>
      </c>
      <c r="H2451" s="18" t="inlineStr">
        <is>
          <t>Al(OH)3 ADR ของ HCTZ ได้แก่ Hyponatremia, Hypokalemia, Hypercalcemia, Hyperuricemia, Hyperglycemia, dyslipidemia, sexual dysfunction</t>
        </is>
      </c>
      <c r="I2451" s="15" t="inlineStr">
        <is>
          <t>4</t>
        </is>
      </c>
      <c r="J2451" s="18" t="inlineStr">
        <is>
          <t>✅ คำตอบที่ถูกต้อง: ข้อ ง.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HCTZ การเลือก HCTZ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(Tetracycline): ข้อนี้ไม่ใช่คำตอบที่ถูกต้องสำหรับภาวะ General Therapeutics เนื่องจากกลไกการออกฤทธิ์, efficacy หรือข้อบ่งใช้ไม่ตรงกับโจทย์ที่กำหนด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(L-thyroxine): ข้อนี้ไม่ใช่คำตอบที่ถูกต้องสำหรับภาวะ General Therapeutics เนื่องจากกลไกการออกฤทธิ์, efficacy หรือข้อบ่งใช้ไม่ตรงกับโจทย์ที่กำหนด
• ข้อ จ. (Al(OH)3 ADR ของ HCTZ ได้แก่ Hyponatremia, Hypokalemia, Hypercalcemia, Hyperuricemia, Hyperglycemia, dyslipidemia, sexual dysfunction):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1" s="18" t="inlineStr"/>
      <c r="L2451" s="18" t="inlineStr">
        <is>
          <t>General Therapeutics</t>
        </is>
      </c>
      <c r="M2451" s="18" t="inlineStr">
        <is>
          <t>Clinic</t>
        </is>
      </c>
      <c r="N2451" s="18" t="inlineStr">
        <is>
          <t>ข้อ 84 (PLE_CC1_Key_Rx20_UBU.md)</t>
        </is>
      </c>
      <c r="O2451" s="18" t="inlineStr">
        <is>
          <t>Mock</t>
        </is>
      </c>
      <c r="P2451" s="18" t="inlineStr">
        <is>
          <t>Mock Rx20 UBU</t>
        </is>
      </c>
    </row>
    <row r="2452">
      <c r="A2452" s="15" t="inlineStr">
        <is>
          <t>2473</t>
        </is>
      </c>
      <c r="B2452" s="18" t="inlineStr">
        <is>
          <t>อาการปวดเมื่อยกล้ามเนื้อเกิดจากอะไร</t>
        </is>
      </c>
      <c r="C2452" s="18" t="inlineStr"/>
      <c r="D2452" s="18" t="inlineStr">
        <is>
          <t>Metformin ขนาดยาเยอะเกินไป</t>
        </is>
      </c>
      <c r="E2452" s="18" t="inlineStr">
        <is>
          <t>Amlodipine ขนาดยาเยอะเกินwx</t>
        </is>
      </c>
      <c r="F2452" s="18" t="inlineStr">
        <is>
          <t>Drug interaction ระหว่าง Simvastatin กับ Amlodipine</t>
        </is>
      </c>
      <c r="G2452" s="18" t="inlineStr">
        <is>
          <t>Drug interaction ระหว่าง Metformin กับ Simvastatin</t>
        </is>
      </c>
      <c r="H2452" s="18" t="inlineStr">
        <is>
          <t>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t>
        </is>
      </c>
      <c r="I2452" s="15" t="inlineStr">
        <is>
          <t>3</t>
        </is>
      </c>
      <c r="J2452" s="18" t="inlineStr">
        <is>
          <t>✅ คำตอบที่ถูกต้อง: ข้อ ค. Drug interaction ระหว่าง Simvastatin กับ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Drug interaction ระหว่าง Simvastatin กับ Amlodipine การเลือก Drug interaction ระหว่าง Simvastatin กับ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(Metformin ขนาดยาเยอะเกินไป):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ข. (Amlodipine ขนาดยาเยอะเกินwx): เป็น DHP calcium channel blocker ขยายหลอดเลือด peripheral เด่น แต่ไม่มี class-specific renal protective effect ในผู้ป่วย DM with albuminuria เท่ากับ ACEI/ARB และอาจเกิด peripheral edema
• ข้อ ง. (Drug interaction ระหว่าง Metformin กับ Simvastatin): เป็น moderate-intensity statin เมแทบอไลต์ผ่าน CYP3A4 เด่นชัด ห้ามใช้ dose 80 mg และมี drug interactions สูงกับ CYP3A4 inhibitors (clarithromycin, ketoconazole)
• ข้อ จ. (Drug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52" s="18" t="inlineStr"/>
      <c r="L2452" s="18" t="inlineStr">
        <is>
          <t>General Therapeutics</t>
        </is>
      </c>
      <c r="M2452" s="18" t="inlineStr">
        <is>
          <t>Clinic</t>
        </is>
      </c>
      <c r="N2452" s="18" t="inlineStr">
        <is>
          <t>ข้อ 91 (PLE_CC1_Key_Rx20_UBU.md)</t>
        </is>
      </c>
      <c r="O2452" s="18" t="inlineStr">
        <is>
          <t>Mock</t>
        </is>
      </c>
      <c r="P2452" s="18" t="inlineStr">
        <is>
          <t>Mock Rx20 UBU</t>
        </is>
      </c>
    </row>
    <row r="2453">
      <c r="A2453" s="15" t="inlineStr">
        <is>
          <t>2474</t>
        </is>
      </c>
      <c r="B2453" s="18" t="inlineStr">
        <is>
          <t>ปัจจัยใด ไม่ใช่ปัจจัยเสี่ยงของการเกิด Myopathy</t>
        </is>
      </c>
      <c r="C2453" s="18" t="inlineStr"/>
      <c r="D2453" s="18" t="inlineStr">
        <is>
          <t>อายุ</t>
        </is>
      </c>
      <c r="E2453" s="18" t="inlineStr">
        <is>
          <t>เพศ</t>
        </is>
      </c>
      <c r="F2453" s="18" t="inlineStr">
        <is>
          <t>พันธุกรรม</t>
        </is>
      </c>
      <c r="G2453" s="18" t="inlineStr">
        <is>
          <t>โรคความดันโลหิตสูง</t>
        </is>
      </c>
      <c r="H2453" s="18" t="inlineStr">
        <is>
          <t>ยาที่ใช้</t>
        </is>
      </c>
      <c r="I2453" s="15" t="inlineStr">
        <is>
          <t>4</t>
        </is>
      </c>
      <c r="J2453" s="18" t="inlineStr">
        <is>
          <t>✅ คำตอบที่ถูกต้อง: ข้อ ง. โรคความดันโลหิตสูง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โรคความดันโลหิตสูง การเลือก โรคความดันโลหิตสูง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(อายุ): ข้อนี้ไม่ใช่คำตอบที่ถูกต้องสำหรับภาวะ General Therapeutics เนื่องจากกลไกการออกฤทธิ์, efficacy หรือข้อบ่งใช้ไม่ตรงกับโจทย์ที่กำหนด
• ข้อ ข. (เพศ): ข้อนี้ไม่ใช่คำตอบที่ถูกต้องสำหรับภาวะ General Therapeutics เนื่องจากกลไกการออกฤทธิ์, efficacy หรือข้อบ่งใช้ไม่ตรงกับโจทย์ที่กำหนด
• ข้อ ค. (พันธุกรรม):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จ. (ยาที่ใช้):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3" s="18" t="inlineStr"/>
      <c r="L2453" s="18" t="inlineStr">
        <is>
          <t>General Therapeutics</t>
        </is>
      </c>
      <c r="M2453" s="18" t="inlineStr">
        <is>
          <t>Clinic</t>
        </is>
      </c>
      <c r="N2453" s="18" t="inlineStr">
        <is>
          <t>ข้อ 92 (PLE_CC1_Key_Rx20_UBU.md)</t>
        </is>
      </c>
      <c r="O2453" s="18" t="inlineStr">
        <is>
          <t>Mock</t>
        </is>
      </c>
      <c r="P2453" s="18" t="inlineStr">
        <is>
          <t>Mock Rx20 UBU</t>
        </is>
      </c>
    </row>
    <row r="2454">
      <c r="A2454" s="15" t="inlineStr">
        <is>
          <t>2475</t>
        </is>
      </c>
      <c r="B2454" s="18" t="inlineStr">
        <is>
          <t>ค่าทางห้องปฏิบัติการใดบ่งบอกถึงความผิดปกติของกล้ามเนื้อ</t>
        </is>
      </c>
      <c r="C2454" s="18" t="inlineStr"/>
      <c r="D2454" s="18" t="inlineStr">
        <is>
          <t>AST</t>
        </is>
      </c>
      <c r="E2454" s="18" t="inlineStr">
        <is>
          <t>ALT</t>
        </is>
      </c>
      <c r="F2454" s="18" t="inlineStr">
        <is>
          <t>ALP</t>
        </is>
      </c>
      <c r="G2454" s="18" t="inlineStr">
        <is>
          <t>CK</t>
        </is>
      </c>
      <c r="H2454" s="18" t="inlineStr">
        <is>
          <t>CRP</t>
        </is>
      </c>
      <c r="I2454" s="15" t="inlineStr">
        <is>
          <t>4</t>
        </is>
      </c>
      <c r="J2454" s="18" t="inlineStr">
        <is>
          <t>✅ คำตอบที่ถูกต้อง: ข้อ ง. CK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CK การเลือก CK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(AST): ข้อนี้ไม่ใช่คำตอบที่ถูกต้องสำหรับภาวะ General Therapeutics เนื่องจากกลไกการออกฤทธิ์, efficacy หรือข้อบ่งใช้ไม่ตรงกับโจทย์ที่กำหนด
• ข้อ ข. (ALT): ข้อนี้ไม่ใช่คำตอบที่ถูกต้องสำหรับภาวะ General Therapeutics เนื่องจากกลไกการออกฤทธิ์, efficacy หรือข้อบ่งใช้ไม่ตรงกับโจทย์ที่กำหนด
• ข้อ ค. (ALP): ข้อนี้ไม่ใช่คำตอบที่ถูกต้องสำหรับภาวะ General Therapeutics เนื่องจากกลไกการออกฤทธิ์, efficacy หรือข้อบ่งใช้ไม่ตรงกับโจทย์ที่กำหนด
• ข้อ จ. (CRP):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4" s="18" t="inlineStr"/>
      <c r="L2454" s="18" t="inlineStr">
        <is>
          <t>General Therapeutics</t>
        </is>
      </c>
      <c r="M2454" s="18" t="inlineStr">
        <is>
          <t>Clinic</t>
        </is>
      </c>
      <c r="N2454" s="18" t="inlineStr">
        <is>
          <t>ข้อ 93 (PLE_CC1_Key_Rx20_UBU.md)</t>
        </is>
      </c>
      <c r="O2454" s="18" t="inlineStr">
        <is>
          <t>Mock</t>
        </is>
      </c>
      <c r="P2454" s="18" t="inlineStr">
        <is>
          <t>Mock Rx20 UBU</t>
        </is>
      </c>
    </row>
    <row r="2455">
      <c r="A2455" s="15" t="inlineStr">
        <is>
          <t>2476</t>
        </is>
      </c>
      <c r="B2455" s="18" t="inlineStr">
        <is>
          <t>ยาตัวใดเหมาะสมในการลดระดับ Triglyceride</t>
        </is>
      </c>
      <c r="C2455" s="18" t="inlineStr"/>
      <c r="D2455" s="18" t="inlineStr">
        <is>
          <t>Gemfibrozil</t>
        </is>
      </c>
      <c r="E2455" s="18" t="inlineStr">
        <is>
          <t>Fenofibrate</t>
        </is>
      </c>
      <c r="F2455" s="18" t="inlineStr">
        <is>
          <t>Atorvastatin</t>
        </is>
      </c>
      <c r="G2455" s="18" t="inlineStr">
        <is>
          <t>Ezetimibe</t>
        </is>
      </c>
      <c r="H2455" s="18" t="inlineStr">
        <is>
          <t>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t>
        </is>
      </c>
      <c r="I2455" s="15" t="inlineStr">
        <is>
          <t>2</t>
        </is>
      </c>
      <c r="J2455" s="18" t="inlineStr">
        <is>
          <t>✅ คำตอบที่ถูกต้อง: ข้อ ข. Fenofibrate
💡 Background:
ภาวะไขมันในเลือดผิดปกติเป็นสาเหตุของ ASCVD การรักษาเน้นควบคุม LDL-C ให้ถึง target ตามระดับ cardiovascular risk ด้วย Statin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ก. (Gemfibrozil): ห้ามใช้ร่วมกับ statins เด็ดขาด เนื่องจากยับยั้ง OATP1B1 glucuronidation ทำให้ระดับ statin ในเลือดพุ่งสูงและเกิด severe rhabdomyolysis
• ข้อ ค. (Atorvastatin): เป็น High-intensity statin (40-80 mg) ยับยั้ง HMG-CoA reductase มี clinical efficacy สูงสุดในการลด LDL-C ≥ 50% และ plaque stabilization ใน ACS/CAD
• ข้อ ง. (Ezetimibe): เป็น Niemann-Pick C1-Like 1 (NPC1L1) inhibitor ยับยั้งการดูดซึม cholesterol ที่ลำไส้เล็ก ใช้เป็น add-on therapy ร่วมกับ statin เพื่อลด LDL-C เสริมอีก 15-20%
• ข้อ จ. (Cholestyramine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 เป็น moderate-intensity statin เมแทบอไลต์ผ่าน CYP3A4 เด่นชัด ห้ามใช้ dose 80 mg และมี drug interactions สูงกับ CYP3A4 inhibitors (clarithromycin, ketoconazole)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5" s="18" t="inlineStr"/>
      <c r="L2455" s="18" t="inlineStr">
        <is>
          <t>Cardiovascular Diseases</t>
        </is>
      </c>
      <c r="M2455" s="18" t="inlineStr">
        <is>
          <t>Clinic</t>
        </is>
      </c>
      <c r="N2455" s="18" t="inlineStr">
        <is>
          <t>ข้อ 94 (PLE_CC1_Key_Rx20_UBU.md)</t>
        </is>
      </c>
      <c r="O2455" s="18" t="inlineStr">
        <is>
          <t>Mock</t>
        </is>
      </c>
      <c r="P2455" s="18" t="inlineStr">
        <is>
          <t>Mock Rx20 UBU</t>
        </is>
      </c>
    </row>
    <row r="2456">
      <c r="A2456" s="15" t="inlineStr">
        <is>
          <t>2477</t>
        </is>
      </c>
      <c r="B2456" s="18" t="inlineStr">
        <is>
          <t>อาการดังกล่าวเกิดจากเชื้ออะไร</t>
        </is>
      </c>
      <c r="C2456" s="18" t="inlineStr"/>
      <c r="D2456" s="18" t="inlineStr">
        <is>
          <t>Streptococcus aureus</t>
        </is>
      </c>
      <c r="E2456" s="18" t="inlineStr">
        <is>
          <t>Streptococcus pneumoniae</t>
        </is>
      </c>
      <c r="F2456" s="18" t="inlineStr">
        <is>
          <t>Streptococcus pyogenes</t>
        </is>
      </c>
      <c r="G2456" s="18" t="inlineStr">
        <is>
          <t>Haemophillus influenza</t>
        </is>
      </c>
      <c r="H2456" s="18" t="inlineStr">
        <is>
          <t>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t>
        </is>
      </c>
      <c r="I2456" s="15" t="inlineStr">
        <is>
          <t>2</t>
        </is>
      </c>
      <c r="J2456" s="18" t="inlineStr">
        <is>
          <t>✅ คำตอบที่ถูกต้อง: ข้อ ข. Streptococcus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Streptococcus pneumoniae การเลือก Streptococcus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(Streptococcus pyogenes): ข้อนี้ไม่ใช่คำตอบที่ถูกต้องสำหรับภาวะ General Therapeutics เนื่องจากกลไกการออกฤทธิ์, efficacy หรือข้อบ่งใช้ไม่ตรงกับโจทย์ที่กำหนด
• ข้อ ง. (Haemophillus influenza): วัคซีนไข้หวัดใหญ่ชนิด inactivated ฉีดปีละ 1 ครั้ง ในกลุ่มเสี่ยง 7 กลุ่มโรคเรื้อรัง และเด็กอายุ 6 เดือน - 2 ปี
• ข้อ จ. (Pseudomonas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 วัคซีนไข้หวัดใหญ่ชนิด inactivated ฉีดปีละ 1 ครั้ง ในกลุ่มเสี่ยง 7 กลุ่มโรคเรื้อรัง และเด็กอายุ 6 เดือน - 2 ปี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6" s="18" t="inlineStr"/>
      <c r="L2456" s="18" t="inlineStr">
        <is>
          <t>General Therapeutics</t>
        </is>
      </c>
      <c r="M2456" s="18" t="inlineStr">
        <is>
          <t>Clinic</t>
        </is>
      </c>
      <c r="N2456" s="18" t="inlineStr">
        <is>
          <t>ข้อ 100 (PLE_CC1_Key_Rx20_UBU.md)</t>
        </is>
      </c>
      <c r="O2456" s="18" t="inlineStr">
        <is>
          <t>Mock</t>
        </is>
      </c>
      <c r="P2456" s="18" t="inlineStr">
        <is>
          <t>Mock Rx20 UBU</t>
        </is>
      </c>
    </row>
    <row r="2457">
      <c r="A2457" s="15" t="inlineStr">
        <is>
          <t>2478</t>
        </is>
      </c>
      <c r="B2457" s="18" t="inlineStr">
        <is>
          <t>ควรได้รับการรักษาด้วยยาปฏิชีวนะ ข้อใดเป็นอันดับแรก</t>
        </is>
      </c>
      <c r="C2457" s="18" t="inlineStr"/>
      <c r="D2457" s="18" t="inlineStr">
        <is>
          <t>amoxicillin</t>
        </is>
      </c>
      <c r="E2457" s="18" t="inlineStr">
        <is>
          <t>ampicillin</t>
        </is>
      </c>
      <c r="F2457" s="18" t="inlineStr">
        <is>
          <t>Roxithromycin</t>
        </is>
      </c>
      <c r="G2457" s="18" t="inlineStr">
        <is>
          <t>Azithromycin</t>
        </is>
      </c>
      <c r="H2457" s="18" t="inlineStr">
        <is>
          <t>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t>
        </is>
      </c>
      <c r="I2457" s="15" t="inlineStr">
        <is>
          <t>1</t>
        </is>
      </c>
      <c r="J2457" s="18"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(ampicillin): ข้อนี้ไม่ใช่คำตอบที่ถูกต้องสำหรับภาวะ General Therapeutics เนื่องจากกลไกการออกฤทธิ์, efficacy หรือข้อบ่งใช้ไม่ตรงกับโจทย์ที่กำหนด
• ข้อ ค. (Roxithromycin): ข้อนี้ไม่ใช่คำตอบที่ถูกต้องสำหรับภาวะ General Therapeutics เนื่องจากกลไกการออกฤทธิ์, efficacy หรือข้อบ่งใช้ไม่ตรงกับโจทย์ที่กำหนด
• ข้อ ง. (Azithromycin): เป็น Macrolide ครอบคลุม atypical pathogens (Mycoplasma, Chlamydia, Legionella) ขจัดออกทางตับเป็นหลัก และมี half-life ยาวนาน (~68 ชม.)
• ข้อ จ. (Ciprofloxacin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7" s="18" t="inlineStr"/>
      <c r="L2457" s="18" t="inlineStr">
        <is>
          <t>General Therapeutics</t>
        </is>
      </c>
      <c r="M2457" s="18" t="inlineStr">
        <is>
          <t>Clinic</t>
        </is>
      </c>
      <c r="N2457" s="18" t="inlineStr">
        <is>
          <t>ข้อ 101 (PLE_CC1_Key_Rx20_UBU.md)</t>
        </is>
      </c>
      <c r="O2457" s="18" t="inlineStr">
        <is>
          <t>Mock</t>
        </is>
      </c>
      <c r="P2457" s="18" t="inlineStr">
        <is>
          <t>Mock Rx20 UBU</t>
        </is>
      </c>
    </row>
    <row r="2458">
      <c r="A2458" s="15" t="inlineStr">
        <is>
          <t>2479</t>
        </is>
      </c>
      <c r="B2458" s="18" t="inlineStr">
        <is>
          <t>ระยะเวลาในการรักษาข้อใดเหมาะสมที่สุด</t>
        </is>
      </c>
      <c r="C2458" s="18" t="inlineStr"/>
      <c r="D2458" s="18" t="inlineStr">
        <is>
          <t>3 days</t>
        </is>
      </c>
      <c r="E2458" s="18" t="inlineStr">
        <is>
          <t>7 days</t>
        </is>
      </c>
      <c r="F2458" s="18" t="inlineStr">
        <is>
          <t>14 days</t>
        </is>
      </c>
      <c r="G2458" s="18" t="inlineStr">
        <is>
          <t>21 days</t>
        </is>
      </c>
      <c r="H2458" s="18" t="inlineStr">
        <is>
          <t>28 days</t>
        </is>
      </c>
      <c r="I2458" s="15" t="inlineStr">
        <is>
          <t>2</t>
        </is>
      </c>
      <c r="J2458" s="18" t="inlineStr">
        <is>
          <t>✅ คำตอบที่ถูกต้อง: ข้อ ข.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 days การเลือก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(3 days): ข้อนี้ไม่ใช่คำตอบที่ถูกต้องสำหรับภาวะ General Therapeutics เนื่องจากกลไกการออกฤทธิ์, efficacy หรือข้อบ่งใช้ไม่ตรงกับโจทย์ที่กำหนด
• ข้อ ค. (14 days): ข้อนี้ไม่ใช่คำตอบที่ถูกต้องสำหรับภาวะ General Therapeutics เนื่องจากกลไกการออกฤทธิ์, efficacy หรือข้อบ่งใช้ไม่ตรงกับโจทย์ที่กำหนด
• ข้อ ง. (21 days): ข้อนี้ไม่ใช่คำตอบที่ถูกต้องสำหรับภาวะ General Therapeutics เนื่องจากกลไกการออกฤทธิ์, efficacy หรือข้อบ่งใช้ไม่ตรงกับโจทย์ที่กำหนด
• ข้อ จ. (28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8" s="18" t="inlineStr"/>
      <c r="L2458" s="18" t="inlineStr">
        <is>
          <t>General Therapeutics</t>
        </is>
      </c>
      <c r="M2458" s="18" t="inlineStr">
        <is>
          <t>Clinic</t>
        </is>
      </c>
      <c r="N2458" s="18" t="inlineStr">
        <is>
          <t>ข้อ 102 (PLE_CC1_Key_Rx20_UBU.md)</t>
        </is>
      </c>
      <c r="O2458" s="18" t="inlineStr">
        <is>
          <t>Mock</t>
        </is>
      </c>
      <c r="P2458" s="18" t="inlineStr">
        <is>
          <t>Mock Rx20 UBU</t>
        </is>
      </c>
    </row>
    <row r="2459">
      <c r="A2459" s="15" t="inlineStr">
        <is>
          <t>2480</t>
        </is>
      </c>
      <c r="B2459" s="18" t="inlineStr">
        <is>
          <t>ยา prednisolone 5 mg 1 กระปุก (เปิดแล้ว) ไม่มีเลขทะเบียนยา</t>
        </is>
      </c>
      <c r="C2459" s="18" t="inlineStr"/>
      <c r="D2459" s="18" t="inlineStr">
        <is>
          <t>Cetirizine 10 mg OD</t>
        </is>
      </c>
      <c r="E2459" s="18" t="inlineStr">
        <is>
          <t>Loratadine 10 mg OD</t>
        </is>
      </c>
      <c r="F2459" s="18" t="inlineStr">
        <is>
          <t>Fexofenadine 180 mg OD</t>
        </is>
      </c>
      <c r="G2459" s="18" t="inlineStr">
        <is>
          <t>Chlorpheniramine 4 mg TID</t>
        </is>
      </c>
      <c r="H2459" s="18" t="inlineStr">
        <is>
          <t>Fluticasone furoate nasal spray</t>
        </is>
      </c>
      <c r="I2459" s="15" t="inlineStr">
        <is>
          <t>1</t>
        </is>
      </c>
      <c r="J2459" s="18"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59" s="18" t="inlineStr"/>
      <c r="L2459" s="18" t="inlineStr">
        <is>
          <t>Allergy &amp; Immunology</t>
        </is>
      </c>
      <c r="M2459" s="18" t="inlineStr">
        <is>
          <t>Clinic</t>
        </is>
      </c>
      <c r="N2459" s="18" t="inlineStr">
        <is>
          <t>ข้อ 1 (PLE_CC1_Key_Rx20_UBU.md)</t>
        </is>
      </c>
      <c r="O2459" s="18" t="inlineStr">
        <is>
          <t>Mock</t>
        </is>
      </c>
      <c r="P2459" s="18" t="inlineStr">
        <is>
          <t>Mock Rx20 UBU</t>
        </is>
      </c>
    </row>
    <row r="2460">
      <c r="A2460" s="15" t="inlineStr">
        <is>
          <t>2481</t>
        </is>
      </c>
      <c r="B2460" s="18" t="inlineStr">
        <is>
          <t>ยา prednisolone จัดเป็นยาอะไร</t>
        </is>
      </c>
      <c r="C2460" s="18" t="inlineStr"/>
      <c r="D2460" s="18" t="inlineStr">
        <is>
          <t>ยาปลอม</t>
        </is>
      </c>
      <c r="E2460" s="18" t="inlineStr">
        <is>
          <t>ยาที่ถูกยกเลิกทะเบียน</t>
        </is>
      </c>
      <c r="F2460" s="18" t="inlineStr">
        <is>
          <t>ยาที่ถูกเพิกถอนทะเบียน</t>
        </is>
      </c>
      <c r="G2460" s="18" t="inlineStr">
        <is>
          <t>ยาที่มิได้ขึ้นทะเบียน</t>
        </is>
      </c>
      <c r="H2460" s="18" t="inlineStr">
        <is>
          <t>ยาผิดมาตรฐาน</t>
        </is>
      </c>
      <c r="I2460" s="15" t="inlineStr">
        <is>
          <t>4</t>
        </is>
      </c>
      <c r="J2460" s="18" t="inlineStr">
        <is>
          <t>✅ คำตอบที่ถูกต้อง: ข้อ ง. ยาที่มิได้ขึ้นทะเบียน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ยาที่มิได้ขึ้นทะเบียน การเลือก ยาที่มิได้ขึ้นทะเบียน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(ยาปลอม): ข้อนี้ไม่ใช่คำตอบที่ถูกต้องสำหรับภาวะ Allergy &amp; Immunology เนื่องจากกลไกการออกฤทธิ์, efficacy หรือข้อบ่งใช้ไม่ตรงกับโจทย์ที่กำหนด
• ข้อ ข. (ยาที่ถูกยกเลิกทะเบียน):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ค. (ยาที่ถูกเพิกถอนทะเบียน):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จ. (ยาผิดมาตรฐาน):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0" s="18" t="inlineStr"/>
      <c r="L2460" s="18" t="inlineStr">
        <is>
          <t>Allergy &amp; Immunology</t>
        </is>
      </c>
      <c r="M2460" s="18" t="inlineStr">
        <is>
          <t>Clinic</t>
        </is>
      </c>
      <c r="N2460" s="18" t="inlineStr">
        <is>
          <t>ข้อ 109 (PLE_CC1_Key_Rx20_UBU.md)</t>
        </is>
      </c>
      <c r="O2460" s="18" t="inlineStr">
        <is>
          <t>Mock</t>
        </is>
      </c>
      <c r="P2460" s="18" t="inlineStr">
        <is>
          <t>Mock Rx20 UBU</t>
        </is>
      </c>
    </row>
    <row r="2461">
      <c r="A2461" s="15" t="inlineStr">
        <is>
          <t>2482</t>
        </is>
      </c>
      <c r="B2461" s="18" t="inlineStr">
        <is>
          <t>กรณีพบยา prednisolone ใครผิด ผิดอย่างไร</t>
        </is>
      </c>
      <c r="C2461" s="18" t="inlineStr"/>
      <c r="D2461" s="18" t="inlineStr">
        <is>
          <t>นาย ค ผิด ฐานขายยาที่มิได้ขึ้นทะเบียนตำรับยา</t>
        </is>
      </c>
      <c r="E2461" s="18" t="inlineStr">
        <is>
          <t>นาง ข ผิด ฐานขายยาที่มิได้ขึ้นทะเบียนตำรับยา</t>
        </is>
      </c>
      <c r="F2461" s="18" t="inlineStr">
        <is>
          <t>ภญ. ก ผิด ฐานขายยาที่มิได้ขึ้นทะเบียนตำรับยา</t>
        </is>
      </c>
      <c r="G2461" s="18" t="inlineStr">
        <is>
          <t>นาย ค และนาง ข ฐานขายยาที่มิได้ขึ้นทะเบียนตำรับยา</t>
        </is>
      </c>
      <c r="H2461" s="18" t="inlineStr">
        <is>
          <t>ไม่มีผู้ใดผิด</t>
        </is>
      </c>
      <c r="I2461" s="15" t="inlineStr">
        <is>
          <t>3</t>
        </is>
      </c>
      <c r="J2461" s="18" t="inlineStr">
        <is>
          <t>✅ คำตอบที่ถูกต้อง: ข้อ ค. ภญ. ก ผิด ฐานขายยาที่มิได้ขึ้นทะเบียนตำรับยา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ภญ. ก ผิด ฐานขายยาที่มิได้ขึ้นทะเบียนตำรับยา การเลือก ภญ. ก ผิด ฐานขายยาที่มิได้ขึ้นทะเบียนตำรับยา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(นาย ค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ข. (นาง ข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ง. (นาย ค และนาง ข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จ. (ไม่มีผู้ใดผิด):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1" s="18" t="inlineStr"/>
      <c r="L2461" s="18" t="inlineStr">
        <is>
          <t>Allergy &amp; Immunology</t>
        </is>
      </c>
      <c r="M2461" s="18" t="inlineStr">
        <is>
          <t>Clinic</t>
        </is>
      </c>
      <c r="N2461" s="18" t="inlineStr">
        <is>
          <t>ข้อ 110 (PLE_CC1_Key_Rx20_UBU.md)</t>
        </is>
      </c>
      <c r="O2461" s="18" t="inlineStr">
        <is>
          <t>Mock</t>
        </is>
      </c>
      <c r="P2461" s="18" t="inlineStr">
        <is>
          <t>Mock Rx20 UBU</t>
        </is>
      </c>
    </row>
    <row r="2462">
      <c r="A2462" s="15" t="inlineStr">
        <is>
          <t>2483</t>
        </is>
      </c>
      <c r="B2462" s="18" t="inlineStr">
        <is>
          <t>จากกรณีที่มีการขายยา Indomethacin ให้สายล่อซื้อ ใครผิด</t>
        </is>
      </c>
      <c r="C2462" s="18" t="inlineStr"/>
      <c r="D2462" s="18" t="inlineStr">
        <is>
          <t>ภญ. ก ผิด ฐานผู้รับอนุญาตปล่อยให้มีการขายยาอันตรายขณะเภสัชไม่อยู่</t>
        </is>
      </c>
      <c r="E2462" s="18" t="inlineStr">
        <is>
          <t>นาง ข ผิด ฐานผู้รับอนุญาตปล่อยให้มีการขายยาอันตรายขณะเภสัชไม่อยู่</t>
        </is>
      </c>
      <c r="F2462" s="18" t="inlineStr">
        <is>
          <t>นาง ข ผิด ฐานขายยาอันตรายขณะเภสัชไม่อยู่</t>
        </is>
      </c>
      <c r="G2462" s="18" t="inlineStr">
        <is>
          <t>นาย ค และ นาง ข. ผิด ฐานขายยาอันตรายขณะเภสัชไม่อยู่</t>
        </is>
      </c>
      <c r="H2462" s="18" t="inlineStr">
        <is>
          <t>ไม่มีผู้ใดผิด</t>
        </is>
      </c>
      <c r="I2462" s="15" t="inlineStr">
        <is>
          <t>1</t>
        </is>
      </c>
      <c r="J2462" s="18" t="inlineStr">
        <is>
          <t>✅ คำตอบที่ถูกต้อง: ข้อ ก. ภญ. ก ผิด ฐานผู้รับอนุญาตปล่อยให้มีการขายยาอันตรายขณะเภสัชไม่อยู่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ภญ. ก ผิด ฐานผู้รับอนุญาตปล่อยให้มีการขายยาอันตรายขณะเภสัชไม่อยู่ การเลือก ภญ. ก ผิด ฐานผู้รับอนุญาตปล่อยให้มีการขายยาอันตรายขณะเภสัชไม่อยู่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(นาง ข ผิด ฐานผู้รับอนุญาตปล่อยให้มีการขายยาอันตรายขณะเภสัชไม่อยู่):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(นาย ค และ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(ไม่มีผู้ใดผิด):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2462" s="18" t="inlineStr"/>
      <c r="L2462" s="18" t="inlineStr">
        <is>
          <t>Musculoskeletal &amp; Joint</t>
        </is>
      </c>
      <c r="M2462" s="18" t="inlineStr">
        <is>
          <t>Clinic</t>
        </is>
      </c>
      <c r="N2462" s="18" t="inlineStr">
        <is>
          <t>ข้อ 112 (PLE_CC1_Key_Rx20_UBU.md)</t>
        </is>
      </c>
      <c r="O2462" s="18" t="inlineStr">
        <is>
          <t>Mock</t>
        </is>
      </c>
      <c r="P2462" s="18" t="inlineStr">
        <is>
          <t>Mock Rx20 UBU</t>
        </is>
      </c>
    </row>
    <row r="2463">
      <c r="A2463" s="15" t="inlineStr">
        <is>
          <t>2484</t>
        </is>
      </c>
      <c r="B2463" s="18" t="inlineStr">
        <is>
          <t>จากการพบซองยาที่มียา 2 ชนิดอยู่ภายใน เตรียมไว้ล่วงหน้า ใครผิดข้อหาใด</t>
        </is>
      </c>
      <c r="C2463" s="18" t="inlineStr"/>
      <c r="D2463" s="18" t="inlineStr">
        <is>
          <t>ภญ. ก ผิด ฐานผลิตยาชุด</t>
        </is>
      </c>
      <c r="E2463" s="18" t="inlineStr">
        <is>
          <t>ภญ. ก ผิด ฐานขายยาชุด</t>
        </is>
      </c>
      <c r="F2463" s="18" t="inlineStr">
        <is>
          <t>ภญ. ก ผิด ฐานขายยาโดยไม่ได้รับอนุญาต</t>
        </is>
      </c>
      <c r="G2463" s="18" t="inlineStr">
        <is>
          <t>นาง ข ผิด ฐานผลิตยาชุด</t>
        </is>
      </c>
      <c r="H2463" s="18" t="inlineStr">
        <is>
          <t>ไม่มีผู้ใดผิด เพราะยังไม่มีการขายเกิดขึ้น</t>
        </is>
      </c>
      <c r="I2463" s="15" t="inlineStr">
        <is>
          <t>2</t>
        </is>
      </c>
      <c r="J2463" s="18" t="inlineStr">
        <is>
          <t>✅ คำตอบที่ถูกต้อง: ข้อ ข. ภญ. ก ผิด ฐานขายยาชุด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 ก ผิด ฐานขายยาชุด การเลือก ภญ. ก ผิด ฐานขายยาชุด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(ภญ. ก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ค. (ภญ. ก ผิด ฐานขายยาโดยไม่ได้รับอนุญาต):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(นาง ข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จ. (ไม่มีผู้ใดผิด เพราะยังไม่มีการขายเกิดขึ้น):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3" s="18" t="inlineStr"/>
      <c r="L2463" s="18" t="inlineStr">
        <is>
          <t>General Therapeutics</t>
        </is>
      </c>
      <c r="M2463" s="18" t="inlineStr">
        <is>
          <t>Clinic</t>
        </is>
      </c>
      <c r="N2463" s="18" t="inlineStr">
        <is>
          <t>ข้อ 114 (PLE_CC1_Key_Rx20_UBU.md)</t>
        </is>
      </c>
      <c r="O2463" s="18" t="inlineStr">
        <is>
          <t>Mock</t>
        </is>
      </c>
      <c r="P2463" s="18" t="inlineStr">
        <is>
          <t>Mock Rx20 UBU</t>
        </is>
      </c>
    </row>
    <row r="2464">
      <c r="A2464" s="15" t="inlineStr">
        <is>
          <t>2485</t>
        </is>
      </c>
      <c r="B2464" s="18" t="inlineStr">
        <is>
          <t>จากการตรวจไม่พบบัญชีซื้อขายยาอันตราย ภญ. ก มีความผิดอย่างไร</t>
        </is>
      </c>
      <c r="C2464" s="18" t="inlineStr"/>
      <c r="D2464" s="18" t="inlineStr">
        <is>
          <t>ไม่มีความผิด</t>
        </is>
      </c>
      <c r="E2464" s="18" t="inlineStr">
        <is>
          <t>ผิด ฐานไม่จัดทำบัญชีขายยาอันตรายตามที่คณะรัฐมนตรีประกาศ</t>
        </is>
      </c>
      <c r="F2464" s="18" t="inlineStr">
        <is>
          <t>ผิด ฐานไม่จัดทำบัญชีการซื้อยา</t>
        </is>
      </c>
      <c r="G2464" s="18" t="inlineStr">
        <is>
          <t>ผิด ฐานไม่ควบคุมบัญชีซื้อขายยาอันตราย</t>
        </is>
      </c>
      <c r="H2464" s="18" t="inlineStr">
        <is>
          <t>ผิด ฐานไม่จัดทำและควบคุมบัญชีซื้อขายยาอันตราย</t>
        </is>
      </c>
      <c r="I2464" s="15" t="inlineStr">
        <is>
          <t>5</t>
        </is>
      </c>
      <c r="J2464" s="18" t="inlineStr">
        <is>
          <t>✅ คำตอบที่ถูกต้อง: ข้อ จ. ผิด ฐานไม่จัดทำและควบคุมบัญชีซื้อขายยาอันตราย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ฐานไม่จัดทำและควบคุมบัญชีซื้อขายยาอันตราย 💡 คำอธิบายและข้อกำหนดทางกฎหมาย:
💡 คำอธิบายและข้อกำหนดทางกฎหมาย:
การเลือก ผิด ฐานไม่จัดทำและควบคุมบัญชีซื้อขายยาอันตราย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(ผิด ฐานไม่จัดทำบัญชีขายยาอันตรายตามที่คณะรัฐมนตรีประกาศ):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(ผิด ฐานไม่จัดทำบัญชีการซื้อยา): ข้อนี้ไม่ใช่คำตอบที่ถูกต้องสำหรับภาวะ Pharmacy Laws &amp; Ethics เนื่องจากกลไกการออกฤทธิ์, efficacy หรือข้อบ่งใช้ไม่ตรงกับโจทย์ที่กำหนด
• ข้อ ง. (ผิด ฐานไม่ควบคุมบัญชีซื้อขายยาอันตราย):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4" s="18" t="inlineStr"/>
      <c r="L2464" s="18" t="inlineStr">
        <is>
          <t>Pharmacy Laws &amp; Ethics</t>
        </is>
      </c>
      <c r="M2464" s="18" t="inlineStr">
        <is>
          <t>SAP</t>
        </is>
      </c>
      <c r="N2464" s="18" t="inlineStr">
        <is>
          <t>ข้อ 115 (PLE_CC1_Key_Rx20_UBU.md)</t>
        </is>
      </c>
      <c r="O2464" s="18" t="inlineStr">
        <is>
          <t>Mock</t>
        </is>
      </c>
      <c r="P2464" s="18" t="inlineStr">
        <is>
          <t>Mock Rx20 UBU</t>
        </is>
      </c>
    </row>
    <row r="2465">
      <c r="A2465" s="15" t="inlineStr">
        <is>
          <t>2486</t>
        </is>
      </c>
      <c r="B2465" s="18" t="inlineStr">
        <is>
          <t>ในกรณีนี้ ภญ. ก มีความผิดในข้อใดชัดเจนที่สุด</t>
        </is>
      </c>
      <c r="C2465" s="18" t="inlineStr"/>
      <c r="D2465" s="18" t="inlineStr">
        <is>
          <t>ไม่อยู่ปฏิบัติการตามเวลาทำการ</t>
        </is>
      </c>
      <c r="E2465" s="18" t="inlineStr">
        <is>
          <t>ขายยาโดยไม่ได้รับอนุญาต</t>
        </is>
      </c>
      <c r="F2465" s="18" t="inlineStr">
        <is>
          <t>ไม่ให้คำแนะนำในการส่งมอบยา</t>
        </is>
      </c>
      <c r="G2465" s="18" t="inlineStr">
        <is>
          <t>ไม่จัดเก็บรักษาและส่งมอบยาให้ถูกต้องตามเกณฑ์มาตรฐาน</t>
        </is>
      </c>
      <c r="H2465" s="18" t="inlineStr">
        <is>
          <t>ไม่แสดงชื่อยา ความแรง ขนาดการใช้ที่ชัดเจน</t>
        </is>
      </c>
      <c r="I2465" s="15" t="inlineStr">
        <is>
          <t>1</t>
        </is>
      </c>
      <c r="J2465" s="18" t="inlineStr">
        <is>
          <t>✅ คำตอบที่ถูกต้อง: ข้อ ก. ไม่อยู่ปฏิบัติการตามเวลาทำการ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ไม่อยู่ปฏิบัติการตามเวลาทำการ การเลือก ไม่อยู่ปฏิบัติการตามเวลาทำการ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ค. (ไม่ให้คำแนะนำในการส่งมอบยา): ข้อนี้ไม่ใช่คำตอบที่ถูกต้องสำหรับภาวะ General Therapeutics เนื่องจากกลไกการออกฤทธิ์, efficacy หรือข้อบ่งใช้ไม่ตรงกับโจทย์ที่กำหนด
• ข้อ ง. (ไม่จัดเก็บรักษาและส่งมอบยาให้ถูกต้องตามเกณฑ์มาตรฐาน):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จ. (ไม่แสดงชื่อยา ความแรง ขนาดการใช้ที่ชัดเจน):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5" s="18" t="inlineStr"/>
      <c r="L2465" s="18" t="inlineStr">
        <is>
          <t>General Therapeutics</t>
        </is>
      </c>
      <c r="M2465" s="18" t="inlineStr">
        <is>
          <t>Clinic</t>
        </is>
      </c>
      <c r="N2465" s="18" t="inlineStr">
        <is>
          <t>ข้อ 116 (PLE_CC1_Key_Rx20_UBU.md)</t>
        </is>
      </c>
      <c r="O2465" s="18" t="inlineStr">
        <is>
          <t>Mock</t>
        </is>
      </c>
      <c r="P2465" s="18" t="inlineStr">
        <is>
          <t>Mock Rx20 UBU</t>
        </is>
      </c>
    </row>
    <row r="2466">
      <c r="A2466" s="15" t="inlineStr">
        <is>
          <t>2487</t>
        </is>
      </c>
      <c r="B2466" s="18" t="inlineStr">
        <is>
          <t>ผู้อำนวยการสถานีเคเบิลมีความผิดอย่างไร</t>
        </is>
      </c>
      <c r="C2466" s="18" t="inlineStr"/>
      <c r="D2466" s="18" t="inlineStr">
        <is>
          <t>โฆษณาโดยแสดงความทุกข์ทรมาน</t>
        </is>
      </c>
      <c r="E2466" s="18" t="inlineStr">
        <is>
          <t>โฆษณายาโดยไม่ขออนุญาต</t>
        </is>
      </c>
      <c r="F2466" s="18" t="inlineStr">
        <is>
          <t>โฆษณาอาหารโดยไม่ขออนุญาต</t>
        </is>
      </c>
      <c r="G2466" s="18" t="inlineStr">
        <is>
          <t>โฆษณาโดยการแถมพก</t>
        </is>
      </c>
      <c r="H2466" s="18" t="inlineStr">
        <is>
          <t>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t>
        </is>
      </c>
      <c r="I2466" s="15" t="inlineStr">
        <is>
          <t>2</t>
        </is>
      </c>
      <c r="J2466" s="18" t="inlineStr">
        <is>
          <t>✅ คำตอบที่ถูกต้อง: ข้อ ข. โฆษณายาโดยไม่ขออนุญาต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โฆษณายาโดยไม่ขออนุญาต การเลือก โฆษณายาโดยไม่ขออนุญาต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(โฆษณาโดยแสดงความทุกข์ทรมาน): ข้อนี้ไม่ใช่คำตอบที่ถูกต้องสำหรับภาวะ General Therapeutics เนื่องจากกลไกการออกฤทธิ์, efficacy หรือข้อบ่งใช้ไม่ตรงกับโจทย์ที่กำหนด
• ข้อ ค. (โฆษณาอาหารโดยไม่ขออนุญาต):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(โฆษณาโดยการแถมพก): ข้อนี้ไม่ใช่คำตอบที่ถูกต้องสำหรับภาวะ General Therapeutics เนื่องจากกลไกการออกฤทธิ์, efficacy หรือข้อบ่งใช้ไม่ตรงกับโจทย์ที่กำหนด
• ข้อ จ. (ไม่ผิด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6" s="18" t="inlineStr"/>
      <c r="L2466" s="18" t="inlineStr">
        <is>
          <t>General Therapeutics</t>
        </is>
      </c>
      <c r="M2466" s="18" t="inlineStr">
        <is>
          <t>Clinic</t>
        </is>
      </c>
      <c r="N2466" s="18" t="inlineStr">
        <is>
          <t>ข้อ 120 (PLE_CC1_Key_Rx20_UBU.md)</t>
        </is>
      </c>
      <c r="O2466" s="18" t="inlineStr">
        <is>
          <t>Mock</t>
        </is>
      </c>
      <c r="P2466" s="18" t="inlineStr">
        <is>
          <t>Mock Rx20 UBU</t>
        </is>
      </c>
    </row>
    <row r="2467">
      <c r="A2467" s="15" t="inlineStr">
        <is>
          <t>2488</t>
        </is>
      </c>
      <c r="B2467" s="18" t="inlineStr">
        <is>
          <t>sevilamer carbonate 800 mg 1 tab tid 90</t>
        </is>
      </c>
      <c r="C2467" s="18" t="inlineStr"/>
      <c r="D2467" s="18" t="inlineStr">
        <is>
          <t>N-acetylcysteine (NAC) IV infusion protocol</t>
        </is>
      </c>
      <c r="E2467" s="18" t="inlineStr">
        <is>
          <t>Atropine sulfate 2 mg IV Q5-10 min</t>
        </is>
      </c>
      <c r="F2467" s="18" t="inlineStr">
        <is>
          <t>Pralidoxime (2-PAM) 1-2 g IV over 30 min</t>
        </is>
      </c>
      <c r="G2467" s="18" t="inlineStr">
        <is>
          <t>Naloxone 0.4 mg IV stat</t>
        </is>
      </c>
      <c r="H2467" s="18" t="inlineStr">
        <is>
          <t>Flumazenil 0.2 mg IV stat</t>
        </is>
      </c>
      <c r="I2467" s="15" t="inlineStr">
        <is>
          <t>1</t>
        </is>
      </c>
      <c r="J2467"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67" s="18" t="inlineStr"/>
      <c r="L2467" s="18" t="inlineStr">
        <is>
          <t>General Therapeutics</t>
        </is>
      </c>
      <c r="M2467" s="18" t="inlineStr">
        <is>
          <t>Clinic</t>
        </is>
      </c>
      <c r="N2467" s="18" t="inlineStr">
        <is>
          <t>ข้อ 1 (PLE_CC1_Key_Rx20_UBU.md)</t>
        </is>
      </c>
      <c r="O2467" s="18" t="inlineStr">
        <is>
          <t>Mock</t>
        </is>
      </c>
      <c r="P2467" s="18" t="inlineStr">
        <is>
          <t>Mock Rx20 UBU</t>
        </is>
      </c>
    </row>
    <row r="2468">
      <c r="A2468" s="15" t="inlineStr">
        <is>
          <t>2489</t>
        </is>
      </c>
      <c r="B2468" s="18" t="inlineStr">
        <is>
          <t>calcium polystylene sulfonate 1 pack OD 30</t>
        </is>
      </c>
      <c r="C2468" s="18" t="inlineStr"/>
      <c r="D2468" s="18" t="inlineStr">
        <is>
          <t>Naloxone 0.4 mg IV stat</t>
        </is>
      </c>
      <c r="E2468" s="18" t="inlineStr">
        <is>
          <t>Flumazenil 0.2 mg IV stat</t>
        </is>
      </c>
      <c r="F2468" s="18" t="inlineStr">
        <is>
          <t>Vitamin K1 (Phytomenadione) 10 mg IV slow</t>
        </is>
      </c>
      <c r="G2468" s="18" t="inlineStr">
        <is>
          <t>Sodium thiosulfate 25% 50 mL IV</t>
        </is>
      </c>
      <c r="H2468" s="18" t="inlineStr">
        <is>
          <t>Calcium disodium EDTA 1 g IV</t>
        </is>
      </c>
      <c r="I2468" s="15" t="inlineStr">
        <is>
          <t>1</t>
        </is>
      </c>
      <c r="J2468"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68" s="18" t="inlineStr"/>
      <c r="L2468" s="18" t="inlineStr">
        <is>
          <t>General Therapeutics</t>
        </is>
      </c>
      <c r="M2468" s="18" t="inlineStr">
        <is>
          <t>Clinic</t>
        </is>
      </c>
      <c r="N2468" s="18" t="inlineStr">
        <is>
          <t>ข้อ 2 (PLE_CC1_Key_Rx20_UBU.md)</t>
        </is>
      </c>
      <c r="O2468" s="18" t="inlineStr">
        <is>
          <t>Mock</t>
        </is>
      </c>
      <c r="P2468" s="18" t="inlineStr">
        <is>
          <t>Mock Rx20 UBU</t>
        </is>
      </c>
    </row>
    <row r="2469">
      <c r="A2469" s="15" t="inlineStr">
        <is>
          <t>2490</t>
        </is>
      </c>
      <c r="B2469" s="18" t="inlineStr">
        <is>
          <t>ฺB 1-6-12 1 tab tid 90</t>
        </is>
      </c>
      <c r="C2469" s="18" t="inlineStr"/>
      <c r="D2469" s="18" t="inlineStr">
        <is>
          <t>Sodium thiosulfate 25% 50 mL IV</t>
        </is>
      </c>
      <c r="E2469" s="18" t="inlineStr">
        <is>
          <t>Calcium disodium EDTA 1 g IV</t>
        </is>
      </c>
      <c r="F2469" s="18" t="inlineStr">
        <is>
          <t>Desferrioxamine 1 g IM/IV</t>
        </is>
      </c>
      <c r="G2469" s="18" t="inlineStr">
        <is>
          <t>Dimercaprol (BAL) 3 mg/kg IM</t>
        </is>
      </c>
      <c r="H2469" s="18" t="inlineStr">
        <is>
          <t>Ethanol 10% IV infusion for Methanol poisoning</t>
        </is>
      </c>
      <c r="I2469" s="15" t="inlineStr">
        <is>
          <t>1</t>
        </is>
      </c>
      <c r="J2469"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9" s="18" t="inlineStr"/>
      <c r="L2469" s="18" t="inlineStr">
        <is>
          <t>General Therapeutics</t>
        </is>
      </c>
      <c r="M2469" s="18" t="inlineStr">
        <is>
          <t>Clinic</t>
        </is>
      </c>
      <c r="N2469" s="18" t="inlineStr">
        <is>
          <t>ข้อ 6 (PLE_CC1_Key_Rx20_UBU.md)</t>
        </is>
      </c>
      <c r="O2469" s="18" t="inlineStr">
        <is>
          <t>Mock</t>
        </is>
      </c>
      <c r="P2469" s="18" t="inlineStr">
        <is>
          <t>Mock Rx20 UBU</t>
        </is>
      </c>
    </row>
    <row r="2470">
      <c r="A2470" s="15" t="inlineStr">
        <is>
          <t>2491</t>
        </is>
      </c>
      <c r="B2470" s="18" t="inlineStr">
        <is>
          <t>Epoetin ทุกวันจันทร์ กับ พฤหัสบดี 6</t>
        </is>
      </c>
      <c r="C2470" s="18" t="inlineStr"/>
      <c r="D2470" s="18" t="inlineStr">
        <is>
          <t>Dimercaprol (BAL) 3 mg/kg IM</t>
        </is>
      </c>
      <c r="E2470" s="18" t="inlineStr">
        <is>
          <t>Ethanol 10% IV infusion for Methanol poisoning</t>
        </is>
      </c>
      <c r="F2470" s="18" t="inlineStr">
        <is>
          <t>Fomepizole 15 mg/kg IV loading</t>
        </is>
      </c>
      <c r="G2470" s="18" t="inlineStr">
        <is>
          <t>N-acetylcysteine (NAC) IV infusion protocol</t>
        </is>
      </c>
      <c r="H2470" s="18" t="inlineStr">
        <is>
          <t>Atropine sulfate 2 mg IV Q5-10 min</t>
        </is>
      </c>
      <c r="I2470" s="15" t="inlineStr">
        <is>
          <t>1</t>
        </is>
      </c>
      <c r="J2470"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0" s="18" t="inlineStr"/>
      <c r="L2470" s="18" t="inlineStr">
        <is>
          <t>General Therapeutics</t>
        </is>
      </c>
      <c r="M2470" s="18" t="inlineStr">
        <is>
          <t>Clinic</t>
        </is>
      </c>
      <c r="N2470" s="18" t="inlineStr">
        <is>
          <t>ข้อ 12 (PLE_CC1_Key_Rx20_UBU.md)</t>
        </is>
      </c>
      <c r="O2470" s="18" t="inlineStr">
        <is>
          <t>Mock</t>
        </is>
      </c>
      <c r="P2470" s="18" t="inlineStr">
        <is>
          <t>Mock Rx20 UBU</t>
        </is>
      </c>
    </row>
    <row r="2471">
      <c r="A2471" s="15" t="inlineStr">
        <is>
          <t>2492</t>
        </is>
      </c>
      <c r="B2471" s="18" t="inlineStr">
        <is>
          <t>NPH 12-0-8 ข้อ 10 sevelamer carbonate มีข้อบ่งใช้ใดในผู้ป่วยรายนี้</t>
        </is>
      </c>
      <c r="C2471" s="18" t="inlineStr"/>
      <c r="D2471" s="18" t="inlineStr">
        <is>
          <t>HCO3 18</t>
        </is>
      </c>
      <c r="E2471" s="18" t="inlineStr">
        <is>
          <t>HCO3 26</t>
        </is>
      </c>
      <c r="F2471" s="18" t="inlineStr">
        <is>
          <t>Calcium 8.6</t>
        </is>
      </c>
      <c r="G2471" s="18" t="inlineStr">
        <is>
          <t>potasium 6.5</t>
        </is>
      </c>
      <c r="H2471" s="18" t="inlineStr">
        <is>
          <t>Phosphate 8 ข้อ 11 คำแนะนำข้อใดเหมาะสมเมื่อผู้ป่วยได้รับ sevelamer carbonate</t>
        </is>
      </c>
      <c r="I2471" s="15" t="inlineStr">
        <is>
          <t>5</t>
        </is>
      </c>
      <c r="J2471" s="18" t="inlineStr">
        <is>
          <t>✅ คำตอบที่ถูกต้อง: ข้อ จ. Phosphate 8 ข้อ 11 คำแนะนำข้อใดเหมาะสมเมื่อผู้ป่วยได้รับ sevelamer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Phosphate 8 ข้อ 11 คำแนะนำข้อใดเหมาะสมเมื่อผู้ป่วยได้รับ sevelamer carbonate การเลือก Phosphate 8 ข้อ 11 คำแนะนำข้อใดเหมาะสมเมื่อผู้ป่วยได้รับ sevelamer carbonate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ก. (HCO3 18): ข้อนี้ไม่ใช่คำตอบที่ถูกต้องสำหรับภาวะ Renal Diseases เนื่องจากกลไกการออกฤทธิ์, efficacy หรือข้อบ่งใช้ไม่ตรงกับโจทย์ที่กำหนด
• ข้อ ข. (HCO3 26): ข้อนี้ไม่ใช่คำตอบที่ถูกต้องสำหรับภาวะ Renal Diseases เนื่องจากกลไกการออกฤทธิ์, efficacy หรือข้อบ่งใช้ไม่ตรงกับโจทย์ที่กำหนด
• ข้อ ค. (Calcium 8.6): ข้อนี้ไม่ใช่คำตอบที่ถูกต้องสำหรับภาวะ Renal Diseases เนื่องจากกลไกการออกฤทธิ์, efficacy หรือข้อบ่งใช้ไม่ตรงกับโจทย์ที่กำหนด
• ข้อ ง. (potasium 6.5):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1" s="18" t="inlineStr"/>
      <c r="L2471" s="18" t="inlineStr">
        <is>
          <t>Renal Diseases</t>
        </is>
      </c>
      <c r="M2471" s="18" t="inlineStr">
        <is>
          <t>Clinic</t>
        </is>
      </c>
      <c r="N2471" s="18" t="inlineStr">
        <is>
          <t>ข้อ 13 (PLE_CC1_Key_Rx20_UBU.md)</t>
        </is>
      </c>
      <c r="O2471" s="18" t="inlineStr">
        <is>
          <t>Mock</t>
        </is>
      </c>
      <c r="P2471" s="18" t="inlineStr">
        <is>
          <t>Mock Rx20 UBU</t>
        </is>
      </c>
    </row>
    <row r="2472">
      <c r="A2472" s="15" t="inlineStr">
        <is>
          <t>2493</t>
        </is>
      </c>
      <c r="B2472" s="18" t="inlineStr">
        <is>
          <t>ยาเตรียมรูปแบบของเหลวที่ไม่ใช่น้ำ (non-aqueous) หรือรูปแบบของแข็งที่เตรียมจากผลิตภัณฑ์สำเร็จรูปที่เป็นแหล่งของตัวยาสำคัญ: ไม่เกิน 25%ของ อายุที่เหลือของอายุผลิตภัณฑ์หรือไม่เกิน 6 เดือน โดยเลือกเวลาที่สั้นกว่า</t>
        </is>
      </c>
      <c r="C2472" s="18" t="inlineStr"/>
      <c r="D2472" s="18" t="inlineStr">
        <is>
          <t>Naloxone 0.4 mg IV stat</t>
        </is>
      </c>
      <c r="E2472" s="18" t="inlineStr">
        <is>
          <t>Flumazenil 0.2 mg IV stat</t>
        </is>
      </c>
      <c r="F2472" s="18" t="inlineStr">
        <is>
          <t>Vitamin K1 (Phytomenadione) 10 mg IV slow</t>
        </is>
      </c>
      <c r="G2472" s="18" t="inlineStr">
        <is>
          <t>Sodium thiosulfate 25% 50 mL IV</t>
        </is>
      </c>
      <c r="H2472" s="18" t="inlineStr">
        <is>
          <t>Calcium disodium EDTA 1 g IV</t>
        </is>
      </c>
      <c r="I2472" s="15" t="inlineStr">
        <is>
          <t>1</t>
        </is>
      </c>
      <c r="J2472"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2" s="18" t="inlineStr"/>
      <c r="L2472" s="18" t="inlineStr">
        <is>
          <t>General Therapeutics</t>
        </is>
      </c>
      <c r="M2472" s="18" t="inlineStr">
        <is>
          <t>Clinic</t>
        </is>
      </c>
      <c r="N2472" s="18" t="inlineStr">
        <is>
          <t>ข้อ 2 (PLE_CC1_Key_Rx20_UBU.md)</t>
        </is>
      </c>
      <c r="O2472" s="18" t="inlineStr">
        <is>
          <t>Mock</t>
        </is>
      </c>
      <c r="P2472" s="18" t="inlineStr">
        <is>
          <t>Mock Rx20 UBU</t>
        </is>
      </c>
    </row>
    <row r="2473">
      <c r="A2473" s="15" t="inlineStr">
        <is>
          <t>2494</t>
        </is>
      </c>
      <c r="B2473" s="18" t="inlineStr">
        <is>
          <t>Ferritin level ต่ำ ค่าของผู้ป่วย 5 (ค่าปกติ ชาย: 15-200, หญิง 12-150, ทั่วไปหาก &lt; 30 จะแสดงถึงภาวะ IDA)</t>
        </is>
      </c>
      <c r="C2473" s="18" t="inlineStr"/>
      <c r="D2473" s="18" t="inlineStr">
        <is>
          <t>Sodium thiosulfate 25% 50 mL IV</t>
        </is>
      </c>
      <c r="E2473" s="18" t="inlineStr">
        <is>
          <t>Calcium disodium EDTA 1 g IV</t>
        </is>
      </c>
      <c r="F2473" s="18" t="inlineStr">
        <is>
          <t>Desferrioxamine 1 g IM/IV</t>
        </is>
      </c>
      <c r="G2473" s="18" t="inlineStr">
        <is>
          <t>Dimercaprol (BAL) 3 mg/kg IM</t>
        </is>
      </c>
      <c r="H2473" s="18" t="inlineStr">
        <is>
          <t>Ethanol 10% IV infusion for Methanol poisoning</t>
        </is>
      </c>
      <c r="I2473" s="15" t="inlineStr">
        <is>
          <t>1</t>
        </is>
      </c>
      <c r="J2473"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3" s="18" t="inlineStr"/>
      <c r="L2473" s="18" t="inlineStr">
        <is>
          <t>General Therapeutics</t>
        </is>
      </c>
      <c r="M2473" s="18" t="inlineStr">
        <is>
          <t>Clinic</t>
        </is>
      </c>
      <c r="N2473" s="18" t="inlineStr">
        <is>
          <t>ข้อ 1 (PLE_CC1_Key_Rx20_UBU.md)</t>
        </is>
      </c>
      <c r="O2473" s="18" t="inlineStr">
        <is>
          <t>Mock</t>
        </is>
      </c>
      <c r="P2473" s="18" t="inlineStr">
        <is>
          <t>Mock Rx20 UBU</t>
        </is>
      </c>
    </row>
    <row r="2474">
      <c r="A2474" s="15" t="inlineStr">
        <is>
          <t>2495</t>
        </is>
      </c>
      <c r="B2474" s="18" t="inlineStr">
        <is>
          <t>TIBC สูง ค่าของผู้ป่วย 465 (ค่าปกติ 240-440)</t>
        </is>
      </c>
      <c r="C2474" s="18" t="inlineStr"/>
      <c r="D2474" s="18" t="inlineStr">
        <is>
          <t>Dimercaprol (BAL) 3 mg/kg IM</t>
        </is>
      </c>
      <c r="E2474" s="18" t="inlineStr">
        <is>
          <t>Ethanol 10% IV infusion for Methanol poisoning</t>
        </is>
      </c>
      <c r="F2474" s="18" t="inlineStr">
        <is>
          <t>Fomepizole 15 mg/kg IV loading</t>
        </is>
      </c>
      <c r="G2474" s="18" t="inlineStr">
        <is>
          <t>N-acetylcysteine (NAC) IV infusion protocol</t>
        </is>
      </c>
      <c r="H2474" s="18" t="inlineStr">
        <is>
          <t>Atropine sulfate 2 mg IV Q5-10 min</t>
        </is>
      </c>
      <c r="I2474" s="15" t="inlineStr">
        <is>
          <t>1</t>
        </is>
      </c>
      <c r="J2474"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4" s="18" t="inlineStr"/>
      <c r="L2474" s="18" t="inlineStr">
        <is>
          <t>General Therapeutics</t>
        </is>
      </c>
      <c r="M2474" s="18" t="inlineStr">
        <is>
          <t>Clinic</t>
        </is>
      </c>
      <c r="N2474" s="18" t="inlineStr">
        <is>
          <t>ข้อ 2 (PLE_CC1_Key_Rx20_UBU.md)</t>
        </is>
      </c>
      <c r="O2474" s="18" t="inlineStr">
        <is>
          <t>Mock</t>
        </is>
      </c>
      <c r="P2474" s="18" t="inlineStr">
        <is>
          <t>Mock Rx20 UBU</t>
        </is>
      </c>
    </row>
    <row r="2475">
      <c r="A2475" s="15" t="inlineStr">
        <is>
          <t>2496</t>
        </is>
      </c>
      <c r="B2475" s="18" t="inlineStr">
        <is>
          <t>Sealing เพื่อป้องกันความชื้น</t>
        </is>
      </c>
      <c r="C2475" s="18" t="inlineStr"/>
      <c r="D2475" s="18" t="inlineStr">
        <is>
          <t>N-acetylcysteine (NAC) IV infusion protocol</t>
        </is>
      </c>
      <c r="E2475" s="18" t="inlineStr">
        <is>
          <t>Atropine sulfate 2 mg IV Q5-10 min</t>
        </is>
      </c>
      <c r="F2475" s="18" t="inlineStr">
        <is>
          <t>Pralidoxime (2-PAM) 1-2 g IV over 30 min</t>
        </is>
      </c>
      <c r="G2475" s="18" t="inlineStr">
        <is>
          <t>Naloxone 0.4 mg IV stat</t>
        </is>
      </c>
      <c r="H2475" s="18" t="inlineStr">
        <is>
          <t>Flumazenil 0.2 mg IV stat</t>
        </is>
      </c>
      <c r="I2475" s="15" t="inlineStr">
        <is>
          <t>1</t>
        </is>
      </c>
      <c r="J2475" s="18"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5" s="18" t="inlineStr"/>
      <c r="L2475" s="18" t="inlineStr">
        <is>
          <t>General Therapeutics</t>
        </is>
      </c>
      <c r="M2475" s="18" t="inlineStr">
        <is>
          <t>Clinic</t>
        </is>
      </c>
      <c r="N2475" s="18" t="inlineStr">
        <is>
          <t>ข้อ 1 (PLE_CC1_Key_Rx20_UBU.md)</t>
        </is>
      </c>
      <c r="O2475" s="18" t="inlineStr">
        <is>
          <t>Mock</t>
        </is>
      </c>
      <c r="P2475" s="18" t="inlineStr">
        <is>
          <t>Mock Rx20 UBU</t>
        </is>
      </c>
    </row>
    <row r="2476">
      <c r="A2476" s="15" t="inlineStr">
        <is>
          <t>2497</t>
        </is>
      </c>
      <c r="B2476" s="18" t="inlineStr">
        <is>
          <t>Smoothing หรือ Grossing เพื่อทำให้ผิวเม็ดยาเรียบ</t>
        </is>
      </c>
      <c r="C2476" s="18" t="inlineStr"/>
      <c r="D2476" s="18" t="inlineStr">
        <is>
          <t>Naloxone 0.4 mg IV stat</t>
        </is>
      </c>
      <c r="E2476" s="18" t="inlineStr">
        <is>
          <t>Flumazenil 0.2 mg IV stat</t>
        </is>
      </c>
      <c r="F2476" s="18" t="inlineStr">
        <is>
          <t>Vitamin K1 (Phytomenadione) 10 mg IV slow</t>
        </is>
      </c>
      <c r="G2476" s="18" t="inlineStr">
        <is>
          <t>Sodium thiosulfate 25% 50 mL IV</t>
        </is>
      </c>
      <c r="H2476" s="18" t="inlineStr">
        <is>
          <t>Calcium disodium EDTA 1 g IV</t>
        </is>
      </c>
      <c r="I2476" s="15" t="inlineStr">
        <is>
          <t>1</t>
        </is>
      </c>
      <c r="J2476" s="18"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6" s="18" t="inlineStr"/>
      <c r="L2476" s="18" t="inlineStr">
        <is>
          <t>General Therapeutics</t>
        </is>
      </c>
      <c r="M2476" s="18" t="inlineStr">
        <is>
          <t>Clinic</t>
        </is>
      </c>
      <c r="N2476" s="18" t="inlineStr">
        <is>
          <t>ข้อ 3 (PLE_CC1_Key_Rx20_UBU.md)</t>
        </is>
      </c>
      <c r="O2476" s="18" t="inlineStr">
        <is>
          <t>Mock</t>
        </is>
      </c>
      <c r="P2476" s="18" t="inlineStr">
        <is>
          <t>Mock Rx20 UBU</t>
        </is>
      </c>
    </row>
    <row r="2477">
      <c r="A2477" s="15" t="inlineStr">
        <is>
          <t>2498</t>
        </is>
      </c>
      <c r="B2477" s="18" t="inlineStr">
        <is>
          <t>Coloring เพื่อทำให้มีผิวหน้าเม็ดยามีสีตามต้องการ</t>
        </is>
      </c>
      <c r="C2477" s="18" t="inlineStr"/>
      <c r="D2477" s="18" t="inlineStr">
        <is>
          <t>Sodium thiosulfate 25% 50 mL IV</t>
        </is>
      </c>
      <c r="E2477" s="18" t="inlineStr">
        <is>
          <t>Calcium disodium EDTA 1 g IV</t>
        </is>
      </c>
      <c r="F2477" s="18" t="inlineStr">
        <is>
          <t>Desferrioxamine 1 g IM/IV</t>
        </is>
      </c>
      <c r="G2477" s="18" t="inlineStr">
        <is>
          <t>Dimercaprol (BAL) 3 mg/kg IM</t>
        </is>
      </c>
      <c r="H2477" s="18" t="inlineStr">
        <is>
          <t>Ethanol 10% IV infusion for Methanol poisoning</t>
        </is>
      </c>
      <c r="I2477" s="15" t="inlineStr">
        <is>
          <t>1</t>
        </is>
      </c>
      <c r="J2477" s="18"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77" s="18" t="inlineStr"/>
      <c r="L2477" s="18" t="inlineStr">
        <is>
          <t>General Therapeutics</t>
        </is>
      </c>
      <c r="M2477" s="18" t="inlineStr">
        <is>
          <t>Clinic</t>
        </is>
      </c>
      <c r="N2477" s="18" t="inlineStr">
        <is>
          <t>ข้อ 4 (PLE_CC1_Key_Rx20_UBU.md)</t>
        </is>
      </c>
      <c r="O2477" s="18" t="inlineStr">
        <is>
          <t>Mock</t>
        </is>
      </c>
      <c r="P2477" s="18" t="inlineStr">
        <is>
          <t>Mock Rx20 UBU</t>
        </is>
      </c>
    </row>
    <row r="2478">
      <c r="A2478" s="15" t="inlineStr">
        <is>
          <t>2499</t>
        </is>
      </c>
      <c r="B2478" s="18" t="inlineStr">
        <is>
          <t>Finishing เพื่อทำให้เม็ดยามีสีเรียบเท่าๆ กัน</t>
        </is>
      </c>
      <c r="C2478" s="18" t="inlineStr"/>
      <c r="D2478" s="18" t="inlineStr">
        <is>
          <t>Dimercaprol (BAL) 3 mg/kg IM</t>
        </is>
      </c>
      <c r="E2478" s="18" t="inlineStr">
        <is>
          <t>Ethanol 10% IV infusion for Methanol poisoning</t>
        </is>
      </c>
      <c r="F2478" s="18" t="inlineStr">
        <is>
          <t>Fomepizole 15 mg/kg IV loading</t>
        </is>
      </c>
      <c r="G2478" s="18" t="inlineStr">
        <is>
          <t>N-acetylcysteine (NAC) IV infusion protocol</t>
        </is>
      </c>
      <c r="H2478" s="18" t="inlineStr">
        <is>
          <t>Atropine sulfate 2 mg IV Q5-10 min</t>
        </is>
      </c>
      <c r="I2478" s="15" t="inlineStr">
        <is>
          <t>1</t>
        </is>
      </c>
      <c r="J2478" s="18"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8" s="18" t="inlineStr"/>
      <c r="L2478" s="18" t="inlineStr">
        <is>
          <t>General Therapeutics</t>
        </is>
      </c>
      <c r="M2478" s="18" t="inlineStr">
        <is>
          <t>Clinic</t>
        </is>
      </c>
      <c r="N2478" s="18" t="inlineStr">
        <is>
          <t>ข้อ 5 (PLE_CC1_Key_Rx20_UBU.md)</t>
        </is>
      </c>
      <c r="O2478" s="18" t="inlineStr">
        <is>
          <t>Mock</t>
        </is>
      </c>
      <c r="P2478" s="18" t="inlineStr">
        <is>
          <t>Mock Rx20 UBU</t>
        </is>
      </c>
    </row>
    <row r="2479">
      <c r="A2479" s="15" t="inlineStr">
        <is>
          <t>2500</t>
        </is>
      </c>
      <c r="B2479" s="18" t="inlineStr">
        <is>
          <t>Polishing เป็นการขัดมันให้เป็นเงางาม ข้อ 36 จากข้อมูลข้อใดคือความชุก 2558 2559 2560 ประชากรกลางปี 11,000 10,000 9,000 ผู้ป่วยใหม่ 100 100 50 ผู้ป่วยทั้งหมด 100 200 250 2558=100/(11000-100)</t>
        </is>
      </c>
      <c r="C2479" s="18" t="inlineStr"/>
      <c r="D2479" s="18" t="inlineStr">
        <is>
          <t>ปี 2558 อัตราอุบัติการณ์ต่ำสุด</t>
        </is>
      </c>
      <c r="E2479" s="18" t="inlineStr">
        <is>
          <t>ปี 2559 อัตราอุบัติการณ์ต่ำสุด</t>
        </is>
      </c>
      <c r="F2479" s="18" t="inlineStr">
        <is>
          <t>ปี 2560 อัตราอุบัติการณ์สูงสุด</t>
        </is>
      </c>
      <c r="G2479" s="18" t="inlineStr">
        <is>
          <t>ปี 2560 อัตราอุบัติการณ์ต่ำสุด</t>
        </is>
      </c>
      <c r="H2479" s="18" t="inlineStr">
        <is>
          <t>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t>
        </is>
      </c>
      <c r="I2479" s="15" t="inlineStr">
        <is>
          <t>4</t>
        </is>
      </c>
      <c r="J2479" s="18" t="inlineStr">
        <is>
          <t>✅ คำตอบที่ถูกต้อง: ข้อ ง. ปี 2560 อัตราอุบัติการณ์ต่ำสุด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 2560 อัตราอุบัติการณ์ต่ำสุด ข้อนี้โจทย์ถาม ความชุก (prevalence) แต่ choice มีแต่อุบัติการณ์ งั้นขอคิดเป็น อุบัติการณ์ (incidence)
🔍 ข้ออื่นผิดเพราะอะไร:
• ข้อ ก. (ปี 2558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ข. (ปี 2559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ค. (ปี 2560 อัตราอุบัติการณ์สูงสุด): ข้อนี้ไม่ใช่คำตอบที่ถูกต้องสำหรับภาวะ General Therapeutics เนื่องจากกลไกการออกฤทธิ์, efficacy หรือข้อบ่งใช้ไม่ตรงกับโจทย์ที่กำหนด
• ข้อ จ. (ปี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9" s="18" t="inlineStr"/>
      <c r="L2479" s="18" t="inlineStr">
        <is>
          <t>General Therapeutics</t>
        </is>
      </c>
      <c r="M2479" s="18" t="inlineStr">
        <is>
          <t>Clinic</t>
        </is>
      </c>
      <c r="N2479" s="18" t="inlineStr">
        <is>
          <t>ข้อ 6 (PLE_CC1_Key_Rx20_UBU.md)</t>
        </is>
      </c>
      <c r="O2479" s="18" t="inlineStr">
        <is>
          <t>Mock</t>
        </is>
      </c>
      <c r="P2479" s="18" t="inlineStr">
        <is>
          <t>Mock Rx20 UBU</t>
        </is>
      </c>
    </row>
    <row r="2480">
      <c r="A2480" s="15" t="inlineStr">
        <is>
          <t>2501</t>
        </is>
      </c>
      <c r="B2480" s="18" t="inlineStr">
        <is>
          <t>ลด triglyceride</t>
        </is>
      </c>
      <c r="C2480" s="18" t="inlineStr"/>
      <c r="D2480" s="18" t="inlineStr">
        <is>
          <t>Hydrochlorothiazide 25 mg OD</t>
        </is>
      </c>
      <c r="E2480" s="18" t="inlineStr">
        <is>
          <t>Atorvastatin 20 mg OD</t>
        </is>
      </c>
      <c r="F2480" s="18" t="inlineStr">
        <is>
          <t>Simvastatin 20 mg HS</t>
        </is>
      </c>
      <c r="G2480" s="18" t="inlineStr">
        <is>
          <t>Bisoprolol 5 mg OD</t>
        </is>
      </c>
      <c r="H2480" s="18" t="inlineStr">
        <is>
          <t>Spironolactone 25 mg OD</t>
        </is>
      </c>
      <c r="I2480" s="15" t="inlineStr">
        <is>
          <t>1</t>
        </is>
      </c>
      <c r="J2480" s="18"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80" s="18" t="inlineStr"/>
      <c r="L2480" s="18" t="inlineStr">
        <is>
          <t>Cardiovascular Diseases</t>
        </is>
      </c>
      <c r="M2480" s="18" t="inlineStr">
        <is>
          <t>Clinic</t>
        </is>
      </c>
      <c r="N2480" s="18" t="inlineStr">
        <is>
          <t>ข้อ 1 (PLE_CC1_Key_Rx20_UBU.md)</t>
        </is>
      </c>
      <c r="O2480" s="18" t="inlineStr">
        <is>
          <t>Mock</t>
        </is>
      </c>
      <c r="P2480" s="18" t="inlineStr">
        <is>
          <t>Mock Rx20 UBU</t>
        </is>
      </c>
    </row>
  </sheetData>
  <mergeCells count="1">
    <mergeCell ref="A1:F1"/>
  </mergeCells>
  <hyperlinks>
    <hyperlink xmlns:r="http://schemas.openxmlformats.org/officeDocument/2006/relationships" ref="B338" r:id="rId1"/>
    <hyperlink xmlns:r="http://schemas.openxmlformats.org/officeDocument/2006/relationships" ref="B349"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Q47"/>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18" t="inlineStr">
        <is>
          <t>ประเภทข้อสอบ</t>
        </is>
      </c>
      <c r="P2" s="18" t="inlineStr">
        <is>
          <t>ปี / เลขชุด</t>
        </is>
      </c>
    </row>
    <row r="3">
      <c r="A3" s="28" t="n">
        <v>1</v>
      </c>
      <c r="B3" s="18" t="inlineStr">
        <is>
          <t>ในการหาปริมาณตัวยาสำคัญ Paracetamol raw material ตามตำรับยา Pharmacopoeia ใช้วิธีไทเทรตแบบใด?</t>
        </is>
      </c>
      <c r="C3" s="18" t="n"/>
      <c r="D3" s="18" t="inlineStr">
        <is>
          <t>Acid-Base Titration in aqueous medium</t>
        </is>
      </c>
      <c r="E3" s="18" t="inlineStr">
        <is>
          <t>Nonaqueous Titration with Perchloric acid</t>
        </is>
      </c>
      <c r="F3" s="18" t="inlineStr">
        <is>
          <t>Redox Titration with Ceric ammonium sulfate (หลัง acid hydrolysis)</t>
        </is>
      </c>
      <c r="G3" s="18" t="inlineStr">
        <is>
          <t>Complexometric Titration with EDTA</t>
        </is>
      </c>
      <c r="H3" s="18" t="inlineStr">
        <is>
          <t>Precipitation Titration with Silver nitrate</t>
        </is>
      </c>
      <c r="I3" s="18" t="n">
        <v>3</v>
      </c>
      <c r="J3" s="18"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ข้อนี้ไม่ใช่คำตอบที่ถูกต้องสำหรับภาวะ Redox titration เนื่องจากกลไกการออกฤทธิ์, efficacy หรือข้อบ่งใช้ไม่ตรงกับโจทย์ที่กำหนด
• ข้อ ข. (Nonaqueous Titration with Perchloric acid): ข้อนี้ไม่ใช่คำตอบที่ถูกต้องสำหรับภาวะ Redox titration เนื่องจากกลไกการออกฤทธิ์, efficacy หรือข้อบ่งใช้ไม่ตรงกับโจทย์ที่กำหนด
• ข้อ ง. (Complexometric Titration with EDTA): วัคซีนรวมคอตีบ-บาดทะยัก ฉีดกระตุ้นทุก 10 ปี หรือใช้ในหญิงตั้งครรภ์และผู้ใหญ่
• ข้อ จ. (Precipitation Titration with Silver nitrate):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8" t="n"/>
      <c r="L3" s="18" t="inlineStr">
        <is>
          <t>Redox titration</t>
        </is>
      </c>
      <c r="M3" s="18" t="inlineStr">
        <is>
          <t>Product</t>
        </is>
      </c>
      <c r="N3" s="18" t="inlineStr">
        <is>
          <t>British Pharmacopoeia / Thai Pharmacopoeia</t>
        </is>
      </c>
      <c r="O3" s="18" t="inlineStr">
        <is>
          <t>ข้อสอบจริง</t>
        </is>
      </c>
      <c r="P3" s="18" t="n">
        <v>2567</v>
      </c>
    </row>
    <row r="4">
      <c r="A4" s="15" t="inlineStr">
        <is>
          <t>3</t>
        </is>
      </c>
      <c r="B4" s="18"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18" t="inlineStr"/>
      <c r="D4" s="18" t="inlineStr">
        <is>
          <t>Citric acid (สารปรับ pH กรดและ chelating agent)</t>
        </is>
      </c>
      <c r="E4" s="18" t="inlineStr">
        <is>
          <t>Disodium EDTA (สารคีเลตดักจับประจุโลหะ)</t>
        </is>
      </c>
      <c r="F4" s="18" t="inlineStr">
        <is>
          <t>Paraben (สารกันเสีย antimicrobial preservative)</t>
        </is>
      </c>
      <c r="G4" s="18" t="inlineStr">
        <is>
          <t>Sodium metabisulfite (สารต้านออกซิเดชัน antioxidant)</t>
        </is>
      </c>
      <c r="H4" s="18" t="inlineStr">
        <is>
          <t>Sucrose (น้ำตาลซูโครสความเข้มข้นสูง)</t>
        </is>
      </c>
      <c r="I4" s="15" t="inlineStr">
        <is>
          <t>3</t>
        </is>
      </c>
      <c r="J4" s="18"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18" t="inlineStr">
        <is>
          <t>Liquid Dosage Forms &amp; Formulation</t>
        </is>
      </c>
      <c r="L4" s="18" t="inlineStr">
        <is>
          <t>ข้อสอบ Product (Ferrous Sulfate Syrup Formulation)</t>
        </is>
      </c>
      <c r="M4" s="18" t="inlineStr">
        <is>
          <t>Titration</t>
        </is>
      </c>
      <c r="N4" s="18" t="inlineStr">
        <is>
          <t>Mock PLE-CC 1 ข้อ 57</t>
        </is>
      </c>
      <c r="O4" s="18" t="inlineStr">
        <is>
          <t>Mock</t>
        </is>
      </c>
      <c r="P4" s="18" t="inlineStr">
        <is>
          <t>Mock RxCU83</t>
        </is>
      </c>
      <c r="Q4" s="18" t="inlineStr"/>
    </row>
    <row r="5">
      <c r="A5" s="15" t="inlineStr">
        <is>
          <t>4</t>
        </is>
      </c>
      <c r="B5" s="18"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18" t="inlineStr"/>
      <c r="D5" s="18" t="inlineStr">
        <is>
          <t>Acid-base titration</t>
        </is>
      </c>
      <c r="E5" s="18" t="inlineStr">
        <is>
          <t>Redox titration (ไทเทรตด้วยสารละลายมาตรฐาน Ceric ammonium sulfate)</t>
        </is>
      </c>
      <c r="F5" s="18" t="inlineStr">
        <is>
          <t>Complexometric titration (ไทเทรตด้วย EDTA)</t>
        </is>
      </c>
      <c r="G5" s="18" t="inlineStr">
        <is>
          <t>Gravimetric titration</t>
        </is>
      </c>
      <c r="H5" s="18" t="inlineStr">
        <is>
          <t>Colorimetric titration</t>
        </is>
      </c>
      <c r="I5" s="15" t="inlineStr">
        <is>
          <t>2</t>
        </is>
      </c>
      <c r="J5" s="18"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18" t="inlineStr">
        <is>
          <t>Redox Titration</t>
        </is>
      </c>
      <c r="L5" s="18" t="inlineStr">
        <is>
          <t>ข้อสอบ Product (Assay of Ferrous Salts)</t>
        </is>
      </c>
      <c r="M5" s="18" t="inlineStr">
        <is>
          <t>Titration</t>
        </is>
      </c>
      <c r="N5" s="18" t="inlineStr">
        <is>
          <t>Mock PLE-CC 1 ข้อ 62</t>
        </is>
      </c>
      <c r="O5" s="18" t="inlineStr">
        <is>
          <t>Mock</t>
        </is>
      </c>
      <c r="P5" s="18" t="inlineStr">
        <is>
          <t>Mock RxCU83</t>
        </is>
      </c>
      <c r="Q5" s="18" t="inlineStr"/>
    </row>
    <row r="6">
      <c r="A6" s="15" t="inlineStr">
        <is>
          <t>5</t>
        </is>
      </c>
      <c r="B6" s="18"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18" t="inlineStr"/>
      <c r="D6" s="18" t="inlineStr">
        <is>
          <t>Direct titration</t>
        </is>
      </c>
      <c r="E6" s="18" t="inlineStr">
        <is>
          <t>Residual (Back) titration</t>
        </is>
      </c>
      <c r="F6" s="18" t="inlineStr">
        <is>
          <t>Complexometric titration</t>
        </is>
      </c>
      <c r="G6" s="18" t="inlineStr">
        <is>
          <t>Precipitation titration</t>
        </is>
      </c>
      <c r="H6" s="18" t="inlineStr">
        <is>
          <t>Non-aqueous acid-base titration</t>
        </is>
      </c>
      <c r="I6" s="15" t="inlineStr">
        <is>
          <t>2</t>
        </is>
      </c>
      <c r="J6" s="18"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18" t="inlineStr">
        <is>
          <t>Acid-Base Titration</t>
        </is>
      </c>
      <c r="L6" s="18" t="inlineStr">
        <is>
          <t>ข้อสอบจริง PLE CC 1 ปี 2566 Day 1 ข้อ 23</t>
        </is>
      </c>
      <c r="M6" s="18" t="inlineStr">
        <is>
          <t>Titration</t>
        </is>
      </c>
      <c r="N6" s="18" t="inlineStr">
        <is>
          <t>PLE-CC1 ปี 2566 Day 1 ข้อ 1</t>
        </is>
      </c>
      <c r="O6" s="18" t="inlineStr">
        <is>
          <t>ข้อสอบจริง</t>
        </is>
      </c>
      <c r="P6" s="18" t="inlineStr">
        <is>
          <t>ปี 2566</t>
        </is>
      </c>
      <c r="Q6" s="18" t="inlineStr"/>
    </row>
    <row r="7">
      <c r="A7" s="15" t="inlineStr">
        <is>
          <t>6</t>
        </is>
      </c>
      <c r="B7" s="18"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18" t="inlineStr"/>
      <c r="D7" s="18" t="inlineStr">
        <is>
          <t>Redox titration (Oxidation-Reduction)</t>
        </is>
      </c>
      <c r="E7" s="18" t="inlineStr">
        <is>
          <t>Precipitation titration (Argentometry)</t>
        </is>
      </c>
      <c r="F7" s="18" t="inlineStr">
        <is>
          <t>Complexometric titration (EDTA)</t>
        </is>
      </c>
      <c r="G7" s="18" t="inlineStr">
        <is>
          <t>Acid-base neutralization titration</t>
        </is>
      </c>
      <c r="H7" s="18" t="inlineStr">
        <is>
          <t>Non-aqueous titration</t>
        </is>
      </c>
      <c r="I7" s="15" t="inlineStr">
        <is>
          <t>1</t>
        </is>
      </c>
      <c r="J7" s="18"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18" t="inlineStr">
        <is>
          <t>Redox Titration</t>
        </is>
      </c>
      <c r="L7" s="18" t="inlineStr">
        <is>
          <t>ข้อสอบจริง PLE CC 1 ปี 2566 Day 1 ข้อ 24</t>
        </is>
      </c>
      <c r="M7" s="18" t="inlineStr">
        <is>
          <t>Titration</t>
        </is>
      </c>
      <c r="N7" s="18" t="inlineStr">
        <is>
          <t>PLE-CC1 ปี 2566 Day 1 ข้อ 2</t>
        </is>
      </c>
      <c r="O7" s="18" t="inlineStr">
        <is>
          <t>ข้อสอบจริง</t>
        </is>
      </c>
      <c r="P7" s="18" t="inlineStr">
        <is>
          <t>ปี 2566</t>
        </is>
      </c>
      <c r="Q7" s="18" t="inlineStr"/>
    </row>
    <row r="8">
      <c r="A8" s="15" t="inlineStr">
        <is>
          <t>7</t>
        </is>
      </c>
      <c r="B8" s="18"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18" t="inlineStr"/>
      <c r="D8" s="18" t="inlineStr">
        <is>
          <t>Precipitation titration (Fajans method)</t>
        </is>
      </c>
      <c r="E8" s="18" t="inlineStr">
        <is>
          <t>Precipitation titration (Mohr method)</t>
        </is>
      </c>
      <c r="F8" s="18" t="inlineStr">
        <is>
          <t>Precipitation titration (Volhard method)</t>
        </is>
      </c>
      <c r="G8" s="18" t="inlineStr">
        <is>
          <t>Complexometric titration</t>
        </is>
      </c>
      <c r="H8" s="18" t="inlineStr">
        <is>
          <t>Acid-base neutralization titration</t>
        </is>
      </c>
      <c r="I8" s="15" t="inlineStr">
        <is>
          <t>1</t>
        </is>
      </c>
      <c r="J8" s="18"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18" t="inlineStr">
        <is>
          <t>Precipitation Titration</t>
        </is>
      </c>
      <c r="L8" s="18" t="inlineStr">
        <is>
          <t>ข้อสอบจริง PLE CC 1 ปี 2566 Day 2 ข้อ 88</t>
        </is>
      </c>
      <c r="M8" s="18" t="inlineStr">
        <is>
          <t>Titration</t>
        </is>
      </c>
      <c r="N8" s="18" t="inlineStr">
        <is>
          <t>PLE-CC1 ปี 2566 Day 1 ข้อ 4</t>
        </is>
      </c>
      <c r="O8" s="18" t="inlineStr">
        <is>
          <t>ข้อสอบจริง</t>
        </is>
      </c>
      <c r="P8" s="18" t="inlineStr">
        <is>
          <t>ปี 2566</t>
        </is>
      </c>
      <c r="Q8" s="18" t="inlineStr"/>
    </row>
    <row r="9">
      <c r="A9" s="15" t="inlineStr">
        <is>
          <t>8</t>
        </is>
      </c>
      <c r="B9" s="18"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18" t="inlineStr"/>
      <c r="D9" s="18" t="inlineStr">
        <is>
          <t>Non-aqueous acid-base titration (การไตเตรทกรด-เบสในตัวทำละลายปราศจากน้ำ)</t>
        </is>
      </c>
      <c r="E9" s="18" t="inlineStr">
        <is>
          <t>Aqueous acid-base neutralization</t>
        </is>
      </c>
      <c r="F9" s="18" t="inlineStr">
        <is>
          <t>Precipitation titration (Argentometry)</t>
        </is>
      </c>
      <c r="G9" s="18" t="inlineStr">
        <is>
          <t>Complexometric titration</t>
        </is>
      </c>
      <c r="H9" s="18" t="inlineStr">
        <is>
          <t>Redox titration</t>
        </is>
      </c>
      <c r="I9" s="15" t="inlineStr">
        <is>
          <t>1</t>
        </is>
      </c>
      <c r="J9" s="18"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18" t="inlineStr">
        <is>
          <t>Acid-Base Titration (Non-aqueous)</t>
        </is>
      </c>
      <c r="L9" s="18" t="inlineStr">
        <is>
          <t>ข้อสอบจริง PLE CC 1 ปี 2563 (BP Acyclovir Monograph)</t>
        </is>
      </c>
      <c r="M9" s="18" t="inlineStr">
        <is>
          <t>Titration</t>
        </is>
      </c>
      <c r="N9" s="18" t="inlineStr">
        <is>
          <t>PLE-CC1 ปี 2566 Day 2 ข้อ 1</t>
        </is>
      </c>
      <c r="O9" s="18" t="inlineStr">
        <is>
          <t>ข้อสอบจริง</t>
        </is>
      </c>
      <c r="P9" s="18" t="inlineStr">
        <is>
          <t>ปี 2566</t>
        </is>
      </c>
      <c r="Q9" s="18" t="inlineStr"/>
    </row>
    <row r="10">
      <c r="A10" s="15" t="inlineStr">
        <is>
          <t>9</t>
        </is>
      </c>
      <c r="B10" s="18"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18" t="inlineStr"/>
      <c r="D10" s="18" t="inlineStr">
        <is>
          <t>Volhard method (การไตเตรทแบบย้อนกลับในสภาวะกรด)</t>
        </is>
      </c>
      <c r="E10" s="18" t="inlineStr">
        <is>
          <t>Mohr method (การไตเตรทโดยตรงในสภาวะเป็นกลาง)</t>
        </is>
      </c>
      <c r="F10" s="18" t="inlineStr">
        <is>
          <t>Fajans method (การไตเตรทโดยใช้อินดิเคเตอร์ดูดซับ)</t>
        </is>
      </c>
      <c r="G10" s="18" t="inlineStr">
        <is>
          <t>Direct acid-base titration</t>
        </is>
      </c>
      <c r="H10" s="18" t="inlineStr">
        <is>
          <t>Complexometric titration</t>
        </is>
      </c>
      <c r="I10" s="15" t="inlineStr">
        <is>
          <t>1</t>
        </is>
      </c>
      <c r="J10" s="18"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18" t="inlineStr">
        <is>
          <t>Precipitation Titration</t>
        </is>
      </c>
      <c r="L10" s="18" t="inlineStr">
        <is>
          <t>ข้อสอบ Product (Volhard Method &amp; Argentometry)</t>
        </is>
      </c>
      <c r="M10" s="18" t="inlineStr">
        <is>
          <t>Titration</t>
        </is>
      </c>
      <c r="N10" s="18" t="inlineStr">
        <is>
          <t>PLE-CC1 ปี 2566 Day 2 ข้อ 2</t>
        </is>
      </c>
      <c r="O10" s="18" t="inlineStr">
        <is>
          <t>ข้อสอบจริง</t>
        </is>
      </c>
      <c r="P10" s="18" t="inlineStr">
        <is>
          <t>ปี 2566</t>
        </is>
      </c>
      <c r="Q10" s="18" t="inlineStr"/>
    </row>
    <row r="11">
      <c r="A11" s="15" t="inlineStr">
        <is>
          <t>10</t>
        </is>
      </c>
      <c r="B11" s="18"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18" t="inlineStr"/>
      <c r="D11" s="18" t="inlineStr">
        <is>
          <t>Hydroxynaphthol blue (หรือ Calconcarboxylic acid / Murexide)</t>
        </is>
      </c>
      <c r="E11" s="18" t="inlineStr">
        <is>
          <t>Phenolphthalein</t>
        </is>
      </c>
      <c r="F11" s="18" t="inlineStr">
        <is>
          <t>Methyl orange</t>
        </is>
      </c>
      <c r="G11" s="18" t="inlineStr">
        <is>
          <t>Ferroin</t>
        </is>
      </c>
      <c r="H11" s="18" t="inlineStr">
        <is>
          <t>Potassium chromate</t>
        </is>
      </c>
      <c r="I11" s="15" t="inlineStr">
        <is>
          <t>1</t>
        </is>
      </c>
      <c r="J11" s="18"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18" t="inlineStr">
        <is>
          <t>Complexometric Titration</t>
        </is>
      </c>
      <c r="L11" s="18" t="inlineStr">
        <is>
          <t>ข้อสอบ Product (EDTA Calcium Carbonate Assay)</t>
        </is>
      </c>
      <c r="M11" s="18" t="inlineStr">
        <is>
          <t>Titration</t>
        </is>
      </c>
      <c r="N11" s="18" t="inlineStr">
        <is>
          <t>PLE-CC1 ปี 2566 Day 2 ข้อ 3</t>
        </is>
      </c>
      <c r="O11" s="18" t="inlineStr">
        <is>
          <t>ข้อสอบจริง</t>
        </is>
      </c>
      <c r="P11" s="18" t="inlineStr">
        <is>
          <t>ปี 2566</t>
        </is>
      </c>
      <c r="Q11" s="18" t="inlineStr"/>
    </row>
    <row r="12">
      <c r="A12" s="15" t="inlineStr">
        <is>
          <t>11</t>
        </is>
      </c>
      <c r="B12" s="18"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18" t="inlineStr"/>
      <c r="D12" s="18" t="inlineStr">
        <is>
          <t>Iodimetry (Direct redox titration with Iodine)</t>
        </is>
      </c>
      <c r="E12" s="18" t="inlineStr">
        <is>
          <t>Iodometry (Indirect redox titration via I2 liberation and Thiosulfate)</t>
        </is>
      </c>
      <c r="F12" s="18" t="inlineStr">
        <is>
          <t>Permanganometry</t>
        </is>
      </c>
      <c r="G12" s="18" t="inlineStr">
        <is>
          <t>Biamperometric titration</t>
        </is>
      </c>
      <c r="H12" s="18" t="inlineStr">
        <is>
          <t>Complexometric titration</t>
        </is>
      </c>
      <c r="I12" s="15" t="inlineStr">
        <is>
          <t>1</t>
        </is>
      </c>
      <c r="J12" s="18"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18" t="inlineStr">
        <is>
          <t>Redox Titration</t>
        </is>
      </c>
      <c r="L12" s="18" t="inlineStr">
        <is>
          <t>ข้อสอบ Product (Iodimetry vs Iodometry Principles)</t>
        </is>
      </c>
      <c r="M12" s="18" t="inlineStr">
        <is>
          <t>Titration</t>
        </is>
      </c>
      <c r="N12" s="18" t="inlineStr">
        <is>
          <t>PLE-CC1 ปี 2566 Day 2 ข้อ 4</t>
        </is>
      </c>
      <c r="O12" s="18" t="inlineStr">
        <is>
          <t>ข้อสอบจริง</t>
        </is>
      </c>
      <c r="P12" s="18" t="inlineStr">
        <is>
          <t>ปี 2566</t>
        </is>
      </c>
      <c r="Q12" s="18" t="inlineStr"/>
    </row>
    <row r="13">
      <c r="A13" s="18" t="n">
        <v>11</v>
      </c>
      <c r="B13" s="18"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18" t="inlineStr"/>
      <c r="D13" s="18" t="inlineStr">
        <is>
          <t>Precipitation titration</t>
        </is>
      </c>
      <c r="E13" s="18" t="inlineStr">
        <is>
          <t>Complexometric titration (ไทเทรตด้วยสารละลายมาตรฐาน Disodium EDTA)</t>
        </is>
      </c>
      <c r="F13" s="18" t="inlineStr">
        <is>
          <t>Karl Fischer titration</t>
        </is>
      </c>
      <c r="G13" s="18" t="inlineStr">
        <is>
          <t>Fluorescence spectroscopy</t>
        </is>
      </c>
      <c r="H13" s="18" t="inlineStr">
        <is>
          <t>Infrared spectroscopy</t>
        </is>
      </c>
      <c r="I13" s="15" t="inlineStr">
        <is>
          <t>2</t>
        </is>
      </c>
      <c r="J13" s="18"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18" t="inlineStr">
        <is>
          <t>Complexometric Titration</t>
        </is>
      </c>
      <c r="L13" s="18" t="inlineStr">
        <is>
          <t>ข้อสอบจริง PLE CC 1 ปี 2562 (Assay of Zinc Salts)</t>
        </is>
      </c>
      <c r="M13" s="18" t="inlineStr">
        <is>
          <t>Product</t>
        </is>
      </c>
      <c r="N13" s="18" t="inlineStr">
        <is>
          <t>ข้อ 41 (PLE_CC1_2562_Key.md)</t>
        </is>
      </c>
      <c r="O13" s="18" t="inlineStr">
        <is>
          <t>ข้อสอบจริง</t>
        </is>
      </c>
      <c r="P13" s="18" t="inlineStr">
        <is>
          <t>ปี 2562</t>
        </is>
      </c>
      <c r="Q13" s="18" t="inlineStr"/>
    </row>
    <row r="14">
      <c r="A14" s="18" t="n">
        <v>12</v>
      </c>
      <c r="B14" s="18" t="inlineStr">
        <is>
          <t>EDTA ในตำรับข(างต(นทำหน(าอะไร</t>
        </is>
      </c>
      <c r="C14" s="18" t="n"/>
      <c r="D14" s="18" t="inlineStr">
        <is>
          <t>Vehicle</t>
        </is>
      </c>
      <c r="E14" s="18" t="inlineStr">
        <is>
          <t>Antioxidant</t>
        </is>
      </c>
      <c r="F14" s="18" t="inlineStr">
        <is>
          <t>Stiffening agent</t>
        </is>
      </c>
      <c r="G14" s="18" t="inlineStr">
        <is>
          <t>Emulsifying agent</t>
        </is>
      </c>
      <c r="H14" s="18" t="inlineStr">
        <is>
          <t>Acidifying agent</t>
        </is>
      </c>
      <c r="I14" s="18" t="n">
        <v>1</v>
      </c>
      <c r="J14" s="18"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ข้อนี้ไม่ใช่คำตอบที่ถูกต้องสำหรับภาวะ Complexometric titration เนื่องจากกลไกการออกฤทธิ์, efficacy หรือข้อบ่งใช้ไม่ตรงกับโจทย์ที่กำหนด
• ข้อ ค. (Stiffening agent): ข้อนี้ไม่ใช่คำตอบที่ถูกต้องสำหรับภาวะ Complexometric titration เนื่องจากกลไกการออกฤทธิ์, efficacy หรือข้อบ่งใช้ไม่ตรงกับโจทย์ที่กำหนด
• ข้อ ง. (Emulsifying agent): ข้อนี้ไม่ใช่คำตอบที่ถูกต้องสำหรับภาวะ Complexometric titration เนื่องจากกลไกการออกฤทธิ์, efficacy หรือข้อบ่งใช้ไม่ตรงกับโจทย์ที่กำหนด
• ข้อ จ. (Acidifying agent):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8" t="n"/>
      <c r="L14" s="18" t="inlineStr">
        <is>
          <t>Complexometric titration</t>
        </is>
      </c>
      <c r="M14" s="18" t="inlineStr">
        <is>
          <t>Product</t>
        </is>
      </c>
      <c r="N14" s="18" t="inlineStr">
        <is>
          <t>ข้อ 90 (PLE_CC1_2561_Key.md)</t>
        </is>
      </c>
      <c r="O14" s="18" t="inlineStr">
        <is>
          <t>ข้อสอบจริง</t>
        </is>
      </c>
      <c r="P14" s="18" t="inlineStr">
        <is>
          <t>ปี 2561</t>
        </is>
      </c>
    </row>
    <row r="15">
      <c r="A15" s="18" t="n">
        <v>13</v>
      </c>
      <c r="B15" s="18" t="inlineStr">
        <is>
          <t>Residue on ignition คือการตรวจอะไร</t>
        </is>
      </c>
      <c r="C15" s="18" t="n"/>
      <c r="D15" s="18" t="inlineStr">
        <is>
          <t>เพื่อหาปริมาณสารที่ระเหยง.าย</t>
        </is>
      </c>
      <c r="E15" s="18" t="inlineStr">
        <is>
          <t>เพื่อหาปริมาณ organic impurity</t>
        </is>
      </c>
      <c r="F15" s="18" t="inlineStr">
        <is>
          <t>เพื่อหาปริมาณ in organic impurity</t>
        </is>
      </c>
      <c r="G15" s="18" t="inlineStr">
        <is>
          <t>เพื่อพิสูจนว.า organic impurity เป5นสารใด</t>
        </is>
      </c>
      <c r="H15" s="18" t="inlineStr">
        <is>
          <t>เพื่อพิสูจนว.า inorganic impurity เป5นสารใด</t>
        </is>
      </c>
      <c r="I15" s="18" t="n">
        <v>1</v>
      </c>
      <c r="J15" s="18"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ข้อนี้ไม่ใช่คำตอบที่ถูกต้องสำหรับภาวะ Acid-base titration เนื่องจากกลไกการออกฤทธิ์, efficacy หรือข้อบ่งใช้ไม่ตรงกับโจทย์ที่กำหนด
• ข้อ ค. (เพื่อหาปริมาณ in organic impurity): ข้อนี้ไม่ใช่คำตอบที่ถูกต้องสำหรับภาวะ Acid-base titration เนื่องจากกลไกการออกฤทธิ์, efficacy หรือข้อบ่งใช้ไม่ตรงกับโจทย์ที่กำหนด
• ข้อ ง. (เพื่อพิสูจนว.า 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ข้อ จ. (เพื่อพิสูจนว.า inorganic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8" t="n"/>
      <c r="L15" s="18" t="inlineStr">
        <is>
          <t>Acid-base titration</t>
        </is>
      </c>
      <c r="M15" s="18" t="inlineStr">
        <is>
          <t>Product</t>
        </is>
      </c>
      <c r="N15" s="18" t="inlineStr">
        <is>
          <t>ข้อ 119 (PLE_CC1_2561_Key.md)</t>
        </is>
      </c>
      <c r="O15" s="18" t="inlineStr">
        <is>
          <t>ข้อสอบจริง</t>
        </is>
      </c>
      <c r="P15" s="18" t="inlineStr">
        <is>
          <t>ปี 2561</t>
        </is>
      </c>
    </row>
    <row r="16">
      <c r="A16" s="18" t="n">
        <v>14</v>
      </c>
      <c r="B16" s="18" t="inlineStr">
        <is>
          <t>การสังเคราะห์ HCTZ จงระบุว่า A คือข้อใด</t>
        </is>
      </c>
      <c r="C16" s="18" t="n"/>
      <c r="D16" s="18" t="inlineStr">
        <is>
          <t>H-CO-H</t>
        </is>
      </c>
      <c r="E16" s="18" t="inlineStr">
        <is>
          <t>H-CO-OH</t>
        </is>
      </c>
      <c r="F16" s="18" t="inlineStr">
        <is>
          <t>Cl-C-Cl</t>
        </is>
      </c>
      <c r="G16" s="18" t="inlineStr">
        <is>
          <t>C-CO-H</t>
        </is>
      </c>
      <c r="H16" s="18" t="inlineStr">
        <is>
          <t>...</t>
        </is>
      </c>
      <c r="I16" s="18" t="n">
        <v>1</v>
      </c>
      <c r="J16" s="18"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ข้อนี้ไม่ใช่คำตอบที่ถูกต้องสำหรับภาวะ Acid-base titration เนื่องจากกลไกการออกฤทธิ์, efficacy หรือข้อบ่งใช้ไม่ตรงกับโจทย์ที่กำหนด
• ข้อ ค. (Cl-C-Cl): ข้อนี้ไม่ใช่คำตอบที่ถูกต้องสำหรับภาวะ Acid-base titration เนื่องจากกลไกการออกฤทธิ์, efficacy หรือข้อบ่งใช้ไม่ตรงกับโจทย์ที่กำหนด
• ข้อ ง. (C-CO-H): ข้อนี้ไม่ใช่คำตอบที่ถูกต้องสำหรับภาวะ Acid-base titration เนื่องจากกลไกการออกฤทธิ์, efficacy หรือข้อบ่งใช้ไม่ตรงกับโจทย์ที่กำหนด
• ข้อ จ. (...):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8" t="n"/>
      <c r="L16" s="18" t="inlineStr">
        <is>
          <t>Acid-base titration</t>
        </is>
      </c>
      <c r="M16" s="18" t="inlineStr">
        <is>
          <t>Product</t>
        </is>
      </c>
      <c r="N16" s="18" t="inlineStr">
        <is>
          <t>ข้อ 8 (PLE_CC1_2560 22 April Set 1.md)</t>
        </is>
      </c>
      <c r="O16" s="18" t="inlineStr">
        <is>
          <t>ข้อสอบจริง</t>
        </is>
      </c>
      <c r="P16" s="18" t="inlineStr">
        <is>
          <t>ปี 2560</t>
        </is>
      </c>
    </row>
    <row r="17">
      <c r="A17" s="18" t="n">
        <v>15</v>
      </c>
      <c r="B17" s="18" t="inlineStr">
        <is>
          <t>หากผู้ป่วยต้องการ KCl 60 mEq/day จะต้องให้ KCl ความเข้มข้น 74.5 g/L กี่มิลลิลิตร (ก้าหนดให้ MW ของ KCl = 74.5 g/mol)</t>
        </is>
      </c>
      <c r="C17" s="18" t="n"/>
      <c r="D17" s="18" t="inlineStr">
        <is>
          <t>15 ml</t>
        </is>
      </c>
      <c r="E17" s="18" t="inlineStr">
        <is>
          <t>30 ml</t>
        </is>
      </c>
      <c r="F17" s="18" t="inlineStr">
        <is>
          <t>45 ml</t>
        </is>
      </c>
      <c r="G17" s="18" t="inlineStr">
        <is>
          <t>60 ml</t>
        </is>
      </c>
      <c r="H17" s="18" t="inlineStr">
        <is>
          <t>75 ml</t>
        </is>
      </c>
      <c r="I17" s="18" t="n">
        <v>1</v>
      </c>
      <c r="J17" s="18"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ข้อนี้ไม่ใช่คำตอบที่ถูกต้องสำหรับภาวะ Acid-base titration เนื่องจากกลไกการออกฤทธิ์, efficacy หรือข้อบ่งใช้ไม่ตรงกับโจทย์ที่กำหนด
• ข้อ ค. (45 ml): ข้อนี้ไม่ใช่คำตอบที่ถูกต้องสำหรับภาวะ Acid-base titration เนื่องจากกลไกการออกฤทธิ์, efficacy หรือข้อบ่งใช้ไม่ตรงกับโจทย์ที่กำหนด
• ข้อ ง. (60 ml): ข้อนี้ไม่ใช่คำตอบที่ถูกต้องสำหรับภาวะ Acid-base titration เนื่องจากกลไกการออกฤทธิ์, efficacy หรือข้อบ่งใช้ไม่ตรงกับโจทย์ที่กำหนด
• ข้อ จ. (75 ml):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8" t="n"/>
      <c r="L17" s="18" t="inlineStr">
        <is>
          <t>Acid-base titration</t>
        </is>
      </c>
      <c r="M17" s="18" t="inlineStr">
        <is>
          <t>Product</t>
        </is>
      </c>
      <c r="N17" s="18" t="inlineStr">
        <is>
          <t>ข้อ 68 (PLE_CC1_2559.md)</t>
        </is>
      </c>
      <c r="O17" s="18" t="inlineStr">
        <is>
          <t>ข้อสอบจริง</t>
        </is>
      </c>
      <c r="P17" s="18" t="inlineStr">
        <is>
          <t>ปี 2559</t>
        </is>
      </c>
    </row>
    <row r="18">
      <c r="A18" s="18" t="n">
        <v>16</v>
      </c>
      <c r="B18" s="18" t="inlineStr">
        <is>
          <t>หากผู้ป่วยต้องรักษาภาวะ secondary hyperthyroid ต้องได้ยาใด</t>
        </is>
      </c>
      <c r="C18" s="18" t="n"/>
      <c r="D18" s="18" t="inlineStr">
        <is>
          <t>Vitamin A</t>
        </is>
      </c>
      <c r="E18" s="18" t="inlineStr">
        <is>
          <t>Vitamin D</t>
        </is>
      </c>
      <c r="F18" s="18" t="inlineStr">
        <is>
          <t>Vitamin E</t>
        </is>
      </c>
      <c r="G18" s="18" t="inlineStr">
        <is>
          <t>Vitamin K</t>
        </is>
      </c>
      <c r="H18" s="18" t="inlineStr">
        <is>
          <t>Vitamin B</t>
        </is>
      </c>
      <c r="I18" s="18" t="n">
        <v>1</v>
      </c>
      <c r="J18" s="18"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ข้อนี้ไม่ใช่คำตอบที่ถูกต้องสำหรับภาวะ Acid-base titration เนื่องจากกลไกการออกฤทธิ์, efficacy หรือข้อบ่งใช้ไม่ตรงกับโจทย์ที่กำหนด
• ข้อ ค. (Vitamin E): ข้อนี้ไม่ใช่คำตอบที่ถูกต้องสำหรับภาวะ Acid-base titration เนื่องจากกลไกการออกฤทธิ์, efficacy หรือข้อบ่งใช้ไม่ตรงกับโจทย์ที่กำหนด
• ข้อ ง. (Vitamin K): ข้อนี้ไม่ใช่คำตอบที่ถูกต้องสำหรับภาวะ Acid-base titration เนื่องจากกลไกการออกฤทธิ์, efficacy หรือข้อบ่งใช้ไม่ตรงกับโจทย์ที่กำหนด
• ข้อ จ. (Vitamin B):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8" t="n"/>
      <c r="L18" s="18" t="inlineStr">
        <is>
          <t>Acid-base titration</t>
        </is>
      </c>
      <c r="M18" s="18" t="inlineStr">
        <is>
          <t>Product</t>
        </is>
      </c>
      <c r="N18" s="18" t="inlineStr">
        <is>
          <t>ข้อ 51 (PLE_CC1_2558_Key.md)</t>
        </is>
      </c>
      <c r="O18" s="18" t="inlineStr">
        <is>
          <t>ข้อสอบจริง</t>
        </is>
      </c>
      <c r="P18" s="18" t="inlineStr">
        <is>
          <t>ปี 2558</t>
        </is>
      </c>
    </row>
    <row r="19">
      <c r="A19" s="18" t="n">
        <v>17</v>
      </c>
      <c r="B19" s="18"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18" t="n"/>
      <c r="D19" s="18" t="inlineStr">
        <is>
          <t>Aqueous acid-base titration</t>
        </is>
      </c>
      <c r="E19" s="18" t="inlineStr">
        <is>
          <t>Non-aqueous acid-base titration</t>
        </is>
      </c>
      <c r="F19" s="18" t="inlineStr">
        <is>
          <t>Precipitation titration</t>
        </is>
      </c>
      <c r="G19" s="18" t="inlineStr">
        <is>
          <t>Redox titration</t>
        </is>
      </c>
      <c r="H19" s="18" t="inlineStr">
        <is>
          <t>Complexation titration</t>
        </is>
      </c>
      <c r="I19" s="18" t="n">
        <v>1</v>
      </c>
      <c r="J19" s="18"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(Complexation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8" t="n"/>
      <c r="L19" s="18" t="inlineStr">
        <is>
          <t>Acid-base titration</t>
        </is>
      </c>
      <c r="M19" s="18" t="inlineStr">
        <is>
          <t>Product</t>
        </is>
      </c>
      <c r="N19" s="18" t="inlineStr">
        <is>
          <t>ข้อ 98 (Pharmtutor_2024_Set1.md)</t>
        </is>
      </c>
      <c r="O19" s="18" t="inlineStr">
        <is>
          <t>Mock</t>
        </is>
      </c>
      <c r="P19" s="18" t="inlineStr">
        <is>
          <t>Mock Pharmtutor 2024</t>
        </is>
      </c>
    </row>
    <row r="20">
      <c r="A20" s="18" t="n">
        <v>18</v>
      </c>
      <c r="B20" s="18" t="inlineStr">
        <is>
          <t>จากสมการเคมีที่กำหนด เป็นการไทเทรตแบบใด 2HNO3 + CaCO3 ―&gt; Ca(NO3)2 + CO2 + H2O HNO3 + NaOH ―&gt; NaNO3 + H2O</t>
        </is>
      </c>
      <c r="C20" s="18" t="n"/>
      <c r="D20" s="18" t="inlineStr">
        <is>
          <t>Direct acid-base titration</t>
        </is>
      </c>
      <c r="E20" s="18" t="inlineStr">
        <is>
          <t>Back acid-base titration</t>
        </is>
      </c>
      <c r="F20" s="18" t="inlineStr">
        <is>
          <t>Indirect acid-base titration</t>
        </is>
      </c>
      <c r="G20" s="18" t="inlineStr">
        <is>
          <t>Back precipitation titration</t>
        </is>
      </c>
      <c r="H20" s="18" t="inlineStr">
        <is>
          <t>Indirect precipitation titration Azithromycin is white crystalline powder. mp: 126 อC soluble in ethanol and DSMO, minimally soluble in water</t>
        </is>
      </c>
      <c r="I20" s="18" t="n">
        <v>1</v>
      </c>
      <c r="J20" s="18"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(Indirect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(Back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8" t="n"/>
      <c r="L20" s="18" t="inlineStr">
        <is>
          <t>Acid-base titration</t>
        </is>
      </c>
      <c r="M20" s="18" t="inlineStr">
        <is>
          <t>Product</t>
        </is>
      </c>
      <c r="N20" s="18" t="inlineStr">
        <is>
          <t>ข้อ 99 (Pharmtutor_2024_Set1.md)</t>
        </is>
      </c>
      <c r="O20" s="18" t="inlineStr">
        <is>
          <t>Mock</t>
        </is>
      </c>
      <c r="P20" s="18" t="inlineStr">
        <is>
          <t>Mock Pharmtutor 2024</t>
        </is>
      </c>
    </row>
    <row r="21">
      <c r="A21" s="18" t="n">
        <v>19</v>
      </c>
      <c r="B21" s="18"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18" t="n"/>
      <c r="D21" s="18" t="inlineStr">
        <is>
          <t>Complexometric titration</t>
        </is>
      </c>
      <c r="E21" s="18" t="inlineStr">
        <is>
          <t>Acid-base titration</t>
        </is>
      </c>
      <c r="F21" s="18" t="inlineStr">
        <is>
          <t>Precipitation titration</t>
        </is>
      </c>
      <c r="G21" s="18" t="inlineStr">
        <is>
          <t>Redox titration</t>
        </is>
      </c>
      <c r="H21" s="18" t="inlineStr">
        <is>
          <t>ไม่มีข้อใดถูก</t>
        </is>
      </c>
      <c r="I21" s="18" t="n">
        <v>1</v>
      </c>
      <c r="J21" s="18"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8" t="n"/>
      <c r="L21" s="18" t="inlineStr">
        <is>
          <t>Acid-base titration</t>
        </is>
      </c>
      <c r="M21" s="18" t="inlineStr">
        <is>
          <t>Product</t>
        </is>
      </c>
      <c r="N21" s="18" t="inlineStr">
        <is>
          <t>ข้อ 94 (Pharmtutor_2024_Set2.md)</t>
        </is>
      </c>
      <c r="O21" s="18" t="inlineStr">
        <is>
          <t>Mock</t>
        </is>
      </c>
      <c r="P21" s="18" t="inlineStr">
        <is>
          <t>Mock Pharmtutor 2024</t>
        </is>
      </c>
    </row>
    <row r="22">
      <c r="A22" s="18" t="n">
        <v>20</v>
      </c>
      <c r="B22" s="18"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18" t="n"/>
      <c r="D22" s="18" t="inlineStr">
        <is>
          <t>Direct Acid-Base Titration</t>
        </is>
      </c>
      <c r="E22" s="18" t="inlineStr">
        <is>
          <t>Back Acid-Base Titration</t>
        </is>
      </c>
      <c r="F22" s="18" t="inlineStr">
        <is>
          <t>Redox Titration (Iodometry)</t>
        </is>
      </c>
      <c r="G22" s="18" t="inlineStr">
        <is>
          <t>Complexometric Titration (EDTA)</t>
        </is>
      </c>
      <c r="H22" s="18" t="inlineStr">
        <is>
          <t>Precipitation Titration (Mohr method)</t>
        </is>
      </c>
      <c r="I22" s="18" t="n">
        <v>1</v>
      </c>
      <c r="J22" s="18"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8" t="n"/>
      <c r="L22" s="18" t="inlineStr">
        <is>
          <t>Acid-base titration</t>
        </is>
      </c>
      <c r="M22" s="18" t="inlineStr">
        <is>
          <t>Product</t>
        </is>
      </c>
      <c r="N22" s="18" t="inlineStr">
        <is>
          <t>ข้อ 69 (PLE_CC1_2557.md)</t>
        </is>
      </c>
      <c r="O22" s="18" t="inlineStr">
        <is>
          <t>ข้อสอบจริง</t>
        </is>
      </c>
      <c r="P22" s="18" t="inlineStr">
        <is>
          <t>ปี 2557</t>
        </is>
      </c>
    </row>
    <row r="23">
      <c r="A23" s="18" t="n">
        <v>21</v>
      </c>
      <c r="B23" s="18"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18" t="n"/>
      <c r="D23" s="18" t="inlineStr">
        <is>
          <t>Complexometric Titration (EDTA)</t>
        </is>
      </c>
      <c r="E23" s="18" t="inlineStr">
        <is>
          <t>Precipitation Titration (Mohr method)</t>
        </is>
      </c>
      <c r="F23" s="18" t="inlineStr">
        <is>
          <t>Volhard Titration method</t>
        </is>
      </c>
      <c r="G23" s="18" t="inlineStr">
        <is>
          <t>Fajans Adsorption Indicator method</t>
        </is>
      </c>
      <c r="H23" s="18" t="inlineStr">
        <is>
          <t>Potentiometric End-point Titration</t>
        </is>
      </c>
      <c r="I23" s="18" t="n">
        <v>1</v>
      </c>
      <c r="J23" s="18"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ค.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8" t="n"/>
      <c r="L23" s="18" t="inlineStr">
        <is>
          <t>Redox titration</t>
        </is>
      </c>
      <c r="M23" s="18" t="inlineStr">
        <is>
          <t>Product</t>
        </is>
      </c>
      <c r="N23" s="18" t="inlineStr">
        <is>
          <t>ข้อ 70 (PLE_CC1_2557.md)</t>
        </is>
      </c>
      <c r="O23" s="18" t="inlineStr">
        <is>
          <t>ข้อสอบจริง</t>
        </is>
      </c>
      <c r="P23" s="18" t="inlineStr">
        <is>
          <t>ปี 2557</t>
        </is>
      </c>
    </row>
    <row r="24">
      <c r="A24" s="18" t="n">
        <v>22</v>
      </c>
      <c r="B24" s="18"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18" t="n"/>
      <c r="D24" s="18" t="inlineStr">
        <is>
          <t>Fajans Adsorption Indicator method</t>
        </is>
      </c>
      <c r="E24" s="18" t="inlineStr">
        <is>
          <t>Potentiometric End-point Titration</t>
        </is>
      </c>
      <c r="F24" s="18" t="inlineStr">
        <is>
          <t>Biamperometric Titration</t>
        </is>
      </c>
      <c r="G24" s="18" t="inlineStr">
        <is>
          <t>Nonaqueous Acid-Base Titration</t>
        </is>
      </c>
      <c r="H24" s="18" t="inlineStr">
        <is>
          <t>Direct Acid-Base Titration</t>
        </is>
      </c>
      <c r="I24" s="18" t="n">
        <v>3</v>
      </c>
      <c r="J24" s="18"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ข้อนี้ไม่ใช่คำตอบที่ถูกต้องสำหรับภาวะ Precipitation titration เนื่องจากกลไกการออกฤทธิ์, efficacy หรือข้อบ่งใช้ไม่ตรงกับโจทย์ที่กำหนด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8" t="n"/>
      <c r="L24" s="18" t="inlineStr">
        <is>
          <t>Precipitation titration</t>
        </is>
      </c>
      <c r="M24" s="18" t="inlineStr">
        <is>
          <t>Product</t>
        </is>
      </c>
      <c r="N24" s="18" t="inlineStr">
        <is>
          <t>ข้อ 5 (PLE_CC1_2533.md)</t>
        </is>
      </c>
      <c r="O24" s="18" t="inlineStr">
        <is>
          <t>ข้อสอบจริง</t>
        </is>
      </c>
      <c r="P24" s="18" t="inlineStr">
        <is>
          <t>ปี 2533</t>
        </is>
      </c>
    </row>
    <row r="25">
      <c r="A25" s="18" t="n">
        <v>23</v>
      </c>
      <c r="B25" s="18" t="inlineStr">
        <is>
          <t>ต้องการวิเคราะห์ phenazopyridine ควรใช้วิธีใดในการวิเคราะห์</t>
        </is>
      </c>
      <c r="C25" s="18" t="n"/>
      <c r="D25" s="18" t="inlineStr">
        <is>
          <t>Nonaqueous Acid-Base Titration</t>
        </is>
      </c>
      <c r="E25" s="18" t="inlineStr">
        <is>
          <t>Direct Acid-Base Titration</t>
        </is>
      </c>
      <c r="F25" s="18" t="inlineStr">
        <is>
          <t>Back Acid-Base Titration</t>
        </is>
      </c>
      <c r="G25" s="18" t="inlineStr">
        <is>
          <t>Redox Titration (Iodometry)</t>
        </is>
      </c>
      <c r="H25" s="18" t="inlineStr">
        <is>
          <t>Complexometric Titration (EDTA)</t>
        </is>
      </c>
      <c r="I25" s="18" t="n">
        <v>1</v>
      </c>
      <c r="J25" s="18"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8" t="n"/>
      <c r="L25" s="18" t="inlineStr">
        <is>
          <t>Acid-base titration</t>
        </is>
      </c>
      <c r="M25" s="18" t="inlineStr">
        <is>
          <t>Product</t>
        </is>
      </c>
      <c r="N25" s="18" t="inlineStr">
        <is>
          <t>ข้อ 7 (PLE_CC1_2533.md)</t>
        </is>
      </c>
      <c r="O25" s="18" t="inlineStr">
        <is>
          <t>ข้อสอบจริง</t>
        </is>
      </c>
      <c r="P25" s="18" t="inlineStr">
        <is>
          <t>ปี 2533</t>
        </is>
      </c>
    </row>
    <row r="26">
      <c r="A26" s="18" t="n">
        <v>24</v>
      </c>
      <c r="B26" s="18" t="inlineStr">
        <is>
          <t>Redox titration</t>
        </is>
      </c>
      <c r="C26" s="18" t="n"/>
      <c r="D26" s="18" t="inlineStr">
        <is>
          <t>Redox Titration (Iodometry)</t>
        </is>
      </c>
      <c r="E26" s="18" t="inlineStr">
        <is>
          <t>Complexometric Titration (EDTA)</t>
        </is>
      </c>
      <c r="F26" s="18" t="inlineStr">
        <is>
          <t>Precipitation Titration (Mohr method)</t>
        </is>
      </c>
      <c r="G26" s="18" t="inlineStr">
        <is>
          <t>Volhard Titration method</t>
        </is>
      </c>
      <c r="H26" s="18" t="inlineStr">
        <is>
          <t>Fajans Adsorption Indicator method</t>
        </is>
      </c>
      <c r="I26" s="18" t="n">
        <v>1</v>
      </c>
      <c r="J26" s="18"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ง.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8" t="n"/>
      <c r="L26" s="18" t="inlineStr">
        <is>
          <t>Redox titration</t>
        </is>
      </c>
      <c r="M26" s="18" t="inlineStr">
        <is>
          <t>Product</t>
        </is>
      </c>
      <c r="N26" s="18" t="inlineStr">
        <is>
          <t>ข้อ 1 (PLE_CC1_2533.md)</t>
        </is>
      </c>
      <c r="O26" s="18" t="inlineStr">
        <is>
          <t>ข้อสอบจริง</t>
        </is>
      </c>
      <c r="P26" s="18" t="inlineStr">
        <is>
          <t>ปี 2533</t>
        </is>
      </c>
    </row>
    <row r="27">
      <c r="A27" s="18" t="n">
        <v>25</v>
      </c>
      <c r="B27" s="18" t="inlineStr">
        <is>
          <t>Complexometric Titration</t>
        </is>
      </c>
      <c r="C27" s="18" t="n"/>
      <c r="D27" s="18" t="inlineStr">
        <is>
          <t>Volhard Titration method</t>
        </is>
      </c>
      <c r="E27" s="18" t="inlineStr">
        <is>
          <t>Fajans Adsorption Indicator method</t>
        </is>
      </c>
      <c r="F27" s="18" t="inlineStr">
        <is>
          <t>Potentiometric End-point Titration</t>
        </is>
      </c>
      <c r="G27" s="18" t="inlineStr">
        <is>
          <t>Biamperometric Titration</t>
        </is>
      </c>
      <c r="H27" s="18" t="inlineStr">
        <is>
          <t>Nonaqueous Acid-Base Titration</t>
        </is>
      </c>
      <c r="I27" s="18" t="n">
        <v>1</v>
      </c>
      <c r="J27" s="18"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ค.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8" t="n"/>
      <c r="L27" s="18" t="inlineStr">
        <is>
          <t>Complexometric titration</t>
        </is>
      </c>
      <c r="M27" s="18" t="inlineStr">
        <is>
          <t>Product</t>
        </is>
      </c>
      <c r="N27" s="18" t="inlineStr">
        <is>
          <t>ข้อ 3 (PLE_CC1_2533.md)</t>
        </is>
      </c>
      <c r="O27" s="18" t="inlineStr">
        <is>
          <t>ข้อสอบจริง</t>
        </is>
      </c>
      <c r="P27" s="18" t="inlineStr">
        <is>
          <t>ปี 2533</t>
        </is>
      </c>
    </row>
    <row r="28">
      <c r="A28" s="18" t="n">
        <v>26</v>
      </c>
      <c r="B28" s="18" t="inlineStr">
        <is>
          <t>สารใดในตำรับอยู่ในเฟสน้ำ</t>
        </is>
      </c>
      <c r="C28" s="18" t="n"/>
      <c r="D28" s="18" t="inlineStr">
        <is>
          <t>Deionized water</t>
        </is>
      </c>
      <c r="E28" s="18" t="inlineStr">
        <is>
          <t>Glycerin</t>
        </is>
      </c>
      <c r="F28" s="18" t="inlineStr">
        <is>
          <t>Propylene glycol</t>
        </is>
      </c>
      <c r="G28" s="18" t="inlineStr">
        <is>
          <t>Disodium EDTA</t>
        </is>
      </c>
      <c r="H28" s="18" t="inlineStr">
        <is>
          <t>ถูกทุกข้อ</t>
        </is>
      </c>
      <c r="I28" s="18" t="n">
        <v>1</v>
      </c>
      <c r="J28" s="18"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ข้อนี้ไม่ใช่คำตอบที่ถูกต้องสำหรับภาวะ Acid-base titration เนื่องจากกลไกการออกฤทธิ์, efficacy หรือข้อบ่งใช้ไม่ตรงกับโจทย์ที่กำหนด
• ข้อ ค. (Propylene glycol): ข้อนี้ไม่ใช่คำตอบที่ถูกต้องสำหรับภาวะ Acid-base titration เนื่องจากกลไกการออกฤทธิ์, efficacy หรือข้อบ่งใช้ไม่ตรงกับโจทย์ที่กำหนด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8" t="n"/>
      <c r="L28" s="18" t="inlineStr">
        <is>
          <t>Acid-base titration</t>
        </is>
      </c>
      <c r="M28" s="18" t="inlineStr">
        <is>
          <t>Product</t>
        </is>
      </c>
      <c r="N28" s="18" t="inlineStr">
        <is>
          <t>ข้อ 36 (PLE_CC1_Practice_Exam.md)</t>
        </is>
      </c>
      <c r="O28" s="18" t="inlineStr">
        <is>
          <t>Mock</t>
        </is>
      </c>
      <c r="P28" s="18" t="inlineStr">
        <is>
          <t>Mock สภาเภสัชฯ Practice</t>
        </is>
      </c>
    </row>
    <row r="29">
      <c r="A29" s="18" t="n">
        <v>27</v>
      </c>
      <c r="B29" s="18" t="inlineStr">
        <is>
          <t>วัตถุประสงค์หลักของการใช้ non-aqueous acid-base titration คืออะไร</t>
        </is>
      </c>
      <c r="C29" s="18" t="n"/>
      <c r="D29" s="18" t="inlineStr">
        <is>
          <t>การละลายน้ำของสาร</t>
        </is>
      </c>
      <c r="E29" s="18" t="inlineStr">
        <is>
          <t>ความเข้มข้นของสาร</t>
        </is>
      </c>
      <c r="F29" s="18" t="inlineStr">
        <is>
          <t>สารทำปฏิกิริยากับน้ำไม่ได้</t>
        </is>
      </c>
      <c r="G29" s="18" t="inlineStr">
        <is>
          <t>สารทำปฏิกิริยารุนแรงกับน้ำ</t>
        </is>
      </c>
      <c r="H29" s="18" t="inlineStr">
        <is>
          <t>ถูกทุกข้อ</t>
        </is>
      </c>
      <c r="I29" s="18" t="n">
        <v>1</v>
      </c>
      <c r="J29" s="18"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ข้อนี้ไม่ใช่คำตอบที่ถูกต้องสำหรับภาวะ Acid-base titration เนื่องจากกลไกการออกฤทธิ์, efficacy หรือข้อบ่งใช้ไม่ตรงกับโจทย์ที่กำหนด
• ข้อ ค. (สารทำปฏิกิริยากับน้ำไม่ได้): ข้อนี้ไม่ใช่คำตอบที่ถูกต้องสำหรับภาวะ Acid-base titration เนื่องจากกลไกการออกฤทธิ์, efficacy หรือข้อบ่งใช้ไม่ตรงกับโจทย์ที่กำหนด
• ข้อ ง. (สารทำปฏิกิริยารุนแรงกับน้ำ): ข้อนี้ไม่ใช่คำตอบที่ถูกต้องสำหรับภาวะ Acid-base titration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8" t="n"/>
      <c r="L29" s="18" t="inlineStr">
        <is>
          <t>Acid-base titration</t>
        </is>
      </c>
      <c r="M29" s="18" t="inlineStr">
        <is>
          <t>Product</t>
        </is>
      </c>
      <c r="N29" s="18" t="inlineStr">
        <is>
          <t>ข้อ 8 (PLE_CC1_Practice_Exam.md)</t>
        </is>
      </c>
      <c r="O29" s="18" t="inlineStr">
        <is>
          <t>Mock</t>
        </is>
      </c>
      <c r="P29" s="18" t="inlineStr">
        <is>
          <t>Mock สภาเภสัชฯ Practice</t>
        </is>
      </c>
    </row>
    <row r="30">
      <c r="A30" s="18" t="n">
        <v>28</v>
      </c>
      <c r="B30" s="18"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18" t="n"/>
      <c r="D30" s="18" t="inlineStr">
        <is>
          <t>strong acid/strong base titration</t>
        </is>
      </c>
      <c r="E30" s="18" t="inlineStr">
        <is>
          <t>weak acid/strong base titraton</t>
        </is>
      </c>
      <c r="F30" s="18" t="inlineStr">
        <is>
          <t>weak base/strong acid titration</t>
        </is>
      </c>
      <c r="G30" s="18" t="inlineStr">
        <is>
          <t>non-aqueous titration of weak base</t>
        </is>
      </c>
      <c r="H30" s="18" t="inlineStr">
        <is>
          <t>non-aqueous titration of weak acid</t>
        </is>
      </c>
      <c r="I30" s="18" t="n">
        <v>1</v>
      </c>
      <c r="J30" s="18"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ข้อนี้ไม่ใช่คำตอบที่ถูกต้องสำหรับภาวะ Complexometric titration เนื่องจากกลไกการออกฤทธิ์, efficacy หรือข้อบ่งใช้ไม่ตรงกับโจทย์ที่กำหนด
• ข้อ ค. (weak base/strong acid titration): ข้อนี้ไม่ใช่คำตอบที่ถูกต้องสำหรับภาวะ Complexometric titration เนื่องจากกลไกการออกฤทธิ์, efficacy หรือข้อบ่งใช้ไม่ตรงกับโจทย์ที่กำหนด
• ข้อ ง. (non-aqueous titration of weak base):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titration of weak acid):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8" t="n"/>
      <c r="L30" s="18" t="inlineStr">
        <is>
          <t>Complexometric titration</t>
        </is>
      </c>
      <c r="M30" s="18" t="inlineStr">
        <is>
          <t>Product</t>
        </is>
      </c>
      <c r="N30" s="18" t="inlineStr">
        <is>
          <t>ข้อ 9 (PLE_CC1_Practice_Exam.md)</t>
        </is>
      </c>
      <c r="O30" s="18" t="inlineStr">
        <is>
          <t>Mock</t>
        </is>
      </c>
      <c r="P30" s="18" t="inlineStr">
        <is>
          <t>Mock สภาเภสัชฯ Practice</t>
        </is>
      </c>
    </row>
    <row r="31">
      <c r="A31" s="18" t="n">
        <v>29</v>
      </c>
      <c r="B31" s="18" t="inlineStr">
        <is>
          <t>ข้อใดกล่าวถูกต้องเกี่ยวกับ Precipitation titration</t>
        </is>
      </c>
      <c r="C31" s="18" t="n"/>
      <c r="D31" s="18" t="inlineStr">
        <is>
          <t>เหมาะสำหรับปฏิกิริยาที่เกิดช้า เพื่อให้สังเกตเห็นการตกตะกอนอย่างช้าๆ</t>
        </is>
      </c>
      <c r="E31" s="18" t="inlineStr">
        <is>
          <t>อุณหภูมิมีผลต่อการละลายของตะกอน โดยที่อุณหภูมิสูงจะเพิ่มการละลายของตะกอนเสมอ</t>
        </is>
      </c>
      <c r="F31" s="18" t="inlineStr">
        <is>
          <t>จะเกิดการตกตะกอนเมื่อค่า Q = Ksp</t>
        </is>
      </c>
      <c r="G31" s="18"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18" t="inlineStr">
        <is>
          <t>ปฏิกิริยาที่มีค่า Ksp สูง จะทำให้หาจุดยุติจาก titration curve ได้ง่าย</t>
        </is>
      </c>
      <c r="I31" s="18" t="n">
        <v>1</v>
      </c>
      <c r="J31" s="18"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ข้อนี้ไม่ใช่คำตอบที่ถูกต้องสำหรับภาวะ Precipitation titration เนื่องจากกลไกการออกฤทธิ์, efficacy หรือข้อบ่งใช้ไม่ตรงกับโจทย์ที่กำหนด
• ข้อ ค. (จะเกิดการตกตะกอนเมื่อค่า Q = Ksp): ข้อนี้ไม่ใช่คำตอบที่ถูกต้องสำหรับภาวะ Precipitation titration เนื่องจากกลไกการออกฤทธิ์, efficacy หรือข้อบ่งใช้ไม่ตรงกับโจทย์ที่กำหนด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ข้อนี้ไม่ใช่คำตอบที่ถูกต้องสำหรับภาวะ Precipitation titration เนื่องจากกลไกการออกฤทธิ์, efficacy หรือข้อบ่งใช้ไม่ตรงกับโจทย์ที่กำหนด
• ข้อ จ. (ปฏิกิริยาที่มีค่า Ksp สูง จะทำให้หาจุดยุติจาก titration curve ได้ง่าย):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8" t="n"/>
      <c r="L31" s="18" t="inlineStr">
        <is>
          <t>Precipitation titration</t>
        </is>
      </c>
      <c r="M31" s="18" t="inlineStr">
        <is>
          <t>Product</t>
        </is>
      </c>
      <c r="N31" s="18" t="inlineStr">
        <is>
          <t>ข้อ 18 (PLE_CC1_Practice_Exam.md)</t>
        </is>
      </c>
      <c r="O31" s="18" t="inlineStr">
        <is>
          <t>Mock</t>
        </is>
      </c>
      <c r="P31" s="18" t="inlineStr">
        <is>
          <t>Mock สภาเภสัชฯ Practice</t>
        </is>
      </c>
    </row>
    <row r="32">
      <c r="A32" s="18" t="n">
        <v>30</v>
      </c>
      <c r="B32" s="18"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18" t="n"/>
      <c r="D32" s="18" t="inlineStr">
        <is>
          <t>5000 กรัม</t>
        </is>
      </c>
      <c r="E32" s="18"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18" t="n">
        <v>90</v>
      </c>
      <c r="G32" s="18" t="n">
        <v>95</v>
      </c>
      <c r="H32" s="18" t="n">
        <v>100</v>
      </c>
      <c r="I32" s="18" t="n">
        <v>1</v>
      </c>
      <c r="J32" s="18"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ข้อนี้ไม่ใช่คำตอบที่ถูกต้องสำหรับภาวะ Acid-base titration เนื่องจากกลไกการออกฤทธิ์, efficacy หรือข้อบ่งใช้ไม่ตรงกับโจทย์ที่กำหนด
• ข้อ ค. (90): ข้อนี้ไม่ใช่คำตอบที่ถูกต้องสำหรับภาวะ Acid-base titration เนื่องจากกลไกการออกฤทธิ์, efficacy หรือข้อบ่งใช้ไม่ตรงกับโจทย์ที่กำหนด
• ข้อ ง. (95): ข้อนี้ไม่ใช่คำตอบที่ถูกต้องสำหรับภาวะ Acid-base titration เนื่องจากกลไกการออกฤทธิ์, efficacy หรือข้อบ่งใช้ไม่ตรงกับโจทย์ที่กำหนด
• ข้อ จ. (100):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8" t="n"/>
      <c r="L32" s="18" t="inlineStr">
        <is>
          <t>Acid-base titration</t>
        </is>
      </c>
      <c r="M32" s="18" t="inlineStr">
        <is>
          <t>Product</t>
        </is>
      </c>
      <c r="N32" s="18" t="inlineStr">
        <is>
          <t>ข้อ 19 (PLE_CC1_Practice_Exam.md)</t>
        </is>
      </c>
      <c r="O32" s="18" t="inlineStr">
        <is>
          <t>Mock</t>
        </is>
      </c>
      <c r="P32" s="18" t="inlineStr">
        <is>
          <t>Mock สภาเภสัชฯ Practice</t>
        </is>
      </c>
    </row>
    <row r="33">
      <c r="A33" s="18" t="n">
        <v>31</v>
      </c>
      <c r="B33" s="18" t="inlineStr">
        <is>
          <t>ในการวิเคราะห์ Boric acid ด้วย Direct titration ใส่สารชนิดใดเพื่อให้ form complex กับ metaborate ion</t>
        </is>
      </c>
      <c r="C33" s="18" t="n"/>
      <c r="D33" s="18" t="inlineStr">
        <is>
          <t>Silver nitrate</t>
        </is>
      </c>
      <c r="E33" s="18" t="inlineStr">
        <is>
          <t>Glycerin</t>
        </is>
      </c>
      <c r="F33" s="18" t="inlineStr">
        <is>
          <t>Phenolphthalein</t>
        </is>
      </c>
      <c r="G33" s="18" t="inlineStr">
        <is>
          <t>Sodium hydroxide</t>
        </is>
      </c>
      <c r="H33" s="18" t="inlineStr">
        <is>
          <t>Sodium bicarbonate</t>
        </is>
      </c>
      <c r="I33" s="18" t="n">
        <v>1</v>
      </c>
      <c r="J33" s="18"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ข้อนี้ไม่ใช่คำตอบที่ถูกต้องสำหรับภาวะ Complexometric titration เนื่องจากกลไกการออกฤทธิ์, efficacy หรือข้อบ่งใช้ไม่ตรงกับโจทย์ที่กำหนด
• ข้อ ค. (Phenolphthalein): ข้อนี้ไม่ใช่คำตอบที่ถูกต้องสำหรับภาวะ Complexometric titration เนื่องจากกลไกการออกฤทธิ์, efficacy หรือข้อบ่งใช้ไม่ตรงกับโจทย์ที่กำหนด
• ข้อ ง. (Sodium hydroxide): ข้อนี้ไม่ใช่คำตอบที่ถูกต้องสำหรับภาวะ Complexometric titration เนื่องจากกลไกการออกฤทธิ์, efficacy หรือข้อบ่งใช้ไม่ตรงกับโจทย์ที่กำหนด
• ข้อ จ. (Sodium bicarbonate):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8" t="n"/>
      <c r="L33" s="18" t="inlineStr">
        <is>
          <t>Complexometric titration</t>
        </is>
      </c>
      <c r="M33" s="18" t="inlineStr">
        <is>
          <t>Product</t>
        </is>
      </c>
      <c r="N33" s="18" t="inlineStr">
        <is>
          <t>ข้อ 23 (PLE_CC1_Practice_Exam.md)</t>
        </is>
      </c>
      <c r="O33" s="18" t="inlineStr">
        <is>
          <t>Mock</t>
        </is>
      </c>
      <c r="P33" s="18" t="inlineStr">
        <is>
          <t>Mock สภาเภสัชฯ Practice</t>
        </is>
      </c>
    </row>
    <row r="34">
      <c r="A34" s="18" t="n">
        <v>32</v>
      </c>
      <c r="B34" s="18"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18" t="n"/>
      <c r="D34" s="18" t="inlineStr">
        <is>
          <t>10.01 ml</t>
        </is>
      </c>
      <c r="E34" s="18" t="inlineStr">
        <is>
          <t>11.21 ml</t>
        </is>
      </c>
      <c r="F34" s="18" t="inlineStr">
        <is>
          <t>11.52 ml</t>
        </is>
      </c>
      <c r="G34" s="18" t="inlineStr">
        <is>
          <t>12.71 ml</t>
        </is>
      </c>
      <c r="H34" s="18" t="inlineStr">
        <is>
          <t>12.98 ml</t>
        </is>
      </c>
      <c r="I34" s="18" t="n">
        <v>1</v>
      </c>
      <c r="J34" s="18"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ข้อนี้ไม่ใช่คำตอบที่ถูกต้องสำหรับภาวะ Complexometric titration เนื่องจากกลไกการออกฤทธิ์, efficacy หรือข้อบ่งใช้ไม่ตรงกับโจทย์ที่กำหนด
• ข้อ ค. (11.52 ml): ข้อนี้ไม่ใช่คำตอบที่ถูกต้องสำหรับภาวะ Complexometric titration เนื่องจากกลไกการออกฤทธิ์, efficacy หรือข้อบ่งใช้ไม่ตรงกับโจทย์ที่กำหนด
• ข้อ ง. (12.71 ml): ข้อนี้ไม่ใช่คำตอบที่ถูกต้องสำหรับภาวะ Complexometric titration เนื่องจากกลไกการออกฤทธิ์, efficacy หรือข้อบ่งใช้ไม่ตรงกับโจทย์ที่กำหนด
• ข้อ จ. (12.98 ml):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8" t="n"/>
      <c r="L34" s="18" t="inlineStr">
        <is>
          <t>Complexometric titration</t>
        </is>
      </c>
      <c r="M34" s="18" t="inlineStr">
        <is>
          <t>Product</t>
        </is>
      </c>
      <c r="N34" s="18" t="inlineStr">
        <is>
          <t>ข้อ 24 (PLE_CC1_Practice_Exam.md)</t>
        </is>
      </c>
      <c r="O34" s="18" t="inlineStr">
        <is>
          <t>Mock</t>
        </is>
      </c>
      <c r="P34" s="18" t="inlineStr">
        <is>
          <t>Mock สภาเภสัชฯ Practice</t>
        </is>
      </c>
    </row>
    <row r="35">
      <c r="A35" s="18" t="n">
        <v>33</v>
      </c>
      <c r="B35" s="18"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18" t="n"/>
      <c r="D35" s="18" t="inlineStr">
        <is>
          <t>00 หน่วย</t>
        </is>
      </c>
      <c r="E35" s="18" t="inlineStr">
        <is>
          <t>2 x 105</t>
        </is>
      </c>
      <c r="F35" s="18" t="inlineStr">
        <is>
          <t>2 x 109</t>
        </is>
      </c>
      <c r="G35" s="18" t="inlineStr">
        <is>
          <t>2 x 10-5</t>
        </is>
      </c>
      <c r="H35" s="18" t="inlineStr">
        <is>
          <t>2 x 10-9</t>
        </is>
      </c>
      <c r="I35" s="18" t="n">
        <v>1</v>
      </c>
      <c r="J35" s="18"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ข้อนี้ไม่ใช่คำตอบที่ถูกต้องสำหรับภาวะ Acid-base titration เนื่องจากกลไกการออกฤทธิ์, efficacy หรือข้อบ่งใช้ไม่ตรงกับโจทย์ที่กำหนด
• ข้อ ค. (2 x 109): ข้อนี้ไม่ใช่คำตอบที่ถูกต้องสำหรับภาวะ Acid-base titration เนื่องจากกลไกการออกฤทธิ์, efficacy หรือข้อบ่งใช้ไม่ตรงกับโจทย์ที่กำหนด
• ข้อ ง. (2 x 10-5): ข้อนี้ไม่ใช่คำตอบที่ถูกต้องสำหรับภาวะ Acid-base titration เนื่องจากกลไกการออกฤทธิ์, efficacy หรือข้อบ่งใช้ไม่ตรงกับโจทย์ที่กำหนด
• ข้อ จ. (2 x 10-9):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8" t="n"/>
      <c r="L35" s="18" t="inlineStr">
        <is>
          <t>Acid-base titration</t>
        </is>
      </c>
      <c r="M35" s="18" t="inlineStr">
        <is>
          <t>Product</t>
        </is>
      </c>
      <c r="N35" s="18" t="inlineStr">
        <is>
          <t>ข้อ 25 (PLE_CC1_Practice_Exam.md)</t>
        </is>
      </c>
      <c r="O35" s="18" t="inlineStr">
        <is>
          <t>Mock</t>
        </is>
      </c>
      <c r="P35" s="18" t="inlineStr">
        <is>
          <t>Mock สภาเภสัชฯ Practice</t>
        </is>
      </c>
    </row>
    <row r="36">
      <c r="A36" s="18" t="n">
        <v>34</v>
      </c>
      <c r="B36" s="18"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18" t="n"/>
      <c r="D36" s="18" t="n">
        <v>0.09429999999999999</v>
      </c>
      <c r="E36" s="18"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18" t="n">
        <v>0.09669999999999999</v>
      </c>
      <c r="G36" s="18" t="n">
        <v>0.0977</v>
      </c>
      <c r="H36" s="18" t="n">
        <v>0.09810000000000001</v>
      </c>
      <c r="I36" s="18" t="n">
        <v>1</v>
      </c>
      <c r="J36" s="18"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Acid-base titration เนื่องจากกลไกการออกฤทธิ์, efficacy หรือข้อบ่งใช้ไม่ตรงกับโจทย์ที่กำหนด
• ข้อ ค. (0.0967): ข้อนี้ไม่ใช่คำตอบที่ถูกต้องสำหรับภาวะ Acid-base titration เนื่องจากกลไกการออกฤทธิ์, efficacy หรือข้อบ่งใช้ไม่ตรงกับโจทย์ที่กำหนด
• ข้อ ง. (0.0977): ข้อนี้ไม่ใช่คำตอบที่ถูกต้องสำหรับภาวะ Acid-base titration เนื่องจากกลไกการออกฤทธิ์, efficacy หรือข้อบ่งใช้ไม่ตรงกับโจทย์ที่กำหนด
• ข้อ จ. (0.0981):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8" t="n"/>
      <c r="L36" s="18" t="inlineStr">
        <is>
          <t>Acid-base titration</t>
        </is>
      </c>
      <c r="M36" s="18" t="inlineStr">
        <is>
          <t>Product</t>
        </is>
      </c>
      <c r="N36" s="18" t="inlineStr">
        <is>
          <t>ข้อ 34 (PLE_CC1_Practice_Exam.md)</t>
        </is>
      </c>
      <c r="O36" s="18" t="inlineStr">
        <is>
          <t>Mock</t>
        </is>
      </c>
      <c r="P36" s="18" t="inlineStr">
        <is>
          <t>Mock สภาเภสัชฯ Practice</t>
        </is>
      </c>
    </row>
    <row r="37">
      <c r="A37" s="18" t="n">
        <v>35</v>
      </c>
      <c r="B37" s="18"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18" t="n"/>
      <c r="D37" s="35" t="n">
        <v>1.001</v>
      </c>
      <c r="E37" s="35" t="n">
        <v>1.002</v>
      </c>
      <c r="F37" s="35" t="n">
        <v>1.003</v>
      </c>
      <c r="G37" s="35" t="n">
        <v>1.01</v>
      </c>
      <c r="H37" s="35" t="n">
        <v>1.02</v>
      </c>
      <c r="I37" s="18" t="n">
        <v>1</v>
      </c>
      <c r="J37" s="18"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ข้อนี้ไม่ใช่คำตอบที่ถูกต้องสำหรับภาวะ Complexometric titration เนื่องจากกลไกการออกฤทธิ์, efficacy หรือข้อบ่งใช้ไม่ตรงกับโจทย์ที่กำหนด
• ข้อ ค. (100.30%): ข้อนี้ไม่ใช่คำตอบที่ถูกต้องสำหรับภาวะ Complexometric titration เนื่องจากกลไกการออกฤทธิ์, efficacy หรือข้อบ่งใช้ไม่ตรงกับโจทย์ที่กำหนด
• ข้อ ง. (101.00%): ข้อนี้ไม่ใช่คำตอบที่ถูกต้องสำหรับภาวะ Complexometric titration เนื่องจากกลไกการออกฤทธิ์, efficacy หรือข้อบ่งใช้ไม่ตรงกับโจทย์ที่กำหนด
• ข้อ จ. (102.00%):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8" t="n"/>
      <c r="L37" s="18" t="inlineStr">
        <is>
          <t>Complexometric titration</t>
        </is>
      </c>
      <c r="M37" s="18" t="inlineStr">
        <is>
          <t>Product</t>
        </is>
      </c>
      <c r="N37" s="18" t="inlineStr">
        <is>
          <t>ข้อ 35 (PLE_CC1_Practice_Exam.md)</t>
        </is>
      </c>
      <c r="O37" s="18" t="inlineStr">
        <is>
          <t>Mock</t>
        </is>
      </c>
      <c r="P37" s="18" t="inlineStr">
        <is>
          <t>Mock สภาเภสัชฯ Practice</t>
        </is>
      </c>
    </row>
    <row r="38">
      <c r="A38" s="18" t="n">
        <v>36</v>
      </c>
      <c r="B38" s="18" t="inlineStr">
        <is>
          <t>Sodium metabisulfite + EDTA</t>
        </is>
      </c>
      <c r="C38" s="18" t="n"/>
      <c r="D38" s="18" t="inlineStr">
        <is>
          <t>Biamperometric Titration</t>
        </is>
      </c>
      <c r="E38" s="18" t="inlineStr">
        <is>
          <t>Nonaqueous Acid-Base Titration</t>
        </is>
      </c>
      <c r="F38" s="18" t="inlineStr">
        <is>
          <t>Direct Acid-Base Titration</t>
        </is>
      </c>
      <c r="G38" s="18" t="inlineStr">
        <is>
          <t>Back Acid-Base Titration</t>
        </is>
      </c>
      <c r="H38" s="18" t="inlineStr">
        <is>
          <t>Redox Titration (Iodometry)</t>
        </is>
      </c>
      <c r="I38" s="18" t="n">
        <v>1</v>
      </c>
      <c r="J38" s="18"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ค. (Direct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(Back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จ. (Redox Titration (Iodometry)):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8" t="n"/>
      <c r="L38" s="18" t="inlineStr">
        <is>
          <t>Complexometric titration</t>
        </is>
      </c>
      <c r="M38" s="18" t="inlineStr">
        <is>
          <t>Product</t>
        </is>
      </c>
      <c r="N38" s="18" t="inlineStr">
        <is>
          <t>ข้อ 4 (PLE_CC1_Key_Rx20_UBU.md)</t>
        </is>
      </c>
      <c r="O38" s="18" t="inlineStr">
        <is>
          <t>Mock</t>
        </is>
      </c>
      <c r="P38" s="18" t="inlineStr">
        <is>
          <t>Mock Rx20 UBU</t>
        </is>
      </c>
    </row>
    <row r="39">
      <c r="A39" s="18" t="n">
        <v>37</v>
      </c>
      <c r="B39" s="18" t="inlineStr">
        <is>
          <t>ข้อมูลวิธีวิเคราะห์: ใช้สาร percloric acid(HCLO4) เป็น tritrant และใช้ Potentiometry .... การวิเคราะห์ยา ketoconazole ใช้วิธีใด</t>
        </is>
      </c>
      <c r="C39" s="18" t="n"/>
      <c r="D39" s="18" t="inlineStr">
        <is>
          <t>Back Acid-Base Titration</t>
        </is>
      </c>
      <c r="E39" s="18" t="inlineStr">
        <is>
          <t>Redox Titration (Iodometry)</t>
        </is>
      </c>
      <c r="F39" s="18" t="inlineStr">
        <is>
          <t>Complexometric Titration (EDTA)</t>
        </is>
      </c>
      <c r="G39" s="18" t="inlineStr">
        <is>
          <t>Precipitation Titration (Mohr method)</t>
        </is>
      </c>
      <c r="H39" s="18" t="inlineStr">
        <is>
          <t>Volhard Titration method</t>
        </is>
      </c>
      <c r="I39" s="18" t="n">
        <v>1</v>
      </c>
      <c r="J39" s="18"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ค. (Complexometric Titration (EDTA)): วัคซีนรวมคอตีบ-บาดทะยัก ฉีดกระตุ้นทุก 10 ปี หรือใช้ในหญิงตั้งครรภ์และผู้ใหญ่
• ข้อ ง.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จ. (Volhard Titration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8" t="n"/>
      <c r="L39" s="18" t="inlineStr">
        <is>
          <t>Acid-base titration</t>
        </is>
      </c>
      <c r="M39" s="18" t="inlineStr">
        <is>
          <t>Product</t>
        </is>
      </c>
      <c r="N39" s="18" t="inlineStr">
        <is>
          <t>ข้อ 57 (PLE_CC1_Key_Rx20_UBU.md)</t>
        </is>
      </c>
      <c r="O39" s="18" t="inlineStr">
        <is>
          <t>Mock</t>
        </is>
      </c>
      <c r="P39" s="18" t="inlineStr">
        <is>
          <t>Mock Rx20 UBU</t>
        </is>
      </c>
    </row>
    <row r="40">
      <c r="A40" s="18" t="n">
        <v>38</v>
      </c>
      <c r="B40" s="18" t="inlineStr">
        <is>
          <t>Complexometric Titrations ใช้ EDTA เป็น titrant</t>
        </is>
      </c>
      <c r="C40" s="18" t="n"/>
      <c r="D40" s="18" t="inlineStr">
        <is>
          <t>Precipitation Titration (Mohr method)</t>
        </is>
      </c>
      <c r="E40" s="18" t="inlineStr">
        <is>
          <t>Volhard Titration method</t>
        </is>
      </c>
      <c r="F40" s="18" t="inlineStr">
        <is>
          <t>Fajans Adsorption Indicator method</t>
        </is>
      </c>
      <c r="G40" s="18" t="inlineStr">
        <is>
          <t>Potentiometric End-point Titration</t>
        </is>
      </c>
      <c r="H40" s="18" t="inlineStr">
        <is>
          <t>Biamperometric Titration</t>
        </is>
      </c>
      <c r="I40" s="18" t="n">
        <v>1</v>
      </c>
      <c r="J40" s="18"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ข้อนี้ไม่ใช่คำตอบที่ถูกต้องสำหรับภาวะ Complexometric titration เนื่องจากกลไกการออกฤทธิ์, efficacy หรือข้อบ่งใช้ไม่ตรงกับโจทย์ที่กำหนด
• ข้อ ค.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ง.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จ.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8" t="n"/>
      <c r="L40" s="18" t="inlineStr">
        <is>
          <t>Complexometric titration</t>
        </is>
      </c>
      <c r="M40" s="18" t="inlineStr">
        <is>
          <t>Product</t>
        </is>
      </c>
      <c r="N40" s="18" t="inlineStr">
        <is>
          <t>ข้อ 1 (PLE_CC1_Key_Rx20_UBU.md)</t>
        </is>
      </c>
      <c r="O40" s="18" t="inlineStr">
        <is>
          <t>Mock</t>
        </is>
      </c>
      <c r="P40" s="18" t="inlineStr">
        <is>
          <t>Mock Rx20 UBU</t>
        </is>
      </c>
    </row>
    <row r="41">
      <c r="A41" s="18" t="n">
        <v>39</v>
      </c>
      <c r="B41" s="18" t="inlineStr">
        <is>
          <t>Redox titration ใช้พวก KMnO4, I2, FeSO4 เป็น titrant</t>
        </is>
      </c>
      <c r="C41" s="18" t="n"/>
      <c r="D41" s="18" t="inlineStr">
        <is>
          <t>Potentiometric End-point Titration</t>
        </is>
      </c>
      <c r="E41" s="18" t="inlineStr">
        <is>
          <t>Biamperometric Titration</t>
        </is>
      </c>
      <c r="F41" s="18" t="inlineStr">
        <is>
          <t>Nonaqueous Acid-Base Titration</t>
        </is>
      </c>
      <c r="G41" s="18" t="inlineStr">
        <is>
          <t>Direct Acid-Base Titration</t>
        </is>
      </c>
      <c r="H41" s="18" t="inlineStr">
        <is>
          <t>Back Acid-Base Titration</t>
        </is>
      </c>
      <c r="I41" s="18" t="n">
        <v>1</v>
      </c>
      <c r="J41" s="18"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ข้อนี้ไม่ใช่คำตอบที่ถูกต้องสำหรับภาวะ Redox titration เนื่องจากกลไกการออกฤทธิ์, efficacy หรือข้อบ่งใช้ไม่ตรงกับโจทย์ที่กำหนด
• ข้อ ค. (Nonaqueous Acid-Base Titration): ข้อนี้ไม่ใช่คำตอบที่ถูกต้องสำหรับภาวะ Redox titration เนื่องจากกลไกการออกฤทธิ์, efficacy หรือข้อบ่งใช้ไม่ตรงกับโจทย์ที่กำหนด
• ข้อ ง. (Direct Acid-Base Titration): ข้อนี้ไม่ใช่คำตอบที่ถูกต้องสำหรับภาวะ Redox titration เนื่องจากกลไกการออกฤทธิ์, efficacy หรือข้อบ่งใช้ไม่ตรงกับโจทย์ที่กำหนด
• ข้อ จ. (Back Acid-Base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8" t="n"/>
      <c r="L41" s="18" t="inlineStr">
        <is>
          <t>Redox titration</t>
        </is>
      </c>
      <c r="M41" s="18" t="inlineStr">
        <is>
          <t>Product</t>
        </is>
      </c>
      <c r="N41" s="18" t="inlineStr">
        <is>
          <t>ข้อ 2 (PLE_CC1_Key_Rx20_UBU.md)</t>
        </is>
      </c>
      <c r="O41" s="18" t="inlineStr">
        <is>
          <t>Mock</t>
        </is>
      </c>
      <c r="P41" s="18" t="inlineStr">
        <is>
          <t>Mock Rx20 UBU</t>
        </is>
      </c>
    </row>
    <row r="42">
      <c r="A42" s="18" t="n">
        <v>40</v>
      </c>
      <c r="B42" s="18" t="inlineStr">
        <is>
          <t>Gravimetric titration</t>
        </is>
      </c>
      <c r="C42" s="18" t="n"/>
      <c r="D42" s="18" t="inlineStr">
        <is>
          <t>Direct Acid-Base Titration</t>
        </is>
      </c>
      <c r="E42" s="18" t="inlineStr">
        <is>
          <t>Back Acid-Base Titration</t>
        </is>
      </c>
      <c r="F42" s="18" t="inlineStr">
        <is>
          <t>Redox Titration (Iodometry)</t>
        </is>
      </c>
      <c r="G42" s="18" t="inlineStr">
        <is>
          <t>Complexometric Titration (EDTA)</t>
        </is>
      </c>
      <c r="H42" s="18" t="inlineStr">
        <is>
          <t>Precipitation Titration (Mohr method)</t>
        </is>
      </c>
      <c r="I42" s="18" t="n">
        <v>1</v>
      </c>
      <c r="J42" s="18"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8" t="n"/>
      <c r="L42" s="18" t="inlineStr">
        <is>
          <t>Acid-base titration</t>
        </is>
      </c>
      <c r="M42" s="18" t="inlineStr">
        <is>
          <t>Product</t>
        </is>
      </c>
      <c r="N42" s="18" t="inlineStr">
        <is>
          <t>ข้อ 3 (PLE_CC1_Key_Rx20_UBU.md)</t>
        </is>
      </c>
      <c r="O42" s="18" t="inlineStr">
        <is>
          <t>Mock</t>
        </is>
      </c>
      <c r="P42" s="18" t="inlineStr">
        <is>
          <t>Mock Rx20 UBU</t>
        </is>
      </c>
    </row>
    <row r="43">
      <c r="A43" s="18" t="n">
        <v>41</v>
      </c>
      <c r="B43" s="18" t="inlineStr">
        <is>
          <t>Non-Aqueous acid base titration ใช้กรด (perchloric acid) และเบสเป็น titrant (Sodium methoxide)</t>
        </is>
      </c>
      <c r="C43" s="18" t="n"/>
      <c r="D43" s="18" t="inlineStr">
        <is>
          <t>Complexometric Titration (EDTA)</t>
        </is>
      </c>
      <c r="E43" s="18" t="inlineStr">
        <is>
          <t>Precipitation Titration (Mohr method)</t>
        </is>
      </c>
      <c r="F43" s="18" t="inlineStr">
        <is>
          <t>Volhard Titration method</t>
        </is>
      </c>
      <c r="G43" s="18" t="inlineStr">
        <is>
          <t>Fajans Adsorption Indicator method</t>
        </is>
      </c>
      <c r="H43" s="18" t="inlineStr">
        <is>
          <t>Potentiometric End-point Titration</t>
        </is>
      </c>
      <c r="I43" s="18" t="n">
        <v>1</v>
      </c>
      <c r="J43" s="18"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ค. (Volhard Titration method): ข้อนี้ไม่ใช่คำตอบที่ถูกต้องสำหรับภาวะ Acid-base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Acid-base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8" t="n"/>
      <c r="L43" s="18" t="inlineStr">
        <is>
          <t>Acid-base titration</t>
        </is>
      </c>
      <c r="M43" s="18" t="inlineStr">
        <is>
          <t>Product</t>
        </is>
      </c>
      <c r="N43" s="18" t="inlineStr">
        <is>
          <t>ข้อ 4 (PLE_CC1_Key_Rx20_UBU.md)</t>
        </is>
      </c>
      <c r="O43" s="18" t="inlineStr">
        <is>
          <t>Mock</t>
        </is>
      </c>
      <c r="P43" s="18" t="inlineStr">
        <is>
          <t>Mock Rx20 UBU</t>
        </is>
      </c>
    </row>
    <row r="44">
      <c r="A44" s="18" t="n">
        <v>42</v>
      </c>
      <c r="B44" s="18" t="inlineStr">
        <is>
          <t>Precipitation titration ใช้หลัก Ag, Hg, Pb เจอหมู่ 7 ตกตะกอน</t>
        </is>
      </c>
      <c r="C44" s="18" t="n"/>
      <c r="D44" s="18" t="inlineStr">
        <is>
          <t>Fajans Adsorption Indicator method</t>
        </is>
      </c>
      <c r="E44" s="18" t="inlineStr">
        <is>
          <t>Potentiometric End-point Titration</t>
        </is>
      </c>
      <c r="F44" s="18" t="inlineStr">
        <is>
          <t>Biamperometric Titration</t>
        </is>
      </c>
      <c r="G44" s="18" t="inlineStr">
        <is>
          <t>Nonaqueous Acid-Base Titration</t>
        </is>
      </c>
      <c r="H44" s="18" t="inlineStr">
        <is>
          <t>Direct Acid-Base Titration</t>
        </is>
      </c>
      <c r="I44" s="18" t="n">
        <v>1</v>
      </c>
      <c r="J44" s="18"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ค. (Biamperometric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8" t="n"/>
      <c r="L44" s="18" t="inlineStr">
        <is>
          <t>Precipitation titration</t>
        </is>
      </c>
      <c r="M44" s="18" t="inlineStr">
        <is>
          <t>Product</t>
        </is>
      </c>
      <c r="N44" s="18" t="inlineStr">
        <is>
          <t>ข้อ 5 (PLE_CC1_Key_Rx20_UBU.md)</t>
        </is>
      </c>
      <c r="O44" s="18" t="inlineStr">
        <is>
          <t>Mock</t>
        </is>
      </c>
      <c r="P44" s="18" t="inlineStr">
        <is>
          <t>Mock Rx20 UBU</t>
        </is>
      </c>
    </row>
    <row r="45">
      <c r="A45" s="18" t="n">
        <v>43</v>
      </c>
      <c r="B45" s="18"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18" t="n"/>
      <c r="D45" s="18" t="inlineStr">
        <is>
          <t>Nonaqueous Acid-Base Titration</t>
        </is>
      </c>
      <c r="E45" s="18" t="inlineStr">
        <is>
          <t>Direct Acid-Base Titration</t>
        </is>
      </c>
      <c r="F45" s="18" t="inlineStr">
        <is>
          <t>Back Acid-Base Titration</t>
        </is>
      </c>
      <c r="G45" s="18" t="inlineStr">
        <is>
          <t>Redox Titration (Iodometry)</t>
        </is>
      </c>
      <c r="H45" s="18" t="inlineStr">
        <is>
          <t>Complexometric Titration (EDTA)</t>
        </is>
      </c>
      <c r="I45" s="18" t="n">
        <v>3</v>
      </c>
      <c r="J45" s="18"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8" t="n"/>
      <c r="L45" s="18" t="inlineStr">
        <is>
          <t>Acid-base titration</t>
        </is>
      </c>
      <c r="M45" s="18" t="inlineStr">
        <is>
          <t>Product</t>
        </is>
      </c>
      <c r="N45" s="18" t="inlineStr">
        <is>
          <t>ข้อ 69 (PLE_CC1_Key_Rx20_UBU.md)</t>
        </is>
      </c>
      <c r="O45" s="18" t="inlineStr">
        <is>
          <t>Mock</t>
        </is>
      </c>
      <c r="P45" s="18" t="inlineStr">
        <is>
          <t>Mock Rx20 UBU</t>
        </is>
      </c>
    </row>
    <row r="46">
      <c r="A46" s="18" t="n">
        <v>44</v>
      </c>
      <c r="B46" s="18" t="inlineStr">
        <is>
          <t>การวิเคราะห_ FeSO4 ด$วยสารละลาย potassium permanganate (KMnO4) ใช$วิธีวิเคราะห_ใด (1) Acid-base titration (2) Non-aqueous acid-base titration (3) Oxidation-reaction titration (4) Complexometric titration (5) Precipitation titration</t>
        </is>
      </c>
      <c r="C46" s="18" t="n"/>
      <c r="D46" s="18" t="inlineStr">
        <is>
          <t>Redox Titration (Iodometry)</t>
        </is>
      </c>
      <c r="E46" s="18" t="inlineStr">
        <is>
          <t>Complexometric Titration (EDTA)</t>
        </is>
      </c>
      <c r="F46" s="18" t="inlineStr">
        <is>
          <t>Precipitation Titration (Mohr method)</t>
        </is>
      </c>
      <c r="G46" s="18" t="inlineStr">
        <is>
          <t>Volhard Titration method</t>
        </is>
      </c>
      <c r="H46" s="18" t="inlineStr">
        <is>
          <t>Fajans Adsorption Indicator method</t>
        </is>
      </c>
      <c r="I46" s="18" t="n">
        <v>4</v>
      </c>
      <c r="J46" s="18" t="inlineStr">
        <is>
          <t>✅ คำตอบที่ถูกต้อง: ข้อ ง.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ก. (Redox Titration (Iodometry)): ข้อนี้ไม่ใช่คำตอบที่ถูกต้องสำหรับภาวะ Redox titration เนื่องจากกลไกการออกฤทธิ์, efficacy หรือข้อบ่งใช้ไม่ตรงกับโจทย์ที่กำหนด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8" t="n"/>
      <c r="L46" s="18" t="inlineStr">
        <is>
          <t>Redox titration</t>
        </is>
      </c>
      <c r="M46" s="18" t="inlineStr">
        <is>
          <t>Product</t>
        </is>
      </c>
      <c r="N46" s="18" t="inlineStr">
        <is>
          <t>ข้อ 70 (PLE_CC1_Key_Rx20_UBU.md)</t>
        </is>
      </c>
      <c r="O46" s="18" t="inlineStr">
        <is>
          <t>Mock</t>
        </is>
      </c>
      <c r="P46" s="18" t="inlineStr">
        <is>
          <t>Mock Rx20 UBU</t>
        </is>
      </c>
    </row>
    <row r="47">
      <c r="A47" s="18" t="n">
        <v>45</v>
      </c>
      <c r="B47" s="18"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18" t="n"/>
      <c r="D47" s="18" t="inlineStr">
        <is>
          <t>co-solvent</t>
        </is>
      </c>
      <c r="E47" s="18" t="inlineStr">
        <is>
          <t>pH</t>
        </is>
      </c>
      <c r="F47" s="18" t="inlineStr">
        <is>
          <t>complex salt form</t>
        </is>
      </c>
      <c r="G47" s="18" t="inlineStr">
        <is>
          <t>liposome</t>
        </is>
      </c>
      <c r="H47" s="18"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18" t="n">
        <v>1</v>
      </c>
      <c r="J47" s="18"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ข้อนี้ไม่ใช่คำตอบที่ถูกต้องสำหรับภาวะ Complexometric titration เนื่องจากกลไกการออกฤทธิ์, efficacy หรือข้อบ่งใช้ไม่ตรงกับโจทย์ที่กำหนด
• ข้อ ค. (complex salt form): ข้อนี้ไม่ใช่คำตอบที่ถูกต้องสำหรับภาวะ Complexometric titration เนื่องจากกลไกการออกฤทธิ์, efficacy หรือข้อบ่งใช้ไม่ตรงกับโจทย์ที่กำหนด
• ข้อ ง. (liposome): ข้อนี้ไม่ใช่คำตอบที่ถูกต้องสำหรับภาวะ Complexometric titration เนื่องจากกลไกการออกฤทธิ์, efficacy หรือข้อบ่งใช้ไม่ตรงกับโจทย์ที่กำหนด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8" t="n"/>
      <c r="L47" s="18" t="inlineStr">
        <is>
          <t>Complexometric titration</t>
        </is>
      </c>
      <c r="M47" s="18" t="inlineStr">
        <is>
          <t>Product</t>
        </is>
      </c>
      <c r="N47" s="18" t="inlineStr">
        <is>
          <t>ข้อ 42 (PLE_CC1_Key_Rx20_UBU.md)</t>
        </is>
      </c>
      <c r="O47" s="18" t="inlineStr">
        <is>
          <t>Mock</t>
        </is>
      </c>
      <c r="P47" s="18" t="inlineStr">
        <is>
          <t>Mock Rx20 UBU</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1000"/>
  <sheetViews>
    <sheetView workbookViewId="0">
      <pane ySplit="2" topLeftCell="A3" activePane="bottomLeft" state="frozen"/>
      <selection pane="bottomLeft" activeCell="B4" sqref="B4"/>
    </sheetView>
  </sheetViews>
  <sheetFormatPr baseColWidth="8" defaultColWidth="12.63" defaultRowHeight="15.75" customHeight="1"/>
  <cols>
    <col width="55.75" customWidth="1" style="52" min="2" max="2"/>
  </cols>
  <sheetData>
    <row r="1" ht="26.25" customHeight="1" s="52">
      <c r="A1" s="19">
        <f>HYPERLINK("#gid=0", "🏠 กลับสู่หน้าแรก (Go to Home Page)")</f>
        <v/>
      </c>
      <c r="G1" s="32" t="n"/>
      <c r="H1" s="32" t="n"/>
      <c r="I1" s="32" t="n"/>
      <c r="J1" s="32" t="n"/>
      <c r="K1" s="32" t="n"/>
      <c r="L1" s="32" t="n"/>
      <c r="M1" s="32" t="n"/>
      <c r="N1" s="32" t="n"/>
      <c r="O1" s="32" t="n"/>
      <c r="P1" s="32" t="n"/>
      <c r="Q1" s="32" t="n"/>
    </row>
    <row r="2">
      <c r="A2" s="30" t="inlineStr">
        <is>
          <t>ข้อที่</t>
        </is>
      </c>
      <c r="B2" s="31" t="inlineStr">
        <is>
          <t>คำถาม</t>
        </is>
      </c>
      <c r="C2" s="30" t="inlineStr">
        <is>
          <t>รูปถาม</t>
        </is>
      </c>
      <c r="D2" s="30" t="inlineStr">
        <is>
          <t>ตัวเลือก 1</t>
        </is>
      </c>
      <c r="E2" s="30" t="inlineStr">
        <is>
          <t>ตัวเลือก 2</t>
        </is>
      </c>
      <c r="F2" s="30" t="inlineStr">
        <is>
          <t>ตัวเลือก 3</t>
        </is>
      </c>
      <c r="G2" s="30" t="inlineStr">
        <is>
          <t>ตัวเลือก 4</t>
        </is>
      </c>
      <c r="H2" s="30" t="inlineStr">
        <is>
          <t>ตัวเลือก 5</t>
        </is>
      </c>
      <c r="I2" s="30" t="inlineStr">
        <is>
          <t>เฉลย (ตัวเลข 1-5)</t>
        </is>
      </c>
      <c r="J2" s="30" t="inlineStr">
        <is>
          <t>คำอธิบายเฉลย</t>
        </is>
      </c>
      <c r="K2" s="30" t="inlineStr">
        <is>
          <t>รูปเฉลย</t>
        </is>
      </c>
      <c r="L2" s="30" t="inlineStr">
        <is>
          <t>Filter หมวด/Subtopic</t>
        </is>
      </c>
      <c r="M2" s="30" t="inlineStr">
        <is>
          <t>Product / Clinic</t>
        </is>
      </c>
      <c r="N2" s="30" t="inlineStr">
        <is>
          <t>หมายเหตุ</t>
        </is>
      </c>
      <c r="O2" s="32" t="inlineStr">
        <is>
          <t>ประเภทข้อสอบ</t>
        </is>
      </c>
      <c r="P2" s="32" t="inlineStr">
        <is>
          <t>ปี / เลขชุด</t>
        </is>
      </c>
      <c r="Q2" s="32" t="n"/>
    </row>
    <row r="3">
      <c r="A3" s="33" t="inlineStr">
        <is>
          <t>2</t>
        </is>
      </c>
      <c r="B3" s="34"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32" t="inlineStr"/>
      <c r="D3" s="32" t="inlineStr">
        <is>
          <t>Atomic Absorption Spectroscopy (AAS; สเปกโทรสโกปีการดูดกลืนแสงของอะตอม)</t>
        </is>
      </c>
      <c r="E3" s="32" t="inlineStr">
        <is>
          <t>High-Performance Liquid Chromatography ควบคู่กับ UV detector (HPLC-UV)</t>
        </is>
      </c>
      <c r="F3" s="32" t="inlineStr">
        <is>
          <t>Liquid Chromatography-Mass Spectrometry (LC-MS)</t>
        </is>
      </c>
      <c r="G3" s="32" t="inlineStr">
        <is>
          <t>Fourier Transform Infrared Spectroscopy (FT-IR)</t>
        </is>
      </c>
      <c r="H3" s="32" t="inlineStr">
        <is>
          <t>UV-Vis Spectrophotometry</t>
        </is>
      </c>
      <c r="I3" s="33" t="inlineStr">
        <is>
          <t>1</t>
        </is>
      </c>
      <c r="J3" s="32"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32" t="inlineStr">
        <is>
          <t>Analytical Method Development &amp; QC</t>
        </is>
      </c>
      <c r="L3" s="32" t="inlineStr">
        <is>
          <t>ข้อสอบ Product (Febuxostat Analysis)</t>
        </is>
      </c>
      <c r="M3" s="32" t="inlineStr">
        <is>
          <t>Chromatography</t>
        </is>
      </c>
      <c r="N3" s="32" t="inlineStr">
        <is>
          <t>Mock PLE-CC 1 ข้อ 10</t>
        </is>
      </c>
      <c r="O3" s="32" t="inlineStr">
        <is>
          <t>Mock</t>
        </is>
      </c>
      <c r="P3" s="32" t="inlineStr">
        <is>
          <t>Mock RxCU83</t>
        </is>
      </c>
      <c r="Q3" s="32" t="inlineStr"/>
    </row>
    <row r="4">
      <c r="A4" s="33" t="inlineStr">
        <is>
          <t>3</t>
        </is>
      </c>
      <c r="B4" s="34"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32" t="inlineStr"/>
      <c r="D4" s="32" t="inlineStr">
        <is>
          <t>Inductively Coupled Plasma Optical Emission Spectrometry (ICP-OES) หรือ AAS</t>
        </is>
      </c>
      <c r="E4" s="32" t="inlineStr">
        <is>
          <t>UV-Vis Spectrophotometry</t>
        </is>
      </c>
      <c r="F4" s="32" t="inlineStr">
        <is>
          <t>Fourier Transform Infrared Spectroscopy (FTIR)</t>
        </is>
      </c>
      <c r="G4" s="32" t="inlineStr">
        <is>
          <t>Thin Layer Chromatography (TLC)</t>
        </is>
      </c>
      <c r="H4" s="32" t="inlineStr">
        <is>
          <t>High-Performance Liquid Chromatography with UV detector (HPLC-UV)</t>
        </is>
      </c>
      <c r="I4" s="33" t="inlineStr">
        <is>
          <t>1</t>
        </is>
      </c>
      <c r="J4" s="32"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32" t="inlineStr">
        <is>
          <t>Food &amp; Elemental Analysis</t>
        </is>
      </c>
      <c r="L4" s="32" t="inlineStr">
        <is>
          <t>ข้อสอบ Product (Sodium Analysis in Foods)</t>
        </is>
      </c>
      <c r="M4" s="32" t="inlineStr">
        <is>
          <t>Chromatography</t>
        </is>
      </c>
      <c r="N4" s="32" t="inlineStr">
        <is>
          <t>Mock PLE-CC 1 ข้อ 21</t>
        </is>
      </c>
      <c r="O4" s="32" t="inlineStr">
        <is>
          <t>Mock</t>
        </is>
      </c>
      <c r="P4" s="32" t="inlineStr">
        <is>
          <t>Mock RxCU83</t>
        </is>
      </c>
      <c r="Q4" s="32" t="inlineStr"/>
    </row>
    <row r="5">
      <c r="A5" s="33" t="inlineStr">
        <is>
          <t>4</t>
        </is>
      </c>
      <c r="B5" s="34"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32" t="inlineStr"/>
      <c r="D5" s="32" t="inlineStr">
        <is>
          <t>การเพาะเลี้ยงเซลล์ภายในถังหมักชีวภาพ (Cell culture and fermentation in bioreactor) เพื่อผลิตโปรตีนเป้าหมาย</t>
        </is>
      </c>
      <c r="E5" s="32" t="inlineStr">
        <is>
          <t>การทำให้โปรตีนบริสุทธิ์ด้วยคอลัมน์โครมาโทกราฟี (Affinity chromatography purification เช่น Protein A chromatography)</t>
        </is>
      </c>
      <c r="F5" s="32" t="inlineStr">
        <is>
          <t>การกรองกำจัดไวรัสและการกรองแบบละเอียดระดับนาโน (Viral filtration &amp; Ultrafiltration/Diafiltration)</t>
        </is>
      </c>
      <c r="G5" s="32" t="inlineStr">
        <is>
          <t>การเตรียมสูตรตำรับและการผสมสารช่วย (Formulation development &amp; Sterile filtration)</t>
        </is>
      </c>
      <c r="H5" s="32" t="inlineStr">
        <is>
          <t>การบรรจุยาลงในภาชนะบรรจุสุดท้ายแบบปราศจากเชื้อ (Aseptic fill and finish)</t>
        </is>
      </c>
      <c r="I5" s="33" t="inlineStr">
        <is>
          <t>1</t>
        </is>
      </c>
      <c r="J5" s="32"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32" t="inlineStr">
        <is>
          <t>Biotechnology &amp; Upstream Process</t>
        </is>
      </c>
      <c r="L5" s="32" t="inlineStr">
        <is>
          <t>ข้อสอบ Product (Biologics Upstream vs Downstream)</t>
        </is>
      </c>
      <c r="M5" s="32" t="inlineStr">
        <is>
          <t>Chromatography</t>
        </is>
      </c>
      <c r="N5" s="32" t="inlineStr">
        <is>
          <t>Mock PLE-CC 1 ข้อ 78</t>
        </is>
      </c>
      <c r="O5" s="32" t="inlineStr">
        <is>
          <t>Mock</t>
        </is>
      </c>
      <c r="P5" s="32" t="inlineStr">
        <is>
          <t>Mock RxCU83</t>
        </is>
      </c>
      <c r="Q5" s="32" t="inlineStr"/>
    </row>
    <row r="6">
      <c r="A6" s="33" t="inlineStr">
        <is>
          <t>5</t>
        </is>
      </c>
      <c r="B6" s="34"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32" t="inlineStr"/>
      <c r="D6" s="32" t="inlineStr">
        <is>
          <t>Inductively Coupled Plasma Spectroscopy (ICP-OES / ICP-MS)</t>
        </is>
      </c>
      <c r="E6" s="32" t="inlineStr">
        <is>
          <t>Fourier Transform Infrared Spectroscopy (FTIR) เทียบกับสารมาตรฐาน</t>
        </is>
      </c>
      <c r="F6" s="32" t="inlineStr">
        <is>
          <t>High-Performance Liquid Chromatography (HPLC) โดยเปรียบเทียบ Retention time กับสารมาตรฐาน</t>
        </is>
      </c>
      <c r="G6" s="32" t="inlineStr">
        <is>
          <t>Liquid Chromatography-Mass Spectrometry (LC-MS) ตรวจวัด Molecular ion m/z</t>
        </is>
      </c>
      <c r="H6" s="32" t="inlineStr">
        <is>
          <t>Thin Layer Chromatography (TLC) โดยเปรียบเทียบค่า Rf และสีของจุดสาร</t>
        </is>
      </c>
      <c r="I6" s="33" t="inlineStr">
        <is>
          <t>1</t>
        </is>
      </c>
      <c r="J6" s="32"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32" t="inlineStr">
        <is>
          <t>Identification of Organic Drugs</t>
        </is>
      </c>
      <c r="L6" s="32" t="inlineStr">
        <is>
          <t>ข้อสอบ Product (Ethinyl Estradiol ID Tests)</t>
        </is>
      </c>
      <c r="M6" s="32" t="inlineStr">
        <is>
          <t>Chromatography</t>
        </is>
      </c>
      <c r="N6" s="32" t="inlineStr">
        <is>
          <t>Mock PLE-CC 1 ข้อ 92</t>
        </is>
      </c>
      <c r="O6" s="32" t="inlineStr">
        <is>
          <t>Mock</t>
        </is>
      </c>
      <c r="P6" s="32" t="inlineStr">
        <is>
          <t>Mock RxCU83</t>
        </is>
      </c>
      <c r="Q6" s="32" t="inlineStr"/>
    </row>
    <row r="7">
      <c r="A7" s="33" t="inlineStr">
        <is>
          <t>6</t>
        </is>
      </c>
      <c r="B7" s="34"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32" t="inlineStr"/>
      <c r="D7" s="32" t="inlineStr">
        <is>
          <t>Linearity: กำหนดช่วงความเข้มข้นของการทดสอบความเป็นเส้นตรงแคบเกินไปเพียง 95%, 105%, และ 110% ของ Label claim</t>
        </is>
      </c>
      <c r="E7" s="32" t="inlineStr">
        <is>
          <t>Specificity: ประเมินความจำเพาะโดยทำการทดสอบ Forced Degradation Studies (สภาวะกรด, ด่าง, ความร้อน, แสง, ออกซิไดซ์)</t>
        </is>
      </c>
      <c r="F7" s="32" t="inlineStr">
        <is>
          <t>Precision: ประเมินทั้ง Repeatability และ Intermediate precision พร้อมกำหนดเกณฑ์การยอมรับ %RSD ไม่เกิน 2.0%</t>
        </is>
      </c>
      <c r="G7" s="32"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32" t="inlineStr">
        <is>
          <t>Robustness: ประเมินความคงทนของวิธีโดยการจงใจปรับเปลี่ยนสัดส่วน Mobile phase เล็กน้อย (±2%) และอุณหภูมิคอลัมน์ (±5 °C)</t>
        </is>
      </c>
      <c r="I7" s="33" t="inlineStr">
        <is>
          <t>1</t>
        </is>
      </c>
      <c r="J7" s="32"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32" t="inlineStr">
        <is>
          <t>Analytical Method Validation (ICH Q2)</t>
        </is>
      </c>
      <c r="L7" s="32" t="inlineStr">
        <is>
          <t>ข้อสอบ Product (HPLC Validation Linearity Protocol)</t>
        </is>
      </c>
      <c r="M7" s="32" t="inlineStr">
        <is>
          <t>Chromatography</t>
        </is>
      </c>
      <c r="N7" s="32" t="inlineStr">
        <is>
          <t>Mock PLE-CC 1 ข้อ 116</t>
        </is>
      </c>
      <c r="O7" s="32" t="inlineStr">
        <is>
          <t>Mock</t>
        </is>
      </c>
      <c r="P7" s="32" t="inlineStr">
        <is>
          <t>Mock RxCU83</t>
        </is>
      </c>
      <c r="Q7" s="32" t="inlineStr"/>
    </row>
    <row r="8">
      <c r="A8" s="33" t="inlineStr">
        <is>
          <t>7</t>
        </is>
      </c>
      <c r="B8" s="34"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32" t="inlineStr"/>
      <c r="D8" s="32"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32" t="inlineStr">
        <is>
          <t>Retention time เพิ่มขึ้น เนื่องจาก Organic phase เพิ่มขึ้น ทำให้สารเกิดอันตรกิริยากับ Stationary phase แน่นหนาขึ้น</t>
        </is>
      </c>
      <c r="F8" s="32" t="inlineStr">
        <is>
          <t>Retention time ไม่เปลี่ยนแปลง เนื่องจากสัดส่วนของสารละลายบัฟเฟอร์ไม่มีผลต่อการชะของยาในระบบ Reversed-phase</t>
        </is>
      </c>
      <c r="G8" s="32" t="inlineStr">
        <is>
          <t>Retention time เพิ่มขึ้น เนื่องจากยา Amitriptyline แตกตัวเป็นอิสระ (Unionized) มากขึ้น</t>
        </is>
      </c>
      <c r="H8" s="32" t="inlineStr">
        <is>
          <t>ไม่สามารถทำนายผลได้ เนื่องจากขึ้นอยู่กับอัตราการไหล (Flow rate) เพียงอย่างเดียว</t>
        </is>
      </c>
      <c r="I8" s="33" t="inlineStr">
        <is>
          <t>1</t>
        </is>
      </c>
      <c r="J8" s="32"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32" t="inlineStr">
        <is>
          <t>Reversed-Phase HPLC</t>
        </is>
      </c>
      <c r="L8" s="32" t="inlineStr">
        <is>
          <t>ข้อสอบ Product (RP-HPLC Mobile Phase Elution Strength)</t>
        </is>
      </c>
      <c r="M8" s="32" t="inlineStr">
        <is>
          <t>Chromatography</t>
        </is>
      </c>
      <c r="N8" s="32" t="inlineStr">
        <is>
          <t>Mock PLE-CC 1 ข้อ 117</t>
        </is>
      </c>
      <c r="O8" s="32" t="inlineStr">
        <is>
          <t>Mock</t>
        </is>
      </c>
      <c r="P8" s="32" t="inlineStr">
        <is>
          <t>Mock RxCU83</t>
        </is>
      </c>
      <c r="Q8" s="32" t="inlineStr"/>
    </row>
    <row r="9">
      <c r="A9" s="33" t="inlineStr">
        <is>
          <t>8</t>
        </is>
      </c>
      <c r="B9" s="34"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32" t="inlineStr"/>
      <c r="D9" s="32" t="inlineStr">
        <is>
          <t>ไม่ผ่านเกณฑ์มาตรฐาน เนื่องจาก Guanine คิดเป็น 2.5% (เกินเกณฑ์ 2.0%) และสิ่งเจือปนอื่นคิดเป็น 1.0% (เกินเกณฑ์ 0.5%)</t>
        </is>
      </c>
      <c r="E9" s="32" t="inlineStr">
        <is>
          <t>ผ่านเกณฑ์มาตรฐาน เนื่องจาก Guanine และสิ่งเจือปนอื่นมีปริมาณรวมกันน้อยกว่า 5.0%</t>
        </is>
      </c>
      <c r="F9" s="32" t="inlineStr">
        <is>
          <t>ผ่านเกณฑ์มาตรฐาน เนื่องจาก Acyclovir มีความบริสุทธิ์สูงถึง 96.5%</t>
        </is>
      </c>
      <c r="G9" s="32" t="inlineStr">
        <is>
          <t>ไม่ผ่านเกณฑ์มาตรฐาน เนื่องจาก Guanine เกินเกณฑ์เพียงตัวเดียว แต่สิ่งเจือปนอื่นผ่านเกณฑ์</t>
        </is>
      </c>
      <c r="H9" s="32" t="inlineStr">
        <is>
          <t>ไม่สามารถสรุปผลได้เนื่องจากต้องทราบความกว้างของพีค (Peak width) ก่อน</t>
        </is>
      </c>
      <c r="I9" s="33" t="inlineStr">
        <is>
          <t>1</t>
        </is>
      </c>
      <c r="J9" s="32"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32" t="inlineStr">
        <is>
          <t>Chromatographic Purity &amp; Related Substances</t>
        </is>
      </c>
      <c r="L9" s="32" t="inlineStr">
        <is>
          <t>ข้อสอบจริง PLE CC 1 (Acyclovir Guanine Impurity)</t>
        </is>
      </c>
      <c r="M9" s="32" t="inlineStr">
        <is>
          <t>Chromatography</t>
        </is>
      </c>
      <c r="N9" s="32" t="inlineStr">
        <is>
          <t>Mock PLE-CC 1 ข้อ 127</t>
        </is>
      </c>
      <c r="O9" s="32" t="inlineStr">
        <is>
          <t>Mock</t>
        </is>
      </c>
      <c r="P9" s="32" t="inlineStr">
        <is>
          <t>Mock RxCU83</t>
        </is>
      </c>
      <c r="Q9" s="32" t="inlineStr"/>
    </row>
    <row r="10">
      <c r="A10" s="33" t="inlineStr">
        <is>
          <t>9</t>
        </is>
      </c>
      <c r="B10" s="34"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32" t="inlineStr"/>
      <c r="D10" s="32" t="inlineStr">
        <is>
          <t>Chromatography</t>
        </is>
      </c>
      <c r="E10" s="32" t="inlineStr">
        <is>
          <t>alpha-1 receptor</t>
        </is>
      </c>
      <c r="F10" s="32" t="inlineStr">
        <is>
          <t>5-HT2A</t>
        </is>
      </c>
      <c r="G10" s="32" t="inlineStr">
        <is>
          <t>M1 receptor</t>
        </is>
      </c>
      <c r="H10" s="32" t="inlineStr">
        <is>
          <t>H1 receptor</t>
        </is>
      </c>
      <c r="I10" s="33" t="inlineStr">
        <is>
          <t>1</t>
        </is>
      </c>
      <c r="J10" s="32"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ข้อนี้ไม่ใช่คำตอบที่ถูกต้องสำหรับภาวะ HPLC (Liquid Chromatography) เนื่องจากกลไกการออกฤทธิ์, efficacy หรือข้อบ่งใช้ไม่ตรงกับโจทย์ที่กำหนด
• ข้อ ค. (5-HT2A): ข้อนี้ไม่ใช่คำตอบที่ถูกต้องสำหรับภาวะ HPLC (Liquid Chromatography) เนื่องจากกลไกการออกฤทธิ์, efficacy หรือข้อบ่งใช้ไม่ตรงกับโจทย์ที่กำหนด
• ข้อ ง. (M1 receptor): ข้อนี้ไม่ใช่คำตอบที่ถูกต้องสำหรับภาวะ HPLC (Liquid Chromatography) เนื่องจากกลไกการออกฤทธิ์, efficacy หรือข้อบ่งใช้ไม่ตรงกับโจทย์ที่กำหนด
• ข้อ จ. (H1 receptor):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32" t="inlineStr"/>
      <c r="L10" s="32" t="inlineStr">
        <is>
          <t>HPLC (Liquid Chromatography)</t>
        </is>
      </c>
      <c r="M10" s="32" t="inlineStr">
        <is>
          <t>Chromatography</t>
        </is>
      </c>
      <c r="N10" s="32" t="inlineStr">
        <is>
          <t>PLE_CC1_2567_Key ข้อ 22</t>
        </is>
      </c>
      <c r="O10" s="32" t="inlineStr">
        <is>
          <t>ข้อสอบจริง</t>
        </is>
      </c>
      <c r="P10" s="32" t="inlineStr">
        <is>
          <t>ปี 2567</t>
        </is>
      </c>
      <c r="Q10" s="32" t="inlineStr">
        <is>
          <t>Beta-2 receptor</t>
        </is>
      </c>
    </row>
    <row r="11">
      <c r="A11" s="33" t="inlineStr">
        <is>
          <t>10</t>
        </is>
      </c>
      <c r="B11" s="34"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32" t="inlineStr"/>
      <c r="D11" s="32" t="inlineStr">
        <is>
          <t>12 นาที</t>
        </is>
      </c>
      <c r="E11" s="32" t="inlineStr">
        <is>
          <t>5 นาที</t>
        </is>
      </c>
      <c r="F11" s="32" t="inlineStr">
        <is>
          <t>8 นาที</t>
        </is>
      </c>
      <c r="G11" s="32" t="inlineStr">
        <is>
          <t>10 นาที</t>
        </is>
      </c>
      <c r="H11" s="32" t="inlineStr">
        <is>
          <t>2.4 นาที</t>
        </is>
      </c>
      <c r="I11" s="33" t="inlineStr">
        <is>
          <t>1</t>
        </is>
      </c>
      <c r="J11" s="32"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32" t="inlineStr">
        <is>
          <t>HPLC Method Parameters</t>
        </is>
      </c>
      <c r="L11" s="32" t="inlineStr">
        <is>
          <t>ข้อสอบจริง PLE CC 1 ปี 2567 ข้อ 5</t>
        </is>
      </c>
      <c r="M11" s="32" t="inlineStr">
        <is>
          <t>Chromatography</t>
        </is>
      </c>
      <c r="N11" s="32" t="inlineStr">
        <is>
          <t>PLE_CC1_2567_Key ข้อ 23</t>
        </is>
      </c>
      <c r="O11" s="32" t="inlineStr">
        <is>
          <t>ข้อสอบจริง</t>
        </is>
      </c>
      <c r="P11" s="32" t="inlineStr">
        <is>
          <t>ปี 2567</t>
        </is>
      </c>
      <c r="Q11" s="32" t="inlineStr"/>
    </row>
    <row r="12">
      <c r="A12" s="33" t="inlineStr">
        <is>
          <t>11</t>
        </is>
      </c>
      <c r="B12" s="34"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32" t="inlineStr"/>
      <c r="D12" s="32" t="inlineStr">
        <is>
          <t>ผ่านเกณฑ์ยอมรับ เนื่องจากคำนวณได้ N = 8,864 (ซึ่ง &gt; 8,000)</t>
        </is>
      </c>
      <c r="E12" s="32" t="inlineStr">
        <is>
          <t>ไม่ผ่านเกณฑ์ยอมรับ เนื่องจากคำนวณได้ N = 4,432 (ซึ่ง &lt; 8,000)</t>
        </is>
      </c>
      <c r="F12" s="32" t="inlineStr">
        <is>
          <t>ผ่านเกณฑ์ยอมรับ เนื่องจากคำนวณได้ N = 11,080 (ซึ่ง &gt; 8,000)</t>
        </is>
      </c>
      <c r="G12" s="32" t="inlineStr">
        <is>
          <t>ไม่ผ่านเกณฑ์ยอมรับ เนื่องจากคำนวณได้ N = 2,216 (ซึ่ง &lt; 8,000)</t>
        </is>
      </c>
      <c r="H12" s="32" t="inlineStr">
        <is>
          <t>ไม่สามารถสรุปได้เนื่องจากต้องทราบค่า Peak tailing factor (T) ก่อน</t>
        </is>
      </c>
      <c r="I12" s="33" t="inlineStr">
        <is>
          <t>1</t>
        </is>
      </c>
      <c r="J12" s="32"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32" t="inlineStr">
        <is>
          <t>System Suitability (Theoretical Plates)</t>
        </is>
      </c>
      <c r="L12" s="32" t="inlineStr">
        <is>
          <t>ข้อสอบ Product (Column Efficiency N Calculation)</t>
        </is>
      </c>
      <c r="M12" s="32" t="inlineStr">
        <is>
          <t>Chromatography</t>
        </is>
      </c>
      <c r="N12" s="32" t="inlineStr">
        <is>
          <t>PLE_CC1_2565_Day1_Key ข้อ 87</t>
        </is>
      </c>
      <c r="O12" s="32" t="inlineStr">
        <is>
          <t>ข้อสอบจริง</t>
        </is>
      </c>
      <c r="P12" s="32" t="inlineStr">
        <is>
          <t>ปี 2565</t>
        </is>
      </c>
      <c r="Q12" s="32" t="inlineStr"/>
    </row>
    <row r="13">
      <c r="A13" s="33" t="inlineStr">
        <is>
          <t>12</t>
        </is>
      </c>
      <c r="B13" s="34"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32" t="inlineStr"/>
      <c r="D13" s="32" t="inlineStr">
        <is>
          <t>สาร C &lt; สาร B &lt; สาร A (สาร C มีค่า Rf ต่ำที่สุด และ สาร A มีค่า Rf สูงที่สุด)</t>
        </is>
      </c>
      <c r="E13" s="32" t="inlineStr">
        <is>
          <t>สาร A &lt; สาร B &lt; สาร C</t>
        </is>
      </c>
      <c r="F13" s="32" t="inlineStr">
        <is>
          <t>สาร B &lt; สาร C &lt; สาร A</t>
        </is>
      </c>
      <c r="G13" s="32" t="inlineStr">
        <is>
          <t>สาร A &lt; สาร C &lt; สาร B</t>
        </is>
      </c>
      <c r="H13" s="32" t="inlineStr">
        <is>
          <t>สารทั้งสามมีค่า Rf เท่ากันเนื่องจากมีโครงสร้างหลักเป็น Metronidazole เหมือนกัน</t>
        </is>
      </c>
      <c r="I13" s="33" t="inlineStr">
        <is>
          <t>1</t>
        </is>
      </c>
      <c r="J13" s="32"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32" t="inlineStr">
        <is>
          <t>Thin Layer Chromatography (TLC)</t>
        </is>
      </c>
      <c r="L13" s="32" t="inlineStr">
        <is>
          <t>ข้อสอบจริง PLE CC 1 ปี 2559 (TLC Polarity &amp; Rf)</t>
        </is>
      </c>
      <c r="M13" s="32" t="inlineStr">
        <is>
          <t>Chromatography</t>
        </is>
      </c>
      <c r="N13" s="32" t="inlineStr">
        <is>
          <t>PLE_CC1_2565_Day2_Key ข้อ 65</t>
        </is>
      </c>
      <c r="O13" s="32" t="inlineStr">
        <is>
          <t>ข้อสอบจริง</t>
        </is>
      </c>
      <c r="P13" s="32" t="inlineStr">
        <is>
          <t>ปี 2565</t>
        </is>
      </c>
      <c r="Q13" s="32" t="inlineStr"/>
    </row>
    <row r="14">
      <c r="A14" s="33" t="inlineStr">
        <is>
          <t>13</t>
        </is>
      </c>
      <c r="B14" s="34" t="inlineStr">
        <is>
          <t>ตามเภสัชตำรับ USP &lt;621&gt; Chromatography กำหนดให้ใช้คอลัมน์ชนิด Packing L1 ข้อใดต่อไปนี้กล่าวไม่ถูกต้อง</t>
        </is>
      </c>
      <c r="C14" s="32" t="inlineStr"/>
      <c r="D14" s="32" t="inlineStr">
        <is>
          <t>จัดเป็นการแยกในระบบ Normal-Phase Chromatography</t>
        </is>
      </c>
      <c r="E14" s="32" t="inlineStr">
        <is>
          <t>เฟสคงที่ (Stationary phase) คือ Octadecyl silane (C18) บน silica support</t>
        </is>
      </c>
      <c r="F14" s="32" t="inlineStr">
        <is>
          <t>สารที่มีขั้วสูงกว่าจะถูกชะออกจากคอลัมน์ออกมาก่อนสารไม่มีขั้ว</t>
        </is>
      </c>
      <c r="G14" s="32" t="inlineStr">
        <is>
          <t>การเพิ่มสัดส่วนตัวทำละลายอินทรีย์ในเฟสเคลื่อนที่จะลดเวลา Retention time ลง</t>
        </is>
      </c>
      <c r="H14" s="32" t="inlineStr">
        <is>
          <t>เป็นระบบโครมาโทกราฟีของเหลวสมรรถนะสูงชนิด Reversed-Phase</t>
        </is>
      </c>
      <c r="I14" s="33" t="inlineStr">
        <is>
          <t>1</t>
        </is>
      </c>
      <c r="J14" s="32"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32" t="inlineStr"/>
      <c r="L14" s="32" t="inlineStr">
        <is>
          <t>HPLC Column Specifications</t>
        </is>
      </c>
      <c r="M14" s="32" t="inlineStr">
        <is>
          <t>Product</t>
        </is>
      </c>
      <c r="N14" s="32" t="inlineStr">
        <is>
          <t>ข้อสอบเก่า 2561 ข้อ 107</t>
        </is>
      </c>
      <c r="O14" s="32" t="inlineStr">
        <is>
          <t>ข้อสอบเก่า</t>
        </is>
      </c>
      <c r="P14" s="33" t="inlineStr">
        <is>
          <t>2561</t>
        </is>
      </c>
      <c r="Q14" s="32" t="inlineStr"/>
    </row>
    <row r="15">
      <c r="A15" s="33" t="inlineStr">
        <is>
          <t>14</t>
        </is>
      </c>
      <c r="B15" s="34"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32" t="inlineStr"/>
      <c r="D15" s="32" t="inlineStr">
        <is>
          <t>High Performance Liquid Chromatography (HPLC)</t>
        </is>
      </c>
      <c r="E15" s="32" t="inlineStr">
        <is>
          <t>Gas Chromatography (GC)</t>
        </is>
      </c>
      <c r="F15" s="32" t="inlineStr">
        <is>
          <t>Thin Layer Chromatography (TLC)</t>
        </is>
      </c>
      <c r="G15" s="32" t="inlineStr">
        <is>
          <t>Mass Spectrometry (MS)</t>
        </is>
      </c>
      <c r="H15" s="32" t="inlineStr">
        <is>
          <t>Direct UV-Visible Spectrophotometry</t>
        </is>
      </c>
      <c r="I15" s="33" t="inlineStr">
        <is>
          <t>1</t>
        </is>
      </c>
      <c r="J15" s="32"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32" t="inlineStr"/>
      <c r="L15" s="32" t="inlineStr">
        <is>
          <t>Monograph Assay &amp; HPLC</t>
        </is>
      </c>
      <c r="M15" s="32" t="inlineStr">
        <is>
          <t>Product</t>
        </is>
      </c>
      <c r="N15" s="32" t="inlineStr">
        <is>
          <t>ข้อสอบเก่า / เภสัชตำรับ USP</t>
        </is>
      </c>
      <c r="O15" s="32" t="inlineStr">
        <is>
          <t>ข้อสอบเก่า</t>
        </is>
      </c>
      <c r="P15" s="32" t="inlineStr">
        <is>
          <t>USP</t>
        </is>
      </c>
      <c r="Q15" s="32" t="inlineStr"/>
    </row>
    <row r="16">
      <c r="A16" s="32" t="n">
        <v>14</v>
      </c>
      <c r="B16" s="34"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32" t="inlineStr"/>
      <c r="D16" s="33" t="inlineStr">
        <is>
          <t>9.6</t>
        </is>
      </c>
      <c r="E16" s="33" t="inlineStr">
        <is>
          <t>4.8</t>
        </is>
      </c>
      <c r="F16" s="33" t="inlineStr">
        <is>
          <t>2.4</t>
        </is>
      </c>
      <c r="G16" s="33" t="inlineStr">
        <is>
          <t>0.625</t>
        </is>
      </c>
      <c r="H16" s="33" t="inlineStr">
        <is>
          <t>1.5</t>
        </is>
      </c>
      <c r="I16" s="33" t="inlineStr">
        <is>
          <t>1</t>
        </is>
      </c>
      <c r="J16" s="32"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32" t="inlineStr">
        <is>
          <t>System Suitability (Resolution)</t>
        </is>
      </c>
      <c r="L16" s="32" t="inlineStr">
        <is>
          <t>ข้อสอบ Product (HPLC Resolution Calculation)</t>
        </is>
      </c>
      <c r="M16" s="32" t="inlineStr">
        <is>
          <t>Product</t>
        </is>
      </c>
      <c r="N16" s="32" t="inlineStr">
        <is>
          <t>ข้อ 125 (PLE_CC1_2561_Key.md)</t>
        </is>
      </c>
      <c r="O16" s="32" t="inlineStr">
        <is>
          <t>ข้อสอบจริง</t>
        </is>
      </c>
      <c r="P16" s="32" t="inlineStr">
        <is>
          <t>ปี 2561</t>
        </is>
      </c>
      <c r="Q16" s="32" t="inlineStr"/>
    </row>
    <row r="17">
      <c r="A17" s="33" t="inlineStr">
        <is>
          <t>16</t>
        </is>
      </c>
      <c r="B17" s="34"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32" t="inlineStr"/>
      <c r="D17" s="32" t="inlineStr">
        <is>
          <t>1 peak</t>
        </is>
      </c>
      <c r="E17" s="32" t="inlineStr">
        <is>
          <t>2 peaks</t>
        </is>
      </c>
      <c r="F17" s="32" t="inlineStr">
        <is>
          <t>3 peaks</t>
        </is>
      </c>
      <c r="G17" s="32" t="inlineStr">
        <is>
          <t>5 peaks</t>
        </is>
      </c>
      <c r="H17" s="32" t="inlineStr">
        <is>
          <t>7 peaks</t>
        </is>
      </c>
      <c r="I17" s="33" t="inlineStr">
        <is>
          <t>3</t>
        </is>
      </c>
      <c r="J17" s="32"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32" t="inlineStr"/>
      <c r="L17" s="32" t="inlineStr">
        <is>
          <t>HPLC Detectors &amp; Chromophores</t>
        </is>
      </c>
      <c r="M17" s="32" t="inlineStr">
        <is>
          <t>Product</t>
        </is>
      </c>
      <c r="N17" s="32" t="inlineStr">
        <is>
          <t>ข้อสอบเก่า 2560 ข้อ 6 / RxCU73</t>
        </is>
      </c>
      <c r="O17" s="32" t="inlineStr">
        <is>
          <t>ข้อสอบเก่า</t>
        </is>
      </c>
      <c r="P17" s="33" t="inlineStr">
        <is>
          <t>2560</t>
        </is>
      </c>
      <c r="Q17" s="32" t="inlineStr"/>
    </row>
    <row r="18">
      <c r="A18" s="32" t="n">
        <v>16</v>
      </c>
      <c r="B18" s="34"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32" t="n"/>
      <c r="D18" s="36" t="n">
        <v>1</v>
      </c>
      <c r="E18" s="36" t="n">
        <v>0.68</v>
      </c>
      <c r="F18" s="36" t="n">
        <v>1.46</v>
      </c>
      <c r="G18" s="36" t="n">
        <v>0.84</v>
      </c>
      <c r="H18" s="36" t="n">
        <v>0.72</v>
      </c>
      <c r="I18" s="32" t="n">
        <v>1</v>
      </c>
      <c r="J18" s="32"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ข้อนี้ไม่ใช่คำตอบที่ถูกต้องสำหรับภาวะ HPLC (Liquid Chromatography) เนื่องจากกลไกการออกฤทธิ์, efficacy หรือข้อบ่งใช้ไม่ตรงกับโจทย์ที่กำหนด
• ข้อ ค. (146%): ข้อนี้ไม่ใช่คำตอบที่ถูกต้องสำหรับภาวะ HPLC (Liquid Chromatography) เนื่องจากกลไกการออกฤทธิ์, efficacy หรือข้อบ่งใช้ไม่ตรงกับโจทย์ที่กำหนด
• ข้อ ง. (84%): ข้อนี้ไม่ใช่คำตอบที่ถูกต้องสำหรับภาวะ HPLC (Liquid Chromatography) เนื่องจากกลไกการออกฤทธิ์, efficacy หรือข้อบ่งใช้ไม่ตรงกับโจทย์ที่กำหนด
• ข้อ จ. (72%):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32" t="n"/>
      <c r="L18" s="32" t="inlineStr">
        <is>
          <t>HPLC (Liquid Chromatography)</t>
        </is>
      </c>
      <c r="M18" s="32" t="inlineStr">
        <is>
          <t>Product</t>
        </is>
      </c>
      <c r="N18" s="32" t="inlineStr">
        <is>
          <t>ข้อ 7 (PLE_CC1_2560 22 April Set 1.md)</t>
        </is>
      </c>
      <c r="O18" s="32" t="inlineStr">
        <is>
          <t>ข้อสอบจริง</t>
        </is>
      </c>
      <c r="P18" s="32" t="inlineStr">
        <is>
          <t>ปี 2560</t>
        </is>
      </c>
      <c r="Q18" s="32" t="n"/>
    </row>
    <row r="19">
      <c r="A19" s="33" t="inlineStr">
        <is>
          <t>18</t>
        </is>
      </c>
      <c r="B19" s="34"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32" t="inlineStr"/>
      <c r="D19" s="32" t="inlineStr">
        <is>
          <t>Polarimeter</t>
        </is>
      </c>
      <c r="E19" s="32" t="inlineStr">
        <is>
          <t>Nuclear Magnetic Resonance (NMR) ธรรมดา</t>
        </is>
      </c>
      <c r="F19" s="32" t="inlineStr">
        <is>
          <t>Reversed-Phase HPLC ทั่วไป (Achiral column)</t>
        </is>
      </c>
      <c r="G19" s="32" t="inlineStr">
        <is>
          <t>Thin Layer Chromatography (TLC)</t>
        </is>
      </c>
      <c r="H19" s="32" t="inlineStr">
        <is>
          <t>Mass Spectrometry (MS)</t>
        </is>
      </c>
      <c r="I19" s="33" t="inlineStr">
        <is>
          <t>1</t>
        </is>
      </c>
      <c r="J19" s="32"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32" t="inlineStr"/>
      <c r="L19" s="32" t="inlineStr">
        <is>
          <t>Optical Activity &amp; Chiral Separation</t>
        </is>
      </c>
      <c r="M19" s="32" t="inlineStr">
        <is>
          <t>Product</t>
        </is>
      </c>
      <c r="N19" s="32" t="inlineStr">
        <is>
          <t>ข้อสอบเก่า / เภสัชวิเคราะห์</t>
        </is>
      </c>
      <c r="O19" s="32" t="inlineStr">
        <is>
          <t>ข้อสอบเก่า</t>
        </is>
      </c>
      <c r="P19" s="32" t="inlineStr">
        <is>
          <t>RxCU</t>
        </is>
      </c>
      <c r="Q19" s="32" t="inlineStr"/>
    </row>
    <row r="20">
      <c r="A20" s="33" t="inlineStr">
        <is>
          <t>19</t>
        </is>
      </c>
      <c r="B20" s="34"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32" t="inlineStr"/>
      <c r="D20" s="32" t="inlineStr">
        <is>
          <t>สารตัวอย่างยา A มีปริมาณความเข้มข้นเท่ากับสารมาตรฐาน</t>
        </is>
      </c>
      <c r="E20" s="32" t="inlineStr">
        <is>
          <t>สารตัวอย่างยา A เป็นสารคนละชนิดกับสารมาตรฐาน</t>
        </is>
      </c>
      <c r="F20" s="32" t="inlineStr">
        <is>
          <t>สารตัวอย่างยา A เป็นสารสลายตัว (By-product) ของสารมาตรฐาน</t>
        </is>
      </c>
      <c r="G20" s="32" t="inlineStr">
        <is>
          <t>สารตัวอย่างยา A และสารมาตรฐานใช้เวลาอยู่ในคอลัมน์เท่ากัน</t>
        </is>
      </c>
      <c r="H20" s="32" t="inlineStr">
        <is>
          <t>สารตัวอย่างยา A มีความชอบพอกับเฟสคงที่ในคอลัมน์มากกว่าสารมาตรฐาน</t>
        </is>
      </c>
      <c r="I20" s="33" t="inlineStr">
        <is>
          <t>4</t>
        </is>
      </c>
      <c r="J20" s="32"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32" t="inlineStr"/>
      <c r="L20" s="32" t="inlineStr">
        <is>
          <t>Chromatographic Principles &amp; Interpretation</t>
        </is>
      </c>
      <c r="M20" s="32" t="inlineStr">
        <is>
          <t>Product</t>
        </is>
      </c>
      <c r="N20" s="32" t="inlineStr">
        <is>
          <t>ข้อสอบเก่า 2561 ข้อ 31</t>
        </is>
      </c>
      <c r="O20" s="32" t="inlineStr">
        <is>
          <t>ข้อสอบเก่า</t>
        </is>
      </c>
      <c r="P20" s="33" t="inlineStr">
        <is>
          <t>2561</t>
        </is>
      </c>
      <c r="Q20" s="32" t="inlineStr"/>
    </row>
    <row r="21">
      <c r="A21" s="32" t="n">
        <v>19</v>
      </c>
      <c r="B21" s="34" t="inlineStr">
        <is>
          <t>จาก spectrum ของ nicotine ที่กำหนดให้ สามารถแสดงถึงข้อมูลใดได้บ้าง</t>
        </is>
      </c>
      <c r="C21" s="32" t="n"/>
      <c r="D21" s="32" t="inlineStr">
        <is>
          <t>Plane polarized light</t>
        </is>
      </c>
      <c r="E21" s="32" t="inlineStr">
        <is>
          <t>Molecular weight</t>
        </is>
      </c>
      <c r="F21" s="32" t="inlineStr">
        <is>
          <t>ชนิดของ functional group</t>
        </is>
      </c>
      <c r="G21" s="32" t="inlineStr">
        <is>
          <t>ตำแหน่งของ functional group</t>
        </is>
      </c>
      <c r="H21" s="32" t="inlineStr">
        <is>
          <t>ไม่มีข้อใดถูก</t>
        </is>
      </c>
      <c r="I21" s="32" t="n">
        <v>1</v>
      </c>
      <c r="J21" s="32"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ข้อนี้ไม่ใช่คำตอบที่ถูกต้องสำหรับภาวะ HPLC (Liquid Chromatography) เนื่องจากกลไกการออกฤทธิ์, efficacy หรือข้อบ่งใช้ไม่ตรงกับโจทย์ที่กำหนด
• ข้อ ค. (ชนิดของ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ง. (ตำแหน่งของ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32" t="n"/>
      <c r="L21" s="32" t="inlineStr">
        <is>
          <t>HPLC (Liquid Chromatography)</t>
        </is>
      </c>
      <c r="M21" s="32" t="inlineStr">
        <is>
          <t>Product</t>
        </is>
      </c>
      <c r="N21" s="32" t="inlineStr">
        <is>
          <t>ข้อ 88 (Pharmtutor_2024_Set2.md)</t>
        </is>
      </c>
      <c r="O21" s="32" t="inlineStr">
        <is>
          <t>Mock</t>
        </is>
      </c>
      <c r="P21" s="32" t="inlineStr">
        <is>
          <t>Mock Pharmtutor 2024</t>
        </is>
      </c>
      <c r="Q21" s="32" t="n"/>
    </row>
    <row r="22">
      <c r="A22" s="33" t="inlineStr">
        <is>
          <t>21</t>
        </is>
      </c>
      <c r="B22" s="34"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32" t="inlineStr"/>
      <c r="D22" s="32" t="inlineStr">
        <is>
          <t>ปรับ pH ของ Mobile phase ให้เป็นด่างจัดที่ pH 11.8</t>
        </is>
      </c>
      <c r="E22" s="32" t="inlineStr">
        <is>
          <t>เติม Triethylamine (TEA) 0.1% หรือปรับ pH สู่กรดอ่อน (pH 2.5-3.0) เพื่อลดอันตรกิริยากับ Silanols</t>
        </is>
      </c>
      <c r="F22" s="32" t="inlineStr">
        <is>
          <t>เปลี่ยนตัวทำละลายทั้งหมดเป็น Acetonitrile บริสุทธิ์</t>
        </is>
      </c>
      <c r="G22" s="32" t="inlineStr">
        <is>
          <t>ลดความยาวของ Analytical column ลงครึ่งหนึ่ง</t>
        </is>
      </c>
      <c r="H22" s="32" t="inlineStr">
        <is>
          <t>เพิ่มอัตราการไหล (Flow rate) ของ Mobile phase เป็นสองเท่า</t>
        </is>
      </c>
      <c r="I22" s="33" t="inlineStr">
        <is>
          <t>2</t>
        </is>
      </c>
      <c r="J22" s="32"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32" t="inlineStr"/>
      <c r="L22" s="32" t="inlineStr">
        <is>
          <t>HPLC Troubleshooting &amp; Peak Tailing</t>
        </is>
      </c>
      <c r="M22" s="32" t="inlineStr">
        <is>
          <t>Product</t>
        </is>
      </c>
      <c r="N22" s="32" t="inlineStr">
        <is>
          <t>ข้อสอบเก่า 2557 ข้อ 12</t>
        </is>
      </c>
      <c r="O22" s="32" t="inlineStr">
        <is>
          <t>ข้อสอบเก่า</t>
        </is>
      </c>
      <c r="P22" s="33" t="inlineStr">
        <is>
          <t>2557</t>
        </is>
      </c>
      <c r="Q22" s="32" t="inlineStr"/>
    </row>
    <row r="23">
      <c r="A23" s="33" t="inlineStr">
        <is>
          <t>22</t>
        </is>
      </c>
      <c r="B23" s="34"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32" t="inlineStr"/>
      <c r="D23" s="33" t="inlineStr">
        <is>
          <t>4.8</t>
        </is>
      </c>
      <c r="E23" s="33" t="inlineStr">
        <is>
          <t>7.5</t>
        </is>
      </c>
      <c r="F23" s="33" t="inlineStr">
        <is>
          <t>9.6</t>
        </is>
      </c>
      <c r="G23" s="33" t="inlineStr">
        <is>
          <t>12.0</t>
        </is>
      </c>
      <c r="H23" s="33" t="inlineStr">
        <is>
          <t>1.5</t>
        </is>
      </c>
      <c r="I23" s="33" t="inlineStr">
        <is>
          <t>3</t>
        </is>
      </c>
      <c r="J23" s="32"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32" t="inlineStr"/>
      <c r="L23" s="32" t="inlineStr">
        <is>
          <t>Chromatographic Resolution Calculation</t>
        </is>
      </c>
      <c r="M23" s="32" t="inlineStr">
        <is>
          <t>Product</t>
        </is>
      </c>
      <c r="N23" s="32" t="inlineStr">
        <is>
          <t>ข้อสอบเก่า 2561 ข้อ 40</t>
        </is>
      </c>
      <c r="O23" s="32" t="inlineStr">
        <is>
          <t>ข้อสอบเก่า</t>
        </is>
      </c>
      <c r="P23" s="33" t="inlineStr">
        <is>
          <t>2561</t>
        </is>
      </c>
      <c r="Q23" s="32" t="inlineStr"/>
    </row>
    <row r="24">
      <c r="A24" s="33" t="inlineStr">
        <is>
          <t>23</t>
        </is>
      </c>
      <c r="B24" s="34"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32" t="inlineStr"/>
      <c r="D24" s="32" t="inlineStr">
        <is>
          <t>Direct UV-Visible Spectrophotometry</t>
        </is>
      </c>
      <c r="E24" s="32" t="inlineStr">
        <is>
          <t>Liquid Chromatography-Tandem Mass Spectrometry (LC-MS/MS)</t>
        </is>
      </c>
      <c r="F24" s="32" t="inlineStr">
        <is>
          <t>Polarimetry</t>
        </is>
      </c>
      <c r="G24" s="32" t="inlineStr">
        <is>
          <t>Fourier Transform Infrared Spectroscopy (FTIR)</t>
        </is>
      </c>
      <c r="H24" s="32" t="inlineStr">
        <is>
          <t>Thin Layer Chromatography (TLC)</t>
        </is>
      </c>
      <c r="I24" s="33" t="inlineStr">
        <is>
          <t>2</t>
        </is>
      </c>
      <c r="J24" s="32"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32" t="inlineStr"/>
      <c r="L24" s="32" t="inlineStr">
        <is>
          <t>Bioanalytical Methods &amp; LC-MS</t>
        </is>
      </c>
      <c r="M24" s="32" t="inlineStr">
        <is>
          <t>Product</t>
        </is>
      </c>
      <c r="N24" s="32" t="inlineStr">
        <is>
          <t>ข้อสอบเตรียมสอบเภสัช</t>
        </is>
      </c>
      <c r="O24" s="32" t="inlineStr">
        <is>
          <t>แบบฝึกหัด</t>
        </is>
      </c>
      <c r="P24" s="32" t="inlineStr">
        <is>
          <t>RxCU</t>
        </is>
      </c>
      <c r="Q24" s="32" t="inlineStr"/>
    </row>
    <row r="25">
      <c r="A25" s="33" t="inlineStr">
        <is>
          <t>24</t>
        </is>
      </c>
      <c r="B25" s="34"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32" t="inlineStr"/>
      <c r="D25" s="32" t="inlineStr">
        <is>
          <t>9.9 mg/mL</t>
        </is>
      </c>
      <c r="E25" s="32" t="inlineStr">
        <is>
          <t>99.0 mg/mL</t>
        </is>
      </c>
      <c r="F25" s="32" t="inlineStr">
        <is>
          <t>49.5 mg/mL</t>
        </is>
      </c>
      <c r="G25" s="32" t="inlineStr">
        <is>
          <t>19.8 mg/mL</t>
        </is>
      </c>
      <c r="H25" s="32" t="inlineStr">
        <is>
          <t>0.99 mg/mL</t>
        </is>
      </c>
      <c r="I25" s="33" t="inlineStr">
        <is>
          <t>2</t>
        </is>
      </c>
      <c r="J25" s="32"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32" t="inlineStr"/>
      <c r="L25" s="32" t="inlineStr">
        <is>
          <t>Internal Standard Quantitation</t>
        </is>
      </c>
      <c r="M25" s="32" t="inlineStr">
        <is>
          <t>Product</t>
        </is>
      </c>
      <c r="N25" s="32" t="inlineStr">
        <is>
          <t>ข้อสอบเก่า 2558 / 2560</t>
        </is>
      </c>
      <c r="O25" s="32" t="inlineStr">
        <is>
          <t>ข้อสอบเก่า</t>
        </is>
      </c>
      <c r="P25" s="33" t="inlineStr">
        <is>
          <t>2558</t>
        </is>
      </c>
      <c r="Q25" s="32" t="inlineStr"/>
    </row>
    <row r="26">
      <c r="A26" s="32" t="n">
        <v>24</v>
      </c>
      <c r="B26" s="34" t="inlineStr">
        <is>
          <t>จากโครงสร้างของ Levodopa ปัจจัยใดที่ไม่ส่งผลต่อ retention time ของ Levodopa จากการวิเคราะห์ด้วยเทคนิค HPLC</t>
        </is>
      </c>
      <c r="C26" s="32" t="n"/>
      <c r="D26" s="32" t="inlineStr">
        <is>
          <t>Gas Chromatography with FID detector</t>
        </is>
      </c>
      <c r="E26" s="32" t="inlineStr">
        <is>
          <t>Thin Layer Chromatography (TLC)</t>
        </is>
      </c>
      <c r="F26" s="32" t="inlineStr">
        <is>
          <t>Ion-Exchange Chromatography (IEC)</t>
        </is>
      </c>
      <c r="G26" s="32" t="inlineStr">
        <is>
          <t>Size Exclusion Chromatography (SEC)</t>
        </is>
      </c>
      <c r="H26" s="32" t="inlineStr">
        <is>
          <t>Chiral HPLC Separation Column</t>
        </is>
      </c>
      <c r="I26" s="32" t="n">
        <v>1</v>
      </c>
      <c r="J26" s="32"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32" t="n"/>
      <c r="L26" s="32" t="inlineStr">
        <is>
          <t>HPLC (Liquid Chromatography)</t>
        </is>
      </c>
      <c r="M26" s="32" t="inlineStr">
        <is>
          <t>Product</t>
        </is>
      </c>
      <c r="N26" s="32" t="inlineStr">
        <is>
          <t>ข้อ 10 (PLE_CC1_2533.md)</t>
        </is>
      </c>
      <c r="O26" s="32" t="inlineStr">
        <is>
          <t>ข้อสอบจริง</t>
        </is>
      </c>
      <c r="P26" s="32" t="inlineStr">
        <is>
          <t>ปี 2533</t>
        </is>
      </c>
      <c r="Q26" s="32" t="n"/>
    </row>
    <row r="27">
      <c r="A27" s="32" t="n">
        <v>25</v>
      </c>
      <c r="B27" s="34" t="inlineStr">
        <is>
          <t>ความยาวของ column</t>
        </is>
      </c>
      <c r="C27" s="32" t="n"/>
      <c r="D27" s="32" t="inlineStr">
        <is>
          <t>Size Exclusion Chromatography (SEC)</t>
        </is>
      </c>
      <c r="E27" s="32" t="inlineStr">
        <is>
          <t>Chiral HPLC Separation Column</t>
        </is>
      </c>
      <c r="F27" s="32" t="inlineStr">
        <is>
          <t>HILIC (Hydrophilic Interaction LC)</t>
        </is>
      </c>
      <c r="G27" s="32" t="inlineStr">
        <is>
          <t>Ultra-High Performance LC (UHPLC)</t>
        </is>
      </c>
      <c r="H27" s="32" t="inlineStr">
        <is>
          <t>GC-Mass Spectrometry (GC-MS)</t>
        </is>
      </c>
      <c r="I27" s="32" t="n">
        <v>1</v>
      </c>
      <c r="J27" s="32"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ค.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ง.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32" t="n"/>
      <c r="L27" s="32" t="inlineStr">
        <is>
          <t>HPLC (Liquid Chromatography)</t>
        </is>
      </c>
      <c r="M27" s="32" t="inlineStr">
        <is>
          <t>Product</t>
        </is>
      </c>
      <c r="N27" s="32" t="inlineStr">
        <is>
          <t>ข้อ 2 (PLE_CC1_2533.md)</t>
        </is>
      </c>
      <c r="O27" s="32" t="inlineStr">
        <is>
          <t>ข้อสอบจริง</t>
        </is>
      </c>
      <c r="P27" s="32" t="inlineStr">
        <is>
          <t>ปี 2533</t>
        </is>
      </c>
      <c r="Q27" s="32" t="n"/>
    </row>
    <row r="28">
      <c r="A28" s="32" t="n">
        <v>26</v>
      </c>
      <c r="B28" s="34" t="inlineStr">
        <is>
          <t>pH ของ mobile phase</t>
        </is>
      </c>
      <c r="C28" s="32" t="n"/>
      <c r="D28" s="32" t="inlineStr">
        <is>
          <t>Ultra-High Performance LC (UHPLC)</t>
        </is>
      </c>
      <c r="E28" s="32" t="inlineStr">
        <is>
          <t>GC-Mass Spectrometry (GC-MS)</t>
        </is>
      </c>
      <c r="F28" s="32" t="inlineStr">
        <is>
          <t>Reversed-Phase HPLC</t>
        </is>
      </c>
      <c r="G28" s="32" t="inlineStr">
        <is>
          <t>Normal-Phase HPLC (Silica column)</t>
        </is>
      </c>
      <c r="H28" s="32" t="inlineStr">
        <is>
          <t>Gas Chromatography with FID detector</t>
        </is>
      </c>
      <c r="I28" s="32" t="n">
        <v>1</v>
      </c>
      <c r="J28" s="32"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ค.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32" t="n"/>
      <c r="L28" s="32" t="inlineStr">
        <is>
          <t>HPLC (Liquid Chromatography)</t>
        </is>
      </c>
      <c r="M28" s="32" t="inlineStr">
        <is>
          <t>Product</t>
        </is>
      </c>
      <c r="N28" s="32" t="inlineStr">
        <is>
          <t>ข้อ 4 (PLE_CC1_2533.md)</t>
        </is>
      </c>
      <c r="O28" s="32" t="inlineStr">
        <is>
          <t>ข้อสอบจริง</t>
        </is>
      </c>
      <c r="P28" s="32" t="inlineStr">
        <is>
          <t>ปี 2533</t>
        </is>
      </c>
      <c r="Q28" s="32" t="n"/>
    </row>
    <row r="29">
      <c r="A29" s="32" t="n">
        <v>27</v>
      </c>
      <c r="B29" s="34"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32" t="n"/>
      <c r="D29" s="32" t="inlineStr">
        <is>
          <t>Normal-Phase HPLC (Silica column)</t>
        </is>
      </c>
      <c r="E29" s="32" t="inlineStr">
        <is>
          <t>Gas Chromatography with FID detector</t>
        </is>
      </c>
      <c r="F29" s="32" t="inlineStr">
        <is>
          <t>Thin Layer Chromatography (TLC)</t>
        </is>
      </c>
      <c r="G29" s="32" t="inlineStr">
        <is>
          <t>Ion-Exchange Chromatography (IEC)</t>
        </is>
      </c>
      <c r="H29" s="32" t="inlineStr">
        <is>
          <t>Size Exclusion Chromatography (SEC)</t>
        </is>
      </c>
      <c r="I29" s="32" t="n">
        <v>1</v>
      </c>
      <c r="J29" s="32"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32" t="n"/>
      <c r="L29" s="32" t="inlineStr">
        <is>
          <t>HPLC (Liquid Chromatography)</t>
        </is>
      </c>
      <c r="M29" s="32" t="inlineStr">
        <is>
          <t>Product</t>
        </is>
      </c>
      <c r="N29" s="32" t="inlineStr">
        <is>
          <t>ข้อ 5 (PLE_CC1_2533.md)</t>
        </is>
      </c>
      <c r="O29" s="32" t="inlineStr">
        <is>
          <t>ข้อสอบจริง</t>
        </is>
      </c>
      <c r="P29" s="32" t="inlineStr">
        <is>
          <t>ปี 2533</t>
        </is>
      </c>
      <c r="Q29" s="32" t="n"/>
    </row>
    <row r="30">
      <c r="A30" s="32" t="n">
        <v>28</v>
      </c>
      <c r="B30" s="34"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32" t="n"/>
      <c r="D30" s="32" t="inlineStr">
        <is>
          <t>Ion-Exchange Chromatography (IEC)</t>
        </is>
      </c>
      <c r="E30" s="32" t="inlineStr">
        <is>
          <t>Size Exclusion Chromatography (SEC)</t>
        </is>
      </c>
      <c r="F30" s="32" t="inlineStr">
        <is>
          <t>Chiral HPLC Separation Column</t>
        </is>
      </c>
      <c r="G30" s="32" t="inlineStr">
        <is>
          <t>HILIC (Hydrophilic Interaction LC)</t>
        </is>
      </c>
      <c r="H30" s="32" t="inlineStr">
        <is>
          <t>Ultra-High Performance LC (UHPLC)</t>
        </is>
      </c>
      <c r="I30" s="32" t="n">
        <v>1</v>
      </c>
      <c r="J30" s="32"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ค.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ง.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จ.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32" t="n"/>
      <c r="L30" s="32" t="inlineStr">
        <is>
          <t>HPLC (Liquid Chromatography)</t>
        </is>
      </c>
      <c r="M30" s="32" t="inlineStr">
        <is>
          <t>Product</t>
        </is>
      </c>
      <c r="N30" s="32" t="inlineStr">
        <is>
          <t>ข้อ 2 (PLE_CC1_2533.md)</t>
        </is>
      </c>
      <c r="O30" s="32" t="inlineStr">
        <is>
          <t>ข้อสอบจริง</t>
        </is>
      </c>
      <c r="P30" s="32" t="inlineStr">
        <is>
          <t>ปี 2533</t>
        </is>
      </c>
      <c r="Q30" s="32" t="n"/>
    </row>
    <row r="31">
      <c r="A31" s="32" t="n">
        <v>29</v>
      </c>
      <c r="B31" s="34"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32" t="n"/>
      <c r="D31" s="32" t="inlineStr">
        <is>
          <t>HILIC (Hydrophilic Interaction LC)</t>
        </is>
      </c>
      <c r="E31" s="32" t="inlineStr">
        <is>
          <t>Ultra-High Performance LC (UHPLC)</t>
        </is>
      </c>
      <c r="F31" s="32" t="inlineStr">
        <is>
          <t>GC-Mass Spectrometry (GC-MS)</t>
        </is>
      </c>
      <c r="G31" s="32" t="inlineStr">
        <is>
          <t>Reversed-Phase HPLC</t>
        </is>
      </c>
      <c r="H31" s="32" t="inlineStr">
        <is>
          <t>Normal-Phase HPLC (Silica column)</t>
        </is>
      </c>
      <c r="I31" s="32" t="n">
        <v>1</v>
      </c>
      <c r="J31" s="32"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ค.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ง.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จ.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32" t="n"/>
      <c r="L31" s="32" t="inlineStr">
        <is>
          <t>HPLC (Liquid Chromatography)</t>
        </is>
      </c>
      <c r="M31" s="32" t="inlineStr">
        <is>
          <t>Product</t>
        </is>
      </c>
      <c r="N31" s="32" t="inlineStr">
        <is>
          <t>ข้อ 4 (PLE_CC1_2533.md)</t>
        </is>
      </c>
      <c r="O31" s="32" t="inlineStr">
        <is>
          <t>ข้อสอบจริง</t>
        </is>
      </c>
      <c r="P31" s="32" t="inlineStr">
        <is>
          <t>ปี 2533</t>
        </is>
      </c>
      <c r="Q31" s="32" t="n"/>
    </row>
    <row r="32">
      <c r="A32" s="32" t="n">
        <v>30</v>
      </c>
      <c r="B32" s="34" t="inlineStr">
        <is>
          <t>เทคนิคทางโครมาโตรกราฟีใดต่อไปนี้สามารถแยกความแตกต่างระหว่าง theophylline และ caffeine ได้ caffeine theophylline</t>
        </is>
      </c>
      <c r="C32" s="32" t="n"/>
      <c r="D32" s="32" t="inlineStr">
        <is>
          <t>Chiral chromatography</t>
        </is>
      </c>
      <c r="E32" s="32" t="inlineStr">
        <is>
          <t>Countercurrent chromatography</t>
        </is>
      </c>
      <c r="F32" s="32" t="inlineStr">
        <is>
          <t>Ion exchange chromatography</t>
        </is>
      </c>
      <c r="G32" s="32" t="inlineStr">
        <is>
          <t>Reverse phase chromatography</t>
        </is>
      </c>
      <c r="H32" s="32"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32" t="n">
        <v>1</v>
      </c>
      <c r="J32" s="32"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(Ion exchange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(Reverse phase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32" t="n"/>
      <c r="L32" s="32" t="inlineStr">
        <is>
          <t>HPLC (Liquid Chromatography)</t>
        </is>
      </c>
      <c r="M32" s="32" t="inlineStr">
        <is>
          <t>Product</t>
        </is>
      </c>
      <c r="N32" s="32" t="inlineStr">
        <is>
          <t>ข้อ 23 (PLE_CC1_Practice_Exam.md)</t>
        </is>
      </c>
      <c r="O32" s="32" t="inlineStr">
        <is>
          <t>Mock</t>
        </is>
      </c>
      <c r="P32" s="32" t="inlineStr">
        <is>
          <t>Mock สภาเภสัชฯ Practice</t>
        </is>
      </c>
      <c r="Q32" s="32" t="n"/>
    </row>
    <row r="33">
      <c r="A33" s="32" t="n">
        <v>31</v>
      </c>
      <c r="B33" s="34"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32" t="n"/>
      <c r="D33" s="32" t="inlineStr">
        <is>
          <t>Thin Layer Chromatography (TLC)</t>
        </is>
      </c>
      <c r="E33" s="32" t="inlineStr">
        <is>
          <t>Ion-Exchange Chromatography (IEC)</t>
        </is>
      </c>
      <c r="F33" s="32" t="inlineStr">
        <is>
          <t>Size Exclusion Chromatography (SEC)</t>
        </is>
      </c>
      <c r="G33" s="32" t="inlineStr">
        <is>
          <t>Chiral HPLC Separation Column</t>
        </is>
      </c>
      <c r="H33" s="32" t="inlineStr">
        <is>
          <t>HILIC (Hydrophilic Interaction LC)</t>
        </is>
      </c>
      <c r="I33" s="32" t="n">
        <v>1</v>
      </c>
      <c r="J33" s="32"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ค.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ง.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32" t="n"/>
      <c r="L33" s="32" t="inlineStr">
        <is>
          <t>HPLC (Liquid Chromatography)</t>
        </is>
      </c>
      <c r="M33" s="32" t="inlineStr">
        <is>
          <t>Product</t>
        </is>
      </c>
      <c r="N33" s="32" t="inlineStr">
        <is>
          <t>ข้อ 1 (PLE_CC1_Practice_Exam.md)</t>
        </is>
      </c>
      <c r="O33" s="32" t="inlineStr">
        <is>
          <t>Mock</t>
        </is>
      </c>
      <c r="P33" s="32" t="inlineStr">
        <is>
          <t>Mock สภาเภสัชฯ Practice</t>
        </is>
      </c>
      <c r="Q33" s="32" t="n"/>
    </row>
    <row r="34">
      <c r="A34" s="32" t="n">
        <v>32</v>
      </c>
      <c r="B34" s="34"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32" t="n"/>
      <c r="D34" s="32" t="inlineStr">
        <is>
          <t>Chiral HPLC Separation Column</t>
        </is>
      </c>
      <c r="E34" s="32" t="inlineStr">
        <is>
          <t>HILIC (Hydrophilic Interaction LC)</t>
        </is>
      </c>
      <c r="F34" s="32" t="inlineStr">
        <is>
          <t>Ultra-High Performance LC (UHPLC)</t>
        </is>
      </c>
      <c r="G34" s="32" t="inlineStr">
        <is>
          <t>GC-Mass Spectrometry (GC-MS)</t>
        </is>
      </c>
      <c r="H34" s="32" t="inlineStr">
        <is>
          <t>Reversed-Phase HPLC</t>
        </is>
      </c>
      <c r="I34" s="32" t="n">
        <v>4</v>
      </c>
      <c r="J34" s="32"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32" t="n"/>
      <c r="L34" s="32" t="inlineStr">
        <is>
          <t>HPLC (Liquid Chromatography)</t>
        </is>
      </c>
      <c r="M34" s="32" t="inlineStr">
        <is>
          <t>Product</t>
        </is>
      </c>
      <c r="N34" s="32" t="inlineStr">
        <is>
          <t>ข้อ 2 (PLE_CC1_Practice_Exam.md)</t>
        </is>
      </c>
      <c r="O34" s="32" t="inlineStr">
        <is>
          <t>Mock</t>
        </is>
      </c>
      <c r="P34" s="32" t="inlineStr">
        <is>
          <t>Mock สภาเภสัชฯ Practice</t>
        </is>
      </c>
      <c r="Q34" s="32" t="n"/>
    </row>
    <row r="35">
      <c r="A35" s="32" t="n">
        <v>33</v>
      </c>
      <c r="B35" s="34"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32" t="n"/>
      <c r="D35" s="32" t="inlineStr">
        <is>
          <t>ผิด อนุภาคของวัฏภาคกระจายตัวเป็นของเหลว</t>
        </is>
      </c>
      <c r="E35" s="32" t="inlineStr">
        <is>
          <t>ผิด ต้องใช้พลังงานเพื่อกระจายอนุภาตของวัฏภาคกระจายตัวออกจากกัน</t>
        </is>
      </c>
      <c r="F35" s="32" t="inlineStr">
        <is>
          <t>ผิด ประกอบด้วยสองวัฏภาคที่ไม่ผสมเข้ากัน</t>
        </is>
      </c>
      <c r="G35" s="32"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32" t="inlineStr">
        <is>
          <t>Thin Layer Chromatography (TLC)</t>
        </is>
      </c>
      <c r="I35" s="32" t="n">
        <v>1</v>
      </c>
      <c r="J35" s="32"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ข้อนี้ไม่ใช่คำตอบที่ถูกต้องสำหรับภาวะ HPLC (Liquid Chromatography) เนื่องจากกลไกการออกฤทธิ์, efficacy หรือข้อบ่งใช้ไม่ตรงกับโจทย์ที่กำหนด
• ข้อ ค. (ผิด ประกอบด้วยสองวัฏภาคที่ไม่ผสมเข้ากัน): ข้อนี้ไม่ใช่คำตอบที่ถูกต้องสำหรับภาวะ HPLC (Liquid Chromatography) เนื่องจากกลไกการออกฤทธิ์, efficacy หรือข้อบ่งใช้ไม่ตรงกับโจทย์ที่กำหนด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32" t="n"/>
      <c r="L35" s="32" t="inlineStr">
        <is>
          <t>HPLC (Liquid Chromatography)</t>
        </is>
      </c>
      <c r="M35" s="32" t="inlineStr">
        <is>
          <t>Product</t>
        </is>
      </c>
      <c r="N35" s="32" t="inlineStr">
        <is>
          <t>ข้อ 2 (PLE_CC1_Practice_Exam.md)</t>
        </is>
      </c>
      <c r="O35" s="32" t="inlineStr">
        <is>
          <t>Mock</t>
        </is>
      </c>
      <c r="P35" s="32" t="inlineStr">
        <is>
          <t>Mock สภาเภสัชฯ Practice</t>
        </is>
      </c>
      <c r="Q35" s="32" t="n"/>
    </row>
    <row r="36">
      <c r="A36" s="32" t="n">
        <v>34</v>
      </c>
      <c r="B36" s="34" t="inlineStr">
        <is>
          <t>ข้อใดถูกต้องเกี่ยวกับ Infrared Spectroscopy</t>
        </is>
      </c>
      <c r="C36" s="32" t="n"/>
      <c r="D36" s="32" t="inlineStr">
        <is>
          <t>น้ำมีค่า Fundamental vibration เท่ากับ 2</t>
        </is>
      </c>
      <c r="E36" s="32" t="inlineStr">
        <is>
          <t>แก๊สคาร์บอนไดออกไซด์มีค่า Fundamental vibration เท่ากับ 3</t>
        </is>
      </c>
      <c r="F36" s="32" t="inlineStr">
        <is>
          <t>เซลล์ตัวอย่างควรมีลักษณะโปร่งใสและไม่ดูดกลืนรังสีอินฟราเรดช่วงเดียวกับตัวอย่าง เช่น เกลือของแัไลด์</t>
        </is>
      </c>
      <c r="G36" s="32" t="inlineStr">
        <is>
          <t>สารประกอบกลุ่มไนโตรจะมี wavenumber มากกว่าไนไทรล์</t>
        </is>
      </c>
      <c r="H36" s="32" t="inlineStr">
        <is>
          <t>ข้อ ค. และ ง. ถูก</t>
        </is>
      </c>
      <c r="I36" s="32" t="n">
        <v>1</v>
      </c>
      <c r="J36" s="32"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ข้อนี้ไม่ใช่คำตอบที่ถูกต้องสำหรับภาวะ HPLC (Liquid Chromatography) เนื่องจากกลไกการออกฤทธิ์, efficacy หรือข้อบ่งใช้ไม่ตรงกับโจทย์ที่กำหนด
• ข้อ ค. (เซลล์ตัวอย่างควรมีลักษณะโปร่งใสและไม่ดูดกลืนรังสีอินฟราเรดช่วงเดียวกับตัวอย่าง เช่น เกลือของแัไลด์): ข้อนี้ไม่ใช่คำตอบที่ถูกต้องสำหรับภาวะ HPLC (Liquid Chromatography) เนื่องจากกลไกการออกฤทธิ์, efficacy หรือข้อบ่งใช้ไม่ตรงกับโจทย์ที่กำหนด
• ข้อ ง. (สารประกอบกลุ่มไนโตรจะมี wavenumber มากกว่าไนไทรล์): ข้อนี้ไม่ใช่คำตอบที่ถูกต้องสำหรับภาวะ HPLC (Liquid Chromatography) เนื่องจากกลไกการออกฤทธิ์, efficacy หรือข้อบ่งใช้ไม่ตรงกับโจทย์ที่กำหนด
• ข้อ จ. (ข้อ ค. และ ง. ถูก):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32" t="n"/>
      <c r="L36" s="32" t="inlineStr">
        <is>
          <t>HPLC (Liquid Chromatography)</t>
        </is>
      </c>
      <c r="M36" s="32" t="inlineStr">
        <is>
          <t>Product</t>
        </is>
      </c>
      <c r="N36" s="32" t="inlineStr">
        <is>
          <t>ข้อ 2 (PLE_CC1_Practice_Exam.md)</t>
        </is>
      </c>
      <c r="O36" s="32" t="inlineStr">
        <is>
          <t>Mock</t>
        </is>
      </c>
      <c r="P36" s="32" t="inlineStr">
        <is>
          <t>Mock สภาเภสัชฯ Practice</t>
        </is>
      </c>
      <c r="Q36" s="32" t="n"/>
    </row>
    <row r="37">
      <c r="A37" s="32" t="n">
        <v>35</v>
      </c>
      <c r="B37" s="34" t="inlineStr">
        <is>
          <t>จงหา pH ของสารละลายที่ประกอบด้วย urea 42% w/v (กำหนดให้ Kb = 1.5x10-14 , MW of Urea = 60 g/mol)</t>
        </is>
      </c>
      <c r="C37" s="32" t="n"/>
      <c r="D37" s="32" t="n">
        <v>6.5</v>
      </c>
      <c r="E37" s="32" t="n">
        <v>7</v>
      </c>
      <c r="F37" s="32" t="n">
        <v>7.5</v>
      </c>
      <c r="G37" s="32" t="n">
        <v>8</v>
      </c>
      <c r="H37" s="32" t="n">
        <v>8.5</v>
      </c>
      <c r="I37" s="32" t="n">
        <v>1</v>
      </c>
      <c r="J37" s="32"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ข้อนี้ไม่ใช่คำตอบที่ถูกต้องสำหรับภาวะ HPLC (Liquid Chromatography) เนื่องจากกลไกการออกฤทธิ์, efficacy หรือข้อบ่งใช้ไม่ตรงกับโจทย์ที่กำหนด
• ข้อ ค. (7.5): ข้อนี้ไม่ใช่คำตอบที่ถูกต้องสำหรับภาวะ HPLC (Liquid Chromatography) เนื่องจากกลไกการออกฤทธิ์, efficacy หรือข้อบ่งใช้ไม่ตรงกับโจทย์ที่กำหนด
• ข้อ ง. (8.0): ข้อนี้ไม่ใช่คำตอบที่ถูกต้องสำหรับภาวะ HPLC (Liquid Chromatography) เนื่องจากกลไกการออกฤทธิ์, efficacy หรือข้อบ่งใช้ไม่ตรงกับโจทย์ที่กำหนด
• ข้อ จ. (8.5):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32" t="n"/>
      <c r="L37" s="32" t="inlineStr">
        <is>
          <t>HPLC (Liquid Chromatography)</t>
        </is>
      </c>
      <c r="M37" s="32" t="inlineStr">
        <is>
          <t>Product</t>
        </is>
      </c>
      <c r="N37" s="32" t="inlineStr">
        <is>
          <t>ข้อ 5 (PLE_CC1_Practice_Exam.md)</t>
        </is>
      </c>
      <c r="O37" s="32" t="inlineStr">
        <is>
          <t>Mock</t>
        </is>
      </c>
      <c r="P37" s="32" t="inlineStr">
        <is>
          <t>Mock สภาเภสัชฯ Practice</t>
        </is>
      </c>
      <c r="Q37" s="32" t="n"/>
    </row>
    <row r="38">
      <c r="A38" s="32" t="n">
        <v>36</v>
      </c>
      <c r="B38" s="34" t="inlineStr">
        <is>
          <t>C18 column ใช้เป็น stationary phase ใน HPLC ประเภทใด</t>
        </is>
      </c>
      <c r="C38" s="32" t="n"/>
      <c r="D38" s="32" t="inlineStr">
        <is>
          <t>Nornal phase HPLC</t>
        </is>
      </c>
      <c r="E38" s="32" t="inlineStr">
        <is>
          <t>Reverse phase HPLC</t>
        </is>
      </c>
      <c r="F38" s="32"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32" t="inlineStr">
        <is>
          <t>Ion-exchange HPLC</t>
        </is>
      </c>
      <c r="H38" s="32" t="inlineStr">
        <is>
          <t>Carbon-exclusion HPLC</t>
        </is>
      </c>
      <c r="I38" s="32" t="n">
        <v>1</v>
      </c>
      <c r="J38" s="32"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ข้อนี้ไม่ใช่คำตอบที่ถูกต้องสำหรับภาวะ HPLC (Liquid Chromatography) เนื่องจากกลไกการออกฤทธิ์, efficacy หรือข้อบ่งใช้ไม่ตรงกับโจทย์ที่กำหนด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HPLC): ข้อนี้ไม่ใช่คำตอบที่ถูกต้องสำหรับภาวะ HPLC (Liquid Chromatography) เนื่องจากกลไกการออกฤทธิ์, efficacy หรือข้อบ่งใช้ไม่ตรงกับโจทย์ที่กำหนด
• ข้อ จ. (Carbon-exclusion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2" t="n"/>
      <c r="L38" s="32" t="inlineStr">
        <is>
          <t>HPLC (Liquid Chromatography)</t>
        </is>
      </c>
      <c r="M38" s="32" t="inlineStr">
        <is>
          <t>Product</t>
        </is>
      </c>
      <c r="N38" s="32" t="inlineStr">
        <is>
          <t>ข้อ 15 (PLE_CC1_Practice_Exam.md)</t>
        </is>
      </c>
      <c r="O38" s="32" t="inlineStr">
        <is>
          <t>Mock</t>
        </is>
      </c>
      <c r="P38" s="32" t="inlineStr">
        <is>
          <t>Mock สภาเภสัชฯ Practice</t>
        </is>
      </c>
      <c r="Q38" s="32" t="n"/>
    </row>
    <row r="39">
      <c r="A39" s="32" t="n">
        <v>37</v>
      </c>
      <c r="B39" s="34"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32" t="n"/>
      <c r="D39" s="32" t="inlineStr">
        <is>
          <t>ระบบที่ทดสอบน่าจะมีค่า Resolution ที่ดี</t>
        </is>
      </c>
      <c r="E39" s="32" t="inlineStr">
        <is>
          <t>สาร B มีความเป็นขั้วมากกว่ายา A</t>
        </is>
      </c>
      <c r="F39" s="32" t="inlineStr">
        <is>
          <t>Retention time ของยา A น้อยกว่าสาร B</t>
        </is>
      </c>
      <c r="G39" s="32" t="inlineStr">
        <is>
          <t>ยา A มีค่า Capacity factor มากกว่าสาร B</t>
        </is>
      </c>
      <c r="H39" s="32" t="inlineStr">
        <is>
          <t>ไม่มีตัวเลือกใดผิด</t>
        </is>
      </c>
      <c r="I39" s="32" t="n">
        <v>1</v>
      </c>
      <c r="J39" s="32"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ข้อนี้ไม่ใช่คำตอบที่ถูกต้องสำหรับภาวะ HPLC (Liquid Chromatography) เนื่องจากกลไกการออกฤทธิ์, efficacy หรือข้อบ่งใช้ไม่ตรงกับโจทย์ที่กำหนด
• ข้อ ค. (Retention time ของยา A น้อยกว่าสาร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ง. (ยา A มีค่า Capacity factor มากกว่าสาร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(ไม่มีตัวเลือกใดผิด):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2" t="n"/>
      <c r="L39" s="32" t="inlineStr">
        <is>
          <t>HPLC (Liquid Chromatography)</t>
        </is>
      </c>
      <c r="M39" s="32" t="inlineStr">
        <is>
          <t>Product</t>
        </is>
      </c>
      <c r="N39" s="32" t="inlineStr">
        <is>
          <t>ข้อ 16 (PLE_CC1_Practice_Exam.md)</t>
        </is>
      </c>
      <c r="O39" s="32" t="inlineStr">
        <is>
          <t>Mock</t>
        </is>
      </c>
      <c r="P39" s="32" t="inlineStr">
        <is>
          <t>Mock สภาเภสัชฯ Practice</t>
        </is>
      </c>
      <c r="Q39" s="32" t="n"/>
    </row>
    <row r="40">
      <c r="A40" s="32" t="n">
        <v>38</v>
      </c>
      <c r="B40" s="34" t="inlineStr">
        <is>
          <t>โครมาโทรกราฟีประเภทใดที่ใช้กระจกเคลือบด้วยซิลิกาเจลหรืออะลูมินาแล้วเกลี่ยให้บางเป็นตัวดูด ซับ</t>
        </is>
      </c>
      <c r="C40" s="32" t="n"/>
      <c r="D40" s="32" t="inlineStr">
        <is>
          <t>Column Chromatography</t>
        </is>
      </c>
      <c r="E40" s="32" t="inlineStr">
        <is>
          <t>Paper Chromatography</t>
        </is>
      </c>
      <c r="F40" s="32" t="inlineStr">
        <is>
          <t>Thin layer Chromatography</t>
        </is>
      </c>
      <c r="G40" s="32" t="inlineStr">
        <is>
          <t>Glass Chromatography</t>
        </is>
      </c>
      <c r="H40" s="32" t="inlineStr">
        <is>
          <t>ถูกทุกข้อ</t>
        </is>
      </c>
      <c r="I40" s="32" t="n">
        <v>1</v>
      </c>
      <c r="J40" s="32"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(Glass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2" t="n"/>
      <c r="L40" s="32" t="inlineStr">
        <is>
          <t>HPLC (Liquid Chromatography)</t>
        </is>
      </c>
      <c r="M40" s="32" t="inlineStr">
        <is>
          <t>Product</t>
        </is>
      </c>
      <c r="N40" s="32" t="inlineStr">
        <is>
          <t>ข้อ 20 (PLE_CC1_Practice_Exam.md)</t>
        </is>
      </c>
      <c r="O40" s="32" t="inlineStr">
        <is>
          <t>Mock</t>
        </is>
      </c>
      <c r="P40" s="32" t="inlineStr">
        <is>
          <t>Mock สภาเภสัชฯ Practice</t>
        </is>
      </c>
      <c r="Q40" s="32" t="n"/>
    </row>
    <row r="41">
      <c r="A41" s="32" t="n">
        <v>39</v>
      </c>
      <c r="B41" s="34" t="inlineStr">
        <is>
          <t>ใช้ TLC พิสูจน์เอกลักษณ์โดยได้</t>
        </is>
      </c>
      <c r="C41" s="32" t="n"/>
      <c r="D41" s="32" t="inlineStr">
        <is>
          <t>HILIC (Hydrophilic Interaction LC)</t>
        </is>
      </c>
      <c r="E41" s="32" t="inlineStr">
        <is>
          <t>Ultra-High Performance LC (UHPLC)</t>
        </is>
      </c>
      <c r="F41" s="32" t="inlineStr">
        <is>
          <t>GC-Mass Spectrometry (GC-MS)</t>
        </is>
      </c>
      <c r="G41" s="32" t="inlineStr">
        <is>
          <t>Reversed-Phase HPLC</t>
        </is>
      </c>
      <c r="H41" s="32" t="inlineStr">
        <is>
          <t>Normal-Phase HPLC (Silica column)</t>
        </is>
      </c>
      <c r="I41" s="32" t="n">
        <v>1</v>
      </c>
      <c r="J41" s="32"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ค. (GC-Mass Spectrometry (GC-MS)): ข้อนี้ไม่ใช่คำตอบที่ถูกต้องสำหรับภาวะ TLC (Thin Layer) เนื่องจากกลไกการออกฤทธิ์, efficacy หรือข้อบ่งใช้ไม่ตรงกับโจทย์ที่กำหนด
• ข้อ ง. (Reversed-Phase HPLC): ข้อนี้ไม่ใช่คำตอบที่ถูกต้องสำหรับภาวะ TLC (Thin Layer) เนื่องจากกลไกการออกฤทธิ์, efficacy หรือข้อบ่งใช้ไม่ตรงกับโจทย์ที่กำหนด
• ข้อ จ. (Normal-Phase HPLC (Silica column)):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2" t="n"/>
      <c r="L41" s="32" t="inlineStr">
        <is>
          <t>TLC (Thin Layer)</t>
        </is>
      </c>
      <c r="M41" s="32" t="inlineStr">
        <is>
          <t>Product</t>
        </is>
      </c>
      <c r="N41" s="32" t="inlineStr">
        <is>
          <t>ข้อ 5 (PLE_CC1_Key_Rx20_UBU.md)</t>
        </is>
      </c>
      <c r="O41" s="32" t="inlineStr">
        <is>
          <t>Mock</t>
        </is>
      </c>
      <c r="P41" s="32" t="inlineStr">
        <is>
          <t>Mock Rx20 UBU</t>
        </is>
      </c>
      <c r="Q41" s="32" t="n"/>
    </row>
    <row r="42">
      <c r="A42" s="32" t="n">
        <v>40</v>
      </c>
      <c r="B42" s="34" t="inlineStr">
        <is>
          <t>ในการตรวจวัดระดับยาคุมกำเนิดในเม็ดยา ควรใช้วิธีการใดในการวัด</t>
        </is>
      </c>
      <c r="C42" s="32" t="n"/>
      <c r="D42" s="32" t="inlineStr">
        <is>
          <t>IR</t>
        </is>
      </c>
      <c r="E42" s="32" t="inlineStr">
        <is>
          <t>HPLC</t>
        </is>
      </c>
      <c r="F42" s="32" t="inlineStr">
        <is>
          <t>Specific rotation by polarimeter</t>
        </is>
      </c>
      <c r="G42" s="32" t="inlineStr">
        <is>
          <t>Refractive index by refractorymeter</t>
        </is>
      </c>
      <c r="H42" s="32" t="inlineStr">
        <is>
          <t>TLC</t>
        </is>
      </c>
      <c r="I42" s="32" t="n">
        <v>2</v>
      </c>
      <c r="J42" s="32"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ข้อนี้ไม่ใช่คำตอบที่ถูกต้องสำหรับภาวะ HPLC (Liquid Chromatography) เนื่องจากกลไกการออกฤทธิ์, efficacy หรือข้อบ่งใช้ไม่ตรงกับโจทย์ที่กำหนด
• ข้อ ค. (Specific rotation by polarimeter): ข้อนี้ไม่ใช่คำตอบที่ถูกต้องสำหรับภาวะ HPLC (Liquid Chromatography) เนื่องจากกลไกการออกฤทธิ์, efficacy หรือข้อบ่งใช้ไม่ตรงกับโจทย์ที่กำหนด
• ข้อ ง. (Refractive index by refractorymeter): ข้อนี้ไม่ใช่คำตอบที่ถูกต้องสำหรับภาวะ HPLC (Liquid Chromatography) เนื่องจากกลไกการออกฤทธิ์, efficacy หรือข้อบ่งใช้ไม่ตรงกับโจทย์ที่กำหนด
• ข้อ จ.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2" t="n"/>
      <c r="L42" s="32" t="inlineStr">
        <is>
          <t>HPLC (Liquid Chromatography)</t>
        </is>
      </c>
      <c r="M42" s="32" t="inlineStr">
        <is>
          <t>Product</t>
        </is>
      </c>
      <c r="N42" s="32" t="inlineStr">
        <is>
          <t>ข้อ 7 (PLE_CC1_Key_Rx20_UBU.md)</t>
        </is>
      </c>
      <c r="O42" s="32" t="inlineStr">
        <is>
          <t>Mock</t>
        </is>
      </c>
      <c r="P42" s="32" t="inlineStr">
        <is>
          <t>Mock Rx20 UBU</t>
        </is>
      </c>
      <c r="Q42" s="32" t="n"/>
    </row>
    <row r="43">
      <c r="A43" s="32" t="n">
        <v>41</v>
      </c>
      <c r="B43" s="34" t="inlineStr">
        <is>
          <t>จากสูตรโครงสร้างของ HCTZ จะใช้อะไรในการตรวจสอบเอกลักษณ์ของวัตถุดิบ</t>
        </is>
      </c>
      <c r="C43" s="32" t="n"/>
      <c r="D43" s="32" t="inlineStr">
        <is>
          <t>Fingerprint จาก FTIR</t>
        </is>
      </c>
      <c r="E43" s="32" t="inlineStr">
        <is>
          <t>Dragendorff’s reagent</t>
        </is>
      </c>
      <c r="F43" s="32" t="inlineStr">
        <is>
          <t>Spectrofluorometry</t>
        </is>
      </c>
      <c r="G43" s="32" t="inlineStr">
        <is>
          <t>TLC</t>
        </is>
      </c>
      <c r="H43" s="32" t="inlineStr">
        <is>
          <t>HILIC (Hydrophilic Interaction LC)</t>
        </is>
      </c>
      <c r="I43" s="32" t="n">
        <v>1</v>
      </c>
      <c r="J43" s="32"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ข้อนี้ไม่ใช่คำตอบที่ถูกต้องสำหรับภาวะ HPLC (Liquid Chromatography) เนื่องจากกลไกการออกฤทธิ์, efficacy หรือข้อบ่งใช้ไม่ตรงกับโจทย์ที่กำหนด
• ข้อ ค. (Spectrofluorometry): ข้อนี้ไม่ใช่คำตอบที่ถูกต้องสำหรับภาวะ HPLC (Liquid Chromatography) เนื่องจากกลไกการออกฤทธิ์, efficacy หรือข้อบ่งใช้ไม่ตรงกับโจทย์ที่กำหนด
• ข้อ ง. (TLC):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2" t="n"/>
      <c r="L43" s="32" t="inlineStr">
        <is>
          <t>HPLC (Liquid Chromatography)</t>
        </is>
      </c>
      <c r="M43" s="32" t="inlineStr">
        <is>
          <t>Product</t>
        </is>
      </c>
      <c r="N43" s="32" t="inlineStr">
        <is>
          <t>ข้อ 2 (PLE_CC1_Key_Rx20_UBU.md)</t>
        </is>
      </c>
      <c r="O43" s="32" t="inlineStr">
        <is>
          <t>Mock</t>
        </is>
      </c>
      <c r="P43" s="32" t="inlineStr">
        <is>
          <t>Mock Rx20 UBU</t>
        </is>
      </c>
      <c r="Q43" s="32" t="n"/>
    </row>
    <row r="44">
      <c r="A44" s="32" t="n">
        <v>42</v>
      </c>
      <c r="B44" s="34" t="inlineStr">
        <is>
          <t>จากกราฟเป็นการวิเคราะห์โดยเครื่องมือใด</t>
        </is>
      </c>
      <c r="C44" s="32" t="n"/>
      <c r="D44" s="32" t="inlineStr">
        <is>
          <t>Chiral HPLC Separation Column</t>
        </is>
      </c>
      <c r="E44" s="32" t="inlineStr">
        <is>
          <t>HILIC (Hydrophilic Interaction LC)</t>
        </is>
      </c>
      <c r="F44" s="32" t="inlineStr">
        <is>
          <t>Ultra-High Performance LC (UHPLC)</t>
        </is>
      </c>
      <c r="G44" s="32" t="inlineStr">
        <is>
          <t>GC-Mass Spectrometry (GC-MS)</t>
        </is>
      </c>
      <c r="H44" s="32" t="inlineStr">
        <is>
          <t>Reversed-Phase HPLC</t>
        </is>
      </c>
      <c r="I44" s="32" t="n">
        <v>1</v>
      </c>
      <c r="J44" s="32"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ง.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2" t="n"/>
      <c r="L44" s="32" t="inlineStr">
        <is>
          <t>HPLC (Liquid Chromatography)</t>
        </is>
      </c>
      <c r="M44" s="32" t="inlineStr">
        <is>
          <t>Product</t>
        </is>
      </c>
      <c r="N44" s="32" t="inlineStr">
        <is>
          <t>ข้อ 82 (PLE_CC1_Key_Rx20_UBU.md)</t>
        </is>
      </c>
      <c r="O44" s="32" t="inlineStr">
        <is>
          <t>Mock</t>
        </is>
      </c>
      <c r="P44" s="32" t="inlineStr">
        <is>
          <t>Mock Rx20 UBU</t>
        </is>
      </c>
      <c r="Q44" s="32" t="n"/>
    </row>
    <row r="45">
      <c r="A45" s="32" t="n">
        <v>43</v>
      </c>
      <c r="B45" s="34" t="inlineStr">
        <is>
          <t>Gas chromatography</t>
        </is>
      </c>
      <c r="C45" s="32" t="n"/>
      <c r="D45" s="32" t="inlineStr">
        <is>
          <t>GC-Mass Spectrometry (GC-MS)</t>
        </is>
      </c>
      <c r="E45" s="32" t="inlineStr">
        <is>
          <t>Reversed-Phase HPLC</t>
        </is>
      </c>
      <c r="F45" s="32" t="inlineStr">
        <is>
          <t>Normal-Phase HPLC (Silica column)</t>
        </is>
      </c>
      <c r="G45" s="32" t="inlineStr">
        <is>
          <t>Gas Chromatography with FID detector</t>
        </is>
      </c>
      <c r="H45" s="32" t="inlineStr">
        <is>
          <t>Thin Layer Chromatography (TLC)</t>
        </is>
      </c>
      <c r="I45" s="32" t="n">
        <v>1</v>
      </c>
      <c r="J45" s="32"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ข้อนี้ไม่ใช่คำตอบที่ถูกต้องสำหรับภาวะ GC (Gas Chromatography) เนื่องจากกลไกการออกฤทธิ์, efficacy หรือข้อบ่งใช้ไม่ตรงกับโจทย์ที่กำหนด
• ข้อ ค.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ง.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ข้อ จ. (Thin Layer Chromatography (TLC)):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2" t="n"/>
      <c r="L45" s="32" t="inlineStr">
        <is>
          <t>GC (Gas Chromatography)</t>
        </is>
      </c>
      <c r="M45" s="32" t="inlineStr">
        <is>
          <t>Product</t>
        </is>
      </c>
      <c r="N45" s="32" t="inlineStr">
        <is>
          <t>ข้อ 4 (PLE_CC1_Key_Rx20_UBU.md)</t>
        </is>
      </c>
      <c r="O45" s="32" t="inlineStr">
        <is>
          <t>Mock</t>
        </is>
      </c>
      <c r="P45" s="32" t="inlineStr">
        <is>
          <t>Mock Rx20 UBU</t>
        </is>
      </c>
      <c r="Q45" s="32" t="n"/>
    </row>
    <row r="46">
      <c r="A46" s="32" t="n">
        <v>44</v>
      </c>
      <c r="B46" s="34" t="inlineStr">
        <is>
          <t>MZ HPLC หาปริมาณสาร วิเคราะห_หาชนิดสาร NMR หาโครงสร$างของสาร AAS หาปริมาณสาร</t>
        </is>
      </c>
      <c r="C46" s="32" t="n"/>
      <c r="D46" s="32" t="inlineStr">
        <is>
          <t>Gas Chromatography with FID detector</t>
        </is>
      </c>
      <c r="E46" s="32" t="inlineStr">
        <is>
          <t>Thin Layer Chromatography (TLC)</t>
        </is>
      </c>
      <c r="F46" s="32" t="inlineStr">
        <is>
          <t>Ion-Exchange Chromatography (IEC)</t>
        </is>
      </c>
      <c r="G46" s="32" t="inlineStr">
        <is>
          <t>Size Exclusion Chromatography (SEC)</t>
        </is>
      </c>
      <c r="H46" s="32" t="inlineStr">
        <is>
          <t>Chiral HPLC Separation Column</t>
        </is>
      </c>
      <c r="I46" s="32" t="n">
        <v>2</v>
      </c>
      <c r="J46" s="32"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2" t="n"/>
      <c r="L46" s="32" t="inlineStr">
        <is>
          <t>HPLC (Liquid Chromatography)</t>
        </is>
      </c>
      <c r="M46" s="32" t="inlineStr">
        <is>
          <t>Product</t>
        </is>
      </c>
      <c r="N46" s="32" t="inlineStr">
        <is>
          <t>ข้อ 5 (PLE_CC1_Key_Rx20_UBU.md)</t>
        </is>
      </c>
      <c r="O46" s="32" t="inlineStr">
        <is>
          <t>Mock</t>
        </is>
      </c>
      <c r="P46" s="32" t="inlineStr">
        <is>
          <t>Mock Rx20 UBU</t>
        </is>
      </c>
      <c r="Q46" s="32" t="n"/>
    </row>
    <row r="47">
      <c r="A47" s="32" t="n">
        <v>45</v>
      </c>
      <c r="B47" s="34" t="inlineStr">
        <is>
          <t>Norfluoxetine เปลี่ยนแปลงโครงสร$างที่ตำแหนGงใด โจทย_ไมGสมบูรณ_ เปลี่ยนจาก Fluoxetine โดยตัด methyl ที่ Secondary amine ได$ Primary amine</t>
        </is>
      </c>
      <c r="C47" s="32" t="n"/>
      <c r="D47" s="32" t="inlineStr">
        <is>
          <t>Size Exclusion Chromatography (SEC)</t>
        </is>
      </c>
      <c r="E47" s="32" t="inlineStr">
        <is>
          <t>Chiral HPLC Separation Column</t>
        </is>
      </c>
      <c r="F47" s="32" t="inlineStr">
        <is>
          <t>HILIC (Hydrophilic Interaction LC)</t>
        </is>
      </c>
      <c r="G47" s="32" t="inlineStr">
        <is>
          <t>Ultra-High Performance LC (UHPLC)</t>
        </is>
      </c>
      <c r="H47" s="32" t="inlineStr">
        <is>
          <t>GC-Mass Spectrometry (GC-MS)</t>
        </is>
      </c>
      <c r="I47" s="32" t="n">
        <v>1</v>
      </c>
      <c r="J47" s="32"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ข้อนี้ไม่ใช่คำตอบที่ถูกต้องสำหรับภาวะ TLC (Thin Layer) เนื่องจากกลไกการออกฤทธิ์, efficacy หรือข้อบ่งใช้ไม่ตรงกับโจทย์ที่กำหนด
• ข้อ ค. (HILIC (Hydrophilic Interaction LC)): ข้อนี้ไม่ใช่คำตอบที่ถูกต้องสำหรับภาวะ TLC (Thin Layer) เนื่องจากกลไกการออกฤทธิ์, efficacy หรือข้อบ่งใช้ไม่ตรงกับโจทย์ที่กำหนด
• ข้อ ง.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จ. (GC-Mass Spectrometry (GC-MS)):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2" t="n"/>
      <c r="L47" s="32" t="inlineStr">
        <is>
          <t>TLC (Thin Layer)</t>
        </is>
      </c>
      <c r="M47" s="32" t="inlineStr">
        <is>
          <t>Product</t>
        </is>
      </c>
      <c r="N47" s="32" t="inlineStr">
        <is>
          <t>ข้อ 76 (PLE_CC1_Key_Rx20_UBU.md)</t>
        </is>
      </c>
      <c r="O47" s="32" t="inlineStr">
        <is>
          <t>Mock</t>
        </is>
      </c>
      <c r="P47" s="32" t="inlineStr">
        <is>
          <t>Mock Rx20 UBU</t>
        </is>
      </c>
      <c r="Q47" s="32" t="n"/>
    </row>
    <row r="48">
      <c r="A48" s="32" t="n">
        <v>46</v>
      </c>
      <c r="B48" s="34" t="inlineStr">
        <is>
          <t>GC และ HPLC 11.) การ Modify โครงสร้างยาส่วนไหนทำให้มีฤทธิ์เพิ่มขึ้น</t>
        </is>
      </c>
      <c r="C48" s="32" t="n"/>
      <c r="D48" s="32" t="inlineStr">
        <is>
          <t>Ultra-High Performance LC (UHPLC)</t>
        </is>
      </c>
      <c r="E48" s="32" t="inlineStr">
        <is>
          <t>GC-Mass Spectrometry (GC-MS)</t>
        </is>
      </c>
      <c r="F48" s="32" t="inlineStr">
        <is>
          <t>Reversed-Phase HPLC</t>
        </is>
      </c>
      <c r="G48" s="32" t="inlineStr">
        <is>
          <t>Normal-Phase HPLC (Silica column)</t>
        </is>
      </c>
      <c r="H48" s="32" t="inlineStr">
        <is>
          <t>Gas Chromatography with FID detector</t>
        </is>
      </c>
      <c r="I48" s="32" t="n">
        <v>3</v>
      </c>
      <c r="J48" s="32"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ข้อนี้ไม่ใช่คำตอบที่ถูกต้องสำหรับภาวะ GC (Gas Chromatography) เนื่องจากกลไกการออกฤทธิ์, efficacy หรือข้อบ่งใช้ไม่ตรงกับโจทย์ที่กำหนด
• ข้อ ข. (GC-Mass Spectrometry (GC-MS)): ข้อนี้ไม่ใช่คำตอบที่ถูกต้องสำหรับภาวะ GC (Gas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2" t="n"/>
      <c r="L48" s="32" t="inlineStr">
        <is>
          <t>GC (Gas Chromatography)</t>
        </is>
      </c>
      <c r="M48" s="32" t="inlineStr">
        <is>
          <t>Product</t>
        </is>
      </c>
      <c r="N48" s="32" t="inlineStr">
        <is>
          <t>ข้อ 5 (PLE_CC1_Key_Rx20_UBU.md)</t>
        </is>
      </c>
      <c r="O48" s="32" t="inlineStr">
        <is>
          <t>Mock</t>
        </is>
      </c>
      <c r="P48" s="32" t="inlineStr">
        <is>
          <t>Mock Rx20 UBU</t>
        </is>
      </c>
      <c r="Q48" s="32" t="n"/>
    </row>
    <row r="49">
      <c r="A49" s="32" t="n">
        <v>47</v>
      </c>
      <c r="B49" s="34"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32" t="n"/>
      <c r="D49" s="32" t="inlineStr">
        <is>
          <t>100 %</t>
        </is>
      </c>
      <c r="E49" s="32" t="inlineStr">
        <is>
          <t>68 %</t>
        </is>
      </c>
      <c r="F49" s="32" t="inlineStr">
        <is>
          <t>146 %</t>
        </is>
      </c>
      <c r="G49" s="32" t="inlineStr">
        <is>
          <t>84 %</t>
        </is>
      </c>
      <c r="H49" s="32" t="inlineStr">
        <is>
          <t>72 %</t>
        </is>
      </c>
      <c r="I49" s="32" t="n">
        <v>1</v>
      </c>
      <c r="J49" s="32"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ข้อนี้ไม่ใช่คำตอบที่ถูกต้องสำหรับภาวะ HPLC (Liquid Chromatography) เนื่องจากกลไกการออกฤทธิ์, efficacy หรือข้อบ่งใช้ไม่ตรงกับโจทย์ที่กำหนด
• ข้อ ค. (146 %): ข้อนี้ไม่ใช่คำตอบที่ถูกต้องสำหรับภาวะ HPLC (Liquid Chromatography) เนื่องจากกลไกการออกฤทธิ์, efficacy หรือข้อบ่งใช้ไม่ตรงกับโจทย์ที่กำหนด
• ข้อ ง. (84 %): ข้อนี้ไม่ใช่คำตอบที่ถูกต้องสำหรับภาวะ HPLC (Liquid Chromatography) เนื่องจากกลไกการออกฤทธิ์, efficacy หรือข้อบ่งใช้ไม่ตรงกับโจทย์ที่กำหนด
• ข้อ จ. (72 %):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2" t="n"/>
      <c r="L49" s="32" t="inlineStr">
        <is>
          <t>HPLC (Liquid Chromatography)</t>
        </is>
      </c>
      <c r="M49" s="32" t="inlineStr">
        <is>
          <t>Product</t>
        </is>
      </c>
      <c r="N49" s="32" t="inlineStr">
        <is>
          <t>ข้อ 34 (PLE_CC1_Key_Rx20_UBU.md)</t>
        </is>
      </c>
      <c r="O49" s="32" t="inlineStr">
        <is>
          <t>Mock</t>
        </is>
      </c>
      <c r="P49" s="32" t="inlineStr">
        <is>
          <t>Mock Rx20 UBU</t>
        </is>
      </c>
      <c r="Q49" s="32" t="n"/>
    </row>
    <row r="50">
      <c r="A50" s="32" t="n">
        <v>48</v>
      </c>
      <c r="B50" s="34" t="inlineStr">
        <is>
          <t>วิธีใดเหมาะสมในการตรวจหา related substance ที่ปนเปื้อนอยู่ในวัตถุดิบ doxorubicin</t>
        </is>
      </c>
      <c r="C50" s="32" t="n"/>
      <c r="D50" s="32" t="inlineStr">
        <is>
          <t>UV spectrophotometer</t>
        </is>
      </c>
      <c r="E50" s="32" t="inlineStr">
        <is>
          <t>IR</t>
        </is>
      </c>
      <c r="F50" s="32" t="inlineStr">
        <is>
          <t>HPLC</t>
        </is>
      </c>
      <c r="G50" s="32" t="inlineStr">
        <is>
          <t>Fluorimeter</t>
        </is>
      </c>
      <c r="H50" s="32" t="inlineStr">
        <is>
          <t>Potentiometer substrate</t>
        </is>
      </c>
      <c r="I50" s="32" t="n">
        <v>3</v>
      </c>
      <c r="J50" s="32"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ข้อนี้ไม่ใช่คำตอบที่ถูกต้องสำหรับภาวะ HPLC (Liquid Chromatography) เนื่องจากกลไกการออกฤทธิ์, efficacy หรือข้อบ่งใช้ไม่ตรงกับโจทย์ที่กำหนด
• ข้อ ข. (IR): ข้อนี้ไม่ใช่คำตอบที่ถูกต้องสำหรับภาวะ HPLC (Liquid Chromatography) เนื่องจากกลไกการออกฤทธิ์, efficacy หรือข้อบ่งใช้ไม่ตรงกับโจทย์ที่กำหนด
• ข้อ ง. (Fluorimeter): ข้อนี้ไม่ใช่คำตอบที่ถูกต้องสำหรับภาวะ HPLC (Liquid Chromatography) เนื่องจากกลไกการออกฤทธิ์, efficacy หรือข้อบ่งใช้ไม่ตรงกับโจทย์ที่กำหนด
• ข้อ จ. (Potentiometer substrate):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2" t="n"/>
      <c r="L50" s="32" t="inlineStr">
        <is>
          <t>HPLC (Liquid Chromatography)</t>
        </is>
      </c>
      <c r="M50" s="32" t="inlineStr">
        <is>
          <t>Product</t>
        </is>
      </c>
      <c r="N50" s="32" t="inlineStr">
        <is>
          <t>ข้อ 17 (PLE_CC1_Key_Rx20_UBU.md)</t>
        </is>
      </c>
      <c r="O50" s="32" t="inlineStr">
        <is>
          <t>Mock</t>
        </is>
      </c>
      <c r="P50" s="32" t="inlineStr">
        <is>
          <t>Mock Rx20 UBU</t>
        </is>
      </c>
      <c r="Q50" s="32" t="n"/>
    </row>
    <row r="51">
      <c r="A51" s="32" t="n">
        <v>49</v>
      </c>
      <c r="B51" s="34"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32" t="n"/>
      <c r="D51" s="32" t="inlineStr">
        <is>
          <t>ถ้ายามีความแรง 608 mg แสดงว่าผ่านมาตรฐาน</t>
        </is>
      </c>
      <c r="E51" s="32" t="inlineStr">
        <is>
          <t>Identification ใช้วิธี HPLC ดูจาก retention time เทียบกับสารมาตรฐาน</t>
        </is>
      </c>
      <c r="F51" s="32" t="inlineStr">
        <is>
          <t>ยาผ่านมาตรฐานเพราะทุกค่ามีปริมาณยาที่ละลายเกิน 80%</t>
        </is>
      </c>
      <c r="G51" s="32" t="inlineStr">
        <is>
          <t>ยาผ่านมาตรฐาน dissolution test เมื่อยาละลายหมดใน 45 นาที</t>
        </is>
      </c>
      <c r="H51" s="32" t="inlineStr">
        <is>
          <t>ยาไม่ผ่านมาตรฐานหากใช้ mobile phase ต่างชนิดจากที่ระบุใน USP ตอบ b) Identification ใช้วิธี HPLC ดูจาก retention time เทียบกับสารมาตรฐาน</t>
        </is>
      </c>
      <c r="I51" s="32" t="n">
        <v>1</v>
      </c>
      <c r="J51" s="32"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ข้อ ค. (ยาผ่านมาตรฐานเพราะทุกค่ามีปริมาณยาที่ละลายเกิน 80%): ข้อนี้ไม่ใช่คำตอบที่ถูกต้องสำหรับภาวะ HPLC (Liquid Chromatography) เนื่องจากกลไกการออกฤทธิ์, efficacy หรือข้อบ่งใช้ไม่ตรงกับโจทย์ที่กำหนด
• ข้อ ง. (ยาผ่านมาตรฐาน dissolution test เมื่อยาละลายหมดใน 45 นาที): ข้อนี้ไม่ใช่คำตอบที่ถูกต้องสำหรับภาวะ HPLC (Liquid Chromatography) เนื่องจากกลไกการออกฤทธิ์, efficacy หรือข้อบ่งใช้ไม่ตรงกับโจทย์ที่กำหนด
• ข้อ จ. (ยาไม่ผ่านมาตรฐานหากใช้ mobile phase ต่างชนิดจากที่ระบุใน USP ตอบ b)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2" t="n"/>
      <c r="L51" s="32" t="inlineStr">
        <is>
          <t>HPLC (Liquid Chromatography)</t>
        </is>
      </c>
      <c r="M51" s="32" t="inlineStr">
        <is>
          <t>Product</t>
        </is>
      </c>
      <c r="N51" s="32" t="inlineStr">
        <is>
          <t>ข้อ 45 (PLE_CC1_Key_Rx20_UBU.md)</t>
        </is>
      </c>
      <c r="O51" s="32" t="inlineStr">
        <is>
          <t>Mock</t>
        </is>
      </c>
      <c r="P51" s="32" t="inlineStr">
        <is>
          <t>Mock Rx20 UBU</t>
        </is>
      </c>
      <c r="Q51" s="32" t="n"/>
    </row>
    <row r="52">
      <c r="B52" s="37" t="n"/>
    </row>
    <row r="53">
      <c r="B53" s="37" t="n"/>
    </row>
    <row r="54">
      <c r="B54" s="37" t="n"/>
    </row>
    <row r="55">
      <c r="B55" s="37" t="n"/>
    </row>
    <row r="56">
      <c r="B56" s="37" t="n"/>
    </row>
    <row r="57">
      <c r="B57" s="37" t="n"/>
    </row>
    <row r="58">
      <c r="B58" s="37" t="n"/>
    </row>
    <row r="59">
      <c r="B59" s="37" t="n"/>
    </row>
    <row r="60">
      <c r="B60" s="37" t="n"/>
    </row>
    <row r="61">
      <c r="B61" s="37" t="n"/>
    </row>
    <row r="62">
      <c r="B62" s="37" t="n"/>
    </row>
    <row r="63">
      <c r="B63" s="37" t="n"/>
    </row>
    <row r="64">
      <c r="B64" s="37" t="n"/>
    </row>
    <row r="65">
      <c r="B65" s="37" t="n"/>
    </row>
    <row r="66">
      <c r="B66" s="37" t="n"/>
    </row>
    <row r="67">
      <c r="B67" s="37" t="n"/>
    </row>
    <row r="68">
      <c r="B68" s="37" t="n"/>
    </row>
    <row r="69">
      <c r="B69" s="37" t="n"/>
    </row>
    <row r="70">
      <c r="B70" s="37" t="n"/>
    </row>
    <row r="71">
      <c r="B71" s="37" t="n"/>
    </row>
    <row r="72">
      <c r="B72" s="37" t="n"/>
    </row>
    <row r="73">
      <c r="B73" s="37" t="n"/>
    </row>
    <row r="74">
      <c r="B74" s="37" t="n"/>
    </row>
    <row r="75">
      <c r="B75" s="37" t="n"/>
    </row>
    <row r="76">
      <c r="B76" s="37" t="n"/>
    </row>
    <row r="77">
      <c r="B77" s="37" t="n"/>
    </row>
    <row r="78">
      <c r="B78" s="37" t="n"/>
    </row>
    <row r="79">
      <c r="B79" s="37" t="n"/>
    </row>
    <row r="80">
      <c r="B80" s="37" t="n"/>
    </row>
    <row r="81">
      <c r="B81" s="37" t="n"/>
    </row>
    <row r="82">
      <c r="B82" s="37" t="n"/>
    </row>
    <row r="83">
      <c r="B83" s="37" t="n"/>
    </row>
    <row r="84">
      <c r="B84" s="37" t="n"/>
    </row>
    <row r="85">
      <c r="B85" s="37" t="n"/>
    </row>
    <row r="86">
      <c r="B86" s="37" t="n"/>
    </row>
    <row r="87">
      <c r="B87" s="37" t="n"/>
    </row>
    <row r="88">
      <c r="B88" s="37" t="n"/>
    </row>
    <row r="89">
      <c r="B89" s="37" t="n"/>
    </row>
    <row r="90">
      <c r="B90" s="37" t="n"/>
    </row>
    <row r="91">
      <c r="B91" s="37" t="n"/>
    </row>
    <row r="92">
      <c r="B92" s="37" t="n"/>
    </row>
    <row r="93">
      <c r="B93" s="37" t="n"/>
    </row>
    <row r="94">
      <c r="B94" s="37" t="n"/>
    </row>
    <row r="95">
      <c r="B95" s="37" t="n"/>
    </row>
    <row r="96">
      <c r="B96" s="37" t="n"/>
    </row>
    <row r="97">
      <c r="B97" s="37" t="n"/>
    </row>
    <row r="98">
      <c r="B98" s="37" t="n"/>
    </row>
    <row r="99">
      <c r="B99" s="37" t="n"/>
    </row>
    <row r="100">
      <c r="B100" s="37" t="n"/>
    </row>
    <row r="101">
      <c r="B101" s="37" t="n"/>
    </row>
    <row r="102">
      <c r="B102" s="37" t="n"/>
    </row>
    <row r="103">
      <c r="B103" s="37" t="n"/>
    </row>
    <row r="104">
      <c r="B104" s="37" t="n"/>
    </row>
    <row r="105">
      <c r="B105" s="37" t="n"/>
    </row>
    <row r="106">
      <c r="B106" s="37" t="n"/>
    </row>
    <row r="107">
      <c r="B107" s="37" t="n"/>
    </row>
    <row r="108">
      <c r="B108" s="37" t="n"/>
    </row>
    <row r="109">
      <c r="B109" s="37" t="n"/>
    </row>
    <row r="110">
      <c r="B110" s="37" t="n"/>
    </row>
    <row r="111">
      <c r="B111" s="37" t="n"/>
    </row>
    <row r="112">
      <c r="B112" s="37" t="n"/>
    </row>
    <row r="113">
      <c r="B113" s="37" t="n"/>
    </row>
    <row r="114">
      <c r="B114" s="37" t="n"/>
    </row>
    <row r="115">
      <c r="B115" s="37" t="n"/>
    </row>
    <row r="116">
      <c r="B116" s="37" t="n"/>
    </row>
    <row r="117">
      <c r="B117" s="37" t="n"/>
    </row>
    <row r="118">
      <c r="B118" s="37" t="n"/>
    </row>
    <row r="119">
      <c r="B119" s="37" t="n"/>
    </row>
    <row r="120">
      <c r="B120" s="37" t="n"/>
    </row>
    <row r="121">
      <c r="B121" s="37" t="n"/>
    </row>
    <row r="122">
      <c r="B122" s="37" t="n"/>
    </row>
    <row r="123">
      <c r="B123" s="37" t="n"/>
    </row>
    <row r="124">
      <c r="B124" s="37" t="n"/>
    </row>
    <row r="125">
      <c r="B125" s="37" t="n"/>
    </row>
    <row r="126">
      <c r="B126" s="37" t="n"/>
    </row>
    <row r="127">
      <c r="B127" s="37" t="n"/>
    </row>
    <row r="128">
      <c r="B128" s="37" t="n"/>
    </row>
    <row r="129">
      <c r="B129" s="37" t="n"/>
    </row>
    <row r="130">
      <c r="B130" s="37" t="n"/>
    </row>
    <row r="131">
      <c r="B131" s="37" t="n"/>
    </row>
    <row r="132">
      <c r="B132" s="37" t="n"/>
    </row>
    <row r="133">
      <c r="B133" s="37" t="n"/>
    </row>
    <row r="134">
      <c r="B134" s="37" t="n"/>
    </row>
    <row r="135">
      <c r="B135" s="37" t="n"/>
    </row>
    <row r="136">
      <c r="B136" s="37" t="n"/>
    </row>
    <row r="137">
      <c r="B137" s="37" t="n"/>
    </row>
    <row r="138">
      <c r="B138" s="37" t="n"/>
    </row>
    <row r="139">
      <c r="B139" s="37" t="n"/>
    </row>
    <row r="140">
      <c r="B140" s="37" t="n"/>
    </row>
    <row r="141">
      <c r="B141" s="37" t="n"/>
    </row>
    <row r="142">
      <c r="B142" s="37" t="n"/>
    </row>
    <row r="143">
      <c r="B143" s="37" t="n"/>
    </row>
    <row r="144">
      <c r="B144" s="37" t="n"/>
    </row>
    <row r="145">
      <c r="B145" s="37" t="n"/>
    </row>
    <row r="146">
      <c r="B146" s="37" t="n"/>
    </row>
    <row r="147">
      <c r="B147" s="37" t="n"/>
    </row>
    <row r="148">
      <c r="B148" s="37" t="n"/>
    </row>
    <row r="149">
      <c r="B149" s="37" t="n"/>
    </row>
    <row r="150">
      <c r="B150" s="37" t="n"/>
    </row>
    <row r="151">
      <c r="B151" s="37" t="n"/>
    </row>
    <row r="152">
      <c r="B152" s="37" t="n"/>
    </row>
    <row r="153">
      <c r="B153" s="37" t="n"/>
    </row>
    <row r="154">
      <c r="B154" s="37" t="n"/>
    </row>
    <row r="155">
      <c r="B155" s="37" t="n"/>
    </row>
    <row r="156">
      <c r="B156" s="37" t="n"/>
    </row>
    <row r="157">
      <c r="B157" s="37" t="n"/>
    </row>
    <row r="158">
      <c r="B158" s="37" t="n"/>
    </row>
    <row r="159">
      <c r="B159" s="37" t="n"/>
    </row>
    <row r="160">
      <c r="B160" s="37" t="n"/>
    </row>
    <row r="161">
      <c r="B161" s="37" t="n"/>
    </row>
    <row r="162">
      <c r="B162" s="37" t="n"/>
    </row>
    <row r="163">
      <c r="B163" s="37" t="n"/>
    </row>
    <row r="164">
      <c r="B164" s="37" t="n"/>
    </row>
    <row r="165">
      <c r="B165" s="37" t="n"/>
    </row>
    <row r="166">
      <c r="B166" s="37" t="n"/>
    </row>
    <row r="167">
      <c r="B167" s="37" t="n"/>
    </row>
    <row r="168">
      <c r="B168" s="37" t="n"/>
    </row>
    <row r="169">
      <c r="B169" s="37" t="n"/>
    </row>
    <row r="170">
      <c r="B170" s="37" t="n"/>
    </row>
    <row r="171">
      <c r="B171" s="37" t="n"/>
    </row>
    <row r="172">
      <c r="B172" s="37" t="n"/>
    </row>
    <row r="173">
      <c r="B173" s="37" t="n"/>
    </row>
    <row r="174">
      <c r="B174" s="37" t="n"/>
    </row>
    <row r="175">
      <c r="B175" s="37" t="n"/>
    </row>
    <row r="176">
      <c r="B176" s="37" t="n"/>
    </row>
    <row r="177">
      <c r="B177" s="37" t="n"/>
    </row>
    <row r="178">
      <c r="B178" s="37" t="n"/>
    </row>
    <row r="179">
      <c r="B179" s="37" t="n"/>
    </row>
    <row r="180">
      <c r="B180" s="37" t="n"/>
    </row>
    <row r="181">
      <c r="B181" s="37" t="n"/>
    </row>
    <row r="182">
      <c r="B182" s="37" t="n"/>
    </row>
    <row r="183">
      <c r="B183" s="37" t="n"/>
    </row>
    <row r="184">
      <c r="B184" s="37" t="n"/>
    </row>
    <row r="185">
      <c r="B185" s="37" t="n"/>
    </row>
    <row r="186">
      <c r="B186" s="37" t="n"/>
    </row>
    <row r="187">
      <c r="B187" s="37" t="n"/>
    </row>
    <row r="188">
      <c r="B188" s="37" t="n"/>
    </row>
    <row r="189">
      <c r="B189" s="37" t="n"/>
    </row>
    <row r="190">
      <c r="B190" s="37" t="n"/>
    </row>
    <row r="191">
      <c r="B191" s="37" t="n"/>
    </row>
    <row r="192">
      <c r="B192" s="37" t="n"/>
    </row>
    <row r="193">
      <c r="B193" s="37" t="n"/>
    </row>
    <row r="194">
      <c r="B194" s="37" t="n"/>
    </row>
    <row r="195">
      <c r="B195" s="37" t="n"/>
    </row>
    <row r="196">
      <c r="B196" s="37" t="n"/>
    </row>
    <row r="197">
      <c r="B197" s="37" t="n"/>
    </row>
    <row r="198">
      <c r="B198" s="37" t="n"/>
    </row>
    <row r="199">
      <c r="B199" s="37" t="n"/>
    </row>
    <row r="200">
      <c r="B200" s="37" t="n"/>
    </row>
    <row r="201">
      <c r="B201" s="37" t="n"/>
    </row>
    <row r="202">
      <c r="B202" s="37" t="n"/>
    </row>
    <row r="203">
      <c r="B203" s="37" t="n"/>
    </row>
    <row r="204">
      <c r="B204" s="37" t="n"/>
    </row>
    <row r="205">
      <c r="B205" s="37" t="n"/>
    </row>
    <row r="206">
      <c r="B206" s="37" t="n"/>
    </row>
    <row r="207">
      <c r="B207" s="37" t="n"/>
    </row>
    <row r="208">
      <c r="B208" s="37" t="n"/>
    </row>
    <row r="209">
      <c r="B209" s="37" t="n"/>
    </row>
    <row r="210">
      <c r="B210" s="37" t="n"/>
    </row>
    <row r="211">
      <c r="B211" s="37" t="n"/>
    </row>
    <row r="212">
      <c r="B212" s="37" t="n"/>
    </row>
    <row r="213">
      <c r="B213" s="37" t="n"/>
    </row>
    <row r="214">
      <c r="B214" s="37" t="n"/>
    </row>
    <row r="215">
      <c r="B215" s="37" t="n"/>
    </row>
    <row r="216">
      <c r="B216" s="37" t="n"/>
    </row>
    <row r="217">
      <c r="B217" s="37" t="n"/>
    </row>
    <row r="218">
      <c r="B218" s="37" t="n"/>
    </row>
    <row r="219">
      <c r="B219" s="37" t="n"/>
    </row>
    <row r="220">
      <c r="B220" s="37" t="n"/>
    </row>
    <row r="221">
      <c r="B221" s="37" t="n"/>
    </row>
    <row r="222">
      <c r="B222" s="37" t="n"/>
    </row>
    <row r="223">
      <c r="B223" s="37" t="n"/>
    </row>
    <row r="224">
      <c r="B224" s="37" t="n"/>
    </row>
    <row r="225">
      <c r="B225" s="37" t="n"/>
    </row>
    <row r="226">
      <c r="B226" s="37" t="n"/>
    </row>
    <row r="227">
      <c r="B227" s="37" t="n"/>
    </row>
    <row r="228">
      <c r="B228" s="37" t="n"/>
    </row>
    <row r="229">
      <c r="B229" s="37" t="n"/>
    </row>
    <row r="230">
      <c r="B230" s="37" t="n"/>
    </row>
    <row r="231">
      <c r="B231" s="37" t="n"/>
    </row>
    <row r="232">
      <c r="B232" s="37" t="n"/>
    </row>
    <row r="233">
      <c r="B233" s="37" t="n"/>
    </row>
    <row r="234">
      <c r="B234" s="37" t="n"/>
    </row>
    <row r="235">
      <c r="B235" s="37" t="n"/>
    </row>
    <row r="236">
      <c r="B236" s="37" t="n"/>
    </row>
    <row r="237">
      <c r="B237" s="37" t="n"/>
    </row>
    <row r="238">
      <c r="B238" s="37" t="n"/>
    </row>
    <row r="239">
      <c r="B239" s="37" t="n"/>
    </row>
    <row r="240">
      <c r="B240" s="37" t="n"/>
    </row>
    <row r="241">
      <c r="B241" s="37" t="n"/>
    </row>
    <row r="242">
      <c r="B242" s="37" t="n"/>
    </row>
    <row r="243">
      <c r="B243" s="37" t="n"/>
    </row>
    <row r="244">
      <c r="B244" s="37" t="n"/>
    </row>
    <row r="245">
      <c r="B245" s="37" t="n"/>
    </row>
    <row r="246">
      <c r="B246" s="37" t="n"/>
    </row>
    <row r="247">
      <c r="B247" s="37" t="n"/>
    </row>
    <row r="248">
      <c r="B248" s="37" t="n"/>
    </row>
    <row r="249">
      <c r="B249" s="37" t="n"/>
    </row>
    <row r="250">
      <c r="B250" s="37" t="n"/>
    </row>
    <row r="251">
      <c r="B251" s="37" t="n"/>
    </row>
    <row r="252">
      <c r="B252" s="37" t="n"/>
    </row>
    <row r="253">
      <c r="B253" s="37" t="n"/>
    </row>
    <row r="254">
      <c r="B254" s="37" t="n"/>
    </row>
    <row r="255">
      <c r="B255" s="37" t="n"/>
    </row>
    <row r="256">
      <c r="B256" s="37" t="n"/>
    </row>
    <row r="257">
      <c r="B257" s="37" t="n"/>
    </row>
    <row r="258">
      <c r="B258" s="37" t="n"/>
    </row>
    <row r="259">
      <c r="B259" s="37" t="n"/>
    </row>
    <row r="260">
      <c r="B260" s="37" t="n"/>
    </row>
    <row r="261">
      <c r="B261" s="37" t="n"/>
    </row>
    <row r="262">
      <c r="B262" s="37" t="n"/>
    </row>
    <row r="263">
      <c r="B263" s="37" t="n"/>
    </row>
    <row r="264">
      <c r="B264" s="37" t="n"/>
    </row>
    <row r="265">
      <c r="B265" s="37" t="n"/>
    </row>
    <row r="266">
      <c r="B266" s="37" t="n"/>
    </row>
    <row r="267">
      <c r="B267" s="37" t="n"/>
    </row>
    <row r="268">
      <c r="B268" s="37" t="n"/>
    </row>
    <row r="269">
      <c r="B269" s="37" t="n"/>
    </row>
    <row r="270">
      <c r="B270" s="37" t="n"/>
    </row>
    <row r="271">
      <c r="B271" s="37" t="n"/>
    </row>
    <row r="272">
      <c r="B272" s="37" t="n"/>
    </row>
    <row r="273">
      <c r="B273" s="37" t="n"/>
    </row>
    <row r="274">
      <c r="B274" s="37" t="n"/>
    </row>
    <row r="275">
      <c r="B275" s="37" t="n"/>
    </row>
    <row r="276">
      <c r="B276" s="37" t="n"/>
    </row>
    <row r="277">
      <c r="B277" s="37" t="n"/>
    </row>
    <row r="278">
      <c r="B278" s="37" t="n"/>
    </row>
    <row r="279">
      <c r="B279" s="37" t="n"/>
    </row>
    <row r="280">
      <c r="B280" s="37" t="n"/>
    </row>
    <row r="281">
      <c r="B281" s="37" t="n"/>
    </row>
    <row r="282">
      <c r="B282" s="37" t="n"/>
    </row>
    <row r="283">
      <c r="B283" s="37" t="n"/>
    </row>
    <row r="284">
      <c r="B284" s="37" t="n"/>
    </row>
    <row r="285">
      <c r="B285" s="37" t="n"/>
    </row>
    <row r="286">
      <c r="B286" s="37" t="n"/>
    </row>
    <row r="287">
      <c r="B287" s="37" t="n"/>
    </row>
    <row r="288">
      <c r="B288" s="37" t="n"/>
    </row>
    <row r="289">
      <c r="B289" s="37" t="n"/>
    </row>
    <row r="290">
      <c r="B290" s="37" t="n"/>
    </row>
    <row r="291">
      <c r="B291" s="37" t="n"/>
    </row>
    <row r="292">
      <c r="B292" s="37" t="n"/>
    </row>
    <row r="293">
      <c r="B293" s="37" t="n"/>
    </row>
    <row r="294">
      <c r="B294" s="37" t="n"/>
    </row>
    <row r="295">
      <c r="B295" s="37" t="n"/>
    </row>
    <row r="296">
      <c r="B296" s="37" t="n"/>
    </row>
    <row r="297">
      <c r="B297" s="37" t="n"/>
    </row>
    <row r="298">
      <c r="B298" s="37" t="n"/>
    </row>
    <row r="299">
      <c r="B299" s="37" t="n"/>
    </row>
    <row r="300">
      <c r="B300" s="37" t="n"/>
    </row>
    <row r="301">
      <c r="B301" s="37" t="n"/>
    </row>
    <row r="302">
      <c r="B302" s="37" t="n"/>
    </row>
    <row r="303">
      <c r="B303" s="37" t="n"/>
    </row>
    <row r="304">
      <c r="B304" s="37" t="n"/>
    </row>
    <row r="305">
      <c r="B305" s="37" t="n"/>
    </row>
    <row r="306">
      <c r="B306" s="37" t="n"/>
    </row>
    <row r="307">
      <c r="B307" s="37" t="n"/>
    </row>
    <row r="308">
      <c r="B308" s="37" t="n"/>
    </row>
    <row r="309">
      <c r="B309" s="37" t="n"/>
    </row>
    <row r="310">
      <c r="B310" s="37" t="n"/>
    </row>
    <row r="311">
      <c r="B311" s="37" t="n"/>
    </row>
    <row r="312">
      <c r="B312" s="37" t="n"/>
    </row>
    <row r="313">
      <c r="B313" s="37" t="n"/>
    </row>
    <row r="314">
      <c r="B314" s="37" t="n"/>
    </row>
    <row r="315">
      <c r="B315" s="37" t="n"/>
    </row>
    <row r="316">
      <c r="B316" s="37" t="n"/>
    </row>
    <row r="317">
      <c r="B317" s="37" t="n"/>
    </row>
    <row r="318">
      <c r="B318" s="37" t="n"/>
    </row>
    <row r="319">
      <c r="B319" s="37" t="n"/>
    </row>
    <row r="320">
      <c r="B320" s="37" t="n"/>
    </row>
    <row r="321">
      <c r="B321" s="37" t="n"/>
    </row>
    <row r="322">
      <c r="B322" s="37" t="n"/>
    </row>
    <row r="323">
      <c r="B323" s="37" t="n"/>
    </row>
    <row r="324">
      <c r="B324" s="37" t="n"/>
    </row>
    <row r="325">
      <c r="B325" s="37" t="n"/>
    </row>
    <row r="326">
      <c r="B326" s="37" t="n"/>
    </row>
    <row r="327">
      <c r="B327" s="37" t="n"/>
    </row>
    <row r="328">
      <c r="B328" s="37" t="n"/>
    </row>
    <row r="329">
      <c r="B329" s="37" t="n"/>
    </row>
    <row r="330">
      <c r="B330" s="37" t="n"/>
    </row>
    <row r="331">
      <c r="B331" s="37" t="n"/>
    </row>
    <row r="332">
      <c r="B332" s="37" t="n"/>
    </row>
    <row r="333">
      <c r="B333" s="37" t="n"/>
    </row>
    <row r="334">
      <c r="B334" s="37" t="n"/>
    </row>
    <row r="335">
      <c r="B335" s="37" t="n"/>
    </row>
    <row r="336">
      <c r="B336" s="37" t="n"/>
    </row>
    <row r="337">
      <c r="B337" s="37" t="n"/>
    </row>
    <row r="338">
      <c r="B338" s="37" t="n"/>
    </row>
    <row r="339">
      <c r="B339" s="37" t="n"/>
    </row>
    <row r="340">
      <c r="B340" s="37" t="n"/>
    </row>
    <row r="341">
      <c r="B341" s="37" t="n"/>
    </row>
    <row r="342">
      <c r="B342" s="37" t="n"/>
    </row>
    <row r="343">
      <c r="B343" s="37" t="n"/>
    </row>
    <row r="344">
      <c r="B344" s="37" t="n"/>
    </row>
    <row r="345">
      <c r="B345" s="37" t="n"/>
    </row>
    <row r="346">
      <c r="B346" s="37" t="n"/>
    </row>
    <row r="347">
      <c r="B347" s="37" t="n"/>
    </row>
    <row r="348">
      <c r="B348" s="37" t="n"/>
    </row>
    <row r="349">
      <c r="B349" s="37" t="n"/>
    </row>
    <row r="350">
      <c r="B350" s="37" t="n"/>
    </row>
    <row r="351">
      <c r="B351" s="37" t="n"/>
    </row>
    <row r="352">
      <c r="B352" s="37" t="n"/>
    </row>
    <row r="353">
      <c r="B353" s="37" t="n"/>
    </row>
    <row r="354">
      <c r="B354" s="37" t="n"/>
    </row>
    <row r="355">
      <c r="B355" s="37" t="n"/>
    </row>
    <row r="356">
      <c r="B356" s="37" t="n"/>
    </row>
    <row r="357">
      <c r="B357" s="37" t="n"/>
    </row>
    <row r="358">
      <c r="B358" s="37" t="n"/>
    </row>
    <row r="359">
      <c r="B359" s="37" t="n"/>
    </row>
    <row r="360">
      <c r="B360" s="37" t="n"/>
    </row>
    <row r="361">
      <c r="B361" s="37" t="n"/>
    </row>
    <row r="362">
      <c r="B362" s="37" t="n"/>
    </row>
    <row r="363">
      <c r="B363" s="37" t="n"/>
    </row>
    <row r="364">
      <c r="B364" s="37" t="n"/>
    </row>
    <row r="365">
      <c r="B365" s="37" t="n"/>
    </row>
    <row r="366">
      <c r="B366" s="37" t="n"/>
    </row>
    <row r="367">
      <c r="B367" s="37" t="n"/>
    </row>
    <row r="368">
      <c r="B368" s="37" t="n"/>
    </row>
    <row r="369">
      <c r="B369" s="37" t="n"/>
    </row>
    <row r="370">
      <c r="B370" s="37" t="n"/>
    </row>
    <row r="371">
      <c r="B371" s="37" t="n"/>
    </row>
    <row r="372">
      <c r="B372" s="37" t="n"/>
    </row>
    <row r="373">
      <c r="B373" s="37" t="n"/>
    </row>
    <row r="374">
      <c r="B374" s="37" t="n"/>
    </row>
    <row r="375">
      <c r="B375" s="37" t="n"/>
    </row>
    <row r="376">
      <c r="B376" s="37" t="n"/>
    </row>
    <row r="377">
      <c r="B377" s="37" t="n"/>
    </row>
    <row r="378">
      <c r="B378" s="37" t="n"/>
    </row>
    <row r="379">
      <c r="B379" s="37" t="n"/>
    </row>
    <row r="380">
      <c r="B380" s="37" t="n"/>
    </row>
    <row r="381">
      <c r="B381" s="37" t="n"/>
    </row>
    <row r="382">
      <c r="B382" s="37" t="n"/>
    </row>
    <row r="383">
      <c r="B383" s="37" t="n"/>
    </row>
    <row r="384">
      <c r="B384" s="37" t="n"/>
    </row>
    <row r="385">
      <c r="B385" s="37" t="n"/>
    </row>
    <row r="386">
      <c r="B386" s="37" t="n"/>
    </row>
    <row r="387">
      <c r="B387" s="37" t="n"/>
    </row>
    <row r="388">
      <c r="B388" s="37" t="n"/>
    </row>
    <row r="389">
      <c r="B389" s="37" t="n"/>
    </row>
    <row r="390">
      <c r="B390" s="37" t="n"/>
    </row>
    <row r="391">
      <c r="B391" s="37" t="n"/>
    </row>
    <row r="392">
      <c r="B392" s="37" t="n"/>
    </row>
    <row r="393">
      <c r="B393" s="37" t="n"/>
    </row>
    <row r="394">
      <c r="B394" s="37" t="n"/>
    </row>
    <row r="395">
      <c r="B395" s="37" t="n"/>
    </row>
    <row r="396">
      <c r="B396" s="37" t="n"/>
    </row>
    <row r="397">
      <c r="B397" s="37" t="n"/>
    </row>
    <row r="398">
      <c r="B398" s="37" t="n"/>
    </row>
    <row r="399">
      <c r="B399" s="37" t="n"/>
    </row>
    <row r="400">
      <c r="B400" s="37" t="n"/>
    </row>
    <row r="401">
      <c r="B401" s="37" t="n"/>
    </row>
    <row r="402">
      <c r="B402" s="37" t="n"/>
    </row>
    <row r="403">
      <c r="B403" s="37" t="n"/>
    </row>
    <row r="404">
      <c r="B404" s="37" t="n"/>
    </row>
    <row r="405">
      <c r="B405" s="37" t="n"/>
    </row>
    <row r="406">
      <c r="B406" s="37" t="n"/>
    </row>
    <row r="407">
      <c r="B407" s="37" t="n"/>
    </row>
    <row r="408">
      <c r="B408" s="37" t="n"/>
    </row>
    <row r="409">
      <c r="B409" s="37" t="n"/>
    </row>
    <row r="410">
      <c r="B410" s="37" t="n"/>
    </row>
    <row r="411">
      <c r="B411" s="37" t="n"/>
    </row>
    <row r="412">
      <c r="B412" s="37" t="n"/>
    </row>
    <row r="413">
      <c r="B413" s="37" t="n"/>
    </row>
    <row r="414">
      <c r="B414" s="37" t="n"/>
    </row>
    <row r="415">
      <c r="B415" s="37" t="n"/>
    </row>
    <row r="416">
      <c r="B416" s="37" t="n"/>
    </row>
    <row r="417">
      <c r="B417" s="37" t="n"/>
    </row>
    <row r="418">
      <c r="B418" s="37" t="n"/>
    </row>
    <row r="419">
      <c r="B419" s="37" t="n"/>
    </row>
    <row r="420">
      <c r="B420" s="37" t="n"/>
    </row>
    <row r="421">
      <c r="B421" s="37" t="n"/>
    </row>
    <row r="422">
      <c r="B422" s="37" t="n"/>
    </row>
    <row r="423">
      <c r="B423" s="37" t="n"/>
    </row>
    <row r="424">
      <c r="B424" s="37" t="n"/>
    </row>
    <row r="425">
      <c r="B425" s="37" t="n"/>
    </row>
    <row r="426">
      <c r="B426" s="37" t="n"/>
    </row>
    <row r="427">
      <c r="B427" s="37" t="n"/>
    </row>
    <row r="428">
      <c r="B428" s="37" t="n"/>
    </row>
    <row r="429">
      <c r="B429" s="37" t="n"/>
    </row>
    <row r="430">
      <c r="B430" s="37" t="n"/>
    </row>
    <row r="431">
      <c r="B431" s="37" t="n"/>
    </row>
    <row r="432">
      <c r="B432" s="37" t="n"/>
    </row>
    <row r="433">
      <c r="B433" s="37" t="n"/>
    </row>
    <row r="434">
      <c r="B434" s="37" t="n"/>
    </row>
    <row r="435">
      <c r="B435" s="37" t="n"/>
    </row>
    <row r="436">
      <c r="B436" s="37" t="n"/>
    </row>
    <row r="437">
      <c r="B437" s="37" t="n"/>
    </row>
    <row r="438">
      <c r="B438" s="37" t="n"/>
    </row>
    <row r="439">
      <c r="B439" s="37" t="n"/>
    </row>
    <row r="440">
      <c r="B440" s="37" t="n"/>
    </row>
    <row r="441">
      <c r="B441" s="37" t="n"/>
    </row>
    <row r="442">
      <c r="B442" s="37" t="n"/>
    </row>
    <row r="443">
      <c r="B443" s="37" t="n"/>
    </row>
    <row r="444">
      <c r="B444" s="37" t="n"/>
    </row>
    <row r="445">
      <c r="B445" s="37" t="n"/>
    </row>
    <row r="446">
      <c r="B446" s="37" t="n"/>
    </row>
    <row r="447">
      <c r="B447" s="37" t="n"/>
    </row>
    <row r="448">
      <c r="B448" s="37" t="n"/>
    </row>
    <row r="449">
      <c r="B449" s="37" t="n"/>
    </row>
    <row r="450">
      <c r="B450" s="37" t="n"/>
    </row>
    <row r="451">
      <c r="B451" s="37" t="n"/>
    </row>
    <row r="452">
      <c r="B452" s="37" t="n"/>
    </row>
    <row r="453">
      <c r="B453" s="37" t="n"/>
    </row>
    <row r="454">
      <c r="B454" s="37" t="n"/>
    </row>
    <row r="455">
      <c r="B455" s="37" t="n"/>
    </row>
    <row r="456">
      <c r="B456" s="37" t="n"/>
    </row>
    <row r="457">
      <c r="B457" s="37" t="n"/>
    </row>
    <row r="458">
      <c r="B458" s="37" t="n"/>
    </row>
    <row r="459">
      <c r="B459" s="37" t="n"/>
    </row>
    <row r="460">
      <c r="B460" s="37" t="n"/>
    </row>
    <row r="461">
      <c r="B461" s="37" t="n"/>
    </row>
    <row r="462">
      <c r="B462" s="37" t="n"/>
    </row>
    <row r="463">
      <c r="B463" s="37" t="n"/>
    </row>
    <row r="464">
      <c r="B464" s="37" t="n"/>
    </row>
    <row r="465">
      <c r="B465" s="37" t="n"/>
    </row>
    <row r="466">
      <c r="B466" s="37" t="n"/>
    </row>
    <row r="467">
      <c r="B467" s="37" t="n"/>
    </row>
    <row r="468">
      <c r="B468" s="37" t="n"/>
    </row>
    <row r="469">
      <c r="B469" s="37" t="n"/>
    </row>
    <row r="470">
      <c r="B470" s="37" t="n"/>
    </row>
    <row r="471">
      <c r="B471" s="37" t="n"/>
    </row>
    <row r="472">
      <c r="B472" s="37" t="n"/>
    </row>
    <row r="473">
      <c r="B473" s="37" t="n"/>
    </row>
    <row r="474">
      <c r="B474" s="37" t="n"/>
    </row>
    <row r="475">
      <c r="B475" s="37" t="n"/>
    </row>
    <row r="476">
      <c r="B476" s="37" t="n"/>
    </row>
    <row r="477">
      <c r="B477" s="37" t="n"/>
    </row>
    <row r="478">
      <c r="B478" s="37" t="n"/>
    </row>
    <row r="479">
      <c r="B479" s="37" t="n"/>
    </row>
    <row r="480">
      <c r="B480" s="37" t="n"/>
    </row>
    <row r="481">
      <c r="B481" s="37" t="n"/>
    </row>
    <row r="482">
      <c r="B482" s="37" t="n"/>
    </row>
    <row r="483">
      <c r="B483" s="37" t="n"/>
    </row>
    <row r="484">
      <c r="B484" s="37" t="n"/>
    </row>
    <row r="485">
      <c r="B485" s="37" t="n"/>
    </row>
    <row r="486">
      <c r="B486" s="37" t="n"/>
    </row>
    <row r="487">
      <c r="B487" s="37" t="n"/>
    </row>
    <row r="488">
      <c r="B488" s="37" t="n"/>
    </row>
    <row r="489">
      <c r="B489" s="37" t="n"/>
    </row>
    <row r="490">
      <c r="B490" s="37" t="n"/>
    </row>
    <row r="491">
      <c r="B491" s="37" t="n"/>
    </row>
    <row r="492">
      <c r="B492" s="37" t="n"/>
    </row>
    <row r="493">
      <c r="B493" s="37" t="n"/>
    </row>
    <row r="494">
      <c r="B494" s="37" t="n"/>
    </row>
    <row r="495">
      <c r="B495" s="37" t="n"/>
    </row>
    <row r="496">
      <c r="B496" s="37" t="n"/>
    </row>
    <row r="497">
      <c r="B497" s="37" t="n"/>
    </row>
    <row r="498">
      <c r="B498" s="37" t="n"/>
    </row>
    <row r="499">
      <c r="B499" s="37" t="n"/>
    </row>
    <row r="500">
      <c r="B500" s="37" t="n"/>
    </row>
    <row r="501">
      <c r="B501" s="37" t="n"/>
    </row>
    <row r="502">
      <c r="B502" s="37" t="n"/>
    </row>
    <row r="503">
      <c r="B503" s="37" t="n"/>
    </row>
    <row r="504">
      <c r="B504" s="37" t="n"/>
    </row>
    <row r="505">
      <c r="B505" s="37" t="n"/>
    </row>
    <row r="506">
      <c r="B506" s="37" t="n"/>
    </row>
    <row r="507">
      <c r="B507" s="37" t="n"/>
    </row>
    <row r="508">
      <c r="B508" s="37" t="n"/>
    </row>
    <row r="509">
      <c r="B509" s="37" t="n"/>
    </row>
    <row r="510">
      <c r="B510" s="37" t="n"/>
    </row>
    <row r="511">
      <c r="B511" s="37" t="n"/>
    </row>
    <row r="512">
      <c r="B512" s="37" t="n"/>
    </row>
    <row r="513">
      <c r="B513" s="37" t="n"/>
    </row>
    <row r="514">
      <c r="B514" s="37" t="n"/>
    </row>
    <row r="515">
      <c r="B515" s="37" t="n"/>
    </row>
    <row r="516">
      <c r="B516" s="37" t="n"/>
    </row>
    <row r="517">
      <c r="B517" s="37" t="n"/>
    </row>
    <row r="518">
      <c r="B518" s="37" t="n"/>
    </row>
    <row r="519">
      <c r="B519" s="37" t="n"/>
    </row>
    <row r="520">
      <c r="B520" s="37" t="n"/>
    </row>
    <row r="521">
      <c r="B521" s="37" t="n"/>
    </row>
    <row r="522">
      <c r="B522" s="37" t="n"/>
    </row>
    <row r="523">
      <c r="B523" s="37" t="n"/>
    </row>
    <row r="524">
      <c r="B524" s="37" t="n"/>
    </row>
    <row r="525">
      <c r="B525" s="37" t="n"/>
    </row>
    <row r="526">
      <c r="B526" s="37" t="n"/>
    </row>
    <row r="527">
      <c r="B527" s="37" t="n"/>
    </row>
    <row r="528">
      <c r="B528" s="37" t="n"/>
    </row>
    <row r="529">
      <c r="B529" s="37" t="n"/>
    </row>
    <row r="530">
      <c r="B530" s="37" t="n"/>
    </row>
    <row r="531">
      <c r="B531" s="37" t="n"/>
    </row>
    <row r="532">
      <c r="B532" s="37" t="n"/>
    </row>
    <row r="533">
      <c r="B533" s="37" t="n"/>
    </row>
    <row r="534">
      <c r="B534" s="37" t="n"/>
    </row>
    <row r="535">
      <c r="B535" s="37" t="n"/>
    </row>
    <row r="536">
      <c r="B536" s="37" t="n"/>
    </row>
    <row r="537">
      <c r="B537" s="37" t="n"/>
    </row>
    <row r="538">
      <c r="B538" s="37" t="n"/>
    </row>
    <row r="539">
      <c r="B539" s="37" t="n"/>
    </row>
    <row r="540">
      <c r="B540" s="37" t="n"/>
    </row>
    <row r="541">
      <c r="B541" s="37" t="n"/>
    </row>
    <row r="542">
      <c r="B542" s="37" t="n"/>
    </row>
    <row r="543">
      <c r="B543" s="37" t="n"/>
    </row>
    <row r="544">
      <c r="B544" s="37" t="n"/>
    </row>
    <row r="545">
      <c r="B545" s="37" t="n"/>
    </row>
    <row r="546">
      <c r="B546" s="37" t="n"/>
    </row>
    <row r="547">
      <c r="B547" s="37" t="n"/>
    </row>
    <row r="548">
      <c r="B548" s="37" t="n"/>
    </row>
    <row r="549">
      <c r="B549" s="37" t="n"/>
    </row>
    <row r="550">
      <c r="B550" s="37" t="n"/>
    </row>
    <row r="551">
      <c r="B551" s="37" t="n"/>
    </row>
    <row r="552">
      <c r="B552" s="37" t="n"/>
    </row>
    <row r="553">
      <c r="B553" s="37" t="n"/>
    </row>
    <row r="554">
      <c r="B554" s="37" t="n"/>
    </row>
    <row r="555">
      <c r="B555" s="37" t="n"/>
    </row>
    <row r="556">
      <c r="B556" s="37" t="n"/>
    </row>
    <row r="557">
      <c r="B557" s="37" t="n"/>
    </row>
    <row r="558">
      <c r="B558" s="37" t="n"/>
    </row>
    <row r="559">
      <c r="B559" s="37" t="n"/>
    </row>
    <row r="560">
      <c r="B560" s="37" t="n"/>
    </row>
    <row r="561">
      <c r="B561" s="37" t="n"/>
    </row>
    <row r="562">
      <c r="B562" s="37" t="n"/>
    </row>
    <row r="563">
      <c r="B563" s="37" t="n"/>
    </row>
    <row r="564">
      <c r="B564" s="37" t="n"/>
    </row>
    <row r="565">
      <c r="B565" s="37" t="n"/>
    </row>
    <row r="566">
      <c r="B566" s="37" t="n"/>
    </row>
    <row r="567">
      <c r="B567" s="37" t="n"/>
    </row>
    <row r="568">
      <c r="B568" s="37" t="n"/>
    </row>
    <row r="569">
      <c r="B569" s="37" t="n"/>
    </row>
    <row r="570">
      <c r="B570" s="37" t="n"/>
    </row>
    <row r="571">
      <c r="B571" s="37" t="n"/>
    </row>
    <row r="572">
      <c r="B572" s="37" t="n"/>
    </row>
    <row r="573">
      <c r="B573" s="37" t="n"/>
    </row>
    <row r="574">
      <c r="B574" s="37" t="n"/>
    </row>
    <row r="575">
      <c r="B575" s="37" t="n"/>
    </row>
    <row r="576">
      <c r="B576" s="37" t="n"/>
    </row>
    <row r="577">
      <c r="B577" s="37" t="n"/>
    </row>
    <row r="578">
      <c r="B578" s="37" t="n"/>
    </row>
    <row r="579">
      <c r="B579" s="37" t="n"/>
    </row>
    <row r="580">
      <c r="B580" s="37" t="n"/>
    </row>
    <row r="581">
      <c r="B581" s="37" t="n"/>
    </row>
    <row r="582">
      <c r="B582" s="37" t="n"/>
    </row>
    <row r="583">
      <c r="B583" s="37" t="n"/>
    </row>
    <row r="584">
      <c r="B584" s="37" t="n"/>
    </row>
    <row r="585">
      <c r="B585" s="37" t="n"/>
    </row>
    <row r="586">
      <c r="B586" s="37" t="n"/>
    </row>
    <row r="587">
      <c r="B587" s="37" t="n"/>
    </row>
    <row r="588">
      <c r="B588" s="37" t="n"/>
    </row>
    <row r="589">
      <c r="B589" s="37" t="n"/>
    </row>
    <row r="590">
      <c r="B590" s="37" t="n"/>
    </row>
    <row r="591">
      <c r="B591" s="37" t="n"/>
    </row>
    <row r="592">
      <c r="B592" s="37" t="n"/>
    </row>
    <row r="593">
      <c r="B593" s="37" t="n"/>
    </row>
    <row r="594">
      <c r="B594" s="37" t="n"/>
    </row>
    <row r="595">
      <c r="B595" s="37" t="n"/>
    </row>
    <row r="596">
      <c r="B596" s="37" t="n"/>
    </row>
    <row r="597">
      <c r="B597" s="37" t="n"/>
    </row>
    <row r="598">
      <c r="B598" s="37" t="n"/>
    </row>
    <row r="599">
      <c r="B599" s="37" t="n"/>
    </row>
    <row r="600">
      <c r="B600" s="37" t="n"/>
    </row>
    <row r="601">
      <c r="B601" s="37" t="n"/>
    </row>
    <row r="602">
      <c r="B602" s="37" t="n"/>
    </row>
    <row r="603">
      <c r="B603" s="37" t="n"/>
    </row>
    <row r="604">
      <c r="B604" s="37" t="n"/>
    </row>
    <row r="605">
      <c r="B605" s="37" t="n"/>
    </row>
    <row r="606">
      <c r="B606" s="37" t="n"/>
    </row>
    <row r="607">
      <c r="B607" s="37" t="n"/>
    </row>
    <row r="608">
      <c r="B608" s="37" t="n"/>
    </row>
    <row r="609">
      <c r="B609" s="37" t="n"/>
    </row>
    <row r="610">
      <c r="B610" s="37" t="n"/>
    </row>
    <row r="611">
      <c r="B611" s="37" t="n"/>
    </row>
    <row r="612">
      <c r="B612" s="37" t="n"/>
    </row>
    <row r="613">
      <c r="B613" s="37" t="n"/>
    </row>
    <row r="614">
      <c r="B614" s="37" t="n"/>
    </row>
    <row r="615">
      <c r="B615" s="37" t="n"/>
    </row>
    <row r="616">
      <c r="B616" s="37" t="n"/>
    </row>
    <row r="617">
      <c r="B617" s="37" t="n"/>
    </row>
    <row r="618">
      <c r="B618" s="37" t="n"/>
    </row>
    <row r="619">
      <c r="B619" s="37" t="n"/>
    </row>
    <row r="620">
      <c r="B620" s="37" t="n"/>
    </row>
    <row r="621">
      <c r="B621" s="37" t="n"/>
    </row>
    <row r="622">
      <c r="B622" s="37" t="n"/>
    </row>
    <row r="623">
      <c r="B623" s="37" t="n"/>
    </row>
    <row r="624">
      <c r="B624" s="37" t="n"/>
    </row>
    <row r="625">
      <c r="B625" s="37" t="n"/>
    </row>
    <row r="626">
      <c r="B626" s="37" t="n"/>
    </row>
    <row r="627">
      <c r="B627" s="37" t="n"/>
    </row>
    <row r="628">
      <c r="B628" s="37" t="n"/>
    </row>
    <row r="629">
      <c r="B629" s="37" t="n"/>
    </row>
    <row r="630">
      <c r="B630" s="37" t="n"/>
    </row>
    <row r="631">
      <c r="B631" s="37" t="n"/>
    </row>
    <row r="632">
      <c r="B632" s="37" t="n"/>
    </row>
    <row r="633">
      <c r="B633" s="37" t="n"/>
    </row>
    <row r="634">
      <c r="B634" s="37" t="n"/>
    </row>
    <row r="635">
      <c r="B635" s="37" t="n"/>
    </row>
    <row r="636">
      <c r="B636" s="37" t="n"/>
    </row>
    <row r="637">
      <c r="B637" s="37" t="n"/>
    </row>
    <row r="638">
      <c r="B638" s="37" t="n"/>
    </row>
    <row r="639">
      <c r="B639" s="37" t="n"/>
    </row>
    <row r="640">
      <c r="B640" s="37" t="n"/>
    </row>
    <row r="641">
      <c r="B641" s="37" t="n"/>
    </row>
    <row r="642">
      <c r="B642" s="37" t="n"/>
    </row>
    <row r="643">
      <c r="B643" s="37" t="n"/>
    </row>
    <row r="644">
      <c r="B644" s="37" t="n"/>
    </row>
    <row r="645">
      <c r="B645" s="37" t="n"/>
    </row>
    <row r="646">
      <c r="B646" s="37" t="n"/>
    </row>
    <row r="647">
      <c r="B647" s="37" t="n"/>
    </row>
    <row r="648">
      <c r="B648" s="37" t="n"/>
    </row>
    <row r="649">
      <c r="B649" s="37" t="n"/>
    </row>
    <row r="650">
      <c r="B650" s="37" t="n"/>
    </row>
    <row r="651">
      <c r="B651" s="37" t="n"/>
    </row>
    <row r="652">
      <c r="B652" s="37" t="n"/>
    </row>
    <row r="653">
      <c r="B653" s="37" t="n"/>
    </row>
    <row r="654">
      <c r="B654" s="37" t="n"/>
    </row>
    <row r="655">
      <c r="B655" s="37" t="n"/>
    </row>
    <row r="656">
      <c r="B656" s="37" t="n"/>
    </row>
    <row r="657">
      <c r="B657" s="37" t="n"/>
    </row>
    <row r="658">
      <c r="B658" s="37" t="n"/>
    </row>
    <row r="659">
      <c r="B659" s="37" t="n"/>
    </row>
    <row r="660">
      <c r="B660" s="37" t="n"/>
    </row>
    <row r="661">
      <c r="B661" s="37" t="n"/>
    </row>
    <row r="662">
      <c r="B662" s="37" t="n"/>
    </row>
    <row r="663">
      <c r="B663" s="37" t="n"/>
    </row>
    <row r="664">
      <c r="B664" s="37" t="n"/>
    </row>
    <row r="665">
      <c r="B665" s="37" t="n"/>
    </row>
    <row r="666">
      <c r="B666" s="37" t="n"/>
    </row>
    <row r="667">
      <c r="B667" s="37" t="n"/>
    </row>
    <row r="668">
      <c r="B668" s="37" t="n"/>
    </row>
    <row r="669">
      <c r="B669" s="37" t="n"/>
    </row>
    <row r="670">
      <c r="B670" s="37" t="n"/>
    </row>
    <row r="671">
      <c r="B671" s="37" t="n"/>
    </row>
    <row r="672">
      <c r="B672" s="37" t="n"/>
    </row>
    <row r="673">
      <c r="B673" s="37" t="n"/>
    </row>
    <row r="674">
      <c r="B674" s="37" t="n"/>
    </row>
    <row r="675">
      <c r="B675" s="37" t="n"/>
    </row>
    <row r="676">
      <c r="B676" s="37" t="n"/>
    </row>
    <row r="677">
      <c r="B677" s="37" t="n"/>
    </row>
    <row r="678">
      <c r="B678" s="37" t="n"/>
    </row>
    <row r="679">
      <c r="B679" s="37" t="n"/>
    </row>
    <row r="680">
      <c r="B680" s="37" t="n"/>
    </row>
    <row r="681">
      <c r="B681" s="37" t="n"/>
    </row>
    <row r="682">
      <c r="B682" s="37" t="n"/>
    </row>
    <row r="683">
      <c r="B683" s="37" t="n"/>
    </row>
    <row r="684">
      <c r="B684" s="37" t="n"/>
    </row>
    <row r="685">
      <c r="B685" s="37" t="n"/>
    </row>
    <row r="686">
      <c r="B686" s="37" t="n"/>
    </row>
    <row r="687">
      <c r="B687" s="37" t="n"/>
    </row>
    <row r="688">
      <c r="B688" s="37" t="n"/>
    </row>
    <row r="689">
      <c r="B689" s="37" t="n"/>
    </row>
    <row r="690">
      <c r="B690" s="37" t="n"/>
    </row>
    <row r="691">
      <c r="B691" s="37" t="n"/>
    </row>
    <row r="692">
      <c r="B692" s="37" t="n"/>
    </row>
    <row r="693">
      <c r="B693" s="37" t="n"/>
    </row>
    <row r="694">
      <c r="B694" s="37" t="n"/>
    </row>
    <row r="695">
      <c r="B695" s="37" t="n"/>
    </row>
    <row r="696">
      <c r="B696" s="37" t="n"/>
    </row>
    <row r="697">
      <c r="B697" s="37" t="n"/>
    </row>
    <row r="698">
      <c r="B698" s="37" t="n"/>
    </row>
    <row r="699">
      <c r="B699" s="37" t="n"/>
    </row>
    <row r="700">
      <c r="B700" s="37" t="n"/>
    </row>
    <row r="701">
      <c r="B701" s="37" t="n"/>
    </row>
    <row r="702">
      <c r="B702" s="37" t="n"/>
    </row>
    <row r="703">
      <c r="B703" s="37" t="n"/>
    </row>
    <row r="704">
      <c r="B704" s="37" t="n"/>
    </row>
    <row r="705">
      <c r="B705" s="37" t="n"/>
    </row>
    <row r="706">
      <c r="B706" s="37" t="n"/>
    </row>
    <row r="707">
      <c r="B707" s="37" t="n"/>
    </row>
    <row r="708">
      <c r="B708" s="37" t="n"/>
    </row>
    <row r="709">
      <c r="B709" s="37" t="n"/>
    </row>
    <row r="710">
      <c r="B710" s="37" t="n"/>
    </row>
    <row r="711">
      <c r="B711" s="37" t="n"/>
    </row>
    <row r="712">
      <c r="B712" s="37" t="n"/>
    </row>
    <row r="713">
      <c r="B713" s="37" t="n"/>
    </row>
    <row r="714">
      <c r="B714" s="37" t="n"/>
    </row>
    <row r="715">
      <c r="B715" s="37" t="n"/>
    </row>
    <row r="716">
      <c r="B716" s="37" t="n"/>
    </row>
    <row r="717">
      <c r="B717" s="37" t="n"/>
    </row>
    <row r="718">
      <c r="B718" s="37" t="n"/>
    </row>
    <row r="719">
      <c r="B719" s="37" t="n"/>
    </row>
    <row r="720">
      <c r="B720" s="37" t="n"/>
    </row>
    <row r="721">
      <c r="B721" s="37" t="n"/>
    </row>
    <row r="722">
      <c r="B722" s="37" t="n"/>
    </row>
    <row r="723">
      <c r="B723" s="37" t="n"/>
    </row>
    <row r="724">
      <c r="B724" s="37" t="n"/>
    </row>
    <row r="725">
      <c r="B725" s="37" t="n"/>
    </row>
    <row r="726">
      <c r="B726" s="37" t="n"/>
    </row>
    <row r="727">
      <c r="B727" s="37" t="n"/>
    </row>
    <row r="728">
      <c r="B728" s="37" t="n"/>
    </row>
    <row r="729">
      <c r="B729" s="37" t="n"/>
    </row>
    <row r="730">
      <c r="B730" s="37" t="n"/>
    </row>
    <row r="731">
      <c r="B731" s="37" t="n"/>
    </row>
    <row r="732">
      <c r="B732" s="37" t="n"/>
    </row>
    <row r="733">
      <c r="B733" s="37" t="n"/>
    </row>
    <row r="734">
      <c r="B734" s="37" t="n"/>
    </row>
    <row r="735">
      <c r="B735" s="37" t="n"/>
    </row>
    <row r="736">
      <c r="B736" s="37" t="n"/>
    </row>
    <row r="737">
      <c r="B737" s="37" t="n"/>
    </row>
    <row r="738">
      <c r="B738" s="37" t="n"/>
    </row>
    <row r="739">
      <c r="B739" s="37" t="n"/>
    </row>
    <row r="740">
      <c r="B740" s="37" t="n"/>
    </row>
    <row r="741">
      <c r="B741" s="37" t="n"/>
    </row>
    <row r="742">
      <c r="B742" s="37" t="n"/>
    </row>
    <row r="743">
      <c r="B743" s="37" t="n"/>
    </row>
    <row r="744">
      <c r="B744" s="37" t="n"/>
    </row>
    <row r="745">
      <c r="B745" s="37" t="n"/>
    </row>
    <row r="746">
      <c r="B746" s="37" t="n"/>
    </row>
    <row r="747">
      <c r="B747" s="37" t="n"/>
    </row>
    <row r="748">
      <c r="B748" s="37" t="n"/>
    </row>
    <row r="749">
      <c r="B749" s="37" t="n"/>
    </row>
    <row r="750">
      <c r="B750" s="37" t="n"/>
    </row>
    <row r="751">
      <c r="B751" s="37" t="n"/>
    </row>
    <row r="752">
      <c r="B752" s="37" t="n"/>
    </row>
    <row r="753">
      <c r="B753" s="37" t="n"/>
    </row>
    <row r="754">
      <c r="B754" s="37" t="n"/>
    </row>
    <row r="755">
      <c r="B755" s="37" t="n"/>
    </row>
    <row r="756">
      <c r="B756" s="37" t="n"/>
    </row>
    <row r="757">
      <c r="B757" s="37" t="n"/>
    </row>
    <row r="758">
      <c r="B758" s="37" t="n"/>
    </row>
    <row r="759">
      <c r="B759" s="37" t="n"/>
    </row>
    <row r="760">
      <c r="B760" s="37" t="n"/>
    </row>
    <row r="761">
      <c r="B761" s="37" t="n"/>
    </row>
    <row r="762">
      <c r="B762" s="37" t="n"/>
    </row>
    <row r="763">
      <c r="B763" s="37" t="n"/>
    </row>
    <row r="764">
      <c r="B764" s="37" t="n"/>
    </row>
    <row r="765">
      <c r="B765" s="37" t="n"/>
    </row>
    <row r="766">
      <c r="B766" s="37" t="n"/>
    </row>
    <row r="767">
      <c r="B767" s="37" t="n"/>
    </row>
    <row r="768">
      <c r="B768" s="37" t="n"/>
    </row>
    <row r="769">
      <c r="B769" s="37" t="n"/>
    </row>
    <row r="770">
      <c r="B770" s="37" t="n"/>
    </row>
    <row r="771">
      <c r="B771" s="37" t="n"/>
    </row>
    <row r="772">
      <c r="B772" s="37" t="n"/>
    </row>
    <row r="773">
      <c r="B773" s="37" t="n"/>
    </row>
    <row r="774">
      <c r="B774" s="37" t="n"/>
    </row>
    <row r="775">
      <c r="B775" s="37" t="n"/>
    </row>
    <row r="776">
      <c r="B776" s="37" t="n"/>
    </row>
    <row r="777">
      <c r="B777" s="37" t="n"/>
    </row>
    <row r="778">
      <c r="B778" s="37" t="n"/>
    </row>
    <row r="779">
      <c r="B779" s="37" t="n"/>
    </row>
    <row r="780">
      <c r="B780" s="37" t="n"/>
    </row>
    <row r="781">
      <c r="B781" s="37" t="n"/>
    </row>
    <row r="782">
      <c r="B782" s="37" t="n"/>
    </row>
    <row r="783">
      <c r="B783" s="37" t="n"/>
    </row>
    <row r="784">
      <c r="B784" s="37" t="n"/>
    </row>
    <row r="785">
      <c r="B785" s="37" t="n"/>
    </row>
    <row r="786">
      <c r="B786" s="37" t="n"/>
    </row>
    <row r="787">
      <c r="B787" s="37" t="n"/>
    </row>
    <row r="788">
      <c r="B788" s="37" t="n"/>
    </row>
    <row r="789">
      <c r="B789" s="37" t="n"/>
    </row>
    <row r="790">
      <c r="B790" s="37" t="n"/>
    </row>
    <row r="791">
      <c r="B791" s="37" t="n"/>
    </row>
    <row r="792">
      <c r="B792" s="37" t="n"/>
    </row>
    <row r="793">
      <c r="B793" s="37" t="n"/>
    </row>
    <row r="794">
      <c r="B794" s="37" t="n"/>
    </row>
    <row r="795">
      <c r="B795" s="37" t="n"/>
    </row>
    <row r="796">
      <c r="B796" s="37" t="n"/>
    </row>
    <row r="797">
      <c r="B797" s="37" t="n"/>
    </row>
    <row r="798">
      <c r="B798" s="37" t="n"/>
    </row>
    <row r="799">
      <c r="B799" s="37" t="n"/>
    </row>
    <row r="800">
      <c r="B800" s="37" t="n"/>
    </row>
    <row r="801">
      <c r="B801" s="37" t="n"/>
    </row>
    <row r="802">
      <c r="B802" s="37" t="n"/>
    </row>
    <row r="803">
      <c r="B803" s="37" t="n"/>
    </row>
    <row r="804">
      <c r="B804" s="37" t="n"/>
    </row>
    <row r="805">
      <c r="B805" s="37" t="n"/>
    </row>
    <row r="806">
      <c r="B806" s="37" t="n"/>
    </row>
    <row r="807">
      <c r="B807" s="37" t="n"/>
    </row>
    <row r="808">
      <c r="B808" s="37" t="n"/>
    </row>
    <row r="809">
      <c r="B809" s="37" t="n"/>
    </row>
    <row r="810">
      <c r="B810" s="37" t="n"/>
    </row>
    <row r="811">
      <c r="B811" s="37" t="n"/>
    </row>
    <row r="812">
      <c r="B812" s="37" t="n"/>
    </row>
    <row r="813">
      <c r="B813" s="37" t="n"/>
    </row>
    <row r="814">
      <c r="B814" s="37" t="n"/>
    </row>
    <row r="815">
      <c r="B815" s="37" t="n"/>
    </row>
    <row r="816">
      <c r="B816" s="37" t="n"/>
    </row>
    <row r="817">
      <c r="B817" s="37" t="n"/>
    </row>
    <row r="818">
      <c r="B818" s="37" t="n"/>
    </row>
    <row r="819">
      <c r="B819" s="37" t="n"/>
    </row>
    <row r="820">
      <c r="B820" s="37" t="n"/>
    </row>
    <row r="821">
      <c r="B821" s="37" t="n"/>
    </row>
    <row r="822">
      <c r="B822" s="37" t="n"/>
    </row>
    <row r="823">
      <c r="B823" s="37" t="n"/>
    </row>
    <row r="824">
      <c r="B824" s="37" t="n"/>
    </row>
    <row r="825">
      <c r="B825" s="37" t="n"/>
    </row>
    <row r="826">
      <c r="B826" s="37" t="n"/>
    </row>
    <row r="827">
      <c r="B827" s="37" t="n"/>
    </row>
    <row r="828">
      <c r="B828" s="37" t="n"/>
    </row>
    <row r="829">
      <c r="B829" s="37" t="n"/>
    </row>
    <row r="830">
      <c r="B830" s="37" t="n"/>
    </row>
    <row r="831">
      <c r="B831" s="37" t="n"/>
    </row>
    <row r="832">
      <c r="B832" s="37" t="n"/>
    </row>
    <row r="833">
      <c r="B833" s="37" t="n"/>
    </row>
    <row r="834">
      <c r="B834" s="37" t="n"/>
    </row>
    <row r="835">
      <c r="B835" s="37" t="n"/>
    </row>
    <row r="836">
      <c r="B836" s="37" t="n"/>
    </row>
    <row r="837">
      <c r="B837" s="37" t="n"/>
    </row>
    <row r="838">
      <c r="B838" s="37" t="n"/>
    </row>
    <row r="839">
      <c r="B839" s="37" t="n"/>
    </row>
    <row r="840">
      <c r="B840" s="37" t="n"/>
    </row>
    <row r="841">
      <c r="B841" s="37" t="n"/>
    </row>
    <row r="842">
      <c r="B842" s="37" t="n"/>
    </row>
    <row r="843">
      <c r="B843" s="37" t="n"/>
    </row>
    <row r="844">
      <c r="B844" s="37" t="n"/>
    </row>
    <row r="845">
      <c r="B845" s="37" t="n"/>
    </row>
    <row r="846">
      <c r="B846" s="37" t="n"/>
    </row>
    <row r="847">
      <c r="B847" s="37" t="n"/>
    </row>
    <row r="848">
      <c r="B848" s="37" t="n"/>
    </row>
    <row r="849">
      <c r="B849" s="37" t="n"/>
    </row>
    <row r="850">
      <c r="B850" s="37" t="n"/>
    </row>
    <row r="851">
      <c r="B851" s="37" t="n"/>
    </row>
    <row r="852">
      <c r="B852" s="37" t="n"/>
    </row>
    <row r="853">
      <c r="B853" s="37" t="n"/>
    </row>
    <row r="854">
      <c r="B854" s="37" t="n"/>
    </row>
    <row r="855">
      <c r="B855" s="37" t="n"/>
    </row>
    <row r="856">
      <c r="B856" s="37" t="n"/>
    </row>
    <row r="857">
      <c r="B857" s="37" t="n"/>
    </row>
    <row r="858">
      <c r="B858" s="37" t="n"/>
    </row>
    <row r="859">
      <c r="B859" s="37" t="n"/>
    </row>
    <row r="860">
      <c r="B860" s="37" t="n"/>
    </row>
    <row r="861">
      <c r="B861" s="37" t="n"/>
    </row>
    <row r="862">
      <c r="B862" s="37" t="n"/>
    </row>
    <row r="863">
      <c r="B863" s="37" t="n"/>
    </row>
    <row r="864">
      <c r="B864" s="37" t="n"/>
    </row>
    <row r="865">
      <c r="B865" s="37" t="n"/>
    </row>
    <row r="866">
      <c r="B866" s="37" t="n"/>
    </row>
    <row r="867">
      <c r="B867" s="37" t="n"/>
    </row>
    <row r="868">
      <c r="B868" s="37" t="n"/>
    </row>
    <row r="869">
      <c r="B869" s="37" t="n"/>
    </row>
    <row r="870">
      <c r="B870" s="37" t="n"/>
    </row>
    <row r="871">
      <c r="B871" s="37" t="n"/>
    </row>
    <row r="872">
      <c r="B872" s="37" t="n"/>
    </row>
    <row r="873">
      <c r="B873" s="37" t="n"/>
    </row>
    <row r="874">
      <c r="B874" s="37" t="n"/>
    </row>
    <row r="875">
      <c r="B875" s="37" t="n"/>
    </row>
    <row r="876">
      <c r="B876" s="37" t="n"/>
    </row>
    <row r="877">
      <c r="B877" s="37" t="n"/>
    </row>
    <row r="878">
      <c r="B878" s="37" t="n"/>
    </row>
    <row r="879">
      <c r="B879" s="37" t="n"/>
    </row>
    <row r="880">
      <c r="B880" s="37" t="n"/>
    </row>
    <row r="881">
      <c r="B881" s="37" t="n"/>
    </row>
    <row r="882">
      <c r="B882" s="37" t="n"/>
    </row>
    <row r="883">
      <c r="B883" s="37" t="n"/>
    </row>
    <row r="884">
      <c r="B884" s="37" t="n"/>
    </row>
    <row r="885">
      <c r="B885" s="37" t="n"/>
    </row>
    <row r="886">
      <c r="B886" s="37" t="n"/>
    </row>
    <row r="887">
      <c r="B887" s="37" t="n"/>
    </row>
    <row r="888">
      <c r="B888" s="37" t="n"/>
    </row>
    <row r="889">
      <c r="B889" s="37" t="n"/>
    </row>
    <row r="890">
      <c r="B890" s="37" t="n"/>
    </row>
    <row r="891">
      <c r="B891" s="37" t="n"/>
    </row>
    <row r="892">
      <c r="B892" s="37" t="n"/>
    </row>
    <row r="893">
      <c r="B893" s="37" t="n"/>
    </row>
    <row r="894">
      <c r="B894" s="37" t="n"/>
    </row>
    <row r="895">
      <c r="B895" s="37" t="n"/>
    </row>
    <row r="896">
      <c r="B896" s="37" t="n"/>
    </row>
    <row r="897">
      <c r="B897" s="37" t="n"/>
    </row>
    <row r="898">
      <c r="B898" s="37" t="n"/>
    </row>
    <row r="899">
      <c r="B899" s="37" t="n"/>
    </row>
    <row r="900">
      <c r="B900" s="37" t="n"/>
    </row>
    <row r="901">
      <c r="B901" s="37" t="n"/>
    </row>
    <row r="902">
      <c r="B902" s="37" t="n"/>
    </row>
    <row r="903">
      <c r="B903" s="37" t="n"/>
    </row>
    <row r="904">
      <c r="B904" s="37" t="n"/>
    </row>
    <row r="905">
      <c r="B905" s="37" t="n"/>
    </row>
    <row r="906">
      <c r="B906" s="37" t="n"/>
    </row>
    <row r="907">
      <c r="B907" s="37" t="n"/>
    </row>
    <row r="908">
      <c r="B908" s="37" t="n"/>
    </row>
    <row r="909">
      <c r="B909" s="37" t="n"/>
    </row>
    <row r="910">
      <c r="B910" s="37" t="n"/>
    </row>
    <row r="911">
      <c r="B911" s="37" t="n"/>
    </row>
    <row r="912">
      <c r="B912" s="37" t="n"/>
    </row>
    <row r="913">
      <c r="B913" s="37" t="n"/>
    </row>
    <row r="914">
      <c r="B914" s="37" t="n"/>
    </row>
    <row r="915">
      <c r="B915" s="37" t="n"/>
    </row>
    <row r="916">
      <c r="B916" s="37" t="n"/>
    </row>
    <row r="917">
      <c r="B917" s="37" t="n"/>
    </row>
    <row r="918">
      <c r="B918" s="37" t="n"/>
    </row>
    <row r="919">
      <c r="B919" s="37" t="n"/>
    </row>
    <row r="920">
      <c r="B920" s="37" t="n"/>
    </row>
    <row r="921">
      <c r="B921" s="37" t="n"/>
    </row>
    <row r="922">
      <c r="B922" s="37" t="n"/>
    </row>
    <row r="923">
      <c r="B923" s="37" t="n"/>
    </row>
    <row r="924">
      <c r="B924" s="37" t="n"/>
    </row>
    <row r="925">
      <c r="B925" s="37" t="n"/>
    </row>
    <row r="926">
      <c r="B926" s="37" t="n"/>
    </row>
    <row r="927">
      <c r="B927" s="37" t="n"/>
    </row>
    <row r="928">
      <c r="B928" s="37" t="n"/>
    </row>
    <row r="929">
      <c r="B929" s="37" t="n"/>
    </row>
    <row r="930">
      <c r="B930" s="37" t="n"/>
    </row>
    <row r="931">
      <c r="B931" s="37" t="n"/>
    </row>
    <row r="932">
      <c r="B932" s="37" t="n"/>
    </row>
    <row r="933">
      <c r="B933" s="37" t="n"/>
    </row>
    <row r="934">
      <c r="B934" s="37" t="n"/>
    </row>
    <row r="935">
      <c r="B935" s="37" t="n"/>
    </row>
    <row r="936">
      <c r="B936" s="37" t="n"/>
    </row>
    <row r="937">
      <c r="B937" s="37" t="n"/>
    </row>
    <row r="938">
      <c r="B938" s="37" t="n"/>
    </row>
    <row r="939">
      <c r="B939" s="37" t="n"/>
    </row>
    <row r="940">
      <c r="B940" s="37" t="n"/>
    </row>
    <row r="941">
      <c r="B941" s="37" t="n"/>
    </row>
    <row r="942">
      <c r="B942" s="37" t="n"/>
    </row>
    <row r="943">
      <c r="B943" s="37" t="n"/>
    </row>
    <row r="944">
      <c r="B944" s="37" t="n"/>
    </row>
    <row r="945">
      <c r="B945" s="37" t="n"/>
    </row>
    <row r="946">
      <c r="B946" s="37" t="n"/>
    </row>
    <row r="947">
      <c r="B947" s="37" t="n"/>
    </row>
    <row r="948">
      <c r="B948" s="37" t="n"/>
    </row>
    <row r="949">
      <c r="B949" s="37" t="n"/>
    </row>
    <row r="950">
      <c r="B950" s="37" t="n"/>
    </row>
    <row r="951">
      <c r="B951" s="37" t="n"/>
    </row>
    <row r="952">
      <c r="B952" s="37" t="n"/>
    </row>
    <row r="953">
      <c r="B953" s="37" t="n"/>
    </row>
    <row r="954">
      <c r="B954" s="37" t="n"/>
    </row>
    <row r="955">
      <c r="B955" s="37" t="n"/>
    </row>
    <row r="956">
      <c r="B956" s="37" t="n"/>
    </row>
    <row r="957">
      <c r="B957" s="37" t="n"/>
    </row>
    <row r="958">
      <c r="B958" s="37" t="n"/>
    </row>
    <row r="959">
      <c r="B959" s="37" t="n"/>
    </row>
    <row r="960">
      <c r="B960" s="37" t="n"/>
    </row>
    <row r="961">
      <c r="B961" s="37" t="n"/>
    </row>
    <row r="962">
      <c r="B962" s="37" t="n"/>
    </row>
    <row r="963">
      <c r="B963" s="37" t="n"/>
    </row>
    <row r="964">
      <c r="B964" s="37" t="n"/>
    </row>
    <row r="965">
      <c r="B965" s="37" t="n"/>
    </row>
    <row r="966">
      <c r="B966" s="37" t="n"/>
    </row>
    <row r="967">
      <c r="B967" s="37" t="n"/>
    </row>
    <row r="968">
      <c r="B968" s="37" t="n"/>
    </row>
    <row r="969">
      <c r="B969" s="37" t="n"/>
    </row>
    <row r="970">
      <c r="B970" s="37" t="n"/>
    </row>
    <row r="971">
      <c r="B971" s="37" t="n"/>
    </row>
    <row r="972">
      <c r="B972" s="37" t="n"/>
    </row>
    <row r="973">
      <c r="B973" s="37" t="n"/>
    </row>
    <row r="974">
      <c r="B974" s="37" t="n"/>
    </row>
    <row r="975">
      <c r="B975" s="37" t="n"/>
    </row>
    <row r="976">
      <c r="B976" s="37" t="n"/>
    </row>
    <row r="977">
      <c r="B977" s="37" t="n"/>
    </row>
    <row r="978">
      <c r="B978" s="37" t="n"/>
    </row>
    <row r="979">
      <c r="B979" s="37" t="n"/>
    </row>
    <row r="980">
      <c r="B980" s="37" t="n"/>
    </row>
    <row r="981">
      <c r="B981" s="37" t="n"/>
    </row>
    <row r="982">
      <c r="B982" s="37" t="n"/>
    </row>
    <row r="983">
      <c r="B983" s="37" t="n"/>
    </row>
    <row r="984">
      <c r="B984" s="37" t="n"/>
    </row>
    <row r="985">
      <c r="B985" s="37" t="n"/>
    </row>
    <row r="986">
      <c r="B986" s="37" t="n"/>
    </row>
    <row r="987">
      <c r="B987" s="37" t="n"/>
    </row>
    <row r="988">
      <c r="B988" s="37" t="n"/>
    </row>
    <row r="989">
      <c r="B989" s="37" t="n"/>
    </row>
    <row r="990">
      <c r="B990" s="37" t="n"/>
    </row>
    <row r="991">
      <c r="B991" s="37" t="n"/>
    </row>
    <row r="992">
      <c r="B992" s="37" t="n"/>
    </row>
    <row r="993">
      <c r="B993" s="37" t="n"/>
    </row>
    <row r="994">
      <c r="B994" s="37" t="n"/>
    </row>
    <row r="995">
      <c r="B995" s="37" t="n"/>
    </row>
    <row r="996">
      <c r="B996" s="37" t="n"/>
    </row>
    <row r="997">
      <c r="B997" s="37" t="n"/>
    </row>
    <row r="998">
      <c r="B998" s="37" t="n"/>
    </row>
    <row r="999">
      <c r="B999" s="37" t="n"/>
    </row>
    <row r="1000">
      <c r="B1000" s="37" t="n"/>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26"/>
  <sheetViews>
    <sheetView workbookViewId="0">
      <pane ySplit="2" topLeftCell="A3" activePane="bottomLeft" state="frozen"/>
      <selection pane="bottomLeft" activeCell="B4" sqref="B4"/>
    </sheetView>
  </sheetViews>
  <sheetFormatPr baseColWidth="8" defaultColWidth="12.63" defaultRowHeight="15.75" customHeight="1"/>
  <cols>
    <col width="44" customWidth="1" style="52" min="2" max="2"/>
    <col width="20.38" customWidth="1" style="52" min="10" max="10"/>
  </cols>
  <sheetData>
    <row r="1" ht="26.25" customHeight="1" s="52">
      <c r="A1" s="19">
        <f>HYPERLINK("#gid=0", "🏠 กลับสู่หน้าแรก (Go to Home Page)")</f>
        <v/>
      </c>
      <c r="G1" s="22" t="n"/>
      <c r="H1" s="22" t="n"/>
      <c r="I1" s="22" t="n"/>
      <c r="J1" s="22" t="n"/>
      <c r="K1" s="22" t="n"/>
      <c r="L1" s="22" t="n"/>
      <c r="M1" s="22" t="n"/>
      <c r="N1" s="22" t="n"/>
      <c r="O1" s="22" t="n"/>
      <c r="P1" s="22" t="n"/>
      <c r="Q1" s="22" t="n"/>
    </row>
    <row r="2">
      <c r="A2" s="30" t="inlineStr">
        <is>
          <t>ข้อที่</t>
        </is>
      </c>
      <c r="B2" s="30" t="inlineStr">
        <is>
          <t>คำถาม</t>
        </is>
      </c>
      <c r="C2" s="30" t="inlineStr">
        <is>
          <t>รูปถาม</t>
        </is>
      </c>
      <c r="D2" s="30" t="inlineStr">
        <is>
          <t>ตัวเลือก 1</t>
        </is>
      </c>
      <c r="E2" s="30" t="inlineStr">
        <is>
          <t>ตัวเลือก 2</t>
        </is>
      </c>
      <c r="F2" s="30" t="inlineStr">
        <is>
          <t>ตัวเลือก 3</t>
        </is>
      </c>
      <c r="G2" s="30" t="inlineStr">
        <is>
          <t>ตัวเลือก 4</t>
        </is>
      </c>
      <c r="H2" s="30" t="inlineStr">
        <is>
          <t>ตัวเลือก 5</t>
        </is>
      </c>
      <c r="I2" s="30" t="inlineStr">
        <is>
          <t>เฉลย (ตัวเลข 1-5)</t>
        </is>
      </c>
      <c r="J2" s="30" t="inlineStr">
        <is>
          <t>คำอธิบายเฉลย</t>
        </is>
      </c>
      <c r="K2" s="30" t="inlineStr">
        <is>
          <t>รูปเฉลย</t>
        </is>
      </c>
      <c r="L2" s="30" t="inlineStr">
        <is>
          <t>Filter หมวด/Subtopic</t>
        </is>
      </c>
      <c r="M2" s="30" t="inlineStr">
        <is>
          <t>Product / Clinic</t>
        </is>
      </c>
      <c r="N2" s="30" t="inlineStr">
        <is>
          <t>หมายเหตุ</t>
        </is>
      </c>
      <c r="O2" s="22" t="inlineStr">
        <is>
          <t>ประเภทข้อสอบ</t>
        </is>
      </c>
      <c r="P2" s="22" t="inlineStr">
        <is>
          <t>ปี / เลขชุด</t>
        </is>
      </c>
      <c r="Q2" s="22" t="n"/>
    </row>
    <row r="3">
      <c r="A3" s="23" t="inlineStr">
        <is>
          <t>2</t>
        </is>
      </c>
      <c r="B3" s="22" t="inlineStr">
        <is>
          <t>ข้อใดเป็นเทคนิคที่เหมาะสมในการพิสูจน์ chirality อัตลักษณ์ของวัตถุดิบยา Paclitaxel</t>
        </is>
      </c>
      <c r="C3" s="22" t="inlineStr"/>
      <c r="D3" s="22" t="inlineStr">
        <is>
          <t>NIR (near infrared spectroscopy)</t>
        </is>
      </c>
      <c r="E3" s="22" t="inlineStr">
        <is>
          <t>Karl Fischer titration</t>
        </is>
      </c>
      <c r="F3" s="22" t="inlineStr">
        <is>
          <t>Polarimeter</t>
        </is>
      </c>
      <c r="G3" s="22" t="inlineStr">
        <is>
          <t>Refractometer</t>
        </is>
      </c>
      <c r="H3" s="22" t="inlineStr">
        <is>
          <t>Mass spectrometry</t>
        </is>
      </c>
      <c r="I3" s="23" t="inlineStr">
        <is>
          <t>3</t>
        </is>
      </c>
      <c r="J3" s="22"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22" t="inlineStr">
        <is>
          <t>Optical Rotation &amp; Chirality</t>
        </is>
      </c>
      <c r="L3" s="22" t="inlineStr">
        <is>
          <t>ข้อสอบ Product (Chirality Identification)</t>
        </is>
      </c>
      <c r="M3" s="22" t="inlineStr">
        <is>
          <t>Spectroscopy</t>
        </is>
      </c>
      <c r="N3" s="22" t="inlineStr">
        <is>
          <t>Mock PLE-CC 1 ข้อ 74</t>
        </is>
      </c>
      <c r="O3" s="22" t="inlineStr">
        <is>
          <t>Mock</t>
        </is>
      </c>
      <c r="P3" s="22" t="inlineStr">
        <is>
          <t>Mock RxCU83</t>
        </is>
      </c>
      <c r="Q3" s="22" t="inlineStr"/>
    </row>
    <row r="4">
      <c r="A4" s="23" t="inlineStr">
        <is>
          <t>3</t>
        </is>
      </c>
      <c r="B4" s="22"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22" t="inlineStr"/>
      <c r="D4" s="22" t="inlineStr">
        <is>
          <t>Polarimetry</t>
        </is>
      </c>
      <c r="E4" s="22" t="inlineStr">
        <is>
          <t>NMR spectroscopy</t>
        </is>
      </c>
      <c r="F4" s="22" t="inlineStr">
        <is>
          <t>IR spectroscopy</t>
        </is>
      </c>
      <c r="G4" s="22" t="inlineStr">
        <is>
          <t>HPLC</t>
        </is>
      </c>
      <c r="H4" s="22" t="inlineStr">
        <is>
          <t>Refractometry</t>
        </is>
      </c>
      <c r="I4" s="23" t="inlineStr">
        <is>
          <t>1</t>
        </is>
      </c>
      <c r="J4" s="22"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22" t="inlineStr">
        <is>
          <t>Polarimetry</t>
        </is>
      </c>
      <c r="L4" s="22" t="inlineStr">
        <is>
          <t>ข้อสอบจริง PLE CC 1 (Product) ปี 2567 ข้อ 1</t>
        </is>
      </c>
      <c r="M4" s="22" t="inlineStr">
        <is>
          <t>Spectroscopy</t>
        </is>
      </c>
      <c r="N4" s="22" t="inlineStr">
        <is>
          <t>PLE_CC1_2567_Key ข้อ 3</t>
        </is>
      </c>
      <c r="O4" s="22" t="inlineStr">
        <is>
          <t>ข้อสอบจริง</t>
        </is>
      </c>
      <c r="P4" s="22" t="inlineStr">
        <is>
          <t>ปี 2567</t>
        </is>
      </c>
      <c r="Q4" s="22" t="inlineStr"/>
    </row>
    <row r="5">
      <c r="A5" s="23" t="inlineStr">
        <is>
          <t>4</t>
        </is>
      </c>
      <c r="B5" s="22"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22" t="inlineStr"/>
      <c r="D5" s="22" t="inlineStr">
        <is>
          <t>Refractometry</t>
        </is>
      </c>
      <c r="E5" s="22" t="inlineStr">
        <is>
          <t>Polarimetry</t>
        </is>
      </c>
      <c r="F5" s="22" t="inlineStr">
        <is>
          <t>UV spectroscopy</t>
        </is>
      </c>
      <c r="G5" s="22" t="inlineStr">
        <is>
          <t>HPLC</t>
        </is>
      </c>
      <c r="H5" s="22" t="inlineStr">
        <is>
          <t>Mass spectrometry</t>
        </is>
      </c>
      <c r="I5" s="23" t="inlineStr">
        <is>
          <t>2</t>
        </is>
      </c>
      <c r="J5" s="22"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22" t="inlineStr">
        <is>
          <t>Polarimetry</t>
        </is>
      </c>
      <c r="L5" s="22" t="inlineStr">
        <is>
          <t>ข้อสอบจริง PLE CC 1 (Product) ปี 2567 ข้อ 2</t>
        </is>
      </c>
      <c r="M5" s="22" t="inlineStr">
        <is>
          <t>Spectroscopy</t>
        </is>
      </c>
      <c r="N5" s="22" t="inlineStr">
        <is>
          <t>PLE_CC1_2567_Set1_Key ข้อ 16</t>
        </is>
      </c>
      <c r="O5" s="22" t="inlineStr">
        <is>
          <t>ข้อสอบจริง</t>
        </is>
      </c>
      <c r="P5" s="22" t="inlineStr">
        <is>
          <t>ปี 2567</t>
        </is>
      </c>
      <c r="Q5" s="22" t="inlineStr"/>
    </row>
    <row r="6">
      <c r="A6" s="23" t="inlineStr">
        <is>
          <t>5</t>
        </is>
      </c>
      <c r="B6" s="22"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22" t="inlineStr"/>
      <c r="D6" s="22" t="inlineStr">
        <is>
          <t>Functional group (หมู่ฟังก์ชันในโมเลกุล)</t>
        </is>
      </c>
      <c r="E6" s="22" t="inlineStr">
        <is>
          <t>Electrospray Ionization Mass (m/z)</t>
        </is>
      </c>
      <c r="F6" s="22" t="inlineStr">
        <is>
          <t>Optical Rotation via Polarimeter</t>
        </is>
      </c>
      <c r="G6" s="22" t="inlineStr">
        <is>
          <t>Refractive Index via Abbe Refractometer</t>
        </is>
      </c>
      <c r="H6" s="22" t="inlineStr">
        <is>
          <t>Melting point and thermal behavior</t>
        </is>
      </c>
      <c r="I6" s="23" t="inlineStr">
        <is>
          <t>1</t>
        </is>
      </c>
      <c r="J6" s="22"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22" t="inlineStr">
        <is>
          <t>Infrared (IR) Spectroscopy</t>
        </is>
      </c>
      <c r="L6" s="22" t="inlineStr">
        <is>
          <t>ข้อสอบจริง PLE CC 1 (Product) ปี 2566 ข้อ 4</t>
        </is>
      </c>
      <c r="M6" s="22" t="inlineStr">
        <is>
          <t>Spectroscopy</t>
        </is>
      </c>
      <c r="N6" s="22" t="inlineStr">
        <is>
          <t>PLE-CC1 ปี 2566 Day 1 ข้อ 29</t>
        </is>
      </c>
      <c r="O6" s="22" t="inlineStr">
        <is>
          <t>ข้อสอบจริง</t>
        </is>
      </c>
      <c r="P6" s="22" t="inlineStr">
        <is>
          <t>ปี 2566</t>
        </is>
      </c>
      <c r="Q6" s="22" t="inlineStr"/>
    </row>
    <row r="7">
      <c r="A7" s="23" t="inlineStr">
        <is>
          <t>6</t>
        </is>
      </c>
      <c r="B7" s="22"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22" t="inlineStr"/>
      <c r="D7" s="22" t="inlineStr">
        <is>
          <t>Inductively Coupled Plasma Spectroscopy (ICP-MS หรือ ICP-OES)</t>
        </is>
      </c>
      <c r="E7" s="22" t="inlineStr">
        <is>
          <t>Fourier Transform Infrared Spectroscopy (FT-IR)</t>
        </is>
      </c>
      <c r="F7" s="22" t="inlineStr">
        <is>
          <t>UV-Vis Spectrophotometry</t>
        </is>
      </c>
      <c r="G7" s="22" t="inlineStr">
        <is>
          <t>Refractive Index via Abbe Refractometer</t>
        </is>
      </c>
      <c r="H7" s="22" t="inlineStr">
        <is>
          <t>Differential Scanning Calorimetry (DSC)</t>
        </is>
      </c>
      <c r="I7" s="23" t="inlineStr">
        <is>
          <t>1</t>
        </is>
      </c>
      <c r="J7" s="22"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22" t="inlineStr">
        <is>
          <t>Atomic Spectroscopy &amp; Elemental Impurities</t>
        </is>
      </c>
      <c r="L7" s="22" t="inlineStr">
        <is>
          <t>ข้อสอบจริง PLE CC 1 ปี 2566 Day 2 ข้อ 90</t>
        </is>
      </c>
      <c r="M7" s="22" t="inlineStr">
        <is>
          <t>Spectroscopy</t>
        </is>
      </c>
      <c r="N7" s="22" t="inlineStr">
        <is>
          <t>PLE-CC1 ปี 2566 Day 2 ข้อ 1</t>
        </is>
      </c>
      <c r="O7" s="22" t="inlineStr">
        <is>
          <t>ข้อสอบจริง</t>
        </is>
      </c>
      <c r="P7" s="22" t="inlineStr">
        <is>
          <t>ปี 2566</t>
        </is>
      </c>
      <c r="Q7" s="22" t="inlineStr"/>
    </row>
    <row r="8">
      <c r="A8" s="23" t="inlineStr">
        <is>
          <t>7</t>
        </is>
      </c>
      <c r="B8" s="22"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22" t="inlineStr"/>
      <c r="D8" s="22" t="inlineStr">
        <is>
          <t>Limit of Detection (LOD; ขีดจำกัดต่ำสุดที่สามารถตรวจพบได้)</t>
        </is>
      </c>
      <c r="E8" s="22" t="inlineStr">
        <is>
          <t>Specificity (ความจำเพาะในการตรวจวิเคราะห์ตัวยาสำคัญท่ามกลางสารช่วยในตำรับ)</t>
        </is>
      </c>
      <c r="F8" s="22" t="inlineStr">
        <is>
          <t>Accuracy (ความถูกต้อง โดยประเมินค่า %Recovery)</t>
        </is>
      </c>
      <c r="G8" s="22" t="inlineStr">
        <is>
          <t>Precision (ความเที่ยง ทั้ง Repeatability และ Intermediate precision)</t>
        </is>
      </c>
      <c r="H8" s="22" t="inlineStr">
        <is>
          <t>Linearity and Range (ความเป็นเส้นตรงและช่วงการวิเคราะห์)</t>
        </is>
      </c>
      <c r="I8" s="23" t="inlineStr">
        <is>
          <t>1</t>
        </is>
      </c>
      <c r="J8" s="22"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22" t="inlineStr">
        <is>
          <t>Analytical Method Validation (ICH Q2)</t>
        </is>
      </c>
      <c r="L8" s="22" t="inlineStr">
        <is>
          <t>ข้อสอบจริง PLE CC 1 ปี 2566 Day 2 ข้อ 87</t>
        </is>
      </c>
      <c r="M8" s="22" t="inlineStr">
        <is>
          <t>Spectroscopy</t>
        </is>
      </c>
      <c r="N8" s="22" t="inlineStr">
        <is>
          <t>PLE-CC1 ปี 2566 Day 2 ข้อ 2</t>
        </is>
      </c>
      <c r="O8" s="22" t="inlineStr">
        <is>
          <t>ข้อสอบจริง</t>
        </is>
      </c>
      <c r="P8" s="22" t="inlineStr">
        <is>
          <t>ปี 2566</t>
        </is>
      </c>
      <c r="Q8" s="22" t="inlineStr"/>
    </row>
    <row r="9">
      <c r="A9" s="23" t="inlineStr">
        <is>
          <t>8</t>
        </is>
      </c>
      <c r="B9" s="22"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22" t="inlineStr"/>
      <c r="D9" s="22" t="inlineStr">
        <is>
          <t>Carbonyl group (C=O stretching เช่น ใน ketone, ester, carboxylic acid)</t>
        </is>
      </c>
      <c r="E9" s="22" t="inlineStr">
        <is>
          <t>Hydroxyl group (O-H stretching ใน alcohol หรือ phenol)</t>
        </is>
      </c>
      <c r="F9" s="22" t="inlineStr">
        <is>
          <t>Amine group (N-H stretching ใน primary หรือ secondary amine)</t>
        </is>
      </c>
      <c r="G9" s="22" t="inlineStr">
        <is>
          <t>Alkyne group (C≡C stretching)</t>
        </is>
      </c>
      <c r="H9" s="22" t="inlineStr">
        <is>
          <t>Aromatic ring (C=C aromatic stretching)</t>
        </is>
      </c>
      <c r="I9" s="23" t="inlineStr">
        <is>
          <t>1</t>
        </is>
      </c>
      <c r="J9" s="22"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22" t="inlineStr">
        <is>
          <t>Infrared (IR) Spectroscopy</t>
        </is>
      </c>
      <c r="L9" s="22" t="inlineStr">
        <is>
          <t>ข้อสอบจริง PLE CC 1 ปี 2565 Day 1 ข้อ 45</t>
        </is>
      </c>
      <c r="M9" s="22" t="inlineStr">
        <is>
          <t>Spectroscopy</t>
        </is>
      </c>
      <c r="N9" s="22" t="inlineStr">
        <is>
          <t>PLE-CC1 ปี 2566 Day 2 ข้อ 3</t>
        </is>
      </c>
      <c r="O9" s="22" t="inlineStr">
        <is>
          <t>ข้อสอบจริง</t>
        </is>
      </c>
      <c r="P9" s="22" t="inlineStr">
        <is>
          <t>ปี 2566</t>
        </is>
      </c>
      <c r="Q9" s="22" t="inlineStr"/>
    </row>
    <row r="10">
      <c r="A10" s="23" t="inlineStr">
        <is>
          <t>9</t>
        </is>
      </c>
      <c r="B10" s="22"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22" t="inlineStr"/>
      <c r="D10" s="22" t="inlineStr">
        <is>
          <t>Infrared (IR) Spectroscopy และ X-ray Powder Diffraction (XRPD)</t>
        </is>
      </c>
      <c r="E10" s="22" t="inlineStr">
        <is>
          <t>UV-Vis Spectrophotometry</t>
        </is>
      </c>
      <c r="F10" s="22" t="inlineStr">
        <is>
          <t>Thin Layer Chromatography (TLC)</t>
        </is>
      </c>
      <c r="G10" s="22" t="inlineStr">
        <is>
          <t>Refractive Index</t>
        </is>
      </c>
      <c r="H10" s="22" t="inlineStr">
        <is>
          <t>Loss on Drying</t>
        </is>
      </c>
      <c r="I10" s="23" t="inlineStr">
        <is>
          <t>1</t>
        </is>
      </c>
      <c r="J10" s="22"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22" t="inlineStr">
        <is>
          <t>Polymorphism &amp; Solid-state Spectroscopy</t>
        </is>
      </c>
      <c r="L10" s="22" t="inlineStr">
        <is>
          <t>ข้อสอบจริง PLE CC 1 ปี 2561 ข้อ 2</t>
        </is>
      </c>
      <c r="M10" s="22" t="inlineStr">
        <is>
          <t>Spectroscopy</t>
        </is>
      </c>
      <c r="N10" s="22" t="inlineStr">
        <is>
          <t>PLE_CC1_2564_All_Key ข้อ 136</t>
        </is>
      </c>
      <c r="O10" s="22" t="inlineStr">
        <is>
          <t>ข้อสอบจริง</t>
        </is>
      </c>
      <c r="P10" s="22" t="inlineStr">
        <is>
          <t>ปี 2564</t>
        </is>
      </c>
      <c r="Q10" s="22" t="inlineStr"/>
    </row>
    <row r="11">
      <c r="A11" s="23" t="inlineStr">
        <is>
          <t>9</t>
        </is>
      </c>
      <c r="B11" s="22" t="inlineStr">
        <is>
          <t>โครงสร้าง ethambutol ข้อใดถูก M69608 X neediererz restora ninata do nee ↑</t>
        </is>
      </c>
      <c r="C11" s="22" t="inlineStr"/>
      <c r="D11" s="22" t="inlineStr">
        <is>
          <t>เป็น zwitter ion</t>
        </is>
      </c>
      <c r="E11" s="22" t="inlineStr">
        <is>
          <t>ละลายได้ดีในกรด</t>
        </is>
      </c>
      <c r="F11" s="22" t="inlineStr">
        <is>
          <t>ดูดกลืนแสงช่วง UV</t>
        </is>
      </c>
      <c r="G11" s="22" t="inlineStr">
        <is>
          <t>มี stereomer 1 ตำแหน่ง</t>
        </is>
      </c>
      <c r="H11" s="22" t="inlineStr">
        <is>
          <t>ขับออกได้ดีในสภาวะปัสสาวะเป็นด่าง</t>
        </is>
      </c>
      <c r="I11" s="23" t="inlineStr">
        <is>
          <t>1</t>
        </is>
      </c>
      <c r="J11" s="22"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ข้อนี้ไม่ใช่คำตอบที่ถูกต้องสำหรับภาวะ UV-Vis Spectroscopy เนื่องจากกลไกการออกฤทธิ์, efficacy หรือข้อบ่งใช้ไม่ตรงกับโจทย์ที่กำหนด
• ข้อ ค. (ดูดกลืนแสงช่วง UV): ข้อนี้ไม่ใช่คำตอบที่ถูกต้องสำหรับภาวะ UV-Vis Spectroscopy เนื่องจากกลไกการออกฤทธิ์, efficacy หรือข้อบ่งใช้ไม่ตรงกับโจทย์ที่กำหนด
• ข้อ ง. (มี stereomer 1 ตำแหน่ง): ข้อนี้ไม่ใช่คำตอบที่ถูกต้องสำหรับภาวะ UV-Vis Spectroscopy เนื่องจากกลไกการออกฤทธิ์, efficacy หรือข้อบ่งใช้ไม่ตรงกับโจทย์ที่กำหนด
• ข้อ จ. (ขับออกได้ดีในสภาวะปัสสาวะเป็นด่าง):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2" t="inlineStr"/>
      <c r="L11" s="22" t="inlineStr">
        <is>
          <t>UV-Vis Spectroscopy</t>
        </is>
      </c>
      <c r="M11" s="22" t="inlineStr">
        <is>
          <t>Product</t>
        </is>
      </c>
      <c r="N11" s="22" t="inlineStr">
        <is>
          <t>ข้อ 14 (PLE_CC1_2562_Key.md)</t>
        </is>
      </c>
      <c r="O11" s="22" t="inlineStr">
        <is>
          <t>ข้อสอบจริง</t>
        </is>
      </c>
      <c r="P11" s="22" t="inlineStr">
        <is>
          <t>ปี 2562</t>
        </is>
      </c>
      <c r="Q11" s="22" t="n"/>
    </row>
    <row r="12">
      <c r="A12" s="23" t="inlineStr">
        <is>
          <t>10</t>
        </is>
      </c>
      <c r="B12" s="22"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22" t="inlineStr"/>
      <c r="D12" s="22" t="inlineStr">
        <is>
          <t>Phenyl ring (และ Pyridyl ring ที่มี conjugated double bonds)</t>
        </is>
      </c>
      <c r="E12" s="22" t="inlineStr">
        <is>
          <t>Pyrrolidine ring (วง aliphatic heterocyclic amine)</t>
        </is>
      </c>
      <c r="F12" s="22" t="inlineStr">
        <is>
          <t>Methyl group</t>
        </is>
      </c>
      <c r="G12" s="22" t="inlineStr">
        <is>
          <t>Ethylene bridge ที่ไม่มี conjugation</t>
        </is>
      </c>
      <c r="H12" s="22" t="inlineStr">
        <is>
          <t>Aliphatic tertiary amine</t>
        </is>
      </c>
      <c r="I12" s="23" t="inlineStr">
        <is>
          <t>1</t>
        </is>
      </c>
      <c r="J12" s="22"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22" t="inlineStr">
        <is>
          <t>UV-Vis Spectroscopy</t>
        </is>
      </c>
      <c r="L12" s="22" t="inlineStr">
        <is>
          <t>ข้อสอบจริง PLE CC 1 ปี 2560 Set 1</t>
        </is>
      </c>
      <c r="M12" s="22" t="inlineStr">
        <is>
          <t>Product</t>
        </is>
      </c>
      <c r="N12" s="22" t="inlineStr">
        <is>
          <t>ข้อ 6 (PLE_CC1_2560 22 April Set 1.md)</t>
        </is>
      </c>
      <c r="O12" s="22" t="inlineStr">
        <is>
          <t>ข้อสอบจริง</t>
        </is>
      </c>
      <c r="P12" s="22" t="inlineStr">
        <is>
          <t>ปี 2560</t>
        </is>
      </c>
      <c r="Q12" s="22" t="inlineStr"/>
    </row>
    <row r="13">
      <c r="A13" s="23" t="inlineStr">
        <is>
          <t>11</t>
        </is>
      </c>
      <c r="B13" s="22" t="inlineStr">
        <is>
          <t>ข้อใดคือเครื่องมือที่ใช้พิสูจน์เอกลักษณ์ในการออกฤทธิ์ของยาในข้อ 60</t>
        </is>
      </c>
      <c r="C13" s="22" t="inlineStr"/>
      <c r="D13" s="22" t="inlineStr">
        <is>
          <t>Refractometer</t>
        </is>
      </c>
      <c r="E13" s="22" t="inlineStr">
        <is>
          <t>Polarimeter</t>
        </is>
      </c>
      <c r="F13" s="22" t="inlineStr">
        <is>
          <t>Infrared spectrometer</t>
        </is>
      </c>
      <c r="G13" s="22" t="inlineStr">
        <is>
          <t>Mass spectrometer</t>
        </is>
      </c>
      <c r="H13" s="22" t="inlineStr">
        <is>
          <t>UV-visible spectrometer ห้ามนำไปทำซ้ำทุกกรณี เว้นแต่จะได้รับอนุญาต candidiasis และ trichomonas vaginitis สั่งให้ยา - Tinidazole 500 mg 4x1 - Clotrimazole vaginal tablets 500 mg hs</t>
        </is>
      </c>
      <c r="I13" s="23" t="inlineStr">
        <is>
          <t>1</t>
        </is>
      </c>
      <c r="J13" s="22"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ข้อนี้ไม่ใช่คำตอบที่ถูกต้องสำหรับภาวะ UV-Vis Spectroscopy เนื่องจากกลไกการออกฤทธิ์, efficacy หรือข้อบ่งใช้ไม่ตรงกับโจทย์ที่กำหนด
• ข้อ ค. (Infrared spectrometer): ข้อนี้ไม่ใช่คำตอบที่ถูกต้องสำหรับภาวะ UV-Vis Spectroscopy เนื่องจากกลไกการออกฤทธิ์, efficacy หรือข้อบ่งใช้ไม่ตรงกับโจทย์ที่กำหนด
• ข้อ ง. (Mass spectrometer): ข้อนี้ไม่ใช่คำตอบที่ถูกต้องสำหรับภาวะ UV-Vis Spectroscopy เนื่องจากกลไกการออกฤทธิ์, efficacy หรือข้อบ่งใช้ไม่ตรงกับโจทย์ที่กำหนด
• ข้อ จ. (UV-visible spectrometer ห้ามนำไปทำซ้ำทุกกรณี เว้นแต่จะได้รับอนุญาต candidiasis และ trichomonas vaginitis สั่งให้ยา - Tinidazole 500 mg 4x1 - Clotrimazole vaginal tablets 500 mg hs):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2" t="inlineStr"/>
      <c r="L13" s="22" t="inlineStr">
        <is>
          <t>UV-Vis Spectroscopy</t>
        </is>
      </c>
      <c r="M13" s="22" t="inlineStr">
        <is>
          <t>Product</t>
        </is>
      </c>
      <c r="N13" s="22" t="inlineStr">
        <is>
          <t>ข้อ 61 (PLE_CC1_2559.md)</t>
        </is>
      </c>
      <c r="O13" s="22" t="inlineStr">
        <is>
          <t>ข้อสอบจริง</t>
        </is>
      </c>
      <c r="P13" s="22" t="inlineStr">
        <is>
          <t>ปี 2559</t>
        </is>
      </c>
      <c r="Q13" s="22" t="n"/>
    </row>
    <row r="14">
      <c r="A14" s="23" t="inlineStr">
        <is>
          <t>12</t>
        </is>
      </c>
      <c r="B14" s="22" t="inlineStr">
        <is>
          <t>ข้อใดถูกต้องเกี่ยวกับกระบวนเมแทบอลิซึมของ metformin</t>
        </is>
      </c>
      <c r="C14" s="22" t="inlineStr"/>
      <c r="D14" s="22" t="inlineStr">
        <is>
          <t>มีค่าชีวิตยาว เนื่องจากต้องถูกทำลายด้วยเอนไซม์ไซโตรโคมพี 450 หลายไอโซฟอร์ม</t>
        </is>
      </c>
      <c r="E14" s="22" t="inlineStr">
        <is>
          <t>มีค่าชีวิตยาว เนื่องจากต้องถูกทำลายด้วยเอนไซม์ทรานเฟอร์เรสหลายชนิด</t>
        </is>
      </c>
      <c r="F14" s="22" t="inlineStr">
        <is>
          <t>มีค่าชีวิตยาว เนื่องจากไม่สามารถถูกทำลายได้ด้วยกระบวนการเมแทบอลิซึมในร่างกาย</t>
        </is>
      </c>
      <c r="G14" s="22" t="inlineStr">
        <is>
          <t>มีค่าครึ่งยาว เนื่องจากมีใช้เวลาในการดูดซึมนาน</t>
        </is>
      </c>
      <c r="H14" s="22" t="inlineStr">
        <is>
          <t>มีค่าครึ่งยาว เนื่องจากมีการกระจายตัวในร่างกายที่ต่ำ</t>
        </is>
      </c>
      <c r="I14" s="23" t="inlineStr">
        <is>
          <t>1</t>
        </is>
      </c>
      <c r="J14" s="22"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ข้อนี้ไม่ใช่คำตอบที่ถูกต้องสำหรับภาวะ UV-Vis Spectroscopy เนื่องจากกลไกการออกฤทธิ์, efficacy หรือข้อบ่งใช้ไม่ตรงกับโจทย์ที่กำหนด
• ข้อ ค. (มีค่าชีวิตยาว เนื่องจากไม่สามารถถูกทำลายได้ด้วยกระบวนการเมแทบอลิซึมในร่างกาย): ข้อนี้ไม่ใช่คำตอบที่ถูกต้องสำหรับภาวะ UV-Vis Spectroscopy เนื่องจากกลไกการออกฤทธิ์, efficacy หรือข้อบ่งใช้ไม่ตรงกับโจทย์ที่กำหนด
• ข้อ ง. (มีค่าครึ่งยาว เนื่องจากมีใช้เวลาในการดูดซึมนาน): ข้อนี้ไม่ใช่คำตอบที่ถูกต้องสำหรับภาวะ UV-Vis Spectroscopy เนื่องจากกลไกการออกฤทธิ์, efficacy หรือข้อบ่งใช้ไม่ตรงกับโจทย์ที่กำหนด
• ข้อ จ. (มีค่าครึ่งยาว เนื่องจากมีการกระจายตัวในร่างกายที่ต่ำ):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2" t="inlineStr"/>
      <c r="L14" s="22" t="inlineStr">
        <is>
          <t>UV-Vis Spectroscopy</t>
        </is>
      </c>
      <c r="M14" s="22" t="inlineStr">
        <is>
          <t>Product</t>
        </is>
      </c>
      <c r="N14" s="22" t="inlineStr">
        <is>
          <t>ข้อ 93 (Pharmtutor_2024_Set1.md)</t>
        </is>
      </c>
      <c r="O14" s="22" t="inlineStr">
        <is>
          <t>Mock</t>
        </is>
      </c>
      <c r="P14" s="22" t="inlineStr">
        <is>
          <t>Mock Pharmtutor 2024</t>
        </is>
      </c>
      <c r="Q14" s="22" t="n"/>
    </row>
    <row r="15">
      <c r="A15" s="23" t="inlineStr">
        <is>
          <t>13</t>
        </is>
      </c>
      <c r="B15" s="22" t="inlineStr">
        <is>
          <t>ยาสูตรใด มีความเป็นพิษต่อตับน้อยที_x001e_สุด (1) 2RZE / 10RE (2) 2SHE / 10HE (3) 2HRE / 7HR (4) 2SHRE / 6HR (5) 18-24SEO MCQ 12 | 1/2557 | Page 17</t>
        </is>
      </c>
      <c r="C15" s="22" t="inlineStr"/>
      <c r="D15" s="22" t="inlineStr">
        <is>
          <t>Differential Scanning Calorimetry (DSC)</t>
        </is>
      </c>
      <c r="E15" s="22" t="inlineStr">
        <is>
          <t>UV-Vis Spectrophotometry at lambda max</t>
        </is>
      </c>
      <c r="F15" s="22" t="inlineStr">
        <is>
          <t>FTIR Spectroscopy (Attenuated Total Reflection)</t>
        </is>
      </c>
      <c r="G15" s="22" t="inlineStr">
        <is>
          <t>Proton NMR (1H-NMR) Spectroscopy</t>
        </is>
      </c>
      <c r="H15" s="22" t="inlineStr">
        <is>
          <t>Carbon-13 NMR (13C-NMR) Spectroscopy</t>
        </is>
      </c>
      <c r="I15" s="23" t="inlineStr">
        <is>
          <t>1</t>
        </is>
      </c>
      <c r="J15" s="22"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ข้อนี้ไม่ใช่คำตอบที่ถูกต้องสำหรับภาวะ UV-Vis Spectroscopy เนื่องจากกลไกการออกฤทธิ์, efficacy หรือข้อบ่งใช้ไม่ตรงกับโจทย์ที่กำหนด
• ข้อ ค. (FTIR Spectroscopy (Attenuated Total Reflection)): ข้อนี้ไม่ใช่คำตอบที่ถูกต้องสำหรับภาวะ UV-Vis Spectroscopy เนื่องจากกลไกการออกฤทธิ์, efficacy หรือข้อบ่งใช้ไม่ตรงกับโจทย์ที่กำหนด
• ข้อ ง. (Proton NMR (1H-NMR) Spectroscopy): ข้อนี้ไม่ใช่คำตอบที่ถูกต้องสำหรับภาวะ UV-Vis Spectroscopy เนื่องจากกลไกการออกฤทธิ์, efficacy หรือข้อบ่งใช้ไม่ตรงกับโจทย์ที่กำหนด
• ข้อ จ.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2" t="inlineStr"/>
      <c r="L15" s="22" t="inlineStr">
        <is>
          <t>UV-Vis Spectroscopy</t>
        </is>
      </c>
      <c r="M15" s="22" t="inlineStr">
        <is>
          <t>Product</t>
        </is>
      </c>
      <c r="N15" s="22" t="inlineStr">
        <is>
          <t>ข้อ 20 (PLE_CC1_2557.md)</t>
        </is>
      </c>
      <c r="O15" s="22" t="inlineStr">
        <is>
          <t>ข้อสอบจริง</t>
        </is>
      </c>
      <c r="P15" s="22" t="inlineStr">
        <is>
          <t>ปี 2557</t>
        </is>
      </c>
      <c r="Q15" s="22" t="n"/>
    </row>
    <row r="16">
      <c r="A16" s="23" t="inlineStr">
        <is>
          <t>14</t>
        </is>
      </c>
      <c r="B16" s="22" t="inlineStr">
        <is>
          <t>โครงสร้างของยาในข้อใด สามารถใช้ specific rotation เพื_x001e_อระบุเอกลักษณ์ของยาได้ (1) (2) (3) (4) (5)</t>
        </is>
      </c>
      <c r="C16" s="22" t="inlineStr"/>
      <c r="D16" s="22" t="inlineStr">
        <is>
          <t>Proton NMR (1H-NMR) Spectroscopy</t>
        </is>
      </c>
      <c r="E16" s="22" t="inlineStr">
        <is>
          <t>Carbon-13 NMR (13C-NMR) Spectroscopy</t>
        </is>
      </c>
      <c r="F16" s="22" t="inlineStr">
        <is>
          <t>Electrospray Ionization Mass Spectrometry (ESI-MS)</t>
        </is>
      </c>
      <c r="G16" s="22" t="inlineStr">
        <is>
          <t>Optical Rotation via Polarimeter</t>
        </is>
      </c>
      <c r="H16" s="22" t="inlineStr">
        <is>
          <t>Refractive Index via Abbe Refractometer</t>
        </is>
      </c>
      <c r="I16" s="23" t="inlineStr">
        <is>
          <t>1</t>
        </is>
      </c>
      <c r="J16" s="22"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ง. (Optical Rotation via Polarimeter): ข้อนี้ไม่ใช่คำตอบที่ถูกต้องสำหรับภาวะ Polarimetry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2" t="inlineStr"/>
      <c r="L16" s="22" t="inlineStr">
        <is>
          <t>Polarimetry</t>
        </is>
      </c>
      <c r="M16" s="22" t="inlineStr">
        <is>
          <t>Product</t>
        </is>
      </c>
      <c r="N16" s="22" t="inlineStr">
        <is>
          <t>ข้อ 21 (PLE_CC1_2557.md)</t>
        </is>
      </c>
      <c r="O16" s="22" t="inlineStr">
        <is>
          <t>ข้อสอบจริง</t>
        </is>
      </c>
      <c r="P16" s="22" t="inlineStr">
        <is>
          <t>ปี 2557</t>
        </is>
      </c>
      <c r="Q16" s="22" t="n"/>
    </row>
    <row r="17">
      <c r="A17" s="23" t="inlineStr">
        <is>
          <t>15</t>
        </is>
      </c>
      <c r="B17" s="22"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22" t="inlineStr"/>
      <c r="D17" s="22" t="inlineStr">
        <is>
          <t>Optical Rotation via Polarimeter</t>
        </is>
      </c>
      <c r="E17" s="22" t="inlineStr">
        <is>
          <t>Refractive Index via Abbe Refractometer</t>
        </is>
      </c>
      <c r="F17" s="22" t="inlineStr">
        <is>
          <t>Fluorescence Spectrophotometry</t>
        </is>
      </c>
      <c r="G17" s="22" t="inlineStr">
        <is>
          <t>Atomic Absorption Spectrophotometry (AAS)</t>
        </is>
      </c>
      <c r="H17" s="22" t="inlineStr">
        <is>
          <t>Differential Scanning Calorimetry (DSC)</t>
        </is>
      </c>
      <c r="I17" s="23" t="inlineStr">
        <is>
          <t>1</t>
        </is>
      </c>
      <c r="J17" s="22"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ข้อ ค. (Fluorescence Spectrophotometry): ข้อนี้ไม่ใช่คำตอบที่ถูกต้องสำหรับภาวะ Polarimetry เนื่องจากกลไกการออกฤทธิ์, efficacy หรือข้อบ่งใช้ไม่ตรงกับโจทย์ที่กำหนด
• ข้อ ง. (Atomic Absorption Spectrophotometry (AAS)): ข้อนี้ไม่ใช่คำตอบที่ถูกต้องสำหรับภาวะ Polarimetry เนื่องจากกลไกการออกฤทธิ์, efficacy หรือข้อบ่งใช้ไม่ตรงกับโจทย์ที่กำหนด
• ข้อ จ. (Differential Scanning Calorimetry (DSC)):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2" t="inlineStr"/>
      <c r="L17" s="22" t="inlineStr">
        <is>
          <t>Polarimetry</t>
        </is>
      </c>
      <c r="M17" s="22" t="inlineStr">
        <is>
          <t>Product</t>
        </is>
      </c>
      <c r="N17" s="22" t="inlineStr">
        <is>
          <t>ข้อ 65 (PLE_CC1_2557.md)</t>
        </is>
      </c>
      <c r="O17" s="22" t="inlineStr">
        <is>
          <t>ข้อสอบจริง</t>
        </is>
      </c>
      <c r="P17" s="22" t="inlineStr">
        <is>
          <t>ปี 2557</t>
        </is>
      </c>
      <c r="Q17" s="22" t="n"/>
    </row>
    <row r="18">
      <c r="A18" s="23" t="inlineStr">
        <is>
          <t>16</t>
        </is>
      </c>
      <c r="B18" s="22" t="inlineStr">
        <is>
          <t>ยาที่มี Polymoph ต่างกันจะมีคุณสมบัติที่แตกต่างกัน ยกเว้น ข้อใด</t>
        </is>
      </c>
      <c r="C18" s="22" t="inlineStr"/>
      <c r="D18" s="22" t="inlineStr">
        <is>
          <t>ความคงตัว</t>
        </is>
      </c>
      <c r="E18" s="22" t="inlineStr">
        <is>
          <t>ค่าการละลาย</t>
        </is>
      </c>
      <c r="F18" s="22" t="inlineStr">
        <is>
          <t>ประสิทธิภาพในการรักษา</t>
        </is>
      </c>
      <c r="G18" s="22" t="inlineStr">
        <is>
          <t>ค่าคงที่การดูดกลืนแสง</t>
        </is>
      </c>
      <c r="H18" s="22" t="inlineStr">
        <is>
          <t>การหักเหของแสง คณะเภสัชศาสตร์ มหาวิทยาลัยเชียงใหม่ Rx 44 CMU</t>
        </is>
      </c>
      <c r="I18" s="23" t="inlineStr">
        <is>
          <t>1</t>
        </is>
      </c>
      <c r="J18" s="22"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ข้อนี้ไม่ใช่คำตอบที่ถูกต้องสำหรับภาวะ UV-Vis Spectroscopy เนื่องจากกลไกการออกฤทธิ์, efficacy หรือข้อบ่งใช้ไม่ตรงกับโจทย์ที่กำหนด
• ข้อ ค. (ประสิทธิภาพในการรักษา): ข้อนี้ไม่ใช่คำตอบที่ถูกต้องสำหรับภาวะ UV-Vis Spectroscopy เนื่องจากกลไกการออกฤทธิ์, efficacy หรือข้อบ่งใช้ไม่ตรงกับโจทย์ที่กำหนด
• ข้อ ง. (ค่าคงที่การดูดกลืนแสง): ข้อนี้ไม่ใช่คำตอบที่ถูกต้องสำหรับภาวะ UV-Vis Spectroscopy เนื่องจากกลไกการออกฤทธิ์, efficacy หรือข้อบ่งใช้ไม่ตรงกับโจทย์ที่กำหนด
• ข้อ จ. (การหักเหของแสง คณะเภสัชศาสตร์ มหาวิทยาลัยเชียงใหม่ Rx 44 CMU):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2" t="inlineStr"/>
      <c r="L18" s="22" t="inlineStr">
        <is>
          <t>UV-Vis Spectroscopy</t>
        </is>
      </c>
      <c r="M18" s="22" t="inlineStr">
        <is>
          <t>Product</t>
        </is>
      </c>
      <c r="N18" s="22" t="inlineStr">
        <is>
          <t>ข้อ 89 (PLE_CC1_2555 Day 1.md)</t>
        </is>
      </c>
      <c r="O18" s="22" t="inlineStr">
        <is>
          <t>ข้อสอบจริง</t>
        </is>
      </c>
      <c r="P18" s="22" t="inlineStr">
        <is>
          <t>ปี 2555</t>
        </is>
      </c>
      <c r="Q18" s="22" t="n"/>
    </row>
    <row r="19">
      <c r="A19" s="23" t="inlineStr">
        <is>
          <t>17</t>
        </is>
      </c>
      <c r="B19" s="22" t="inlineStr">
        <is>
          <t>Specific rotation by polarimeter</t>
        </is>
      </c>
      <c r="C19" s="22" t="inlineStr"/>
      <c r="D19" s="22" t="inlineStr">
        <is>
          <t>FTIR Spectroscopy (Attenuated Total Reflection)</t>
        </is>
      </c>
      <c r="E19" s="22" t="inlineStr">
        <is>
          <t>Proton NMR (1H-NMR) Spectroscopy</t>
        </is>
      </c>
      <c r="F19" s="22" t="inlineStr">
        <is>
          <t>Carbon-13 NMR (13C-NMR) Spectroscopy</t>
        </is>
      </c>
      <c r="G19" s="22" t="inlineStr">
        <is>
          <t>Electrospray Ionization Mass Spectrometry (ESI-MS)</t>
        </is>
      </c>
      <c r="H19" s="22" t="inlineStr">
        <is>
          <t>Optical Rotation via Polarimeter</t>
        </is>
      </c>
      <c r="I19" s="23" t="inlineStr">
        <is>
          <t>1</t>
        </is>
      </c>
      <c r="J19" s="22"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ข้อนี้ไม่ใช่คำตอบที่ถูกต้องสำหรับภาวะ Polarimetry เนื่องจากกลไกการออกฤทธิ์, efficacy หรือข้อบ่งใช้ไม่ตรงกับโจทย์ที่กำหนด
• ข้อ ค.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จ. (Optical Rotation via Polarimeter):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2" t="inlineStr"/>
      <c r="L19" s="22" t="inlineStr">
        <is>
          <t>Polarimetry</t>
        </is>
      </c>
      <c r="M19" s="22" t="inlineStr">
        <is>
          <t>Product</t>
        </is>
      </c>
      <c r="N19" s="22" t="inlineStr">
        <is>
          <t>ข้อ 3 (PLE_CC1_2555 Day 2.md)</t>
        </is>
      </c>
      <c r="O19" s="22" t="inlineStr">
        <is>
          <t>ข้อสอบจริง</t>
        </is>
      </c>
      <c r="P19" s="22" t="inlineStr">
        <is>
          <t>ปี 2555</t>
        </is>
      </c>
      <c r="Q19" s="22" t="n"/>
    </row>
    <row r="20">
      <c r="A20" s="23" t="inlineStr">
        <is>
          <t>18</t>
        </is>
      </c>
      <c r="B20" s="22" t="inlineStr">
        <is>
          <t>Spectrofluorometry</t>
        </is>
      </c>
      <c r="C20" s="22" t="inlineStr"/>
      <c r="D20" s="22" t="inlineStr">
        <is>
          <t>Electrospray Ionization Mass Spectrometry (ESI-MS)</t>
        </is>
      </c>
      <c r="E20" s="22" t="inlineStr">
        <is>
          <t>Optical Rotation via Polarimeter</t>
        </is>
      </c>
      <c r="F20" s="22" t="inlineStr">
        <is>
          <t>Refractive Index via Abbe Refractometer</t>
        </is>
      </c>
      <c r="G20" s="22" t="inlineStr">
        <is>
          <t>Fluorescence Spectrophotometry</t>
        </is>
      </c>
      <c r="H20" s="22" t="inlineStr">
        <is>
          <t>Atomic Absorption Spectrophotometry (AAS)</t>
        </is>
      </c>
      <c r="I20" s="23" t="inlineStr">
        <is>
          <t>1</t>
        </is>
      </c>
      <c r="J20" s="22"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ค.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ง.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ข้อ จ. (Atomic Absorption Spectrophotometry (AAS)):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2" t="inlineStr"/>
      <c r="L20" s="22" t="inlineStr">
        <is>
          <t>UV-Vis Spectroscopy</t>
        </is>
      </c>
      <c r="M20" s="22" t="inlineStr">
        <is>
          <t>Product</t>
        </is>
      </c>
      <c r="N20" s="22" t="inlineStr">
        <is>
          <t>ข้อ 3 (PLE_CC1_2555 Day 2.md)</t>
        </is>
      </c>
      <c r="O20" s="22" t="inlineStr">
        <is>
          <t>ข้อสอบจริง</t>
        </is>
      </c>
      <c r="P20" s="22" t="inlineStr">
        <is>
          <t>ปี 2555</t>
        </is>
      </c>
      <c r="Q20" s="22" t="n"/>
    </row>
    <row r="21">
      <c r="A21" s="23" t="inlineStr">
        <is>
          <t>19</t>
        </is>
      </c>
      <c r="B21" s="22"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22" t="inlineStr"/>
      <c r="D21" s="22" t="inlineStr">
        <is>
          <t>X-ray Powder Diffraction (XRPD) และ Differential Scanning Calorimetry (DSC)</t>
        </is>
      </c>
      <c r="E21" s="22" t="inlineStr">
        <is>
          <t>Mass Spectrometry (MS)</t>
        </is>
      </c>
      <c r="F21" s="22" t="inlineStr">
        <is>
          <t>Refractometry</t>
        </is>
      </c>
      <c r="G21" s="22" t="inlineStr">
        <is>
          <t>Polarimetry</t>
        </is>
      </c>
      <c r="H21" s="22" t="inlineStr">
        <is>
          <t>Gas Chromatography (GC)</t>
        </is>
      </c>
      <c r="I21" s="23" t="inlineStr">
        <is>
          <t>1</t>
        </is>
      </c>
      <c r="J21" s="22"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22" t="inlineStr">
        <is>
          <t>Solid-State Characterization &amp; Thermal Analysis</t>
        </is>
      </c>
      <c r="L21" s="22" t="inlineStr">
        <is>
          <t>ข้อสอบจริง PLE CC 1 (Polymorphism &amp; Solid-state)</t>
        </is>
      </c>
      <c r="M21" s="22" t="inlineStr">
        <is>
          <t>Product</t>
        </is>
      </c>
      <c r="N21" s="22" t="inlineStr">
        <is>
          <t>ข้อ 19 (PLE_CC1_2554 SET2.md)</t>
        </is>
      </c>
      <c r="O21" s="22" t="inlineStr">
        <is>
          <t>ข้อสอบจริง</t>
        </is>
      </c>
      <c r="P21" s="22" t="inlineStr">
        <is>
          <t>ปี 2554</t>
        </is>
      </c>
      <c r="Q21" s="22" t="inlineStr"/>
    </row>
    <row r="22">
      <c r="A22" s="23" t="inlineStr">
        <is>
          <t>20</t>
        </is>
      </c>
      <c r="B22" s="22"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22" t="inlineStr"/>
      <c r="D22" s="22" t="inlineStr">
        <is>
          <t>a = A / (b × c)</t>
        </is>
      </c>
      <c r="E22" s="22" t="inlineStr">
        <is>
          <t>a = (A × b) / c</t>
        </is>
      </c>
      <c r="F22" s="22" t="inlineStr">
        <is>
          <t>a = (A × c) / b</t>
        </is>
      </c>
      <c r="G22" s="22" t="inlineStr">
        <is>
          <t>a = (b × c) / A</t>
        </is>
      </c>
      <c r="H22" s="22" t="inlineStr">
        <is>
          <t>a = A - (b × c)</t>
        </is>
      </c>
      <c r="I22" s="23" t="inlineStr">
        <is>
          <t>1</t>
        </is>
      </c>
      <c r="J22" s="22"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22" t="inlineStr">
        <is>
          <t>UV-Vis Spectroscopy</t>
        </is>
      </c>
      <c r="L22" s="22" t="inlineStr">
        <is>
          <t>ข้อสอบจริง PLE CC 1 (Beer-Lambert Law)</t>
        </is>
      </c>
      <c r="M22" s="22" t="inlineStr">
        <is>
          <t>Product</t>
        </is>
      </c>
      <c r="N22" s="22" t="inlineStr">
        <is>
          <t>ข้อ 5 (PLE_CC1_2533.md)</t>
        </is>
      </c>
      <c r="O22" s="22" t="inlineStr">
        <is>
          <t>ข้อสอบจริง</t>
        </is>
      </c>
      <c r="P22" s="22" t="inlineStr">
        <is>
          <t>ปี 2533</t>
        </is>
      </c>
      <c r="Q22" s="22" t="inlineStr"/>
    </row>
    <row r="23">
      <c r="A23" s="23" t="inlineStr">
        <is>
          <t>21</t>
        </is>
      </c>
      <c r="B23" s="22" t="inlineStr">
        <is>
          <t>UV spectrophotometry</t>
        </is>
      </c>
      <c r="C23" s="22" t="inlineStr"/>
      <c r="D23" s="22" t="inlineStr">
        <is>
          <t>Carbon-13 NMR (13C-NMR) Spectroscopy</t>
        </is>
      </c>
      <c r="E23" s="22" t="inlineStr">
        <is>
          <t>Electrospray Ionization Mass Spectrometry (ESI-MS)</t>
        </is>
      </c>
      <c r="F23" s="22" t="inlineStr">
        <is>
          <t>Optical Rotation via Polarimeter</t>
        </is>
      </c>
      <c r="G23" s="22" t="inlineStr">
        <is>
          <t>Refractive Index via Abbe Refractometer</t>
        </is>
      </c>
      <c r="H23" s="22" t="inlineStr">
        <is>
          <t>Fluorescence Spectrophotometry</t>
        </is>
      </c>
      <c r="I23" s="23" t="inlineStr">
        <is>
          <t>1</t>
        </is>
      </c>
      <c r="J23" s="22"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ค.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ง.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จ.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2" t="inlineStr"/>
      <c r="L23" s="22" t="inlineStr">
        <is>
          <t>UV-Vis Spectroscopy</t>
        </is>
      </c>
      <c r="M23" s="22" t="inlineStr">
        <is>
          <t>Product</t>
        </is>
      </c>
      <c r="N23" s="22" t="inlineStr">
        <is>
          <t>ข้อ 4 (PLE_CC1_2533.md)</t>
        </is>
      </c>
      <c r="O23" s="22" t="inlineStr">
        <is>
          <t>ข้อสอบจริง</t>
        </is>
      </c>
      <c r="P23" s="22" t="inlineStr">
        <is>
          <t>ปี 2533</t>
        </is>
      </c>
      <c r="Q23" s="22" t="n"/>
    </row>
    <row r="24">
      <c r="A24" s="23" t="inlineStr">
        <is>
          <t>22</t>
        </is>
      </c>
      <c r="B24" s="22" t="inlineStr">
        <is>
          <t>โครงสร้างของยาใด สามารถใช้ specific rotation เพื่อระบุเอกลักษณ์ (identification) ได้</t>
        </is>
      </c>
      <c r="C24" s="22" t="inlineStr"/>
      <c r="D24" s="22" t="inlineStr">
        <is>
          <t>Pyrazinamide</t>
        </is>
      </c>
      <c r="E24" s="22" t="inlineStr">
        <is>
          <t>Para-aminosalicylic acid</t>
        </is>
      </c>
      <c r="F24" s="22" t="inlineStr">
        <is>
          <t>Ethionamide</t>
        </is>
      </c>
      <c r="G24" s="22"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22"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23" t="inlineStr">
        <is>
          <t>1</t>
        </is>
      </c>
      <c r="J24" s="22"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ข้อนี้ไม่ใช่คำตอบที่ถูกต้องสำหรับภาวะ Polarimetry เนื่องจากกลไกการออกฤทธิ์, efficacy หรือข้อบ่งใช้ไม่ตรงกับโจทย์ที่กำหนด
• ข้อ ค. (Ethionamide): ข้อนี้ไม่ใช่คำตอบที่ถูกต้องสำหรับภาวะ Polarimetry เนื่องจากกลไกการออกฤทธิ์, efficacy หรือข้อบ่งใช้ไม่ตรงกับโจทย์ที่กำหนด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Polarimetry เนื่องจากกลไกการออกฤทธิ์, efficacy หรือข้อบ่งใช้ไม่ตรงกับโจทย์ที่กำหนด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2" t="inlineStr"/>
      <c r="L24" s="22" t="inlineStr">
        <is>
          <t>Polarimetry</t>
        </is>
      </c>
      <c r="M24" s="22" t="inlineStr">
        <is>
          <t>Product</t>
        </is>
      </c>
      <c r="N24" s="22" t="inlineStr">
        <is>
          <t>ข้อ 16 (PLE_CC1_Practice_Exam.md)</t>
        </is>
      </c>
      <c r="O24" s="22" t="inlineStr">
        <is>
          <t>Mock</t>
        </is>
      </c>
      <c r="P24" s="22" t="inlineStr">
        <is>
          <t>Mock สภาเภสัชฯ Practice</t>
        </is>
      </c>
      <c r="Q24" s="22" t="n"/>
    </row>
    <row r="25">
      <c r="A25" s="23" t="inlineStr">
        <is>
          <t>23</t>
        </is>
      </c>
      <c r="B25" s="22" t="inlineStr">
        <is>
          <t>ข้อใดไม่ใช่กลไกการดื้อยาของ Oxytetracyclin</t>
        </is>
      </c>
      <c r="C25" s="22" t="inlineStr"/>
      <c r="D25" s="22" t="inlineStr">
        <is>
          <t>สร้างเอนไซม์มาทำลายยา</t>
        </is>
      </c>
      <c r="E25" s="22" t="inlineStr">
        <is>
          <t>ยับยั้งเอนไซม์ peptidyl transferase</t>
        </is>
      </c>
      <c r="F25" s="22" t="inlineStr">
        <is>
          <t>ขับยาออกนอกเซลล์โดยกระบวนการ active transport</t>
        </is>
      </c>
      <c r="G25" s="22" t="inlineStr">
        <is>
          <t>เปลี่ยนโครงสร้างของไรโบโซม ทำให้ยาจับไม่ได้</t>
        </is>
      </c>
      <c r="H25" s="22"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23" t="inlineStr">
        <is>
          <t>1</t>
        </is>
      </c>
      <c r="J25" s="22"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ข้อนี้ไม่ใช่คำตอบที่ถูกต้องสำหรับภาวะ UV-Vis Spectroscopy เนื่องจากกลไกการออกฤทธิ์, efficacy หรือข้อบ่งใช้ไม่ตรงกับโจทย์ที่กำหนด
• ข้อ ค. (ขับยาออกนอกเซลล์โดยกระบวนการ active transport): ข้อนี้ไม่ใช่คำตอบที่ถูกต้องสำหรับภาวะ UV-Vis Spectroscopy เนื่องจากกลไกการออกฤทธิ์, efficacy หรือข้อบ่งใช้ไม่ตรงกับโจทย์ที่กำหนด
• ข้อ ง. (เปลี่ยนโครงสร้างของไรโบโซม ทำให้ยาจับไม่ได้): ข้อนี้ไม่ใช่คำตอบที่ถูกต้องสำหรับภาวะ UV-Vis Spectroscopy เนื่องจากกลไกการออกฤทธิ์, efficacy หรือข้อบ่งใช้ไม่ตรงกับโจทย์ที่กำหนด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2" t="inlineStr"/>
      <c r="L25" s="22" t="inlineStr">
        <is>
          <t>UV-Vis Spectroscopy</t>
        </is>
      </c>
      <c r="M25" s="22" t="inlineStr">
        <is>
          <t>Product</t>
        </is>
      </c>
      <c r="N25" s="22" t="inlineStr">
        <is>
          <t>ข้อ 13 (PLE_CC1_Practice_Exam.md)</t>
        </is>
      </c>
      <c r="O25" s="22" t="inlineStr">
        <is>
          <t>Mock</t>
        </is>
      </c>
      <c r="P25" s="22" t="inlineStr">
        <is>
          <t>Mock สภาเภสัชฯ Practice</t>
        </is>
      </c>
      <c r="Q25" s="22" t="n"/>
    </row>
    <row r="26">
      <c r="A26" s="23" t="inlineStr">
        <is>
          <t>24</t>
        </is>
      </c>
      <c r="B26" s="22" t="inlineStr">
        <is>
          <t>Atomic spectroscopy</t>
        </is>
      </c>
      <c r="C26" s="22" t="inlineStr"/>
      <c r="D26" s="22" t="inlineStr">
        <is>
          <t>Proton NMR (1H-NMR) Spectroscopy</t>
        </is>
      </c>
      <c r="E26" s="22" t="inlineStr">
        <is>
          <t>Carbon-13 NMR (13C-NMR) Spectroscopy</t>
        </is>
      </c>
      <c r="F26" s="22" t="inlineStr">
        <is>
          <t>Electrospray Ionization Mass Spectrometry (ESI-MS)</t>
        </is>
      </c>
      <c r="G26" s="22" t="inlineStr">
        <is>
          <t>Optical Rotation via Polarimeter</t>
        </is>
      </c>
      <c r="H26" s="22" t="inlineStr">
        <is>
          <t>Refractive Index via Abbe Refractometer</t>
        </is>
      </c>
      <c r="I26" s="23" t="inlineStr">
        <is>
          <t>1</t>
        </is>
      </c>
      <c r="J26" s="22"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ง.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2" t="inlineStr"/>
      <c r="L26" s="22" t="inlineStr">
        <is>
          <t>UV-Vis Spectroscopy</t>
        </is>
      </c>
      <c r="M26" s="22" t="inlineStr">
        <is>
          <t>Product</t>
        </is>
      </c>
      <c r="N26" s="22" t="inlineStr">
        <is>
          <t>ข้อ 3 (PLE_CC1_Key_Rx20_UBU.md)</t>
        </is>
      </c>
      <c r="O26" s="22" t="inlineStr">
        <is>
          <t>Mock</t>
        </is>
      </c>
      <c r="P26" s="22" t="inlineStr">
        <is>
          <t>Mock Rx20 UBU</t>
        </is>
      </c>
      <c r="Q26" s="22" t="n"/>
    </row>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U17"/>
  <sheetViews>
    <sheetView workbookViewId="0">
      <pane ySplit="2" topLeftCell="A3" activePane="bottomLeft" state="frozen"/>
      <selection pane="bottomLeft" activeCell="B4" sqref="B4"/>
    </sheetView>
  </sheetViews>
  <sheetFormatPr baseColWidth="8" defaultColWidth="12.63" defaultRowHeight="15.75" customHeight="1"/>
  <cols>
    <col width="36.75" customWidth="1" style="52" min="2" max="2"/>
  </cols>
  <sheetData>
    <row r="1" ht="26.25" customHeight="1" s="52">
      <c r="A1" s="4">
        <f>HYPERLINK("#gid=0", "🏠 กลับสู่หน้าแรก (Go to Home Page)")</f>
        <v/>
      </c>
    </row>
    <row r="2">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18" t="inlineStr">
        <is>
          <t>ประเภทข้อสอบ</t>
        </is>
      </c>
      <c r="P2" s="18" t="inlineStr">
        <is>
          <t>ปี / เลขชุด</t>
        </is>
      </c>
    </row>
    <row r="3">
      <c r="A3" s="15" t="inlineStr">
        <is>
          <t>1</t>
        </is>
      </c>
      <c r="B3" s="18" t="inlineStr">
        <is>
          <t>ข้อใดกล่าวไม่ถูกต้องเกี่ยวกับการเรียกเก็บยาคืนตามเกณฑ์ของ GMP</t>
        </is>
      </c>
      <c r="C3" s="18" t="inlineStr"/>
      <c r="D3" s="18" t="inlineStr">
        <is>
          <t>มีแผนกเรียกเก็บยาคืน</t>
        </is>
      </c>
      <c r="E3" s="18" t="inlineStr">
        <is>
          <t>ยาที่มีปัญหาระดับ 1 ต้องเรียกคืนทันที</t>
        </is>
      </c>
      <c r="F3" s="18" t="inlineStr">
        <is>
          <t>ต้องเก็บสินค้าออกจากท้องตลาดได้เลยทันที</t>
        </is>
      </c>
      <c r="G3" s="18" t="inlineStr">
        <is>
          <t>ต้องรายงานองค์การอาหารและยาภายใน 15 วัน</t>
        </is>
      </c>
      <c r="H3" s="18" t="inlineStr">
        <is>
          <t>การเรียกเก็บยาคืนเป็นหน้าที่ของฝ่ายการตลาดและฝ่ายขาย</t>
        </is>
      </c>
      <c r="I3" s="15" t="inlineStr">
        <is>
          <t>5</t>
        </is>
      </c>
      <c r="J3" s="18"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18" t="inlineStr"/>
      <c r="L3" s="18" t="inlineStr">
        <is>
          <t>GMP Regulations</t>
        </is>
      </c>
      <c r="M3" s="18" t="inlineStr">
        <is>
          <t>Product</t>
        </is>
      </c>
      <c r="N3" s="18" t="inlineStr">
        <is>
          <t>ข้อสอบเก่า 2561 ข้อ 18</t>
        </is>
      </c>
      <c r="O3" s="18" t="inlineStr">
        <is>
          <t>ข้อสอบเก่า</t>
        </is>
      </c>
      <c r="P3" s="15" t="inlineStr">
        <is>
          <t>2561</t>
        </is>
      </c>
      <c r="Q3" s="18" t="inlineStr"/>
      <c r="R3" s="18" t="inlineStr"/>
      <c r="S3" s="18" t="inlineStr"/>
      <c r="T3" s="18" t="inlineStr"/>
      <c r="U3" s="18" t="inlineStr"/>
    </row>
    <row r="4">
      <c r="A4" s="15" t="inlineStr">
        <is>
          <t>2</t>
        </is>
      </c>
      <c r="B4" s="18"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18" t="inlineStr"/>
      <c r="D4" s="18" t="inlineStr">
        <is>
          <t>25°C ± 2°C / 60% ± 5% RH</t>
        </is>
      </c>
      <c r="E4" s="18" t="inlineStr">
        <is>
          <t>30°C ± 2°C / 65% ± 5% RH</t>
        </is>
      </c>
      <c r="F4" s="18" t="inlineStr">
        <is>
          <t>40°C ± 2°C / 75% ± 5% RH</t>
        </is>
      </c>
      <c r="G4" s="18" t="inlineStr">
        <is>
          <t>30°C ± 2°C / 75% ± 5% RH</t>
        </is>
      </c>
      <c r="H4" s="18" t="inlineStr">
        <is>
          <t>25°C ± 2°C / 75% ± 5% RH</t>
        </is>
      </c>
      <c r="I4" s="15" t="inlineStr">
        <is>
          <t>4</t>
        </is>
      </c>
      <c r="J4" s="18"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18" t="inlineStr"/>
      <c r="L4" s="18" t="inlineStr">
        <is>
          <t>Stability Testing</t>
        </is>
      </c>
      <c r="M4" s="18" t="inlineStr">
        <is>
          <t>Product</t>
        </is>
      </c>
      <c r="N4" s="18" t="inlineStr">
        <is>
          <t>ข้อสอบเก่า 2561 ข้อ 44</t>
        </is>
      </c>
      <c r="O4" s="18" t="inlineStr">
        <is>
          <t>ข้อสอบเก่า</t>
        </is>
      </c>
      <c r="P4" s="15" t="inlineStr">
        <is>
          <t>2561</t>
        </is>
      </c>
      <c r="Q4" s="18" t="inlineStr"/>
      <c r="R4" s="18" t="inlineStr"/>
      <c r="S4" s="18" t="inlineStr"/>
      <c r="T4" s="18" t="inlineStr"/>
      <c r="U4" s="18" t="inlineStr"/>
    </row>
    <row r="5">
      <c r="A5" s="15" t="inlineStr">
        <is>
          <t>3</t>
        </is>
      </c>
      <c r="B5" s="18" t="inlineStr">
        <is>
          <t>ข้อใดถูกต้องเกี่ยวกับการจัดเตรียมยาเคมีบำบัด (Cytotoxic preparation) เพื่อความปลอดภัยตามมาตรฐานสากล</t>
        </is>
      </c>
      <c r="C5" s="18" t="inlineStr"/>
      <c r="D5" s="18" t="inlineStr">
        <is>
          <t>ห้องเตรียมควรเป็น positive pressure เมื่อเทียบกับห้องภายนอก</t>
        </is>
      </c>
      <c r="E5" s="18" t="inlineStr">
        <is>
          <t>ลมเป่าควรเป็นแนว vertical ภายใน Biological Safety Cabinet</t>
        </is>
      </c>
      <c r="F5" s="18" t="inlineStr">
        <is>
          <t>ชุดคลุมปฏิบัติงานเมื่อใช้แล้วสามารถนำกลับมาใช้ซ้ำได้จนกว่าใยผ้าจะเสื่อม</t>
        </is>
      </c>
      <c r="G5" s="18" t="inlineStr">
        <is>
          <t>ภาชนะบรรจุควรทำความสะอาดด้วย alcohol 90%</t>
        </is>
      </c>
      <c r="H5" s="18" t="inlineStr">
        <is>
          <t>การเตรียมใน laminar air flow มีความปลอดภัยมากกว่าการเตรียมใน isolator</t>
        </is>
      </c>
      <c r="I5" s="15" t="inlineStr">
        <is>
          <t>2</t>
        </is>
      </c>
      <c r="J5" s="18"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18" t="inlineStr"/>
      <c r="L5" s="18" t="inlineStr">
        <is>
          <t>Sterile Compounding &amp; Safety</t>
        </is>
      </c>
      <c r="M5" s="18" t="inlineStr">
        <is>
          <t>Product</t>
        </is>
      </c>
      <c r="N5" s="18" t="inlineStr">
        <is>
          <t>ข้อสอบเตรียมสอบเภสัช</t>
        </is>
      </c>
      <c r="O5" s="18" t="inlineStr">
        <is>
          <t>แบบฝึกหัด</t>
        </is>
      </c>
      <c r="P5" s="18" t="inlineStr">
        <is>
          <t>RxCU</t>
        </is>
      </c>
      <c r="Q5" s="18" t="inlineStr"/>
      <c r="R5" s="18" t="inlineStr"/>
      <c r="S5" s="18" t="inlineStr"/>
      <c r="T5" s="18" t="inlineStr"/>
      <c r="U5" s="18" t="inlineStr"/>
    </row>
    <row r="6">
      <c r="A6" s="15" t="inlineStr">
        <is>
          <t>4</t>
        </is>
      </c>
      <c r="B6" s="18" t="inlineStr">
        <is>
          <t>จากโครงสร้างทางเคมี L-dopa ถูกเปลี่ยนเป็น dopamine ในร่างกายด้วยปฏิกิริยาใด</t>
        </is>
      </c>
      <c r="C6" s="18" t="inlineStr"/>
      <c r="D6" s="18" t="inlineStr">
        <is>
          <t>Decarboxylation</t>
        </is>
      </c>
      <c r="E6" s="18" t="inlineStr">
        <is>
          <t>Demethylation</t>
        </is>
      </c>
      <c r="F6" s="18" t="inlineStr">
        <is>
          <t>Deamination</t>
        </is>
      </c>
      <c r="G6" s="18" t="inlineStr">
        <is>
          <t>Hydrolysis</t>
        </is>
      </c>
      <c r="H6" s="18" t="inlineStr">
        <is>
          <t>Oxidation</t>
        </is>
      </c>
      <c r="I6" s="15" t="inlineStr">
        <is>
          <t>1</t>
        </is>
      </c>
      <c r="J6" s="18"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18" t="inlineStr"/>
      <c r="L6" s="18" t="inlineStr">
        <is>
          <t>Preformulation &amp; Medicinal Chemistry</t>
        </is>
      </c>
      <c r="M6" s="18" t="inlineStr">
        <is>
          <t>Product</t>
        </is>
      </c>
      <c r="N6" s="18" t="inlineStr">
        <is>
          <t>ข้อสอบเตรียมสอบเภสัช</t>
        </is>
      </c>
      <c r="O6" s="18" t="inlineStr">
        <is>
          <t>แบบฝึกหัด</t>
        </is>
      </c>
      <c r="P6" s="18" t="inlineStr">
        <is>
          <t>RxCU</t>
        </is>
      </c>
      <c r="Q6" s="18" t="inlineStr"/>
      <c r="R6" s="18" t="inlineStr"/>
      <c r="S6" s="18" t="inlineStr"/>
      <c r="T6" s="18" t="inlineStr"/>
      <c r="U6" s="18" t="inlineStr"/>
    </row>
    <row r="7">
      <c r="A7" s="15" t="inlineStr">
        <is>
          <t>5</t>
        </is>
      </c>
      <c r="B7" s="18"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18" t="inlineStr"/>
      <c r="D7" s="18" t="inlineStr">
        <is>
          <t>Accuracy</t>
        </is>
      </c>
      <c r="E7" s="18" t="inlineStr">
        <is>
          <t>Precision</t>
        </is>
      </c>
      <c r="F7" s="18" t="inlineStr">
        <is>
          <t>Specificity</t>
        </is>
      </c>
      <c r="G7" s="18" t="inlineStr">
        <is>
          <t>Limit of Detection (LOD)</t>
        </is>
      </c>
      <c r="H7" s="18" t="inlineStr">
        <is>
          <t>Limit of Quantitation (LOQ)</t>
        </is>
      </c>
      <c r="I7" s="15" t="inlineStr">
        <is>
          <t>4</t>
        </is>
      </c>
      <c r="J7" s="18"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18" t="inlineStr"/>
      <c r="L7" s="18" t="inlineStr">
        <is>
          <t>Method Validation &amp; Quality Control</t>
        </is>
      </c>
      <c r="M7" s="18" t="inlineStr">
        <is>
          <t>Product</t>
        </is>
      </c>
      <c r="N7" s="18" t="inlineStr">
        <is>
          <t>ข้อสอบเก่า 2562 / 2564</t>
        </is>
      </c>
      <c r="O7" s="18" t="inlineStr">
        <is>
          <t>ข้อสอบเก่า</t>
        </is>
      </c>
      <c r="P7" s="15" t="inlineStr">
        <is>
          <t>2562</t>
        </is>
      </c>
      <c r="Q7" s="18" t="inlineStr"/>
      <c r="R7" s="18" t="inlineStr"/>
      <c r="S7" s="18" t="inlineStr"/>
      <c r="T7" s="18" t="inlineStr"/>
      <c r="U7" s="18" t="inlineStr"/>
    </row>
    <row r="8">
      <c r="A8" s="15" t="inlineStr">
        <is>
          <t>6</t>
        </is>
      </c>
      <c r="B8" s="18"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18" t="inlineStr"/>
      <c r="D8" s="18" t="inlineStr">
        <is>
          <t>Wet granulation โดยใช้ starch paste เป็น binder</t>
        </is>
      </c>
      <c r="E8" s="18" t="inlineStr">
        <is>
          <t>Direct compression (การตอกตรง)</t>
        </is>
      </c>
      <c r="F8" s="18" t="inlineStr">
        <is>
          <t>Dry granulation ด้วยเครื่อง roller compactor</t>
        </is>
      </c>
      <c r="G8" s="18" t="inlineStr">
        <is>
          <t>Wet granulation ด้วย organic solvent</t>
        </is>
      </c>
      <c r="H8" s="18" t="inlineStr">
        <is>
          <t>Fluidized bed wet granulation</t>
        </is>
      </c>
      <c r="I8" s="15" t="inlineStr">
        <is>
          <t>2</t>
        </is>
      </c>
      <c r="J8" s="18"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18" t="inlineStr"/>
      <c r="L8" s="18" t="inlineStr">
        <is>
          <t>Preformulation &amp; Formulation Design</t>
        </is>
      </c>
      <c r="M8" s="18" t="inlineStr">
        <is>
          <t>Product</t>
        </is>
      </c>
      <c r="N8" s="18" t="inlineStr">
        <is>
          <t>ข้อสอบเก่า 2561 ข้อ 30 / 2564 ข้อ 131</t>
        </is>
      </c>
      <c r="O8" s="18" t="inlineStr">
        <is>
          <t>ข้อสอบเก่า</t>
        </is>
      </c>
      <c r="P8" s="15" t="inlineStr">
        <is>
          <t>2561</t>
        </is>
      </c>
      <c r="Q8" s="18" t="inlineStr"/>
      <c r="R8" s="18" t="inlineStr"/>
      <c r="S8" s="18" t="inlineStr"/>
      <c r="T8" s="18" t="inlineStr"/>
      <c r="U8" s="18" t="inlineStr"/>
    </row>
    <row r="9">
      <c r="A9" s="15" t="inlineStr">
        <is>
          <t>7</t>
        </is>
      </c>
      <c r="B9" s="18"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18" t="inlineStr"/>
      <c r="D9" s="18" t="inlineStr">
        <is>
          <t>Newtonian flow</t>
        </is>
      </c>
      <c r="E9" s="18" t="inlineStr">
        <is>
          <t>Dilatant flow</t>
        </is>
      </c>
      <c r="F9" s="18" t="inlineStr">
        <is>
          <t>Pseudoplastic flow</t>
        </is>
      </c>
      <c r="G9" s="18" t="inlineStr">
        <is>
          <t>Plastic flow</t>
        </is>
      </c>
      <c r="H9" s="18" t="inlineStr">
        <is>
          <t>Rheopectic flow</t>
        </is>
      </c>
      <c r="I9" s="15" t="inlineStr">
        <is>
          <t>3</t>
        </is>
      </c>
      <c r="J9" s="18"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18" t="inlineStr"/>
      <c r="L9" s="18" t="inlineStr">
        <is>
          <t>Preformulation &amp; Rheology</t>
        </is>
      </c>
      <c r="M9" s="18" t="inlineStr">
        <is>
          <t>Product</t>
        </is>
      </c>
      <c r="N9" s="18" t="inlineStr">
        <is>
          <t>ข้อสอบเตรียมสอบเภสัช</t>
        </is>
      </c>
      <c r="O9" s="18" t="inlineStr">
        <is>
          <t>แบบฝึกหัด</t>
        </is>
      </c>
      <c r="P9" s="18" t="inlineStr">
        <is>
          <t>RxCU</t>
        </is>
      </c>
      <c r="Q9" s="18" t="inlineStr"/>
      <c r="R9" s="18" t="inlineStr"/>
      <c r="S9" s="18" t="inlineStr"/>
      <c r="T9" s="18" t="inlineStr"/>
      <c r="U9" s="18" t="inlineStr"/>
    </row>
    <row r="10">
      <c r="A10" s="15" t="inlineStr">
        <is>
          <t>8</t>
        </is>
      </c>
      <c r="B10" s="18"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18" t="inlineStr"/>
      <c r="D10" s="18" t="inlineStr">
        <is>
          <t>Hydroxypropyl methylcellulose (HPMC)</t>
        </is>
      </c>
      <c r="E10" s="18" t="inlineStr">
        <is>
          <t>Ethyl cellulose (EC)</t>
        </is>
      </c>
      <c r="F10" s="18" t="inlineStr">
        <is>
          <t>Polyethylene glycol (PEG)</t>
        </is>
      </c>
      <c r="G10" s="18" t="inlineStr">
        <is>
          <t>Hydroxypropyl methylcellulose phthalate (HPMCP)</t>
        </is>
      </c>
      <c r="H10" s="18" t="inlineStr">
        <is>
          <t>Povidone (PVP)</t>
        </is>
      </c>
      <c r="I10" s="15" t="inlineStr">
        <is>
          <t>4</t>
        </is>
      </c>
      <c r="J10" s="18"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18" t="inlineStr"/>
      <c r="L10" s="18" t="inlineStr">
        <is>
          <t>Preformulation &amp; Polymer Coating</t>
        </is>
      </c>
      <c r="M10" s="18" t="inlineStr">
        <is>
          <t>Product</t>
        </is>
      </c>
      <c r="N10" s="18" t="inlineStr">
        <is>
          <t>ข้อสอบเก่า 2562 / 2566</t>
        </is>
      </c>
      <c r="O10" s="18" t="inlineStr">
        <is>
          <t>ข้อสอบเก่า</t>
        </is>
      </c>
      <c r="P10" s="15" t="inlineStr">
        <is>
          <t>2562</t>
        </is>
      </c>
      <c r="Q10" s="18" t="inlineStr"/>
      <c r="R10" s="18" t="inlineStr"/>
      <c r="S10" s="18" t="inlineStr"/>
      <c r="T10" s="18" t="inlineStr"/>
      <c r="U10" s="18" t="inlineStr"/>
    </row>
    <row r="11">
      <c r="A11" s="15" t="inlineStr">
        <is>
          <t>9</t>
        </is>
      </c>
      <c r="B11" s="18"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18" t="inlineStr"/>
      <c r="D11" s="18" t="inlineStr">
        <is>
          <t>Croscarmellose sodium</t>
        </is>
      </c>
      <c r="E11" s="18" t="inlineStr">
        <is>
          <t>Talcum</t>
        </is>
      </c>
      <c r="F11" s="18" t="inlineStr">
        <is>
          <t>Povidone K30</t>
        </is>
      </c>
      <c r="G11" s="18" t="inlineStr">
        <is>
          <t>Gelatin</t>
        </is>
      </c>
      <c r="H11" s="18" t="inlineStr">
        <is>
          <t>Methyl cellulose</t>
        </is>
      </c>
      <c r="I11" s="15" t="inlineStr">
        <is>
          <t>1</t>
        </is>
      </c>
      <c r="J11" s="18"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18" t="inlineStr"/>
      <c r="L11" s="18" t="inlineStr">
        <is>
          <t>Preformulation &amp; Excipients</t>
        </is>
      </c>
      <c r="M11" s="18" t="inlineStr">
        <is>
          <t>Product</t>
        </is>
      </c>
      <c r="N11" s="18" t="inlineStr">
        <is>
          <t>ข้อสอบเก่า 2561 ข้อ 108 / 2567 ข้อ 15</t>
        </is>
      </c>
      <c r="O11" s="18" t="inlineStr">
        <is>
          <t>ข้อสอบเก่า</t>
        </is>
      </c>
      <c r="P11" s="15" t="inlineStr">
        <is>
          <t>2561</t>
        </is>
      </c>
      <c r="Q11" s="18" t="inlineStr"/>
      <c r="R11" s="18" t="inlineStr"/>
      <c r="S11" s="18" t="inlineStr"/>
      <c r="T11" s="18" t="inlineStr"/>
      <c r="U11" s="18" t="inlineStr"/>
    </row>
    <row r="12">
      <c r="A12" s="15" t="inlineStr">
        <is>
          <t>10</t>
        </is>
      </c>
      <c r="B12" s="18"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18" t="inlineStr"/>
      <c r="D12" s="18" t="inlineStr">
        <is>
          <t>Grade A ทั้งในจุดสัมผัสยาและสภาพแวดล้อมพื้นหลัง</t>
        </is>
      </c>
      <c r="E12" s="18" t="inlineStr">
        <is>
          <t>Grade D สำหรับทั้งกระบวนการเตรียมและบรรจุ</t>
        </is>
      </c>
      <c r="F12" s="18" t="inlineStr">
        <is>
          <t>Grade C สำหรับทั้งกระบวนการเตรียมและบรรจุ</t>
        </is>
      </c>
      <c r="G12" s="18" t="inlineStr">
        <is>
          <t>Grade A ในจุดสัมผัสยา โดยมีสภาพแวดล้อมพื้นหลังเป็น Grade B</t>
        </is>
      </c>
      <c r="H12" s="18" t="inlineStr">
        <is>
          <t>Grade B ในจุดสัมผัสยา โดยมีสภาพแวดล้อมพื้นหลังเป็น Grade C</t>
        </is>
      </c>
      <c r="I12" s="15" t="inlineStr">
        <is>
          <t>4</t>
        </is>
      </c>
      <c r="J12" s="18"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18" t="inlineStr"/>
      <c r="L12" s="18" t="inlineStr">
        <is>
          <t>GMP PIC/S &amp; Sterile Manufacturing</t>
        </is>
      </c>
      <c r="M12" s="18" t="inlineStr">
        <is>
          <t>Product</t>
        </is>
      </c>
      <c r="N12" s="18" t="inlineStr">
        <is>
          <t>ข้อสอบเก่า 2566 Day 2 ข้อ 97</t>
        </is>
      </c>
      <c r="O12" s="18" t="inlineStr">
        <is>
          <t>ข้อสอบเก่า</t>
        </is>
      </c>
      <c r="P12" s="15" t="inlineStr">
        <is>
          <t>2566</t>
        </is>
      </c>
      <c r="Q12" s="18" t="inlineStr"/>
      <c r="R12" s="18" t="inlineStr"/>
      <c r="S12" s="18" t="inlineStr"/>
      <c r="T12" s="18" t="inlineStr"/>
      <c r="U12" s="18" t="inlineStr"/>
    </row>
    <row r="13">
      <c r="A13" s="15" t="inlineStr">
        <is>
          <t>11</t>
        </is>
      </c>
      <c r="B13" s="18"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18" t="inlineStr"/>
      <c r="D13" s="18" t="inlineStr">
        <is>
          <t>ผลิตในอาคารเดียวกันได้โดยใช้วิธีสลับรอบการผลิต (Campaign production)</t>
        </is>
      </c>
      <c r="E13" s="18" t="inlineStr">
        <is>
          <t>แยกอาคารผลิตแต่สามารถเชื่อมต่อระบบปรับอากาศ (HVAC) และระบบน้ำร่วมกันได้</t>
        </is>
      </c>
      <c r="F13" s="18" t="inlineStr">
        <is>
          <t>ต้องแยกอาคารผลิตและแยกระบบสาธารณูปโภค (HVAC/Water) โดยเด็ดขาด</t>
        </is>
      </c>
      <c r="G13" s="18" t="inlineStr">
        <is>
          <t>สามารถผลิตในห้องร่วมกับยาอื่นได้หากติดตั้ง HEPA filter ประจำเครื่องจักร</t>
        </is>
      </c>
      <c r="H13" s="18" t="inlineStr">
        <is>
          <t>ผลิตร่วมกับผลิตภัณฑ์อื่นได้หากผ่านการทดสอบ Cleaning validation อย่างเข้มงวด</t>
        </is>
      </c>
      <c r="I13" s="15" t="inlineStr">
        <is>
          <t>3</t>
        </is>
      </c>
      <c r="J13" s="18"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18" t="inlineStr"/>
      <c r="L13" s="18" t="inlineStr">
        <is>
          <t>GMP Facility Design &amp; Cross-Contamination</t>
        </is>
      </c>
      <c r="M13" s="18" t="inlineStr">
        <is>
          <t>Product</t>
        </is>
      </c>
      <c r="N13" s="18" t="inlineStr">
        <is>
          <t>ข้อสอบเก่า 2566 Day 2 ข้อ 76</t>
        </is>
      </c>
      <c r="O13" s="18" t="inlineStr">
        <is>
          <t>ข้อสอบเก่า</t>
        </is>
      </c>
      <c r="P13" s="15" t="inlineStr">
        <is>
          <t>2566</t>
        </is>
      </c>
      <c r="Q13" s="18" t="inlineStr"/>
      <c r="R13" s="18" t="inlineStr"/>
      <c r="S13" s="18" t="inlineStr"/>
      <c r="T13" s="18" t="inlineStr"/>
      <c r="U13" s="18" t="inlineStr"/>
    </row>
    <row r="14">
      <c r="Q14" s="18" t="inlineStr"/>
      <c r="R14" s="18" t="inlineStr"/>
      <c r="S14" s="18" t="inlineStr"/>
      <c r="T14" s="18" t="inlineStr"/>
      <c r="U14" s="18" t="inlineStr"/>
    </row>
    <row r="15">
      <c r="Q15" s="18" t="inlineStr"/>
      <c r="R15" s="18" t="inlineStr"/>
      <c r="S15" s="18" t="inlineStr"/>
      <c r="T15" s="18" t="inlineStr"/>
      <c r="U15" s="18" t="inlineStr"/>
    </row>
    <row r="16">
      <c r="Q16" s="18" t="inlineStr"/>
      <c r="R16" s="18" t="inlineStr"/>
      <c r="S16" s="18" t="inlineStr"/>
      <c r="T16" s="18" t="inlineStr"/>
      <c r="U16" s="18" t="inlineStr"/>
    </row>
    <row r="17">
      <c r="Q17" s="18" t="inlineStr"/>
      <c r="R17" s="18" t="inlineStr"/>
      <c r="S17" s="18" t="inlineStr"/>
      <c r="T17" s="18" t="inlineStr"/>
      <c r="U17" s="18" t="inlineStr"/>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P16"/>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18" t="inlineStr">
        <is>
          <t>ประเภทข้อสอบ</t>
        </is>
      </c>
      <c r="P2" s="18" t="inlineStr">
        <is>
          <t>ปี / เลขชุด</t>
        </is>
      </c>
    </row>
    <row r="3">
      <c r="A3" s="18" t="n">
        <v>1</v>
      </c>
      <c r="B3" s="18" t="inlineStr">
        <is>
          <t>แพทย์สั่งจ่ายยา KCl 40 mEq/tablespoon (15 mL) จำนวน 60 mL เภสัชกรต้องเตรียมผงยา KCl ปริมาณกี่กรัม (กำหนด MW ของ KCl = 74.5 g/mol, valence = 1)</t>
        </is>
      </c>
      <c r="C3" s="18" t="inlineStr"/>
      <c r="D3" s="18" t="inlineStr">
        <is>
          <t>1 กรัม</t>
        </is>
      </c>
      <c r="E3" s="18" t="inlineStr">
        <is>
          <t>3 กรัม</t>
        </is>
      </c>
      <c r="F3" s="18" t="inlineStr">
        <is>
          <t>6 กรัม</t>
        </is>
      </c>
      <c r="G3" s="18" t="inlineStr">
        <is>
          <t>12 กรัม</t>
        </is>
      </c>
      <c r="H3" s="18" t="inlineStr">
        <is>
          <t>24 กรัม</t>
        </is>
      </c>
      <c r="I3" s="15" t="inlineStr">
        <is>
          <t>4</t>
        </is>
      </c>
      <c r="J3" s="18"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18" t="inlineStr"/>
      <c r="L3" s="18" t="inlineStr">
        <is>
          <t>Electrolyte &amp; Milliequivalent Calculation</t>
        </is>
      </c>
      <c r="M3" s="18" t="inlineStr">
        <is>
          <t>Product</t>
        </is>
      </c>
      <c r="N3" s="18" t="inlineStr">
        <is>
          <t>ข้อ 91 (ข้อสอบจริง 2566 Day 2)</t>
        </is>
      </c>
      <c r="O3" s="18" t="inlineStr">
        <is>
          <t>ข้อสอบจริง</t>
        </is>
      </c>
      <c r="P3" s="18" t="inlineStr">
        <is>
          <t>Mock Rx20 UBU</t>
        </is>
      </c>
    </row>
    <row r="4">
      <c r="A4" s="18" t="n">
        <v>2</v>
      </c>
      <c r="B4" s="18"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18" t="inlineStr"/>
      <c r="D4" s="18" t="inlineStr">
        <is>
          <t>3.2 mEq/hr</t>
        </is>
      </c>
      <c r="E4" s="18" t="inlineStr">
        <is>
          <t>4.8 mEq/hr</t>
        </is>
      </c>
      <c r="F4" s="18" t="inlineStr">
        <is>
          <t>6.4 mEq/hr</t>
        </is>
      </c>
      <c r="G4" s="18" t="inlineStr">
        <is>
          <t>8.0 mEq/hr</t>
        </is>
      </c>
      <c r="H4" s="18" t="inlineStr">
        <is>
          <t>10.0 mEq/hr</t>
        </is>
      </c>
      <c r="I4" s="15" t="inlineStr">
        <is>
          <t>3</t>
        </is>
      </c>
      <c r="J4" s="18"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18" t="inlineStr"/>
      <c r="L4" s="18" t="inlineStr">
        <is>
          <t>IV Infusion Rate Calculation</t>
        </is>
      </c>
      <c r="M4" s="18" t="inlineStr">
        <is>
          <t>Product</t>
        </is>
      </c>
      <c r="N4" s="18" t="inlineStr">
        <is>
          <t>ข้อ 92 (ข้อสอบจริง 2566 Day 2)</t>
        </is>
      </c>
      <c r="O4" s="18" t="inlineStr">
        <is>
          <t>ข้อสอบจริง</t>
        </is>
      </c>
    </row>
    <row r="5">
      <c r="A5" s="18" t="n">
        <v>3</v>
      </c>
      <c r="B5" s="18"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18" t="inlineStr"/>
      <c r="D5" s="18" t="inlineStr">
        <is>
          <t>2.0 กรัม</t>
        </is>
      </c>
      <c r="E5" s="18" t="inlineStr">
        <is>
          <t>5.5 กรัม</t>
        </is>
      </c>
      <c r="F5" s="18" t="inlineStr">
        <is>
          <t>6.5 กรัม</t>
        </is>
      </c>
      <c r="G5" s="18" t="inlineStr">
        <is>
          <t>15.0 กรัม</t>
        </is>
      </c>
      <c r="H5" s="18" t="inlineStr">
        <is>
          <t>19.5 กรัม</t>
        </is>
      </c>
      <c r="I5" s="15" t="inlineStr">
        <is>
          <t>5</t>
        </is>
      </c>
      <c r="J5" s="18"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18" t="inlineStr"/>
      <c r="L5" s="18" t="inlineStr">
        <is>
          <t>Displacement &amp; Density Factor</t>
        </is>
      </c>
      <c r="M5" s="18" t="inlineStr">
        <is>
          <t>Product</t>
        </is>
      </c>
      <c r="N5" s="18" t="inlineStr">
        <is>
          <t>ข้อ 47 (ข้อสอบจริง 2566 Day 2)</t>
        </is>
      </c>
      <c r="O5" s="18" t="inlineStr">
        <is>
          <t>ข้อสอบจริง</t>
        </is>
      </c>
    </row>
    <row r="6">
      <c r="A6" s="18" t="n">
        <v>4</v>
      </c>
      <c r="B6" s="18"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18" t="inlineStr"/>
      <c r="D6" s="18" t="inlineStr">
        <is>
          <t>น้ำหนักผงยารวม / 100</t>
        </is>
      </c>
      <c r="E6" s="18" t="inlineStr">
        <is>
          <t>น้ำหนักผงยารวม / 20</t>
        </is>
      </c>
      <c r="F6" s="18" t="inlineStr">
        <is>
          <t>น้ำหนักผงยารวม / 5</t>
        </is>
      </c>
      <c r="G6" s="18" t="inlineStr">
        <is>
          <t>น้ำหนักผงยารวม / 0.01</t>
        </is>
      </c>
      <c r="H6" s="18" t="inlineStr">
        <is>
          <t>น้ำหนักผงยารวม / 10</t>
        </is>
      </c>
      <c r="I6" s="15" t="inlineStr">
        <is>
          <t>1</t>
        </is>
      </c>
      <c r="J6" s="18"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18" t="inlineStr"/>
      <c r="L6" s="18" t="inlineStr">
        <is>
          <t>Pharmaceutical Quality Assay Calculation</t>
        </is>
      </c>
      <c r="M6" s="18" t="inlineStr">
        <is>
          <t>Product</t>
        </is>
      </c>
      <c r="N6" s="18" t="inlineStr">
        <is>
          <t>ข้อ 95 (ข้อสอบจริง 2566 Day 2)</t>
        </is>
      </c>
      <c r="O6" s="18" t="inlineStr">
        <is>
          <t>ข้อสอบจริง</t>
        </is>
      </c>
    </row>
    <row r="7">
      <c r="A7" s="18" t="n">
        <v>5</v>
      </c>
      <c r="B7" s="18"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18" t="inlineStr"/>
      <c r="D7" s="18" t="inlineStr">
        <is>
          <t>65 เม็ด</t>
        </is>
      </c>
      <c r="E7" s="18" t="inlineStr">
        <is>
          <t>100 เม็ด</t>
        </is>
      </c>
      <c r="F7" s="18" t="inlineStr">
        <is>
          <t>130 เม็ด</t>
        </is>
      </c>
      <c r="G7" s="18" t="inlineStr">
        <is>
          <t>260 เม็ด</t>
        </is>
      </c>
      <c r="H7" s="18" t="inlineStr">
        <is>
          <t>300 เม็ด</t>
        </is>
      </c>
      <c r="I7" s="15" t="inlineStr">
        <is>
          <t>3</t>
        </is>
      </c>
      <c r="J7" s="18"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18" t="inlineStr"/>
      <c r="L7" s="18" t="inlineStr">
        <is>
          <t>Sampling &amp; Dosage Form Weight Calculation</t>
        </is>
      </c>
      <c r="M7" s="18" t="inlineStr">
        <is>
          <t>Product</t>
        </is>
      </c>
      <c r="N7" s="18" t="inlineStr">
        <is>
          <t>ข้อ 52 (ข้อสอบจริง 2566 Day 2)</t>
        </is>
      </c>
      <c r="O7" s="18" t="inlineStr">
        <is>
          <t>ข้อสอบจริง</t>
        </is>
      </c>
    </row>
    <row r="8">
      <c r="A8" s="18" t="n">
        <v>6</v>
      </c>
      <c r="B8" s="18"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18" t="inlineStr"/>
      <c r="D8" s="18" t="inlineStr">
        <is>
          <t>2.3 เดือน</t>
        </is>
      </c>
      <c r="E8" s="18" t="inlineStr">
        <is>
          <t>3.5 เดือน</t>
        </is>
      </c>
      <c r="F8" s="18" t="inlineStr">
        <is>
          <t>5.3 เดือน</t>
        </is>
      </c>
      <c r="G8" s="18" t="inlineStr">
        <is>
          <t>10.5 เดือน</t>
        </is>
      </c>
      <c r="H8" s="18" t="inlineStr">
        <is>
          <t>23.0 เดือน</t>
        </is>
      </c>
      <c r="I8" s="15" t="inlineStr">
        <is>
          <t>3</t>
        </is>
      </c>
      <c r="J8" s="18"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18" t="inlineStr"/>
      <c r="L8" s="18" t="inlineStr">
        <is>
          <t>Chemical Kinetics &amp; Shelf-Life (t90)</t>
        </is>
      </c>
      <c r="M8" s="18" t="inlineStr">
        <is>
          <t>Product</t>
        </is>
      </c>
      <c r="N8" s="18" t="inlineStr">
        <is>
          <t>ข้อ 53/65 (ข้อสอบจริง 2566 Day 2)</t>
        </is>
      </c>
      <c r="O8" s="18" t="inlineStr">
        <is>
          <t>ข้อสอบจริง</t>
        </is>
      </c>
    </row>
    <row r="9">
      <c r="A9" s="18" t="n">
        <v>7</v>
      </c>
      <c r="B9" s="18"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18" t="inlineStr"/>
      <c r="D9" s="18" t="inlineStr">
        <is>
          <t>0.5 ปี</t>
        </is>
      </c>
      <c r="E9" s="18" t="inlineStr">
        <is>
          <t>2.1 ปี</t>
        </is>
      </c>
      <c r="F9" s="18" t="inlineStr">
        <is>
          <t>3.5 ปี</t>
        </is>
      </c>
      <c r="G9" s="18" t="inlineStr">
        <is>
          <t>5.0 ปี</t>
        </is>
      </c>
      <c r="H9" s="18" t="inlineStr">
        <is>
          <t>13.9 ปี</t>
        </is>
      </c>
      <c r="I9" s="15" t="inlineStr">
        <is>
          <t>2</t>
        </is>
      </c>
      <c r="J9" s="18"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18" t="inlineStr"/>
      <c r="L9" s="18" t="inlineStr">
        <is>
          <t>Chemical Kinetics &amp; Shelf-Life (t90)</t>
        </is>
      </c>
      <c r="M9" s="18" t="inlineStr">
        <is>
          <t>Product</t>
        </is>
      </c>
      <c r="N9" s="18" t="inlineStr">
        <is>
          <t>ข้อ 15 (ข้อสอบจริง 2562)</t>
        </is>
      </c>
      <c r="O9" s="18" t="inlineStr">
        <is>
          <t>ข้อสอบจริง</t>
        </is>
      </c>
    </row>
    <row r="10">
      <c r="A10" s="18" t="n">
        <v>8</v>
      </c>
      <c r="B10" s="18"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18" t="inlineStr"/>
      <c r="D10" s="18" t="inlineStr">
        <is>
          <t>25 mg</t>
        </is>
      </c>
      <c r="E10" s="18" t="inlineStr">
        <is>
          <t>50 mg</t>
        </is>
      </c>
      <c r="F10" s="18" t="inlineStr">
        <is>
          <t>75 mg</t>
        </is>
      </c>
      <c r="G10" s="18" t="inlineStr">
        <is>
          <t>100 mg</t>
        </is>
      </c>
      <c r="H10" s="18" t="inlineStr">
        <is>
          <t>125 mg</t>
        </is>
      </c>
      <c r="I10" s="15" t="inlineStr">
        <is>
          <t>2</t>
        </is>
      </c>
      <c r="J10" s="18"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18" t="inlineStr"/>
      <c r="L10" s="18" t="inlineStr">
        <is>
          <t>Capsule Displacement &amp; Volume Calculation</t>
        </is>
      </c>
      <c r="M10" s="18" t="inlineStr">
        <is>
          <t>Product</t>
        </is>
      </c>
      <c r="N10" s="18" t="inlineStr">
        <is>
          <t>ข้อ 19 (ข้อสอบจริง 2562)</t>
        </is>
      </c>
      <c r="O10" s="18" t="inlineStr">
        <is>
          <t>ข้อสอบจริง</t>
        </is>
      </c>
    </row>
    <row r="11">
      <c r="A11" s="18" t="n">
        <v>9</v>
      </c>
      <c r="B11" s="18"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18" t="inlineStr"/>
      <c r="D11" s="18" t="inlineStr">
        <is>
          <t>เม็ดขนาด 450 mg จำนวน 2 เม็ด</t>
        </is>
      </c>
      <c r="E11" s="18" t="inlineStr">
        <is>
          <t>เม็ดขนาด 450 mg จำนวน 3 เม็ด</t>
        </is>
      </c>
      <c r="F11" s="18" t="inlineStr">
        <is>
          <t>เม็ดขนาด 300 mg จำนวน 4 เม็ด</t>
        </is>
      </c>
      <c r="G11" s="18" t="inlineStr">
        <is>
          <t>เม็ดขนาด 300 mg จำนวน 6 เม็ด</t>
        </is>
      </c>
      <c r="H11" s="18" t="inlineStr">
        <is>
          <t>เม็ดขนาด 300 mg จำนวน 8 เม็ด</t>
        </is>
      </c>
      <c r="I11" s="15" t="inlineStr">
        <is>
          <t>4</t>
        </is>
      </c>
      <c r="J11" s="18"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18" t="inlineStr"/>
      <c r="L11" s="18" t="inlineStr">
        <is>
          <t>Working Formula &amp; Compounding Scaling</t>
        </is>
      </c>
      <c r="M11" s="18" t="inlineStr">
        <is>
          <t>Product</t>
        </is>
      </c>
      <c r="N11" s="18" t="inlineStr">
        <is>
          <t>ข้อ 18 (ข้อสอบจริง 2562)</t>
        </is>
      </c>
      <c r="O11" s="18" t="inlineStr">
        <is>
          <t>ข้อสอบจริง</t>
        </is>
      </c>
    </row>
    <row r="12">
      <c r="A12" s="18" t="n">
        <v>10</v>
      </c>
      <c r="B12" s="18"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18" t="inlineStr"/>
      <c r="D12" s="18" t="inlineStr">
        <is>
          <t>15 mL</t>
        </is>
      </c>
      <c r="E12" s="18" t="inlineStr">
        <is>
          <t>30 mL</t>
        </is>
      </c>
      <c r="F12" s="18" t="inlineStr">
        <is>
          <t>45 mL</t>
        </is>
      </c>
      <c r="G12" s="18" t="inlineStr">
        <is>
          <t>60 mL</t>
        </is>
      </c>
      <c r="H12" s="18" t="inlineStr">
        <is>
          <t>75 mL</t>
        </is>
      </c>
      <c r="I12" s="15" t="inlineStr">
        <is>
          <t>4</t>
        </is>
      </c>
      <c r="J12" s="18"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18" t="inlineStr"/>
      <c r="L12" s="18" t="inlineStr">
        <is>
          <t>Electrolyte &amp; Milliequivalent Calculation</t>
        </is>
      </c>
      <c r="M12" s="18" t="inlineStr">
        <is>
          <t>Product</t>
        </is>
      </c>
      <c r="N12" s="18" t="inlineStr">
        <is>
          <t>ข้อ 15 (ข้อสอบจริง 2559)</t>
        </is>
      </c>
      <c r="O12" s="18" t="inlineStr">
        <is>
          <t>ข้อสอบจริง</t>
        </is>
      </c>
    </row>
    <row r="13">
      <c r="A13" s="18" t="n">
        <v>11</v>
      </c>
      <c r="B13" s="18"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18" t="inlineStr"/>
      <c r="D13" s="18" t="inlineStr">
        <is>
          <t>0.82 กรัม</t>
        </is>
      </c>
      <c r="E13" s="18" t="inlineStr">
        <is>
          <t>1.00 กรัม</t>
        </is>
      </c>
      <c r="F13" s="18" t="inlineStr">
        <is>
          <t>1.21 กรัม</t>
        </is>
      </c>
      <c r="G13" s="18" t="inlineStr">
        <is>
          <t>3.92 กรัม</t>
        </is>
      </c>
      <c r="H13" s="18" t="inlineStr">
        <is>
          <t>4.76 กรัม</t>
        </is>
      </c>
      <c r="I13" s="15" t="inlineStr">
        <is>
          <t>3</t>
        </is>
      </c>
      <c r="J13" s="18"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18" t="inlineStr"/>
      <c r="L13" s="18" t="inlineStr">
        <is>
          <t>Molecular Weight &amp; Salt Factor Calculation</t>
        </is>
      </c>
      <c r="M13" s="18" t="inlineStr">
        <is>
          <t>Product</t>
        </is>
      </c>
      <c r="N13" s="18" t="inlineStr">
        <is>
          <t>ข้อ 14 (ข้อสอบจริง 2559)</t>
        </is>
      </c>
      <c r="O13" s="18" t="inlineStr">
        <is>
          <t>ข้อสอบจริง</t>
        </is>
      </c>
    </row>
    <row r="14">
      <c r="A14" s="18" t="n">
        <v>12</v>
      </c>
      <c r="B14" s="18"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18" t="inlineStr"/>
      <c r="D14" s="18" t="inlineStr">
        <is>
          <t>0.45 กรัม</t>
        </is>
      </c>
      <c r="E14" s="18" t="inlineStr">
        <is>
          <t>0.55 กรัม</t>
        </is>
      </c>
      <c r="F14" s="18" t="inlineStr">
        <is>
          <t>1.45 กรัม</t>
        </is>
      </c>
      <c r="G14" s="18" t="inlineStr">
        <is>
          <t>1.55 กรัม</t>
        </is>
      </c>
      <c r="H14" s="18" t="inlineStr">
        <is>
          <t>2.00 กรัม</t>
        </is>
      </c>
      <c r="I14" s="15" t="inlineStr">
        <is>
          <t>4</t>
        </is>
      </c>
      <c r="J14" s="18"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18" t="inlineStr"/>
      <c r="L14" s="18" t="inlineStr">
        <is>
          <t>Displacement &amp; Density Factor</t>
        </is>
      </c>
      <c r="M14" s="18" t="inlineStr">
        <is>
          <t>Product</t>
        </is>
      </c>
      <c r="N14" s="18" t="inlineStr">
        <is>
          <t>ข้อ 13 (ข้อสอบจริง 2559)</t>
        </is>
      </c>
      <c r="O14" s="18" t="inlineStr">
        <is>
          <t>ข้อสอบจริง</t>
        </is>
      </c>
    </row>
    <row r="15">
      <c r="A15" s="18" t="n">
        <v>13</v>
      </c>
      <c r="B15" s="18"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18" t="inlineStr"/>
      <c r="D15" s="18" t="inlineStr">
        <is>
          <t>0.330 กรัม</t>
        </is>
      </c>
      <c r="E15" s="18" t="inlineStr">
        <is>
          <t>0.440 กรัม</t>
        </is>
      </c>
      <c r="F15" s="18" t="inlineStr">
        <is>
          <t>0.720 กรัม</t>
        </is>
      </c>
      <c r="G15" s="18" t="inlineStr">
        <is>
          <t>0.880 กรัม</t>
        </is>
      </c>
      <c r="H15" s="18" t="inlineStr">
        <is>
          <t>0.900 กรัม</t>
        </is>
      </c>
      <c r="I15" s="15" t="inlineStr">
        <is>
          <t>4</t>
        </is>
      </c>
      <c r="J15" s="18"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18" t="inlineStr"/>
      <c r="L15" s="18" t="inlineStr">
        <is>
          <t>Isotonicity &amp; Sodium Chloride Equivalent (E-value)</t>
        </is>
      </c>
      <c r="M15" s="18" t="inlineStr">
        <is>
          <t>Product</t>
        </is>
      </c>
      <c r="N15" s="18" t="inlineStr">
        <is>
          <t>ข้อ 98 (ข้อสอบจริง 2564) &amp; ข้อ 62 (2563 IDQ V)</t>
        </is>
      </c>
      <c r="O15" s="18" t="inlineStr">
        <is>
          <t>ข้อสอบจริง</t>
        </is>
      </c>
    </row>
    <row r="16">
      <c r="A16" s="18" t="n">
        <v>14</v>
      </c>
      <c r="B16" s="18"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18" t="inlineStr"/>
      <c r="D16" s="18" t="inlineStr">
        <is>
          <t>D5W 445 mL และ D50W 55 mL</t>
        </is>
      </c>
      <c r="E16" s="18" t="inlineStr">
        <is>
          <t>D5W 495 mL และ D50W 5 mL</t>
        </is>
      </c>
      <c r="F16" s="18" t="inlineStr">
        <is>
          <t>D5W 400 mL และ D50W 100 mL</t>
        </is>
      </c>
      <c r="G16" s="18" t="inlineStr">
        <is>
          <t>D5W 450 mL และ D50W 50 mL</t>
        </is>
      </c>
      <c r="H16" s="18" t="inlineStr">
        <is>
          <t>D5W 350 mL และ D50W 150 mL</t>
        </is>
      </c>
      <c r="I16" s="15" t="inlineStr">
        <is>
          <t>1</t>
        </is>
      </c>
      <c r="J16" s="18"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18" t="inlineStr"/>
      <c r="L16" s="18" t="inlineStr">
        <is>
          <t>Alligation Alternate Method</t>
        </is>
      </c>
      <c r="M16" s="18" t="inlineStr">
        <is>
          <t>Product</t>
        </is>
      </c>
      <c r="N16" s="18" t="inlineStr">
        <is>
          <t>ข้อ 90 (ข้อสอบจริง 2565 Day 1)</t>
        </is>
      </c>
      <c r="O16" s="18" t="inlineStr">
        <is>
          <t>ข้อสอบจริง</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216"/>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18" t="inlineStr">
        <is>
          <t>ประเภทข้อสอบ</t>
        </is>
      </c>
      <c r="P2" s="18" t="inlineStr">
        <is>
          <t>ปี / เลขชุด</t>
        </is>
      </c>
    </row>
    <row r="3">
      <c r="A3" s="18" t="n">
        <v>7</v>
      </c>
      <c r="B3" s="18" t="inlineStr">
        <is>
          <t>ในการเตรียม Aspirin Suspension หากต้องการเติมสารบัฟเฟอร์ ปรับ pH ให้มี pH เท่ากับ 6.8 ภก.ควรจะใช้บัฟเฟอร์ใด</t>
        </is>
      </c>
      <c r="C3" s="18" t="n"/>
      <c r="D3" s="18" t="inlineStr">
        <is>
          <t>NaH2PO4 (pKa 7.21)/ Na2HPO4</t>
        </is>
      </c>
      <c r="E3" s="18" t="inlineStr">
        <is>
          <t>Na2HPO4 / Na3PO4</t>
        </is>
      </c>
      <c r="F3" s="18" t="inlineStr">
        <is>
          <t>Acetic acid (pKa 4.76)/ Sodium acetate</t>
        </is>
      </c>
      <c r="G3" s="18" t="inlineStr">
        <is>
          <t>Boric acid (pKa 8.24)/Sodium borate</t>
        </is>
      </c>
      <c r="H3" s="18" t="inlineStr">
        <is>
          <t>HCl/NaOH</t>
        </is>
      </c>
      <c r="I3" s="18" t="n">
        <v>1</v>
      </c>
      <c r="J3" s="18"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8" t="n"/>
      <c r="L3" s="18" t="inlineStr">
        <is>
          <t>Tablet Manufacturing</t>
        </is>
      </c>
      <c r="M3" s="18" t="inlineStr">
        <is>
          <t>Product</t>
        </is>
      </c>
      <c r="N3" s="18" t="inlineStr">
        <is>
          <t>ข้อ 7 ชุด 1 (เฉลยข้อ ก)</t>
        </is>
      </c>
      <c r="O3" s="18" t="inlineStr">
        <is>
          <t>Mock</t>
        </is>
      </c>
      <c r="P3" s="18" t="inlineStr">
        <is>
          <t>ชุด 1</t>
        </is>
      </c>
    </row>
    <row r="4">
      <c r="A4" s="18" t="n">
        <v>8</v>
      </c>
      <c r="B4" s="18" t="inlineStr">
        <is>
          <t>ในการเตรียม aspirin suspension หากต้องการให้ยาตกตะกอนไม่เร็วเกินไป สารปรุงแต่งที่ต้องเติมคือ</t>
        </is>
      </c>
      <c r="C4" s="18" t="n"/>
      <c r="D4" s="18" t="inlineStr">
        <is>
          <t>Glycerin</t>
        </is>
      </c>
      <c r="E4" s="18" t="inlineStr">
        <is>
          <t>Tween 80</t>
        </is>
      </c>
      <c r="F4" s="18" t="inlineStr">
        <is>
          <t>Methylcellulose</t>
        </is>
      </c>
      <c r="G4" s="18" t="inlineStr">
        <is>
          <t>Aluminium chloride</t>
        </is>
      </c>
      <c r="H4" s="18" t="inlineStr">
        <is>
          <t>Sodium citrate</t>
        </is>
      </c>
      <c r="I4" s="18" t="n">
        <v>3</v>
      </c>
      <c r="J4" s="18"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8" t="n"/>
      <c r="L4" s="18" t="inlineStr">
        <is>
          <t>Tablet Manufacturing</t>
        </is>
      </c>
      <c r="M4" s="18" t="inlineStr">
        <is>
          <t>Product</t>
        </is>
      </c>
      <c r="N4" s="18" t="inlineStr">
        <is>
          <t>ข้อ 8 ชุด 1 (เฉลยข้อ ค)</t>
        </is>
      </c>
      <c r="O4" s="18" t="inlineStr">
        <is>
          <t>Mock</t>
        </is>
      </c>
      <c r="P4" s="18" t="inlineStr">
        <is>
          <t>ชุด 1</t>
        </is>
      </c>
    </row>
    <row r="5">
      <c r="A5" s="18" t="n">
        <v>9</v>
      </c>
      <c r="B5" s="18"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5" s="18" t="n"/>
      <c r="D5" s="18" t="inlineStr">
        <is>
          <t>Flocculation</t>
        </is>
      </c>
      <c r="E5" s="18" t="inlineStr">
        <is>
          <t>Lamination</t>
        </is>
      </c>
      <c r="F5" s="18" t="inlineStr">
        <is>
          <t>Creaming</t>
        </is>
      </c>
      <c r="G5" s="18" t="inlineStr">
        <is>
          <t>Coalescence</t>
        </is>
      </c>
      <c r="H5" s="18" t="inlineStr">
        <is>
          <t>Caking</t>
        </is>
      </c>
      <c r="I5" s="18" t="n">
        <v>5</v>
      </c>
      <c r="J5" s="18"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8" t="n"/>
      <c r="L5" s="18" t="inlineStr">
        <is>
          <t>Tablet Manufacturing</t>
        </is>
      </c>
      <c r="M5" s="18" t="inlineStr">
        <is>
          <t>Product</t>
        </is>
      </c>
      <c r="N5" s="18" t="inlineStr">
        <is>
          <t>ข้อ 9 ชุด 1 (เฉลยข้อ จ)</t>
        </is>
      </c>
      <c r="O5" s="18" t="inlineStr">
        <is>
          <t>Mock</t>
        </is>
      </c>
      <c r="P5" s="18" t="inlineStr">
        <is>
          <t>ชุด 1</t>
        </is>
      </c>
    </row>
    <row r="6">
      <c r="A6" s="18" t="n">
        <v>10</v>
      </c>
      <c r="B6" s="18" t="inlineStr">
        <is>
          <t>สูตรตำรับย้ำน้ำ Ferrous sulfate
- Ferrous sulfate 12.5 g
- Citric acid 0.2 g
- Paraben conc. 1 ml
- Syrup add qs 100 ml
ข้อใดถูก</t>
        </is>
      </c>
      <c r="C6" s="18" t="n"/>
      <c r="D6" s="18" t="inlineStr">
        <is>
          <t>มีปัญหาการละลาย</t>
        </is>
      </c>
      <c r="E6" s="18" t="inlineStr">
        <is>
          <t>ต้องเก็บในตู้เย็น</t>
        </is>
      </c>
      <c r="F6" s="18" t="inlineStr">
        <is>
          <t>เก็บในขวดใส ปิดสนิท</t>
        </is>
      </c>
      <c r="G6" s="18" t="inlineStr">
        <is>
          <t>ไม่มีสารแต่งรส</t>
        </is>
      </c>
      <c r="H6" s="18" t="inlineStr">
        <is>
          <t>ไม่มีสารเพิ่มความคงตัว</t>
        </is>
      </c>
      <c r="I6" s="18" t="n">
        <v>1</v>
      </c>
      <c r="J6" s="18"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8" t="n"/>
      <c r="L6" s="18" t="inlineStr">
        <is>
          <t>Tablet Manufacturing</t>
        </is>
      </c>
      <c r="M6" s="18" t="inlineStr">
        <is>
          <t>Product</t>
        </is>
      </c>
      <c r="N6" s="18" t="inlineStr">
        <is>
          <t>ข้อ 10 ชุด 1 (เฉลยข้อ ก)</t>
        </is>
      </c>
      <c r="O6" s="18" t="inlineStr">
        <is>
          <t>Mock</t>
        </is>
      </c>
      <c r="P6" s="18" t="inlineStr">
        <is>
          <t>ชุด 1</t>
        </is>
      </c>
    </row>
    <row r="7">
      <c r="A7" s="18" t="n">
        <v>11</v>
      </c>
      <c r="B7" s="18"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7" s="18" t="n"/>
      <c r="D7" s="18" t="inlineStr">
        <is>
          <t>0.625 mg</t>
        </is>
      </c>
      <c r="E7" s="18" t="inlineStr">
        <is>
          <t>2.625 mg</t>
        </is>
      </c>
      <c r="F7" s="18" t="inlineStr">
        <is>
          <t>62.5 mg</t>
        </is>
      </c>
      <c r="G7" s="18" t="inlineStr">
        <is>
          <t>375 mg</t>
        </is>
      </c>
      <c r="H7" s="18" t="inlineStr">
        <is>
          <t>125 mg</t>
        </is>
      </c>
      <c r="I7" s="18" t="n">
        <v>5</v>
      </c>
      <c r="J7" s="18"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8" t="n"/>
      <c r="L7" s="18" t="inlineStr">
        <is>
          <t>Tablet Manufacturing</t>
        </is>
      </c>
      <c r="M7" s="18" t="inlineStr">
        <is>
          <t>Product</t>
        </is>
      </c>
      <c r="N7" s="18" t="inlineStr">
        <is>
          <t>ข้อ 11 ชุด 1 (เฉลยข้อ จ)</t>
        </is>
      </c>
      <c r="O7" s="18" t="inlineStr">
        <is>
          <t>Mock</t>
        </is>
      </c>
      <c r="P7" s="18" t="inlineStr">
        <is>
          <t>ชุด 1</t>
        </is>
      </c>
    </row>
    <row r="8">
      <c r="A8" s="18" t="n">
        <v>22</v>
      </c>
      <c r="B8" s="18"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8" s="18" t="n"/>
      <c r="D8" s="18" t="inlineStr">
        <is>
          <t>Stearic acid</t>
        </is>
      </c>
      <c r="E8" s="18" t="inlineStr">
        <is>
          <t>Lanolin</t>
        </is>
      </c>
      <c r="F8" s="18" t="inlineStr">
        <is>
          <t>Cetyl alcohol</t>
        </is>
      </c>
      <c r="G8" s="18" t="inlineStr">
        <is>
          <t>Potassium hydroxide</t>
        </is>
      </c>
      <c r="H8" s="18" t="inlineStr">
        <is>
          <t>Potassium stearate</t>
        </is>
      </c>
      <c r="I8" s="18" t="n">
        <v>5</v>
      </c>
      <c r="J8" s="18"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8" t="n"/>
      <c r="L8" s="18" t="inlineStr">
        <is>
          <t>Tablet Manufacturing</t>
        </is>
      </c>
      <c r="M8" s="18" t="inlineStr">
        <is>
          <t>Product</t>
        </is>
      </c>
      <c r="N8" s="18" t="inlineStr">
        <is>
          <t>ข้อ 22 ชุด 1 (เฉลยข้อ จ)</t>
        </is>
      </c>
      <c r="O8" s="18" t="inlineStr">
        <is>
          <t>Mock</t>
        </is>
      </c>
      <c r="P8" s="18" t="inlineStr">
        <is>
          <t>ชุด 1</t>
        </is>
      </c>
    </row>
    <row r="9">
      <c r="A9" s="18" t="n">
        <v>23</v>
      </c>
      <c r="B9" s="18" t="inlineStr">
        <is>
          <t>ยายหยอดตามีส่วนประกอบดังนี้ Neomycin sulfate, Polymyxin B sulphate, NaCl, Benzalkonium chloride, Hypromellose, Disodium edetate จากตำรับดังกล่าว Hypromellose มีหน้าที่อะไร</t>
        </is>
      </c>
      <c r="C9" s="18" t="n"/>
      <c r="D9" s="18" t="inlineStr">
        <is>
          <t>เพิ่มการละลายของ Neomycin</t>
        </is>
      </c>
      <c r="E9" s="18" t="inlineStr">
        <is>
          <t>ป้องกันการตกตะกอนขุ่นของสารละลาย</t>
        </is>
      </c>
      <c r="F9" s="18" t="inlineStr">
        <is>
          <t>เพิ่มฤทธิ์ฆ่าเชื้อแบคทีเรีย</t>
        </is>
      </c>
      <c r="G9" s="18" t="inlineStr">
        <is>
          <t>ลดการแสบระคายเคืองตา</t>
        </is>
      </c>
      <c r="H9" s="18" t="inlineStr">
        <is>
          <t>เพิ่มการติดของสารละลายกับดวงตา</t>
        </is>
      </c>
      <c r="I9" s="18" t="n">
        <v>5</v>
      </c>
      <c r="J9" s="18"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8" t="n"/>
      <c r="L9" s="18" t="inlineStr">
        <is>
          <t>Tablet Manufacturing</t>
        </is>
      </c>
      <c r="M9" s="18" t="inlineStr">
        <is>
          <t>Product</t>
        </is>
      </c>
      <c r="N9" s="18" t="inlineStr">
        <is>
          <t>ข้อ 23 ชุด 1 (เฉลยข้อ จ)</t>
        </is>
      </c>
      <c r="O9" s="18" t="inlineStr">
        <is>
          <t>Mock</t>
        </is>
      </c>
      <c r="P9" s="18" t="inlineStr">
        <is>
          <t>ชุด 1</t>
        </is>
      </c>
    </row>
    <row r="10">
      <c r="A10" s="18" t="n">
        <v>24</v>
      </c>
      <c r="B10" s="18" t="inlineStr">
        <is>
          <t>คุณสมบัติที่สำคัญที่สุดของยาตา</t>
        </is>
      </c>
      <c r="C10" s="18" t="n"/>
      <c r="D10" s="18" t="inlineStr">
        <is>
          <t>Isotonic</t>
        </is>
      </c>
      <c r="E10" s="18" t="inlineStr">
        <is>
          <t>Sterile</t>
        </is>
      </c>
      <c r="F10" s="18" t="inlineStr">
        <is>
          <t>pH</t>
        </is>
      </c>
      <c r="G10" s="18" t="inlineStr">
        <is>
          <t>Preservative</t>
        </is>
      </c>
      <c r="H10" s="18" t="inlineStr">
        <is>
          <t>ต้องเป็นสารละลาย</t>
        </is>
      </c>
      <c r="I10" s="18" t="n">
        <v>2</v>
      </c>
      <c r="J10" s="18"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8" t="n"/>
      <c r="L10" s="18" t="inlineStr">
        <is>
          <t>Tablet Manufacturing</t>
        </is>
      </c>
      <c r="M10" s="18" t="inlineStr">
        <is>
          <t>Product</t>
        </is>
      </c>
      <c r="N10" s="18" t="inlineStr">
        <is>
          <t>ข้อ 24 ชุด 1 (เฉลยข้อ ข)</t>
        </is>
      </c>
      <c r="O10" s="18" t="inlineStr">
        <is>
          <t>Mock</t>
        </is>
      </c>
      <c r="P10" s="18" t="inlineStr">
        <is>
          <t>ชุด 1</t>
        </is>
      </c>
    </row>
    <row r="11">
      <c r="A11" s="18" t="n">
        <v>25</v>
      </c>
      <c r="B11" s="18" t="inlineStr">
        <is>
          <t>Norfloxacin มีค่าการละลายต่ำจึงนำมาใช้ร่วมกับ B-cyclodextrin ข้อใดคือกลไกของ B-cyclodextrin</t>
        </is>
      </c>
      <c r="C11" s="18" t="n"/>
      <c r="D11" s="18" t="inlineStr">
        <is>
          <t>pH</t>
        </is>
      </c>
      <c r="E11" s="18" t="inlineStr">
        <is>
          <t>ลดค่า dielectric constant</t>
        </is>
      </c>
      <c r="F11" s="18" t="inlineStr">
        <is>
          <t>Micelle</t>
        </is>
      </c>
      <c r="G11" s="18" t="inlineStr">
        <is>
          <t>Co-solvent</t>
        </is>
      </c>
      <c r="H11" s="18" t="inlineStr">
        <is>
          <t>Complexation</t>
        </is>
      </c>
      <c r="I11" s="18" t="n">
        <v>5</v>
      </c>
      <c r="J11" s="18"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8" t="n"/>
      <c r="L11" s="18" t="inlineStr">
        <is>
          <t>Tablet Manufacturing</t>
        </is>
      </c>
      <c r="M11" s="18" t="inlineStr">
        <is>
          <t>Product</t>
        </is>
      </c>
      <c r="N11" s="18" t="inlineStr">
        <is>
          <t>ข้อ 25 ชุด 1 (เฉลยข้อ จ)</t>
        </is>
      </c>
      <c r="O11" s="18" t="inlineStr">
        <is>
          <t>Mock</t>
        </is>
      </c>
      <c r="P11" s="18" t="inlineStr">
        <is>
          <t>ชุด 1</t>
        </is>
      </c>
    </row>
    <row r="12">
      <c r="A12" s="18" t="n">
        <v>26</v>
      </c>
      <c r="B12" s="18" t="inlineStr">
        <is>
          <t>หากต้องการพัฒนาสูตรตำรับยาคุมกำเนิดปัญหาใดที่มีความสำคัญที่สุดและต้องแก้ไข</t>
        </is>
      </c>
      <c r="C12" s="18" t="n"/>
      <c r="D12" s="18" t="inlineStr">
        <is>
          <t>ความหนาของเม็ดยาต้องเท่ากัน</t>
        </is>
      </c>
      <c r="E12" s="18" t="inlineStr">
        <is>
          <t>ความแข็งของเม็ดยา เนื่องจากต้องพกติดตัว</t>
        </is>
      </c>
      <c r="F12" s="18" t="inlineStr">
        <is>
          <t>ความสม่ำเสมอของตัวยาสำคัญ</t>
        </is>
      </c>
      <c r="G12" s="18" t="inlineStr">
        <is>
          <t>ความกร่อน</t>
        </is>
      </c>
      <c r="H12" s="18" t="inlineStr">
        <is>
          <t>การละลายของยา</t>
        </is>
      </c>
      <c r="I12" s="18" t="n">
        <v>3</v>
      </c>
      <c r="J12" s="18"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8" t="n"/>
      <c r="L12" s="18" t="inlineStr">
        <is>
          <t>Tablet Manufacturing</t>
        </is>
      </c>
      <c r="M12" s="18" t="inlineStr">
        <is>
          <t>Product</t>
        </is>
      </c>
      <c r="N12" s="18" t="inlineStr">
        <is>
          <t>ข้อ 26 ชุด 1 (เฉลยข้อ ค)</t>
        </is>
      </c>
      <c r="O12" s="18" t="inlineStr">
        <is>
          <t>Mock</t>
        </is>
      </c>
      <c r="P12" s="18" t="inlineStr">
        <is>
          <t>ชุด 1</t>
        </is>
      </c>
    </row>
    <row r="13">
      <c r="A13" s="18" t="n">
        <v>72</v>
      </c>
      <c r="B13" s="18" t="inlineStr">
        <is>
          <t>สาเหตุความไม่คงตัวดังข้อ 71 คือ</t>
        </is>
      </c>
      <c r="C13" s="18" t="n"/>
      <c r="D13" s="18" t="inlineStr">
        <is>
          <t>อนุภาคมีขนาดใหญ่เกินไป</t>
        </is>
      </c>
      <c r="E13" s="18" t="inlineStr">
        <is>
          <t>วัตภาคน้ำมันมีปริมาณมากเกินไป</t>
        </is>
      </c>
      <c r="F13" s="18" t="inlineStr">
        <is>
          <t>ความหนืดของวัตภาคภายนอกสูงเกินไป</t>
        </is>
      </c>
      <c r="G13" s="18" t="inlineStr">
        <is>
          <t>ไม่มีสารก่ออิมัลชัน (emulsifier) ในตำรับ</t>
        </is>
      </c>
      <c r="H13" s="18" t="inlineStr">
        <is>
          <t>ความหนาแน่นของวัตภาคในและนอกมีค่าใกล้เคียงกัน</t>
        </is>
      </c>
      <c r="I13" s="18" t="n">
        <v>4</v>
      </c>
      <c r="J13" s="18"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8" t="n"/>
      <c r="L13" s="18" t="inlineStr">
        <is>
          <t>Tablet Manufacturing</t>
        </is>
      </c>
      <c r="M13" s="18" t="inlineStr">
        <is>
          <t>Product</t>
        </is>
      </c>
      <c r="N13" s="18" t="inlineStr">
        <is>
          <t>ข้อ 72 ชุด 1 (เฉลยข้อ ง)</t>
        </is>
      </c>
      <c r="O13" s="18" t="inlineStr">
        <is>
          <t>Mock</t>
        </is>
      </c>
      <c r="P13" s="18" t="inlineStr">
        <is>
          <t>ชุด 1</t>
        </is>
      </c>
    </row>
    <row r="14">
      <c r="A14" s="18" t="n">
        <v>73</v>
      </c>
      <c r="B14" s="18" t="inlineStr">
        <is>
          <t>ค่า required HLB ในการเกิดเป็น o/w emulsion ของวัตภาคน้ำมัน stearic acid และ liquid paraffin ในตำรับข้อ 71 มีค่าเท่ากับ</t>
        </is>
      </c>
      <c r="C14" s="18" t="n"/>
      <c r="D14" s="18" t="n">
        <v>9.5</v>
      </c>
      <c r="E14" s="18" t="n">
        <v>10.75</v>
      </c>
      <c r="F14" s="18" t="n">
        <v>11.04</v>
      </c>
      <c r="G14" s="18" t="n">
        <v>12.13</v>
      </c>
      <c r="H14" s="18" t="n">
        <v>14</v>
      </c>
      <c r="I14" s="18" t="n">
        <v>1</v>
      </c>
      <c r="J14" s="18"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8" t="n"/>
      <c r="L14" s="18" t="inlineStr">
        <is>
          <t>Tablet Manufacturing</t>
        </is>
      </c>
      <c r="M14" s="18" t="inlineStr">
        <is>
          <t>Product</t>
        </is>
      </c>
      <c r="N14" s="18" t="inlineStr">
        <is>
          <t>ข้อ 73 ชุด 1 (เฉลยข้อ )</t>
        </is>
      </c>
      <c r="O14" s="18" t="inlineStr">
        <is>
          <t>Mock</t>
        </is>
      </c>
      <c r="P14" s="18" t="inlineStr">
        <is>
          <t>ชุด 1</t>
        </is>
      </c>
    </row>
    <row r="15">
      <c r="A15" s="18" t="n">
        <v>74</v>
      </c>
      <c r="B15" s="18" t="inlineStr">
        <is>
          <t>สัดส่วนที่เหมาะสมของสารก่ออิมัลชันที่ใช้สำหรับตำรับข้อ 71 เพื่อให้เกิดเป็น o/w</t>
        </is>
      </c>
      <c r="C15" s="18" t="n"/>
      <c r="D15" s="18" t="inlineStr">
        <is>
          <t>Tween 80 : Span 80 = 8.43 : 2.87</t>
        </is>
      </c>
      <c r="E15" s="18" t="inlineStr">
        <is>
          <t>Tween 80 : Span 80 = 2.87 : 8.43</t>
        </is>
      </c>
      <c r="F15" s="18" t="inlineStr">
        <is>
          <t>Tween 80 : Span 80 = 15.0 : 3.7</t>
        </is>
      </c>
      <c r="G15" s="18" t="inlineStr">
        <is>
          <t>Tween 80 : Span 80 = 3.7 : 15.0</t>
        </is>
      </c>
      <c r="H15" s="18" t="inlineStr">
        <is>
          <t>Tween 80 : Span 80 = 1.5 : 2.5</t>
        </is>
      </c>
      <c r="I15" s="18" t="n">
        <v>1</v>
      </c>
      <c r="J15" s="18"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8" t="n"/>
      <c r="L15" s="18" t="inlineStr">
        <is>
          <t>Tablet Manufacturing</t>
        </is>
      </c>
      <c r="M15" s="18" t="inlineStr">
        <is>
          <t>Product</t>
        </is>
      </c>
      <c r="N15" s="18" t="inlineStr">
        <is>
          <t>ข้อ 74 ชุด 1 (เฉลยข้อ )</t>
        </is>
      </c>
      <c r="O15" s="18" t="inlineStr">
        <is>
          <t>Mock</t>
        </is>
      </c>
      <c r="P15" s="18" t="inlineStr">
        <is>
          <t>ชุด 1</t>
        </is>
      </c>
    </row>
    <row r="16">
      <c r="A16" s="18" t="n">
        <v>75</v>
      </c>
      <c r="B16" s="18" t="inlineStr">
        <is>
          <t>เพราะเหตุใดอิมัลชันที่เตรียมได้ตามสูตรข้างต้นเป็นอิมัลชันชนิด o/w</t>
        </is>
      </c>
      <c r="C16" s="18" t="n"/>
      <c r="D16" s="18" t="inlineStr">
        <is>
          <t>มีปริมาตรวัตภาคบ้า(น้ำ)สูงกว่าวัตภาคน้ำมัน และระบบสารก่ออิมัลชัน (emulsifier system) มีค่า HLB ที่สูง</t>
        </is>
      </c>
      <c r="E16" s="18" t="inlineStr">
        <is>
          <t>มีปริมาตรวัตภาคบ้า(น้ำ)สูงกว่าวัตภาคน้ำมัน และระบบสารก่ออิมัลชัน (emulsifier system) มีค่า HLB ที่ต่ำ</t>
        </is>
      </c>
      <c r="F16" s="18" t="inlineStr">
        <is>
          <t>มีปริมาตรวัตภาคน้ำมันสูงกว่าวัตภาคบ้า(น้ำ) และระบบสารก่ออิมัลชัน (emulsifier system) มีค่า HLB ที่สูง</t>
        </is>
      </c>
      <c r="G16" s="18" t="inlineStr">
        <is>
          <t>มีปริมาตรวัตภาคน้ำมันสูงกว่าวัตภาคบ้า(น้ำ) และระบบสารก่ออิมัลชัน (emulsifier system) มีค่า HLB ที่ต่ำ</t>
        </is>
      </c>
      <c r="H16" s="18" t="inlineStr">
        <is>
          <t>มีปริมาตรวัตภาคน้ำมันและวัตภาคน้ำเท่าๆกัน และระบบสารก่ออิมัลชัน (emulsifier system) มีค่า HLB ที่สูง</t>
        </is>
      </c>
      <c r="I16" s="18" t="n">
        <v>1</v>
      </c>
      <c r="J16" s="18"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8" t="n"/>
      <c r="L16" s="18" t="inlineStr">
        <is>
          <t>Tablet Manufacturing</t>
        </is>
      </c>
      <c r="M16" s="18" t="inlineStr">
        <is>
          <t>Product</t>
        </is>
      </c>
      <c r="N16" s="18" t="inlineStr">
        <is>
          <t>ข้อ 75 ชุด 1 (เฉลยข้อ ก)</t>
        </is>
      </c>
      <c r="O16" s="18" t="inlineStr">
        <is>
          <t>Mock</t>
        </is>
      </c>
      <c r="P16" s="18" t="inlineStr">
        <is>
          <t>ชุด 1</t>
        </is>
      </c>
    </row>
    <row r="17">
      <c r="A17" s="18" t="n">
        <v>76</v>
      </c>
      <c r="B17" s="18" t="inlineStr">
        <is>
          <t>ในการผลิตยาเม็ด gemfibrozil พบว่าเมื่อตอกแล้วยาเม็ดติดสาก แก้ไขโดยการเติมสารใด</t>
        </is>
      </c>
      <c r="C17" s="18" t="n"/>
      <c r="D17" s="18" t="inlineStr">
        <is>
          <t>Lactose</t>
        </is>
      </c>
      <c r="E17" s="18" t="inlineStr">
        <is>
          <t>Calcium carbonate</t>
        </is>
      </c>
      <c r="F17" s="18" t="inlineStr">
        <is>
          <t>HPMC</t>
        </is>
      </c>
      <c r="G17" s="18" t="inlineStr">
        <is>
          <t>Magnesium stearate</t>
        </is>
      </c>
      <c r="H17" s="18" t="inlineStr">
        <is>
          <t>Alcohol</t>
        </is>
      </c>
      <c r="I17" s="18" t="n">
        <v>4</v>
      </c>
      <c r="J17" s="18"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8" t="n"/>
      <c r="L17" s="18" t="inlineStr">
        <is>
          <t>Tablet Defects</t>
        </is>
      </c>
      <c r="M17" s="18" t="inlineStr">
        <is>
          <t>Product</t>
        </is>
      </c>
      <c r="N17" s="18" t="inlineStr">
        <is>
          <t>ข้อ 76 ชุด 1 (เฉลยข้อ ง)</t>
        </is>
      </c>
      <c r="O17" s="18" t="inlineStr">
        <is>
          <t>Mock</t>
        </is>
      </c>
      <c r="P17" s="18" t="inlineStr">
        <is>
          <t>ชุด 1</t>
        </is>
      </c>
    </row>
    <row r="18">
      <c r="A18" s="18" t="n">
        <v>77</v>
      </c>
      <c r="B18" s="18" t="inlineStr">
        <is>
          <t>หากต้องการเพิ่มความสามารถในการแตกตัวของยาเม็ด colchicine ควรใช้สารใด</t>
        </is>
      </c>
      <c r="C18" s="18" t="n"/>
      <c r="D18" s="18" t="inlineStr">
        <is>
          <t>Lactose</t>
        </is>
      </c>
      <c r="E18" s="18" t="inlineStr">
        <is>
          <t>Starch paste</t>
        </is>
      </c>
      <c r="F18" s="18" t="inlineStr">
        <is>
          <t>Microcrystalline cellulose</t>
        </is>
      </c>
      <c r="G18" s="18" t="inlineStr">
        <is>
          <t>Magnesium stearate</t>
        </is>
      </c>
      <c r="H18" s="18" t="inlineStr">
        <is>
          <t>Dicalcium phosphate</t>
        </is>
      </c>
      <c r="I18" s="18" t="n">
        <v>3</v>
      </c>
      <c r="J18" s="18"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8" t="n"/>
      <c r="L18" s="18" t="inlineStr">
        <is>
          <t>Tablet Manufacturing</t>
        </is>
      </c>
      <c r="M18" s="18" t="inlineStr">
        <is>
          <t>Product</t>
        </is>
      </c>
      <c r="N18" s="18" t="inlineStr">
        <is>
          <t>ข้อ 77 ชุด 1 (เฉลยข้อ ค)</t>
        </is>
      </c>
      <c r="O18" s="18" t="inlineStr">
        <is>
          <t>Mock</t>
        </is>
      </c>
      <c r="P18" s="18" t="inlineStr">
        <is>
          <t>ชุด 1</t>
        </is>
      </c>
    </row>
    <row r="19">
      <c r="A19" s="18" t="n">
        <v>78</v>
      </c>
      <c r="B19" s="18" t="inlineStr">
        <is>
          <t>ในการควบคุมคุณภาพของยาเม็ด colchicine tablet 0.6 mg ตามข้อกำหนดใน USP สิ่งที่ไม่ต้องทำคือ</t>
        </is>
      </c>
      <c r="C19" s="18" t="n"/>
      <c r="D19" s="18" t="inlineStr">
        <is>
          <t>Friability test</t>
        </is>
      </c>
      <c r="E19" s="18" t="inlineStr">
        <is>
          <t>Content uniformity</t>
        </is>
      </c>
      <c r="F19" s="18" t="inlineStr">
        <is>
          <t>Weight variation</t>
        </is>
      </c>
      <c r="G19" s="18" t="inlineStr">
        <is>
          <t>Dissolution test</t>
        </is>
      </c>
      <c r="H19" s="18" t="inlineStr">
        <is>
          <t>Disintegration test</t>
        </is>
      </c>
      <c r="I19" s="18" t="n">
        <v>1</v>
      </c>
      <c r="J19" s="18"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8" t="n"/>
      <c r="L19" s="18" t="inlineStr">
        <is>
          <t>Tablet Manufacturing</t>
        </is>
      </c>
      <c r="M19" s="18" t="inlineStr">
        <is>
          <t>Product</t>
        </is>
      </c>
      <c r="N19" s="18" t="inlineStr">
        <is>
          <t>ข้อ 78 ชุด 1 (เฉลยข้อ ก)</t>
        </is>
      </c>
      <c r="O19" s="18" t="inlineStr">
        <is>
          <t>Mock</t>
        </is>
      </c>
      <c r="P19" s="18" t="inlineStr">
        <is>
          <t>ชุด 1</t>
        </is>
      </c>
    </row>
    <row r="20">
      <c r="A20" s="18" t="n">
        <v>79</v>
      </c>
      <c r="B20" s="18" t="inlineStr">
        <is>
          <t>ถ้าต้องการเตรียมยา Intra-arthricular corticosteroids (ampule) ต้องผ่านการควบคุมคุณภาพต่อไปนี้ ยกเว้นข้อใด</t>
        </is>
      </c>
      <c r="C20" s="18" t="n"/>
      <c r="D20" s="18" t="inlineStr">
        <is>
          <t>Sterility test</t>
        </is>
      </c>
      <c r="E20" s="18" t="inlineStr">
        <is>
          <t>Clarity test</t>
        </is>
      </c>
      <c r="F20" s="18" t="inlineStr">
        <is>
          <t>Pyrogen test</t>
        </is>
      </c>
      <c r="G20" s="18" t="inlineStr">
        <is>
          <t>Compatibility test</t>
        </is>
      </c>
      <c r="H20" s="18" t="inlineStr">
        <is>
          <t>Leaker test</t>
        </is>
      </c>
      <c r="I20" s="18" t="n">
        <v>4</v>
      </c>
      <c r="J20" s="18"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8" t="n"/>
      <c r="L20" s="18" t="inlineStr">
        <is>
          <t>Tablet Manufacturing</t>
        </is>
      </c>
      <c r="M20" s="18" t="inlineStr">
        <is>
          <t>Product</t>
        </is>
      </c>
      <c r="N20" s="18" t="inlineStr">
        <is>
          <t>ข้อ 79 ชุด 1 (เฉลยข้อ ง)</t>
        </is>
      </c>
      <c r="O20" s="18" t="inlineStr">
        <is>
          <t>Mock</t>
        </is>
      </c>
      <c r="P20" s="18" t="inlineStr">
        <is>
          <t>ชุด 1</t>
        </is>
      </c>
    </row>
    <row r="21">
      <c r="A21" s="18" t="n">
        <v>80</v>
      </c>
      <c r="B21" s="18"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21" s="18" t="n"/>
      <c r="D21" s="18" t="inlineStr">
        <is>
          <t>0.8 g</t>
        </is>
      </c>
      <c r="E21" s="18" t="inlineStr">
        <is>
          <t>1.2 g</t>
        </is>
      </c>
      <c r="F21" s="18" t="inlineStr">
        <is>
          <t>1.5 g</t>
        </is>
      </c>
      <c r="G21" s="18" t="inlineStr">
        <is>
          <t>2.2 g</t>
        </is>
      </c>
      <c r="H21" s="18" t="inlineStr">
        <is>
          <t>3.0 g</t>
        </is>
      </c>
      <c r="I21" s="18" t="n">
        <v>4</v>
      </c>
      <c r="J21" s="18"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8" t="n"/>
      <c r="L21" s="18" t="inlineStr">
        <is>
          <t>Tablet Manufacturing</t>
        </is>
      </c>
      <c r="M21" s="18" t="inlineStr">
        <is>
          <t>Product</t>
        </is>
      </c>
      <c r="N21" s="18" t="inlineStr">
        <is>
          <t>ข้อ 80 ชุด 1 (เฉลยข้อ ง)</t>
        </is>
      </c>
      <c r="O21" s="18" t="inlineStr">
        <is>
          <t>Mock</t>
        </is>
      </c>
      <c r="P21" s="18" t="inlineStr">
        <is>
          <t>ชุด 1</t>
        </is>
      </c>
    </row>
    <row r="22">
      <c r="A22" s="18" t="n">
        <v>81</v>
      </c>
      <c r="B22" s="18" t="inlineStr">
        <is>
          <t>ผู้ป่วยควรเก็บ insulin ที่ภาวะใด</t>
        </is>
      </c>
      <c r="C22" s="18" t="n"/>
      <c r="D22" s="18" t="inlineStr">
        <is>
          <t>Cold</t>
        </is>
      </c>
      <c r="E22" s="18" t="inlineStr">
        <is>
          <t>Refrigerator</t>
        </is>
      </c>
      <c r="F22" s="18" t="inlineStr">
        <is>
          <t>Cool</t>
        </is>
      </c>
      <c r="G22" s="18" t="inlineStr">
        <is>
          <t>Room temperature</t>
        </is>
      </c>
      <c r="H22" s="18" t="inlineStr">
        <is>
          <t>Warm</t>
        </is>
      </c>
      <c r="I22" s="18" t="n">
        <v>2</v>
      </c>
      <c r="J22" s="18"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8" t="n"/>
      <c r="L22" s="18" t="inlineStr">
        <is>
          <t>Tablet Manufacturing</t>
        </is>
      </c>
      <c r="M22" s="18" t="inlineStr">
        <is>
          <t>Product</t>
        </is>
      </c>
      <c r="N22" s="18" t="inlineStr">
        <is>
          <t>ข้อ 81 ชุด 1 (เฉลยข้อ ข)</t>
        </is>
      </c>
      <c r="O22" s="18" t="inlineStr">
        <is>
          <t>Mock</t>
        </is>
      </c>
      <c r="P22" s="18" t="inlineStr">
        <is>
          <t>ชุด 1</t>
        </is>
      </c>
    </row>
    <row r="23">
      <c r="A23" s="18" t="n">
        <v>82</v>
      </c>
      <c r="B23" s="18" t="inlineStr">
        <is>
          <t>ท่านคิดว่า metformin tablet ไม่จำเป็นต้องทำ finished product quality control ข้อใด</t>
        </is>
      </c>
      <c r="C23" s="18" t="n"/>
      <c r="D23" s="18" t="inlineStr">
        <is>
          <t>Friability test</t>
        </is>
      </c>
      <c r="E23" s="18" t="inlineStr">
        <is>
          <t>Disintegration test</t>
        </is>
      </c>
      <c r="F23" s="18" t="inlineStr">
        <is>
          <t>Dissolution test</t>
        </is>
      </c>
      <c r="G23" s="18" t="inlineStr">
        <is>
          <t>Freeze-thaw cycle</t>
        </is>
      </c>
      <c r="H23" s="18" t="inlineStr">
        <is>
          <t>Weight variation</t>
        </is>
      </c>
      <c r="I23" s="18" t="n">
        <v>1</v>
      </c>
      <c r="J23" s="18"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8" t="n"/>
      <c r="L23" s="18" t="inlineStr">
        <is>
          <t>Tablet Manufacturing</t>
        </is>
      </c>
      <c r="M23" s="18" t="inlineStr">
        <is>
          <t>Product</t>
        </is>
      </c>
      <c r="N23" s="18" t="inlineStr">
        <is>
          <t>ข้อ 82 ชุด 1 (เฉลยข้อ ก)</t>
        </is>
      </c>
      <c r="O23" s="18" t="inlineStr">
        <is>
          <t>Mock</t>
        </is>
      </c>
      <c r="P23" s="18" t="inlineStr">
        <is>
          <t>ชุด 1</t>
        </is>
      </c>
    </row>
    <row r="24">
      <c r="A24" s="18" t="n">
        <v>83</v>
      </c>
      <c r="B24" s="18" t="inlineStr">
        <is>
          <t>ข้อใดไม่ใช่ข้อดีของการทำ film coated tablet ที่เหนือกว่า sugar coated tablet</t>
        </is>
      </c>
      <c r="C24" s="18" t="n"/>
      <c r="D24" s="18" t="inlineStr">
        <is>
          <t>น้ำหนักของเม็ดยาเพิ่มมากขึ้น มากกว่า sugar coated tablet เนื่องจาก material ที่ใช้เป็นสารสังเคราะห์ที่มีน้ำหนักโมเลกุลสูง</t>
        </is>
      </c>
      <c r="E24" s="18" t="inlineStr">
        <is>
          <t>พื้นผิวเม็ดยามีความเรียบและ สีสม่ำเสมอกว่า sugar coated tablet</t>
        </is>
      </c>
      <c r="F24" s="18" t="inlineStr">
        <is>
          <t>กระบวนการทำ film coated tablet รวดเร็วกว่า sugar coated tablet</t>
        </is>
      </c>
      <c r="G24" s="18" t="inlineStr">
        <is>
          <t>กระบวนการทำ film coated tablet ไม่เกิดปัญหา dead spot</t>
        </is>
      </c>
      <c r="H24" s="18" t="inlineStr">
        <is>
          <t>film coated tabletไม่มีการทำ polishing ด้วย wax จึงไม่เกิดปัญหาที่เรียกว่า marbled เหมือน sugar coated tablet</t>
        </is>
      </c>
      <c r="I24" s="18" t="n">
        <v>1</v>
      </c>
      <c r="J24" s="18"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8" t="n"/>
      <c r="L24" s="18" t="inlineStr">
        <is>
          <t>Tablet Coating</t>
        </is>
      </c>
      <c r="M24" s="18" t="inlineStr">
        <is>
          <t>Product</t>
        </is>
      </c>
      <c r="N24" s="18" t="inlineStr">
        <is>
          <t>ข้อ 83 ชุด 1 (เฉลยข้อ ก)</t>
        </is>
      </c>
      <c r="O24" s="18" t="inlineStr">
        <is>
          <t>Mock</t>
        </is>
      </c>
      <c r="P24" s="18" t="inlineStr">
        <is>
          <t>ชุด 1</t>
        </is>
      </c>
    </row>
    <row r="25">
      <c r="A25" s="18" t="n">
        <v>96</v>
      </c>
      <c r="B25" s="18" t="inlineStr">
        <is>
          <t>Antacid เป็นยาเตรียมประเภทใด</t>
        </is>
      </c>
      <c r="C25" s="18" t="n"/>
      <c r="D25" s="18" t="inlineStr">
        <is>
          <t>Gel</t>
        </is>
      </c>
      <c r="E25" s="18" t="inlineStr">
        <is>
          <t>Emulsion</t>
        </is>
      </c>
      <c r="F25" s="18" t="inlineStr">
        <is>
          <t>Suspension</t>
        </is>
      </c>
      <c r="G25" s="18" t="inlineStr">
        <is>
          <t>Solution</t>
        </is>
      </c>
      <c r="H25" s="18" t="inlineStr">
        <is>
          <t>Elixir</t>
        </is>
      </c>
      <c r="I25" s="18" t="n">
        <v>3</v>
      </c>
      <c r="J25" s="18"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8" t="n"/>
      <c r="L25" s="18" t="inlineStr">
        <is>
          <t>Tablet Manufacturing</t>
        </is>
      </c>
      <c r="M25" s="18" t="inlineStr">
        <is>
          <t>Product</t>
        </is>
      </c>
      <c r="N25" s="18" t="inlineStr">
        <is>
          <t>ข้อ 96 ชุด 1 (เฉลยข้อ ค)</t>
        </is>
      </c>
      <c r="O25" s="18" t="inlineStr">
        <is>
          <t>Mock</t>
        </is>
      </c>
      <c r="P25" s="18" t="inlineStr">
        <is>
          <t>ชุด 1</t>
        </is>
      </c>
    </row>
    <row r="26">
      <c r="A26" s="18" t="n">
        <v>97</v>
      </c>
      <c r="B26" s="18"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26" s="18" t="n"/>
      <c r="D26" s="18" t="inlineStr">
        <is>
          <t>Hard Gelatin Capsule filling</t>
        </is>
      </c>
      <c r="E26" s="18" t="inlineStr">
        <is>
          <t>Soft Gelatin Capsule encapsulation</t>
        </is>
      </c>
      <c r="F26" s="18" t="inlineStr">
        <is>
          <t>1 และ 3</t>
        </is>
      </c>
      <c r="G26" s="18" t="inlineStr">
        <is>
          <t>2 และ 3</t>
        </is>
      </c>
      <c r="H26" s="18" t="inlineStr">
        <is>
          <t>ไม่มีข้อใดถูก</t>
        </is>
      </c>
      <c r="I26" s="18" t="n">
        <v>3</v>
      </c>
      <c r="J26" s="18"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8" t="n"/>
      <c r="L26" s="18" t="inlineStr">
        <is>
          <t>Tablet Manufacturing</t>
        </is>
      </c>
      <c r="M26" s="18" t="inlineStr">
        <is>
          <t>Product</t>
        </is>
      </c>
      <c r="N26" s="18" t="inlineStr">
        <is>
          <t>ข้อ 97 ชุด 1 (เฉลยข้อ ค)</t>
        </is>
      </c>
      <c r="O26" s="18" t="inlineStr">
        <is>
          <t>Mock</t>
        </is>
      </c>
      <c r="P26" s="18" t="inlineStr">
        <is>
          <t>ชุด 1</t>
        </is>
      </c>
    </row>
    <row r="27">
      <c r="A27" s="18" t="n">
        <v>98</v>
      </c>
      <c r="B27" s="18"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27" s="18" t="n"/>
      <c r="D27" s="18" t="inlineStr">
        <is>
          <t>Very soluble</t>
        </is>
      </c>
      <c r="E27" s="18" t="inlineStr">
        <is>
          <t>Sparingly soluble</t>
        </is>
      </c>
      <c r="F27" s="18" t="inlineStr">
        <is>
          <t>Soluble</t>
        </is>
      </c>
      <c r="G27" s="18" t="inlineStr">
        <is>
          <t>Freely soluble</t>
        </is>
      </c>
      <c r="H27" s="18" t="inlineStr">
        <is>
          <t>Insoluble</t>
        </is>
      </c>
      <c r="I27" s="18" t="n">
        <v>3</v>
      </c>
      <c r="J27" s="18"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8" t="n"/>
      <c r="L27" s="18" t="inlineStr">
        <is>
          <t>Tablet Manufacturing</t>
        </is>
      </c>
      <c r="M27" s="18" t="inlineStr">
        <is>
          <t>Product</t>
        </is>
      </c>
      <c r="N27" s="18" t="inlineStr">
        <is>
          <t>ข้อ 98 ชุด 1 (เฉลยข้อ ค)</t>
        </is>
      </c>
      <c r="O27" s="18" t="inlineStr">
        <is>
          <t>Mock</t>
        </is>
      </c>
      <c r="P27" s="18" t="inlineStr">
        <is>
          <t>ชุด 1</t>
        </is>
      </c>
    </row>
    <row r="28">
      <c r="A28" s="18" t="n">
        <v>99</v>
      </c>
      <c r="B28" s="18" t="inlineStr">
        <is>
          <t>ในการตอก ciprofloxacin tablet พบว่าผงยาไหลไม่ดี เภสัชกรฝ่าย R&amp;D อย่างท่านควรพัฒนาสูตรตำรับอย่างไรจึงจะเหมาะสม</t>
        </is>
      </c>
      <c r="C28" s="18" t="n"/>
      <c r="D28" s="18" t="inlineStr">
        <is>
          <t>เปลี่ยนสูตรตำรับเป็นยาน้ำ</t>
        </is>
      </c>
      <c r="E28" s="18" t="inlineStr">
        <is>
          <t>ทำ wet granulation</t>
        </is>
      </c>
      <c r="F28" s="18" t="inlineStr">
        <is>
          <t>นำไปผ่าน sieve เพื่อคัดขนาดอนุภาค</t>
        </is>
      </c>
      <c r="G28" s="18" t="inlineStr">
        <is>
          <t>เพิ่มแรงตอก</t>
        </is>
      </c>
      <c r="H28" s="18" t="inlineStr">
        <is>
          <t>เพิ่ม diluent</t>
        </is>
      </c>
      <c r="I28" s="18" t="n">
        <v>2</v>
      </c>
      <c r="J28" s="18"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8" t="n"/>
      <c r="L28" s="18" t="inlineStr">
        <is>
          <t>Powders &amp; Granules</t>
        </is>
      </c>
      <c r="M28" s="18" t="inlineStr">
        <is>
          <t>Product</t>
        </is>
      </c>
      <c r="N28" s="18" t="inlineStr">
        <is>
          <t>ข้อ 99 ชุด 1 (เฉลยข้อ ข)</t>
        </is>
      </c>
      <c r="O28" s="18" t="inlineStr">
        <is>
          <t>Mock</t>
        </is>
      </c>
      <c r="P28" s="18" t="inlineStr">
        <is>
          <t>ชุด 1</t>
        </is>
      </c>
    </row>
    <row r="29">
      <c r="A29" s="18" t="n">
        <v>100</v>
      </c>
      <c r="B29" s="18" t="inlineStr">
        <is>
          <t>เภสัชกรผู้หนึ่งทำการสุ่ม atenolol tablets ระหว่างการผลิตพบว่ายาเม็ดเกิดการแยกฝา เรียกปรากฏการณ์นี้ว่า</t>
        </is>
      </c>
      <c r="C29" s="18" t="n"/>
      <c r="D29" s="18" t="inlineStr">
        <is>
          <t>Breaking</t>
        </is>
      </c>
      <c r="E29" s="18" t="inlineStr">
        <is>
          <t>Cracking</t>
        </is>
      </c>
      <c r="F29" s="18" t="inlineStr">
        <is>
          <t>Capping</t>
        </is>
      </c>
      <c r="G29" s="18" t="inlineStr">
        <is>
          <t>Segregation</t>
        </is>
      </c>
      <c r="H29" s="18" t="inlineStr">
        <is>
          <t>Sticking</t>
        </is>
      </c>
      <c r="I29" s="18" t="n">
        <v>3</v>
      </c>
      <c r="J29" s="18"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8" t="n"/>
      <c r="L29" s="18" t="inlineStr">
        <is>
          <t>Tablet Defects</t>
        </is>
      </c>
      <c r="M29" s="18" t="inlineStr">
        <is>
          <t>Product</t>
        </is>
      </c>
      <c r="N29" s="18" t="inlineStr">
        <is>
          <t>ข้อ 100 ชุด 1 (เฉลยข้อ ค)</t>
        </is>
      </c>
      <c r="O29" s="18" t="inlineStr">
        <is>
          <t>Mock</t>
        </is>
      </c>
      <c r="P29" s="18" t="inlineStr">
        <is>
          <t>ชุด 1</t>
        </is>
      </c>
    </row>
    <row r="30">
      <c r="A30" s="18" t="n">
        <v>101</v>
      </c>
      <c r="B30" s="18" t="inlineStr">
        <is>
          <t>จะแก้ไขปรากฏการณ์ข้อ 100 ได้อย่างไร</t>
        </is>
      </c>
      <c r="C30" s="18" t="n"/>
      <c r="D30" s="18" t="inlineStr">
        <is>
          <t>เติม anti-adherent</t>
        </is>
      </c>
      <c r="E30" s="18" t="inlineStr">
        <is>
          <t>เติม binder</t>
        </is>
      </c>
      <c r="F30" s="18" t="inlineStr">
        <is>
          <t>ลดขนาดอนุภาคให้ใกล้เคียงกัน</t>
        </is>
      </c>
      <c r="G30" s="18" t="inlineStr">
        <is>
          <t>ปรับความเร็วในการตอกให้ลดลง</t>
        </is>
      </c>
      <c r="H30" s="18" t="inlineStr">
        <is>
          <t>ข. และ ง. ถูก</t>
        </is>
      </c>
      <c r="I30" s="18" t="n">
        <v>5</v>
      </c>
      <c r="J30" s="18"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8" t="n"/>
      <c r="L30" s="18" t="inlineStr">
        <is>
          <t>Tablet Manufacturing</t>
        </is>
      </c>
      <c r="M30" s="18" t="inlineStr">
        <is>
          <t>Product</t>
        </is>
      </c>
      <c r="N30" s="18" t="inlineStr">
        <is>
          <t>ข้อ 101 ชุด 1 (เฉลยข้อ จ)</t>
        </is>
      </c>
      <c r="O30" s="18" t="inlineStr">
        <is>
          <t>Mock</t>
        </is>
      </c>
      <c r="P30" s="18" t="inlineStr">
        <is>
          <t>ชุด 1</t>
        </is>
      </c>
    </row>
    <row r="31">
      <c r="A31" s="18" t="n">
        <v>105</v>
      </c>
      <c r="B31" s="18" t="inlineStr">
        <is>
          <t>ORS Formulation
Sodium chloride: 2.6 g/L
Glucose anhydrous: 13.5 g/L
Potassium chloride: 1.5 g/L
Trisodium citrate dihydrate: 2.9 g/L
จากสูตร ORS ที่กำหนดให้ จงคำนวณหา mOsmol ของ NaCl (MW NaCl = 58.5)</t>
        </is>
      </c>
      <c r="C31" s="18" t="n"/>
      <c r="D31" s="18" t="n">
        <v>44.44</v>
      </c>
      <c r="E31" s="18" t="n">
        <v>75.88</v>
      </c>
      <c r="F31" s="18" t="n">
        <v>80.58</v>
      </c>
      <c r="G31" s="18" t="n">
        <v>85</v>
      </c>
      <c r="H31" s="18" t="n">
        <v>88.89</v>
      </c>
      <c r="I31" s="18" t="n">
        <v>5</v>
      </c>
      <c r="J31" s="18"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8" t="n"/>
      <c r="L31" s="18" t="inlineStr">
        <is>
          <t>Tablet Manufacturing</t>
        </is>
      </c>
      <c r="M31" s="18" t="inlineStr">
        <is>
          <t>Product</t>
        </is>
      </c>
      <c r="N31" s="18" t="inlineStr">
        <is>
          <t>ข้อ 105 ชุด 1 (เฉลยข้อ จ)</t>
        </is>
      </c>
      <c r="O31" s="18" t="inlineStr">
        <is>
          <t>Mock</t>
        </is>
      </c>
      <c r="P31" s="18" t="inlineStr">
        <is>
          <t>ชุด 1</t>
        </is>
      </c>
    </row>
    <row r="32">
      <c r="A32" s="18" t="n">
        <v>106</v>
      </c>
      <c r="B32" s="18"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32" s="18" t="n"/>
      <c r="D32" s="18" t="inlineStr">
        <is>
          <t>Preservatives</t>
        </is>
      </c>
      <c r="E32" s="18" t="inlineStr">
        <is>
          <t>Suspending agent</t>
        </is>
      </c>
      <c r="F32" s="18" t="inlineStr">
        <is>
          <t>Sweetening agent</t>
        </is>
      </c>
      <c r="G32" s="18" t="inlineStr">
        <is>
          <t>Coloring agent</t>
        </is>
      </c>
      <c r="H32" s="18" t="inlineStr">
        <is>
          <t>Active ingredient</t>
        </is>
      </c>
      <c r="I32" s="18" t="n">
        <v>2</v>
      </c>
      <c r="J32" s="18"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8" t="n"/>
      <c r="L32" s="18" t="inlineStr">
        <is>
          <t>Tablet Manufacturing</t>
        </is>
      </c>
      <c r="M32" s="18" t="inlineStr">
        <is>
          <t>Product</t>
        </is>
      </c>
      <c r="N32" s="18" t="inlineStr">
        <is>
          <t>ข้อ 106 ชุด 1 (เฉลยข้อ ข)</t>
        </is>
      </c>
      <c r="O32" s="18" t="inlineStr">
        <is>
          <t>Mock</t>
        </is>
      </c>
      <c r="P32" s="18" t="inlineStr">
        <is>
          <t>ชุด 1</t>
        </is>
      </c>
    </row>
    <row r="33">
      <c r="A33" s="18" t="n">
        <v>107</v>
      </c>
      <c r="B33" s="18"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33" s="18" t="n"/>
      <c r="D33" s="18" t="inlineStr">
        <is>
          <t>155 g</t>
        </is>
      </c>
      <c r="E33" s="18" t="inlineStr">
        <is>
          <t>175 g</t>
        </is>
      </c>
      <c r="F33" s="18" t="inlineStr">
        <is>
          <t>180 g</t>
        </is>
      </c>
      <c r="G33" s="18" t="inlineStr">
        <is>
          <t>197 g</t>
        </is>
      </c>
      <c r="H33" s="18" t="inlineStr">
        <is>
          <t>200 g</t>
        </is>
      </c>
      <c r="I33" s="18" t="n">
        <v>3</v>
      </c>
      <c r="J33" s="18"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8" t="n"/>
      <c r="L33" s="18" t="inlineStr">
        <is>
          <t>Tablet Manufacturing</t>
        </is>
      </c>
      <c r="M33" s="18" t="inlineStr">
        <is>
          <t>Product</t>
        </is>
      </c>
      <c r="N33" s="18" t="inlineStr">
        <is>
          <t>ข้อ 107 ชุด 1 (เฉลยข้อ ค)</t>
        </is>
      </c>
      <c r="O33" s="18" t="inlineStr">
        <is>
          <t>Mock</t>
        </is>
      </c>
      <c r="P33" s="18" t="inlineStr">
        <is>
          <t>ชุด 1</t>
        </is>
      </c>
    </row>
    <row r="34">
      <c r="A34" s="18" t="n">
        <v>108</v>
      </c>
      <c r="B34" s="18" t="inlineStr">
        <is>
          <t>ในการเตรียม D-5-S จำนวน 100 ขวด (ขวดละ 1000 mL) จะต้องใช้ NaCl หนักเท่าใด</t>
        </is>
      </c>
      <c r="C34" s="18" t="n"/>
      <c r="D34" s="18" t="inlineStr">
        <is>
          <t>45 กรัม</t>
        </is>
      </c>
      <c r="E34" s="18" t="inlineStr">
        <is>
          <t>450 กรัม</t>
        </is>
      </c>
      <c r="F34" s="18" t="inlineStr">
        <is>
          <t>90 กรัม</t>
        </is>
      </c>
      <c r="G34" s="18" t="inlineStr">
        <is>
          <t>900 กรัม</t>
        </is>
      </c>
      <c r="H34" s="18" t="inlineStr">
        <is>
          <t>ไม่มีคำตอบใดถูก</t>
        </is>
      </c>
      <c r="I34" s="18" t="n">
        <v>4</v>
      </c>
      <c r="J34" s="18"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8" t="n"/>
      <c r="L34" s="18" t="inlineStr">
        <is>
          <t>Tablet Manufacturing</t>
        </is>
      </c>
      <c r="M34" s="18" t="inlineStr">
        <is>
          <t>Product</t>
        </is>
      </c>
      <c r="N34" s="18" t="inlineStr">
        <is>
          <t>ข้อ 108 ชุด 1 (เฉลยข้อ ง)</t>
        </is>
      </c>
      <c r="O34" s="18" t="inlineStr">
        <is>
          <t>Mock</t>
        </is>
      </c>
      <c r="P34" s="18" t="inlineStr">
        <is>
          <t>ชุด 1</t>
        </is>
      </c>
    </row>
    <row r="35">
      <c r="A35" s="18" t="n">
        <v>109</v>
      </c>
      <c r="B35" s="18" t="inlineStr">
        <is>
          <t>หลังจากบรรจุเสร็จ จะนำขวดน้ำเกลือดังกล่าวไปฆ่าเชื้อโดยผ่านเครื่องมือใด ที่อุณหภูมิในข้อใด จึงจะเหมาะสม</t>
        </is>
      </c>
      <c r="C35" s="18" t="n"/>
      <c r="D35" s="18" t="inlineStr">
        <is>
          <t>Hot air oven 160 องศาเซลเซียส นาน 3 ชั่วโมง</t>
        </is>
      </c>
      <c r="E35" s="18" t="inlineStr">
        <is>
          <t>Hot air oven 121 องศาเซลเซียส นาน 20-30 นาที</t>
        </is>
      </c>
      <c r="F35" s="18" t="inlineStr">
        <is>
          <t>Autoclave 121 องศาเซลเซียส นาน 20-30 นาที</t>
        </is>
      </c>
      <c r="G35" s="18" t="inlineStr">
        <is>
          <t>Autoclave 160 องศาเซลเซียส นาน 3 ชั่วโมง</t>
        </is>
      </c>
      <c r="H35" s="18" t="inlineStr">
        <is>
          <t>Autoclave 100 องศาเซลเซียส นาน 30 นาที</t>
        </is>
      </c>
      <c r="I35" s="18" t="n">
        <v>3</v>
      </c>
      <c r="J35" s="18"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8" t="n"/>
      <c r="L35" s="18" t="inlineStr">
        <is>
          <t>Tablet Manufacturing</t>
        </is>
      </c>
      <c r="M35" s="18" t="inlineStr">
        <is>
          <t>Product</t>
        </is>
      </c>
      <c r="N35" s="18" t="inlineStr">
        <is>
          <t>ข้อ 109 ชุด 1 (เฉลยข้อ ค)</t>
        </is>
      </c>
      <c r="O35" s="18" t="inlineStr">
        <is>
          <t>Mock</t>
        </is>
      </c>
      <c r="P35" s="18" t="inlineStr">
        <is>
          <t>ชุด 1</t>
        </is>
      </c>
    </row>
    <row r="36">
      <c r="A36" s="18" t="n">
        <v>122</v>
      </c>
      <c r="B36" s="18" t="inlineStr">
        <is>
          <t>ยา ISDN เหมาะกับอาการขณะกำเริบ คือ dosage form ใด</t>
        </is>
      </c>
      <c r="C36" s="18" t="n"/>
      <c r="D36" s="18" t="inlineStr">
        <is>
          <t>Extent release</t>
        </is>
      </c>
      <c r="E36" s="18" t="inlineStr">
        <is>
          <t>Ointment</t>
        </is>
      </c>
      <c r="F36" s="18" t="inlineStr">
        <is>
          <t>Solution</t>
        </is>
      </c>
      <c r="G36" s="18" t="inlineStr">
        <is>
          <t>Sublingual tablet</t>
        </is>
      </c>
      <c r="H36" s="18" t="inlineStr">
        <is>
          <t>Transdermal</t>
        </is>
      </c>
      <c r="I36" s="18" t="n">
        <v>4</v>
      </c>
      <c r="J36" s="18"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8" t="n"/>
      <c r="L36" s="18" t="inlineStr">
        <is>
          <t>Tablet Manufacturing</t>
        </is>
      </c>
      <c r="M36" s="18" t="inlineStr">
        <is>
          <t>Product</t>
        </is>
      </c>
      <c r="N36" s="18" t="inlineStr">
        <is>
          <t>ข้อ 122 ชุด 1 (เฉลยข้อ ง)</t>
        </is>
      </c>
      <c r="O36" s="18" t="inlineStr">
        <is>
          <t>Mock</t>
        </is>
      </c>
      <c r="P36" s="18" t="inlineStr">
        <is>
          <t>ชุด 1</t>
        </is>
      </c>
    </row>
    <row r="37">
      <c r="A37" s="18" t="n">
        <v>123</v>
      </c>
      <c r="B37" s="18" t="inlineStr">
        <is>
          <t>ยาที่ผู้ป่วยได้รับก่อนมารพ. คือ nifedipine SR เป็นการปลดยารูปแบบใด</t>
        </is>
      </c>
      <c r="C37" s="18" t="n"/>
      <c r="D37" s="18" t="inlineStr">
        <is>
          <t>ปลดปล่อยยาทันทีหลังรับประทานอาหาร</t>
        </is>
      </c>
      <c r="E37" s="18" t="inlineStr">
        <is>
          <t>ปลดปล่อยยาอย่างเร็ว</t>
        </is>
      </c>
      <c r="F37" s="18" t="inlineStr">
        <is>
          <t>ปลดปล่อยยาในปริมาณที่แน่นอน</t>
        </is>
      </c>
      <c r="G37" s="18" t="inlineStr">
        <is>
          <t>ค่อย ๆ ปล่อยยาออกมาอย่าง ช้า ๆ</t>
        </is>
      </c>
      <c r="H37" s="18" t="inlineStr">
        <is>
          <t>ค่อย ๆปลดปล่อยยาออกมาในปริมาณน้อย</t>
        </is>
      </c>
      <c r="I37" s="18" t="n">
        <v>4</v>
      </c>
      <c r="J37" s="18"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8" t="n"/>
      <c r="L37" s="18" t="inlineStr">
        <is>
          <t>Tablet Manufacturing</t>
        </is>
      </c>
      <c r="M37" s="18" t="inlineStr">
        <is>
          <t>Product</t>
        </is>
      </c>
      <c r="N37" s="18" t="inlineStr">
        <is>
          <t>ข้อ 123 ชุด 1 (เฉลยข้อ ง)</t>
        </is>
      </c>
      <c r="O37" s="18" t="inlineStr">
        <is>
          <t>Mock</t>
        </is>
      </c>
      <c r="P37" s="18" t="inlineStr">
        <is>
          <t>ชุด 1</t>
        </is>
      </c>
    </row>
    <row r="38">
      <c r="A38" s="18" t="n">
        <v>124</v>
      </c>
      <c r="B38" s="18" t="inlineStr">
        <is>
          <t>เมื่อนำครีมมาเตรียมในรูปแบบครีมทาผิวลดไขมันและประเมินความคงตัว ข้อใดเป็นวิธีที่ไม่เหมาะสมมากที่สุด</t>
        </is>
      </c>
      <c r="C38" s="18" t="n"/>
      <c r="D38" s="18" t="inlineStr">
        <is>
          <t>นำไปปั่นเหวี่ยงที่ความเร็วรอบ 3,750 รอบ/นาที เป็นเวลา 5 ชั่วโมง</t>
        </is>
      </c>
      <c r="E38" s="18" t="inlineStr">
        <is>
          <t>นำไปเก็บไว้ที่อุณหภูมิ 180 C เป็นเวลา 12 ชั่วโมง</t>
        </is>
      </c>
      <c r="F38" s="18" t="inlineStr">
        <is>
          <t>นำไปเก็บไว้ที่อุณหภูมิ -5 C สลับกับ 40 C ทุก ๆ 24 ชั่วโมง เป็นจำนวน 24 รอบ</t>
        </is>
      </c>
      <c r="G38" s="18" t="inlineStr">
        <is>
          <t>นำไปเก็บไว้ที่อุณหภูมิ 4 C, 25 C และ 45 Cเป็นเวลา 6 เดือน</t>
        </is>
      </c>
      <c r="H38" s="18" t="inlineStr">
        <is>
          <t>นำไปเก็บไว้ที่อุณหภูมิ 25 C เป็นเวลา 2 ปี</t>
        </is>
      </c>
      <c r="I38" s="18" t="n">
        <v>2</v>
      </c>
      <c r="J38" s="18"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8" t="n"/>
      <c r="L38" s="18" t="inlineStr">
        <is>
          <t>Tablet Manufacturing</t>
        </is>
      </c>
      <c r="M38" s="18" t="inlineStr">
        <is>
          <t>Product</t>
        </is>
      </c>
      <c r="N38" s="18" t="inlineStr">
        <is>
          <t>ข้อ 124 ชุด 1 (เฉลยข้อ ข)</t>
        </is>
      </c>
      <c r="O38" s="18" t="inlineStr">
        <is>
          <t>Mock</t>
        </is>
      </c>
      <c r="P38" s="18" t="inlineStr">
        <is>
          <t>ชุด 1</t>
        </is>
      </c>
    </row>
    <row r="39">
      <c r="A39" s="18" t="n">
        <v>125</v>
      </c>
      <c r="B39" s="18" t="inlineStr">
        <is>
          <t>ข้อมูลข้อมีความจำเป็นน้อยที่สุดในการนำพริกมาบรรจุในแคปซูลเพื่อรับประทาน</t>
        </is>
      </c>
      <c r="C39" s="18" t="n"/>
      <c r="D39" s="18" t="inlineStr">
        <is>
          <t>Solubility</t>
        </is>
      </c>
      <c r="E39" s="18" t="inlineStr">
        <is>
          <t>Angle of repose</t>
        </is>
      </c>
      <c r="F39" s="18" t="inlineStr">
        <is>
          <t>Capsule's size and volume</t>
        </is>
      </c>
      <c r="G39" s="18" t="inlineStr">
        <is>
          <t>Tap density</t>
        </is>
      </c>
      <c r="H39" s="18" t="inlineStr">
        <is>
          <t>Therapeutic dose</t>
        </is>
      </c>
      <c r="I39" s="18" t="n">
        <v>1</v>
      </c>
      <c r="J39" s="18"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8" t="n"/>
      <c r="L39" s="18" t="inlineStr">
        <is>
          <t>Hard &amp; Soft Gelatin Capsules</t>
        </is>
      </c>
      <c r="M39" s="18" t="inlineStr">
        <is>
          <t>Product</t>
        </is>
      </c>
      <c r="N39" s="18" t="inlineStr">
        <is>
          <t>ข้อ 125 ชุด 1 (เฉลยข้อ ก)</t>
        </is>
      </c>
      <c r="O39" s="18" t="inlineStr">
        <is>
          <t>Mock</t>
        </is>
      </c>
      <c r="P39" s="18" t="inlineStr">
        <is>
          <t>ชุด 1</t>
        </is>
      </c>
    </row>
    <row r="40">
      <c r="A40" s="18" t="n">
        <v>126</v>
      </c>
      <c r="B40" s="18"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40" s="18" t="n"/>
      <c r="D40" s="18" t="inlineStr">
        <is>
          <t>ใช้ 25% NaHCO3 6 mL และปรับปริมาตรให้ได้ 100 mL</t>
        </is>
      </c>
      <c r="E40" s="18" t="inlineStr">
        <is>
          <t>ใช้ 25% NaHCO3 6 mL และปรับปริมาตรให้ได้ 30 mL</t>
        </is>
      </c>
      <c r="F40" s="18" t="inlineStr">
        <is>
          <t>ใช้ 25% NaHCO3 20 mL และปรับปริมาตรให้ได้ 100 mL</t>
        </is>
      </c>
      <c r="G40" s="18" t="inlineStr">
        <is>
          <t>ใช้ 25% NaHCO3 20 mL และปรับปริมาตรให้ได้ 30 mL</t>
        </is>
      </c>
      <c r="H40" s="18" t="inlineStr">
        <is>
          <t>ใช้ 25% NaHCO3 10 mL และปรับปริมาตรให้ได้ 100 mL</t>
        </is>
      </c>
      <c r="I40" s="18" t="n">
        <v>2</v>
      </c>
      <c r="J40" s="18"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8" t="n"/>
      <c r="L40" s="18" t="inlineStr">
        <is>
          <t>Tablet Manufacturing</t>
        </is>
      </c>
      <c r="M40" s="18" t="inlineStr">
        <is>
          <t>Product</t>
        </is>
      </c>
      <c r="N40" s="18" t="inlineStr">
        <is>
          <t>ข้อ 126 ชุด 1 (เฉลยข้อ ข)</t>
        </is>
      </c>
      <c r="O40" s="18" t="inlineStr">
        <is>
          <t>Mock</t>
        </is>
      </c>
      <c r="P40" s="18" t="inlineStr">
        <is>
          <t>ชุด 1</t>
        </is>
      </c>
    </row>
    <row r="41">
      <c r="A41" s="18" t="n">
        <v>127</v>
      </c>
      <c r="B41" s="18" t="inlineStr">
        <is>
          <t>เมื่อเตรียมตำรับยาข้างต้นในข้อ 126 ส่วนประกอบใดไม่จำเป็นในการเตรียมยาใช้ในช่องหู</t>
        </is>
      </c>
      <c r="C41" s="18" t="n"/>
      <c r="D41" s="18" t="inlineStr">
        <is>
          <t>Antioxidant</t>
        </is>
      </c>
      <c r="E41" s="18" t="inlineStr">
        <is>
          <t>Buffering agent</t>
        </is>
      </c>
      <c r="F41" s="18" t="inlineStr">
        <is>
          <t>Structure vehicle</t>
        </is>
      </c>
      <c r="G41" s="18" t="inlineStr">
        <is>
          <t>Preservative</t>
        </is>
      </c>
      <c r="H41" s="18" t="inlineStr">
        <is>
          <t>Viscosity agent</t>
        </is>
      </c>
      <c r="I41" s="18" t="n">
        <v>2</v>
      </c>
      <c r="J41" s="18"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8" t="n"/>
      <c r="L41" s="18" t="inlineStr">
        <is>
          <t>Tablet Manufacturing</t>
        </is>
      </c>
      <c r="M41" s="18" t="inlineStr">
        <is>
          <t>Product</t>
        </is>
      </c>
      <c r="N41" s="18" t="inlineStr">
        <is>
          <t>ข้อ 127 ชุด 1 (เฉลยข้อ ข)</t>
        </is>
      </c>
      <c r="O41" s="18" t="inlineStr">
        <is>
          <t>Mock</t>
        </is>
      </c>
      <c r="P41" s="18" t="inlineStr">
        <is>
          <t>ชุด 1</t>
        </is>
      </c>
    </row>
    <row r="42">
      <c r="A42" s="18" t="n">
        <v>152</v>
      </c>
      <c r="B42" s="18"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42" s="18" t="n"/>
      <c r="D42" s="18" t="inlineStr">
        <is>
          <t>0.27 g</t>
        </is>
      </c>
      <c r="E42" s="18" t="inlineStr">
        <is>
          <t>0.18 g</t>
        </is>
      </c>
      <c r="F42" s="18" t="inlineStr">
        <is>
          <t>0.09 g</t>
        </is>
      </c>
      <c r="G42" s="18" t="inlineStr">
        <is>
          <t>0.04 g</t>
        </is>
      </c>
      <c r="H42" s="18" t="inlineStr">
        <is>
          <t>0.12 g</t>
        </is>
      </c>
      <c r="I42" s="18" t="n">
        <v>3</v>
      </c>
      <c r="J42" s="18"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8" t="n"/>
      <c r="L42" s="18" t="inlineStr">
        <is>
          <t>Tablet Manufacturing</t>
        </is>
      </c>
      <c r="M42" s="18" t="inlineStr">
        <is>
          <t>Product</t>
        </is>
      </c>
      <c r="N42" s="18" t="inlineStr">
        <is>
          <t>ข้อ 152 ชุด 1 (เฉลยข้อ ค)</t>
        </is>
      </c>
      <c r="O42" s="18" t="inlineStr">
        <is>
          <t>Mock</t>
        </is>
      </c>
      <c r="P42" s="18" t="inlineStr">
        <is>
          <t>ชุด 1</t>
        </is>
      </c>
    </row>
    <row r="43">
      <c r="A43" s="18" t="n">
        <v>153</v>
      </c>
      <c r="B43" s="18" t="inlineStr">
        <is>
          <t>ข้อใดไม่เกี่ยวกับการควบคุมคุณภาพ ยาเม็ด norfloxacin</t>
        </is>
      </c>
      <c r="C43" s="18" t="n"/>
      <c r="D43" s="18" t="inlineStr">
        <is>
          <t>Content Uniformity</t>
        </is>
      </c>
      <c r="E43" s="18" t="inlineStr">
        <is>
          <t>Dissolution test</t>
        </is>
      </c>
      <c r="F43" s="18" t="inlineStr">
        <is>
          <t>Disintegration</t>
        </is>
      </c>
      <c r="G43" s="18" t="inlineStr">
        <is>
          <t>Weight Variation</t>
        </is>
      </c>
      <c r="H43" s="18" t="inlineStr">
        <is>
          <t>Limulus Amoebocyte Lysate test</t>
        </is>
      </c>
      <c r="I43" s="18" t="n">
        <v>5</v>
      </c>
      <c r="J43" s="18"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8" t="n"/>
      <c r="L43" s="18" t="inlineStr">
        <is>
          <t>Tablet Manufacturing</t>
        </is>
      </c>
      <c r="M43" s="18" t="inlineStr">
        <is>
          <t>Product</t>
        </is>
      </c>
      <c r="N43" s="18" t="inlineStr">
        <is>
          <t>ข้อ 153 ชุด 1 (เฉลยข้อ จ)</t>
        </is>
      </c>
      <c r="O43" s="18" t="inlineStr">
        <is>
          <t>Mock</t>
        </is>
      </c>
      <c r="P43" s="18" t="inlineStr">
        <is>
          <t>ชุด 1</t>
        </is>
      </c>
    </row>
    <row r="44">
      <c r="A44" s="18" t="n">
        <v>154</v>
      </c>
      <c r="B44" s="18" t="inlineStr">
        <is>
          <t>สารทำ emulsion ที่ดีของยาครีม isotretinoin ควรมีคุณสมบัติ</t>
        </is>
      </c>
      <c r="C44" s="18" t="n"/>
      <c r="D44" s="18" t="inlineStr">
        <is>
          <t>ลดแรงตึงผิว</t>
        </is>
      </c>
      <c r="E44" s="18" t="inlineStr">
        <is>
          <t>เพิ่มความหนืดให้กับครีม</t>
        </is>
      </c>
      <c r="F44" s="18" t="inlineStr">
        <is>
          <t>ให้ศักย์ไฟฟ้าที่เหมาะสมเพื่อให้เกิดแรงผลักของหยด</t>
        </is>
      </c>
      <c r="G44" s="18" t="inlineStr">
        <is>
          <t>มีประสิทธิภาพความเข้มข้นต่ำ</t>
        </is>
      </c>
      <c r="H44" s="18" t="inlineStr">
        <is>
          <t>ถูกทุกข้อ</t>
        </is>
      </c>
      <c r="I44" s="18" t="n">
        <v>5</v>
      </c>
      <c r="J44" s="18"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8" t="n"/>
      <c r="L44" s="18" t="inlineStr">
        <is>
          <t>Tablet Manufacturing</t>
        </is>
      </c>
      <c r="M44" s="18" t="inlineStr">
        <is>
          <t>Product</t>
        </is>
      </c>
      <c r="N44" s="18" t="inlineStr">
        <is>
          <t>ข้อ 154 ชุด 1 (เฉลยข้อ จ)</t>
        </is>
      </c>
      <c r="O44" s="18" t="inlineStr">
        <is>
          <t>Mock</t>
        </is>
      </c>
      <c r="P44" s="18" t="inlineStr">
        <is>
          <t>ชุด 1</t>
        </is>
      </c>
    </row>
    <row r="45">
      <c r="A45" s="18" t="n">
        <v>155</v>
      </c>
      <c r="B45" s="18"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45" s="18" t="n"/>
      <c r="D45" s="18" t="inlineStr">
        <is>
          <t>Sodium alginate, bentonite, methylcellulose</t>
        </is>
      </c>
      <c r="E45" s="18" t="inlineStr">
        <is>
          <t>Tragacanth, carbomer, methylcellulose</t>
        </is>
      </c>
      <c r="F45" s="18" t="inlineStr">
        <is>
          <t>Carbomer, methylcellulose, hydroxypropyl cellulose</t>
        </is>
      </c>
      <c r="G45" s="18" t="inlineStr">
        <is>
          <t>Pectin, guar gum, carbomer</t>
        </is>
      </c>
      <c r="H45" s="18" t="inlineStr">
        <is>
          <t>Tragacanth, carboxymethylcellulose, carbomer</t>
        </is>
      </c>
      <c r="I45" s="18" t="n">
        <v>5</v>
      </c>
      <c r="J45" s="18"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8" t="n"/>
      <c r="L45" s="18" t="inlineStr">
        <is>
          <t>Tablet Manufacturing</t>
        </is>
      </c>
      <c r="M45" s="18" t="inlineStr">
        <is>
          <t>Product</t>
        </is>
      </c>
      <c r="N45" s="18" t="inlineStr">
        <is>
          <t>ข้อ 155 ชุด 1 (เฉลยข้อ จ)</t>
        </is>
      </c>
      <c r="O45" s="18" t="inlineStr">
        <is>
          <t>Mock</t>
        </is>
      </c>
      <c r="P45" s="18" t="inlineStr">
        <is>
          <t>ชุด 1</t>
        </is>
      </c>
    </row>
    <row r="46">
      <c r="A46" s="18" t="n">
        <v>156</v>
      </c>
      <c r="B46" s="18"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46" s="18" t="n"/>
      <c r="D46" s="18" t="inlineStr">
        <is>
          <t>Mineral oil</t>
        </is>
      </c>
      <c r="E46" s="18" t="inlineStr">
        <is>
          <t>Carbopol</t>
        </is>
      </c>
      <c r="F46" s="18" t="inlineStr">
        <is>
          <t>White beeswax</t>
        </is>
      </c>
      <c r="G46" s="18" t="inlineStr">
        <is>
          <t>PEG 4000</t>
        </is>
      </c>
      <c r="H46" s="18" t="inlineStr">
        <is>
          <t>Glycerin</t>
        </is>
      </c>
      <c r="I46" s="18" t="n">
        <v>3</v>
      </c>
      <c r="J46" s="18"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8" t="n"/>
      <c r="L46" s="18" t="inlineStr">
        <is>
          <t>Tablet Manufacturing</t>
        </is>
      </c>
      <c r="M46" s="18" t="inlineStr">
        <is>
          <t>Product</t>
        </is>
      </c>
      <c r="N46" s="18" t="inlineStr">
        <is>
          <t>ข้อ 156 ชุด 1 (เฉลยข้อ ค)</t>
        </is>
      </c>
      <c r="O46" s="18" t="inlineStr">
        <is>
          <t>Mock</t>
        </is>
      </c>
      <c r="P46" s="18" t="inlineStr">
        <is>
          <t>ชุด 1</t>
        </is>
      </c>
    </row>
    <row r="47">
      <c r="A47" s="18" t="n">
        <v>163</v>
      </c>
      <c r="B47" s="18" t="inlineStr">
        <is>
          <t>สาร polymer ตัวใดนิยมใช้ในการทำ film coat tablet</t>
        </is>
      </c>
      <c r="C47" s="18" t="n"/>
      <c r="D47" s="18" t="inlineStr">
        <is>
          <t>HPMC</t>
        </is>
      </c>
      <c r="E47" s="18" t="inlineStr">
        <is>
          <t>CMC</t>
        </is>
      </c>
      <c r="F47" s="18" t="inlineStr">
        <is>
          <t>Polymeric methacrylates</t>
        </is>
      </c>
      <c r="G47" s="18" t="inlineStr">
        <is>
          <t>Carbopol</t>
        </is>
      </c>
      <c r="H47" s="18" t="inlineStr">
        <is>
          <t>Veegum</t>
        </is>
      </c>
      <c r="I47" s="18" t="n">
        <v>1</v>
      </c>
      <c r="J47" s="18"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8" t="n"/>
      <c r="L47" s="18" t="inlineStr">
        <is>
          <t>Tablet Coating</t>
        </is>
      </c>
      <c r="M47" s="18" t="inlineStr">
        <is>
          <t>Product</t>
        </is>
      </c>
      <c r="N47" s="18" t="inlineStr">
        <is>
          <t>ข้อ 163 ชุด 1 (เฉลยข้อ ก)</t>
        </is>
      </c>
      <c r="O47" s="18" t="inlineStr">
        <is>
          <t>Mock</t>
        </is>
      </c>
      <c r="P47" s="18" t="inlineStr">
        <is>
          <t>ชุด 1</t>
        </is>
      </c>
    </row>
    <row r="48">
      <c r="A48" s="18" t="n">
        <v>164</v>
      </c>
      <c r="B48" s="18" t="inlineStr">
        <is>
          <t>ข้อใดกล่าวผิดเกี่ยวกับยารูปแบบเม็ด</t>
        </is>
      </c>
      <c r="C48" s="18" t="n"/>
      <c r="D48" s="18" t="inlineStr">
        <is>
          <t>การเตรียมยา solution ทำได้โดยการใช้ตัวทำละลายร่วมที่เป็น organic solvent เพื่อช่วยละลาย</t>
        </is>
      </c>
      <c r="E48" s="18" t="inlineStr">
        <is>
          <t>ยารูปแบบ solution มักมีค่าความต้านทานการไหลและแรงตึงผิวภายในสารละลายใกล้เคียงกับน้ำ</t>
        </is>
      </c>
      <c r="F48" s="18" t="inlineStr">
        <is>
          <t>Suspension ใช้เป็นยาฉีดเข้าหลอดเลือดได้ ถ้าขนาดอนุภาคเล็กมากๆ</t>
        </is>
      </c>
      <c r="G48" s="18" t="inlineStr">
        <is>
          <t>Emulsion ใช้เป็นอาหารทางหลอดเลือดดำได้แต่ควรเป็นการเตรียมใหม่ๆ</t>
        </is>
      </c>
      <c r="H48" s="18" t="inlineStr">
        <is>
          <t>การลดความเจ็บปวดเมื่อฉีดทำได้โดยเติมสารบางชนิดเช่น buffer</t>
        </is>
      </c>
      <c r="I48" s="18" t="n">
        <v>1</v>
      </c>
      <c r="J48" s="18"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8" t="n"/>
      <c r="L48" s="18" t="inlineStr">
        <is>
          <t>Tablet Manufacturing</t>
        </is>
      </c>
      <c r="M48" s="18" t="inlineStr">
        <is>
          <t>Product</t>
        </is>
      </c>
      <c r="N48" s="18" t="inlineStr">
        <is>
          <t>ข้อ 164 ชุด 1 (เฉลยข้อ ไมมีคำตอบ)</t>
        </is>
      </c>
      <c r="O48" s="18" t="inlineStr">
        <is>
          <t>Mock</t>
        </is>
      </c>
      <c r="P48" s="18" t="inlineStr">
        <is>
          <t>ชุด 1</t>
        </is>
      </c>
    </row>
    <row r="49">
      <c r="A49" s="18" t="n">
        <v>165</v>
      </c>
      <c r="B49" s="18" t="inlineStr">
        <is>
          <t>ข้อใดถูกต้องที่สุดเกี่ยวกับ tonicity ของยาฉีด</t>
        </is>
      </c>
      <c r="C49" s="18" t="n"/>
      <c r="D49" s="18" t="inlineStr">
        <is>
          <t>จัดเป็น colligative property</t>
        </is>
      </c>
      <c r="E49" s="18" t="inlineStr">
        <is>
          <t>สามารถปรับได้โดยเติมสารบางชนิด เช่น phosphate acetate ซึ่งนิยมมาก</t>
        </is>
      </c>
      <c r="F49" s="18" t="inlineStr">
        <is>
          <t>การฉีด hypertonic solution ก่อให้เกิด cell lysis ได้</t>
        </is>
      </c>
      <c r="G49" s="18" t="inlineStr">
        <is>
          <t>การฉีดยา isotonic ต่อระบบเลือด มักเป็น isotonic ต่อเนื้อเยื่ออื่นด้วย</t>
        </is>
      </c>
      <c r="H49" s="18" t="inlineStr">
        <is>
          <t>Normal saline เป็นทั้ง isotonic และ iso-osmotic</t>
        </is>
      </c>
      <c r="I49" s="18" t="n">
        <v>5</v>
      </c>
      <c r="J49" s="18"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8" t="n"/>
      <c r="L49" s="18" t="inlineStr">
        <is>
          <t>Tablet Manufacturing</t>
        </is>
      </c>
      <c r="M49" s="18" t="inlineStr">
        <is>
          <t>Product</t>
        </is>
      </c>
      <c r="N49" s="18" t="inlineStr">
        <is>
          <t>ข้อ 165 ชุด 1 (เฉลยข้อ จ)</t>
        </is>
      </c>
      <c r="O49" s="18" t="inlineStr">
        <is>
          <t>Mock</t>
        </is>
      </c>
      <c r="P49" s="18" t="inlineStr">
        <is>
          <t>ชุด 1</t>
        </is>
      </c>
    </row>
    <row r="50">
      <c r="A50" s="18" t="n">
        <v>166</v>
      </c>
      <c r="B50" s="18"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50" s="18" t="n"/>
      <c r="D50" s="18" t="inlineStr">
        <is>
          <t>Spray dried lactose</t>
        </is>
      </c>
      <c r="E50" s="18" t="inlineStr">
        <is>
          <t>Microcrystalline cellulose</t>
        </is>
      </c>
      <c r="F50" s="18" t="inlineStr">
        <is>
          <t>Tapioca starch</t>
        </is>
      </c>
      <c r="G50" s="18" t="inlineStr">
        <is>
          <t>Dibasic calcium phosphate</t>
        </is>
      </c>
      <c r="H50" s="18" t="inlineStr">
        <is>
          <t>Mannitol</t>
        </is>
      </c>
      <c r="I50" s="18" t="n">
        <v>1</v>
      </c>
      <c r="J50" s="18"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8" t="n"/>
      <c r="L50" s="18" t="inlineStr">
        <is>
          <t>Hard &amp; Soft Gelatin Capsules</t>
        </is>
      </c>
      <c r="M50" s="18" t="inlineStr">
        <is>
          <t>Product</t>
        </is>
      </c>
      <c r="N50" s="18" t="inlineStr">
        <is>
          <t>ข้อ 166 ชุด 1 (เฉลยข้อ ก)</t>
        </is>
      </c>
      <c r="O50" s="18" t="inlineStr">
        <is>
          <t>Mock</t>
        </is>
      </c>
      <c r="P50" s="18" t="inlineStr">
        <is>
          <t>ชุด 1</t>
        </is>
      </c>
    </row>
    <row r="51">
      <c r="A51" s="18" t="n">
        <v>167</v>
      </c>
      <c r="B51" s="18"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51" s="18" t="n"/>
      <c r="D51" s="18" t="inlineStr">
        <is>
          <t>ผงยามีการกระจายขนาดอนุภาคในช่วงแคบ</t>
        </is>
      </c>
      <c r="E51" s="18" t="inlineStr">
        <is>
          <t>ผงยามีค่า angle of repose ต่ำ</t>
        </is>
      </c>
      <c r="F51" s="18" t="inlineStr">
        <is>
          <t>สารเจือจางมีความหนาแน่นใกล้เคียงตัวยาสำคัญ</t>
        </is>
      </c>
      <c r="G51" s="18" t="inlineStr">
        <is>
          <t>ปริมาณของตัวยาและสารช่วยรวมกัน ควรบรรจุขอบ body ของเปลือก capsule ได้เต็มหรือเกือบเต็ม</t>
        </is>
      </c>
      <c r="H51" s="18" t="inlineStr">
        <is>
          <t>สารช่วยการไหลที่ใช้มีคุณสมบัติเป็น true lubricant มากกว่า glidant</t>
        </is>
      </c>
      <c r="I51" s="18" t="n">
        <v>5</v>
      </c>
      <c r="J51" s="18"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8" t="n"/>
      <c r="L51" s="18" t="inlineStr">
        <is>
          <t>Hard &amp; Soft Gelatin Capsules</t>
        </is>
      </c>
      <c r="M51" s="18" t="inlineStr">
        <is>
          <t>Product</t>
        </is>
      </c>
      <c r="N51" s="18" t="inlineStr">
        <is>
          <t>ข้อ 167 ชุด 1 (เฉลยข้อ จ)</t>
        </is>
      </c>
      <c r="O51" s="18" t="inlineStr">
        <is>
          <t>Mock</t>
        </is>
      </c>
      <c r="P51" s="18" t="inlineStr">
        <is>
          <t>ชุด 1</t>
        </is>
      </c>
    </row>
    <row r="52">
      <c r="A52" s="18" t="n">
        <v>168</v>
      </c>
      <c r="B52" s="18" t="inlineStr">
        <is>
          <t>ตำรับ aspirin suspension ที่เตรียมแล้วพบว่า เมื่อตั้งทิ้งไว้เป็นก้อนแข็ง เรียกปรากฏการณ์นี้ว่า</t>
        </is>
      </c>
      <c r="C52" s="18" t="n"/>
      <c r="D52" s="18" t="inlineStr">
        <is>
          <t>Flocculation</t>
        </is>
      </c>
      <c r="E52" s="18" t="inlineStr">
        <is>
          <t>Lamination</t>
        </is>
      </c>
      <c r="F52" s="18" t="inlineStr">
        <is>
          <t>Creaming</t>
        </is>
      </c>
      <c r="G52" s="18" t="inlineStr">
        <is>
          <t>Coalescence</t>
        </is>
      </c>
      <c r="H52" s="18" t="inlineStr">
        <is>
          <t>Caking</t>
        </is>
      </c>
      <c r="I52" s="18" t="n">
        <v>5</v>
      </c>
      <c r="J52" s="18"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8" t="n"/>
      <c r="L52" s="18" t="inlineStr">
        <is>
          <t>Tablet Manufacturing</t>
        </is>
      </c>
      <c r="M52" s="18" t="inlineStr">
        <is>
          <t>Product</t>
        </is>
      </c>
      <c r="N52" s="18" t="inlineStr">
        <is>
          <t>ข้อ 168 ชุด 1 (เฉลยข้อ จ)</t>
        </is>
      </c>
      <c r="O52" s="18" t="inlineStr">
        <is>
          <t>Mock</t>
        </is>
      </c>
      <c r="P52" s="18" t="inlineStr">
        <is>
          <t>ชุด 1</t>
        </is>
      </c>
    </row>
    <row r="53">
      <c r="A53" s="18" t="n">
        <v>180</v>
      </c>
      <c r="B53" s="18"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53" s="18" t="n"/>
      <c r="D53" s="18" t="inlineStr">
        <is>
          <t>ผ่านการทดสอบใน S1 ทั้งหกเม็ด</t>
        </is>
      </c>
      <c r="E53" s="18" t="inlineStr">
        <is>
          <t>มี 3 เม็ดไม่ผ่านการทดสอบใน S1</t>
        </is>
      </c>
      <c r="F53" s="18" t="inlineStr">
        <is>
          <t>มี 1 เม็ดไม่ผ่านการทดสอบใน S1</t>
        </is>
      </c>
      <c r="G53" s="18" t="inlineStr">
        <is>
          <t>ต้องทำการทดสอบเพิ่มอีก 12 เม็ด</t>
        </is>
      </c>
      <c r="H53" s="18" t="inlineStr">
        <is>
          <t>มี 4 เม็ดไม่ผ่านการทดสอบ</t>
        </is>
      </c>
      <c r="I53" s="18" t="n">
        <v>1</v>
      </c>
      <c r="J53" s="18"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8" t="n"/>
      <c r="L53" s="18" t="inlineStr">
        <is>
          <t>Tablet Manufacturing</t>
        </is>
      </c>
      <c r="M53" s="18" t="inlineStr">
        <is>
          <t>Product</t>
        </is>
      </c>
      <c r="N53" s="18" t="inlineStr">
        <is>
          <t>ข้อ 180 ชุด 1 (เฉลยข้อ )</t>
        </is>
      </c>
      <c r="O53" s="18" t="inlineStr">
        <is>
          <t>Mock</t>
        </is>
      </c>
      <c r="P53" s="18" t="inlineStr">
        <is>
          <t>ชุด 1</t>
        </is>
      </c>
    </row>
    <row r="54">
      <c r="A54" s="18" t="n">
        <v>181</v>
      </c>
      <c r="B54" s="18" t="inlineStr">
        <is>
          <t>ยาของบริษัทใดมีความสามารถในการละลายน้ำที่ดีกว่ากัน</t>
        </is>
      </c>
      <c r="C54" s="18" t="n"/>
      <c r="D54" s="18" t="inlineStr">
        <is>
          <t>ยาของบริษัท A ละลายน้ำได้ดีกว่า บริษัท B เนื่องจากมี lactose ทำให้ละลายน้ำได้ดีกว่า</t>
        </is>
      </c>
      <c r="E54" s="18" t="inlineStr">
        <is>
          <t>ยาของบริษัท A ละลายน้ำได้ดีกว่า บริษัท B เนื่องจากมีปริมาณ magnesium stearate มากกว่า</t>
        </is>
      </c>
      <c r="F54" s="18" t="inlineStr">
        <is>
          <t>ยาของบริษัท B ละลายน้ำได้ดีกว่า บริษัท A เนื่องจากมี microcrystalline cellulose ช่วยในการละลาย</t>
        </is>
      </c>
      <c r="G54" s="18" t="inlineStr">
        <is>
          <t>ยาของบริษัท B ละลายน้ำได้ดีกว่า บริษัท A เนื่องจากมี sodium lauryl sulfate เป็น wetting agent</t>
        </is>
      </c>
      <c r="H54" s="18" t="inlineStr">
        <is>
          <t>ยาของบริษัท A และ B ละลายน้ำได้เท่ากันเนื่องจากยา allopurinol มีคุณสมบัติละลายน้ำได้น้อยอยู่แล้ว</t>
        </is>
      </c>
      <c r="I54" s="18" t="n">
        <v>1</v>
      </c>
      <c r="J54" s="18"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8" t="n"/>
      <c r="L54" s="18" t="inlineStr">
        <is>
          <t>Tablet Manufacturing</t>
        </is>
      </c>
      <c r="M54" s="18" t="inlineStr">
        <is>
          <t>Product</t>
        </is>
      </c>
      <c r="N54" s="18" t="inlineStr">
        <is>
          <t>ข้อ 181 ชุด 1 (เฉลยข้อ )</t>
        </is>
      </c>
      <c r="O54" s="18" t="inlineStr">
        <is>
          <t>Mock</t>
        </is>
      </c>
      <c r="P54" s="18" t="inlineStr">
        <is>
          <t>ชุด 1</t>
        </is>
      </c>
    </row>
    <row r="55">
      <c r="A55" s="18" t="n">
        <v>182</v>
      </c>
      <c r="B55" s="18" t="inlineStr">
        <is>
          <t>ยาเม็ดคุมกำเนิด ไม่ต้องทำการทดสอบตัวข้อใด (ตามมาตรฐานของ USP)</t>
        </is>
      </c>
      <c r="C55" s="18" t="n"/>
      <c r="D55" s="18" t="inlineStr">
        <is>
          <t>Dissolution</t>
        </is>
      </c>
      <c r="E55" s="18" t="inlineStr">
        <is>
          <t>Hardness</t>
        </is>
      </c>
      <c r="F55" s="18" t="inlineStr">
        <is>
          <t>Disintegration</t>
        </is>
      </c>
      <c r="G55" s="18" t="inlineStr">
        <is>
          <t>Content of Uniformity</t>
        </is>
      </c>
      <c r="H55" s="18" t="inlineStr">
        <is>
          <t>Percent labeled amount</t>
        </is>
      </c>
      <c r="I55" s="18" t="n">
        <v>2</v>
      </c>
      <c r="J55" s="18"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8" t="n"/>
      <c r="L55" s="18" t="inlineStr">
        <is>
          <t>Tablet Manufacturing</t>
        </is>
      </c>
      <c r="M55" s="18" t="inlineStr">
        <is>
          <t>Product</t>
        </is>
      </c>
      <c r="N55" s="18" t="inlineStr">
        <is>
          <t>ข้อ 182 ชุด 1 (เฉลยข้อ ข)</t>
        </is>
      </c>
      <c r="O55" s="18" t="inlineStr">
        <is>
          <t>Mock</t>
        </is>
      </c>
      <c r="P55" s="18" t="inlineStr">
        <is>
          <t>ชุด 1</t>
        </is>
      </c>
    </row>
    <row r="56">
      <c r="A56" s="18" t="n">
        <v>183</v>
      </c>
      <c r="B56" s="18" t="inlineStr">
        <is>
          <t>ข้อใดผิดเกี่ยวกับการเตรียมยาเม็ดด้วยวิธีตอกอัดโดยตรง</t>
        </is>
      </c>
      <c r="C56" s="18" t="n"/>
      <c r="D56" s="18" t="inlineStr">
        <is>
          <t>เป็นวิธีที่สะดวกรวดเร็ว</t>
        </is>
      </c>
      <c r="E56" s="18" t="inlineStr">
        <is>
          <t>ไม่ใช้น้ำและความร้อนในการตอก</t>
        </is>
      </c>
      <c r="F56" s="18" t="inlineStr">
        <is>
          <t>ยาเม็ดที่ได้มีการกระจายของสีที่สม่ำเสมอกว่าการทำแกรนูลเปียก</t>
        </is>
      </c>
      <c r="G56" s="18" t="inlineStr">
        <is>
          <t>ยาที่ตอกควรมีคุณสมบัติในการไหลและยึดเกาะกันได้ดี</t>
        </is>
      </c>
      <c r="H56" s="18" t="inlineStr">
        <is>
          <t>สารช่วยควรไหลได้ดีและตอกอัดได้</t>
        </is>
      </c>
      <c r="I56" s="18" t="n">
        <v>3</v>
      </c>
      <c r="J56" s="18"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8" t="n"/>
      <c r="L56" s="18" t="inlineStr">
        <is>
          <t>Tablet Manufacturing</t>
        </is>
      </c>
      <c r="M56" s="18" t="inlineStr">
        <is>
          <t>Product</t>
        </is>
      </c>
      <c r="N56" s="18" t="inlineStr">
        <is>
          <t>ข้อ 183 ชุด 1 (เฉลยข้อ ค)</t>
        </is>
      </c>
      <c r="O56" s="18" t="inlineStr">
        <is>
          <t>Mock</t>
        </is>
      </c>
      <c r="P56" s="18" t="inlineStr">
        <is>
          <t>ชุด 1</t>
        </is>
      </c>
    </row>
    <row r="57">
      <c r="A57" s="18" t="n">
        <v>184</v>
      </c>
      <c r="B57" s="18"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57" s="18" t="n"/>
      <c r="D57" s="18" t="inlineStr">
        <is>
          <t>Cosolvency</t>
        </is>
      </c>
      <c r="E57" s="18" t="inlineStr">
        <is>
          <t>Complexation</t>
        </is>
      </c>
      <c r="F57" s="18" t="inlineStr">
        <is>
          <t>Micelle</t>
        </is>
      </c>
      <c r="G57" s="18" t="inlineStr">
        <is>
          <t>Liposome</t>
        </is>
      </c>
      <c r="H57" s="18" t="inlineStr">
        <is>
          <t>Crystallization</t>
        </is>
      </c>
      <c r="I57" s="18" t="n">
        <v>1</v>
      </c>
      <c r="J57" s="18"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8" t="n"/>
      <c r="L57" s="18" t="inlineStr">
        <is>
          <t>Tablet Manufacturing</t>
        </is>
      </c>
      <c r="M57" s="18" t="inlineStr">
        <is>
          <t>Product</t>
        </is>
      </c>
      <c r="N57" s="18" t="inlineStr">
        <is>
          <t>ข้อ 184 ชุด 1 (เฉลยข้อ ก)</t>
        </is>
      </c>
      <c r="O57" s="18" t="inlineStr">
        <is>
          <t>Mock</t>
        </is>
      </c>
      <c r="P57" s="18" t="inlineStr">
        <is>
          <t>ชุด 1</t>
        </is>
      </c>
    </row>
    <row r="58">
      <c r="A58" s="18" t="n">
        <v>185</v>
      </c>
      <c r="B58" s="18"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58" s="18" t="n"/>
      <c r="D58" s="18" t="inlineStr">
        <is>
          <t>Cosolvency</t>
        </is>
      </c>
      <c r="E58" s="18" t="inlineStr">
        <is>
          <t>pH adjustment</t>
        </is>
      </c>
      <c r="F58" s="18" t="inlineStr">
        <is>
          <t>Complexation</t>
        </is>
      </c>
      <c r="G58" s="18" t="inlineStr">
        <is>
          <t>Prodrug formation</t>
        </is>
      </c>
      <c r="H58" s="18" t="inlineStr">
        <is>
          <t>Micelle solubilization</t>
        </is>
      </c>
      <c r="I58" s="18" t="n">
        <v>1</v>
      </c>
      <c r="J58" s="18"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8" t="n"/>
      <c r="L58" s="18" t="inlineStr">
        <is>
          <t>Tablet Manufacturing</t>
        </is>
      </c>
      <c r="M58" s="18" t="inlineStr">
        <is>
          <t>Product</t>
        </is>
      </c>
      <c r="N58" s="18" t="inlineStr">
        <is>
          <t>ข้อ 185 ชุด 1 (เฉลยข้อ ก)</t>
        </is>
      </c>
      <c r="O58" s="18" t="inlineStr">
        <is>
          <t>Mock</t>
        </is>
      </c>
      <c r="P58" s="18" t="inlineStr">
        <is>
          <t>ชุด 1</t>
        </is>
      </c>
    </row>
    <row r="59">
      <c r="A59" s="18" t="n">
        <v>186</v>
      </c>
      <c r="B59" s="18"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59" s="18" t="n"/>
      <c r="D59" s="18" t="inlineStr">
        <is>
          <t>Caking</t>
        </is>
      </c>
      <c r="E59" s="18" t="inlineStr">
        <is>
          <t>Cracking</t>
        </is>
      </c>
      <c r="F59" s="18" t="inlineStr">
        <is>
          <t>Bleeding</t>
        </is>
      </c>
      <c r="G59" s="18" t="inlineStr">
        <is>
          <t>Creaming</t>
        </is>
      </c>
      <c r="H59" s="18" t="inlineStr">
        <is>
          <t>Phase inversion</t>
        </is>
      </c>
      <c r="I59" s="18" t="n">
        <v>2</v>
      </c>
      <c r="J59" s="18"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8" t="n"/>
      <c r="L59" s="18" t="inlineStr">
        <is>
          <t>Tablet Manufacturing</t>
        </is>
      </c>
      <c r="M59" s="18" t="inlineStr">
        <is>
          <t>Product</t>
        </is>
      </c>
      <c r="N59" s="18" t="inlineStr">
        <is>
          <t>ข้อ 186 ชุด 1 (เฉลยข้อ ข)</t>
        </is>
      </c>
      <c r="O59" s="18" t="inlineStr">
        <is>
          <t>Mock</t>
        </is>
      </c>
      <c r="P59" s="18" t="inlineStr">
        <is>
          <t>ชุด 1</t>
        </is>
      </c>
    </row>
    <row r="60">
      <c r="A60" s="18" t="n">
        <v>187</v>
      </c>
      <c r="B60" s="18" t="inlineStr">
        <is>
          <t>มีสูตรตำรับโลชั่นพริก เกิดแยกตัว เขย่าไม่กลับคืนเกิดจากสาเหตุใดได้</t>
        </is>
      </c>
      <c r="C60" s="18" t="n"/>
      <c r="D60" s="18" t="inlineStr">
        <is>
          <t>เฟสน้ำมันมีมากไป</t>
        </is>
      </c>
      <c r="E60" s="18" t="inlineStr">
        <is>
          <t>สัดส่วนระหว่างวัดภาคน้ำและน้ำมันต่างกันมาก</t>
        </is>
      </c>
      <c r="F60" s="18" t="inlineStr">
        <is>
          <t>ไม่มี emulsifier</t>
        </is>
      </c>
      <c r="G60" s="18" t="inlineStr">
        <is>
          <t>Emulsifier ไม่เพียงพอ</t>
        </is>
      </c>
      <c r="H60" s="18" t="inlineStr">
        <is>
          <t>ความหนาแน่นเฟสน้ำกับน้ำมันมีความแตกต่างกันมาก</t>
        </is>
      </c>
      <c r="I60" s="18" t="n">
        <v>4</v>
      </c>
      <c r="J60" s="18"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8" t="n"/>
      <c r="L60" s="18" t="inlineStr">
        <is>
          <t>Tablet Manufacturing</t>
        </is>
      </c>
      <c r="M60" s="18" t="inlineStr">
        <is>
          <t>Product</t>
        </is>
      </c>
      <c r="N60" s="18" t="inlineStr">
        <is>
          <t>ข้อ 187 ชุด 1 (เฉลยข้อ ง)</t>
        </is>
      </c>
      <c r="O60" s="18" t="inlineStr">
        <is>
          <t>Mock</t>
        </is>
      </c>
      <c r="P60" s="18" t="inlineStr">
        <is>
          <t>ชุด 1</t>
        </is>
      </c>
    </row>
    <row r="61">
      <c r="A61" s="18" t="n">
        <v>188</v>
      </c>
      <c r="B61" s="18" t="inlineStr">
        <is>
          <t>ถ้าจะเตรียมยาเพื่อให้ไม่ผ่านกระบวนการ metabolite ที่ตับ เราควรจะเตรียมในรูปแบบใด</t>
        </is>
      </c>
      <c r="C61" s="18" t="n"/>
      <c r="D61" s="18" t="inlineStr">
        <is>
          <t>Film coated tablets</t>
        </is>
      </c>
      <c r="E61" s="18" t="inlineStr">
        <is>
          <t>Enteric coated tablets</t>
        </is>
      </c>
      <c r="F61" s="18" t="inlineStr">
        <is>
          <t>Osmotic pump tablets</t>
        </is>
      </c>
      <c r="G61" s="18" t="inlineStr">
        <is>
          <t>Matrix tablets</t>
        </is>
      </c>
      <c r="H61" s="18" t="inlineStr">
        <is>
          <t>Rectal suppositories</t>
        </is>
      </c>
      <c r="I61" s="18" t="n">
        <v>4</v>
      </c>
      <c r="J61" s="18"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8" t="n"/>
      <c r="L61" s="18" t="inlineStr">
        <is>
          <t>Tablet Manufacturing</t>
        </is>
      </c>
      <c r="M61" s="18" t="inlineStr">
        <is>
          <t>Product</t>
        </is>
      </c>
      <c r="N61" s="18" t="inlineStr">
        <is>
          <t>ข้อ 188 ชุด 1 (เฉลยข้อ ง)</t>
        </is>
      </c>
      <c r="O61" s="18" t="inlineStr">
        <is>
          <t>Mock</t>
        </is>
      </c>
      <c r="P61" s="18" t="inlineStr">
        <is>
          <t>ชุด 1</t>
        </is>
      </c>
    </row>
    <row r="62">
      <c r="A62" s="18" t="n">
        <v>189</v>
      </c>
      <c r="B62" s="18" t="inlineStr">
        <is>
          <t>ระบบควบคุมการปลดปล่อยยาแบบใดสามารถหักแบ่งครึ่งเม็ดได้</t>
        </is>
      </c>
      <c r="C62" s="18" t="n"/>
      <c r="D62" s="18" t="inlineStr">
        <is>
          <t>Enteric coated</t>
        </is>
      </c>
      <c r="E62" s="18" t="inlineStr">
        <is>
          <t>Reservoir</t>
        </is>
      </c>
      <c r="F62" s="18" t="inlineStr">
        <is>
          <t>Osmotic control</t>
        </is>
      </c>
      <c r="G62" s="18" t="inlineStr">
        <is>
          <t>Matrix control</t>
        </is>
      </c>
      <c r="H62" s="18" t="inlineStr">
        <is>
          <t>Film diffuse control</t>
        </is>
      </c>
      <c r="I62" s="18" t="n">
        <v>5</v>
      </c>
      <c r="J62" s="18"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8" t="n"/>
      <c r="L62" s="18" t="inlineStr">
        <is>
          <t>Tablet Manufacturing</t>
        </is>
      </c>
      <c r="M62" s="18" t="inlineStr">
        <is>
          <t>Product</t>
        </is>
      </c>
      <c r="N62" s="18" t="inlineStr">
        <is>
          <t>ข้อ 189 ชุด 1 (เฉลยข้อ จ)</t>
        </is>
      </c>
      <c r="O62" s="18" t="inlineStr">
        <is>
          <t>Mock</t>
        </is>
      </c>
      <c r="P62" s="18" t="inlineStr">
        <is>
          <t>ชุด 1</t>
        </is>
      </c>
    </row>
    <row r="63">
      <c r="A63" s="18" t="n">
        <v>190</v>
      </c>
      <c r="B63" s="18"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63" s="18" t="n"/>
      <c r="D63" s="18" t="inlineStr">
        <is>
          <t>Titanium dioxide เป็น binder</t>
        </is>
      </c>
      <c r="E63" s="18" t="inlineStr">
        <is>
          <t>Microcrystalline cellulose เป็น filler</t>
        </is>
      </c>
      <c r="F63" s="18" t="inlineStr">
        <is>
          <t>Sodium starch glycolate เป็น superdisintegrant</t>
        </is>
      </c>
      <c r="G63" s="18" t="inlineStr">
        <is>
          <t>Magnesium stearate เป็น glidant</t>
        </is>
      </c>
      <c r="H63" s="18" t="inlineStr">
        <is>
          <t>Corn starch เป็น disintegrant</t>
        </is>
      </c>
      <c r="I63" s="18" t="n">
        <v>5</v>
      </c>
      <c r="J63" s="18"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8" t="n"/>
      <c r="L63" s="18" t="inlineStr">
        <is>
          <t>Powders &amp; Granules</t>
        </is>
      </c>
      <c r="M63" s="18" t="inlineStr">
        <is>
          <t>Product</t>
        </is>
      </c>
      <c r="N63" s="18" t="inlineStr">
        <is>
          <t>ข้อ 190 ชุด 1 (เฉลยข้อ จ)</t>
        </is>
      </c>
      <c r="O63" s="18" t="inlineStr">
        <is>
          <t>Mock</t>
        </is>
      </c>
      <c r="P63" s="18" t="inlineStr">
        <is>
          <t>ชุด 1</t>
        </is>
      </c>
    </row>
    <row r="64">
      <c r="A64" s="18" t="n">
        <v>191</v>
      </c>
      <c r="B64" s="18" t="inlineStr">
        <is>
          <t>ยาทาสิว Benzoyl peroxide gel 5% มีส่วนประกอบดังนี้ Carbomer 940, Hydroxypropylmethylcellulose, Tween 20, Ethanol, Glycerin, Triethanolamine, Triclosan, Purified water
ข้อใดต่อไปนี้ถูกต้อง</t>
        </is>
      </c>
      <c r="C64" s="18" t="n"/>
      <c r="D64" s="18" t="inlineStr">
        <is>
          <t>มีสารก่อเจล 2 ชนิด</t>
        </is>
      </c>
      <c r="E64" s="18" t="inlineStr">
        <is>
          <t>Carbopol ละลายในน้ำเดือด แล้วเติมน้ำเย็นละลายทันที</t>
        </is>
      </c>
      <c r="F64" s="18" t="inlineStr">
        <is>
          <t>Triclosan ช่วยให้เจลแข็งตัวจากการปรับ pH</t>
        </is>
      </c>
      <c r="G64" s="18" t="inlineStr">
        <is>
          <t>Triethanolamine เป็น preservative ของตำรับ</t>
        </is>
      </c>
      <c r="H64" s="18" t="inlineStr">
        <is>
          <t>Carbopol ละลายได้ดีใน alcohol</t>
        </is>
      </c>
      <c r="I64" s="18" t="n">
        <v>4</v>
      </c>
      <c r="J64" s="18"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8" t="n"/>
      <c r="L64" s="18" t="inlineStr">
        <is>
          <t>Tablet Manufacturing</t>
        </is>
      </c>
      <c r="M64" s="18" t="inlineStr">
        <is>
          <t>Product</t>
        </is>
      </c>
      <c r="N64" s="18" t="inlineStr">
        <is>
          <t>ข้อ 191 ชุด 1 (เฉลยข้อ ง)</t>
        </is>
      </c>
      <c r="O64" s="18" t="inlineStr">
        <is>
          <t>Mock</t>
        </is>
      </c>
      <c r="P64" s="18" t="inlineStr">
        <is>
          <t>ชุด 1</t>
        </is>
      </c>
    </row>
    <row r="65">
      <c r="A65" s="18" t="n">
        <v>192</v>
      </c>
      <c r="B65" s="18" t="inlineStr">
        <is>
          <t>โจทย์ให้สูตรตำรับของ tetracycline capsule มา ได้แก่ lactose, magnesium stearate ... (โจทย์ไม่ครบ) ตำรับ tetracycline capsule
ข้อใดถูกต้อง</t>
        </is>
      </c>
      <c r="C65" s="18" t="n"/>
      <c r="D65" s="18" t="inlineStr">
        <is>
          <t>เหมาะจะเตรียมเป็น soft gelatin capsule</t>
        </is>
      </c>
      <c r="E65" s="18" t="inlineStr">
        <is>
          <t>Capsule เบอร์ 000 เล็กสุด เบอร์ 5 ใหญ่สุด</t>
        </is>
      </c>
      <c r="F65" s="18" t="inlineStr">
        <is>
          <t>Lactose เพิ่มความหวาน</t>
        </is>
      </c>
      <c r="G65" s="18" t="inlineStr">
        <is>
          <t>Magnesium stearate เพิ่มการแตกตัว</t>
        </is>
      </c>
      <c r="H65" s="18" t="inlineStr">
        <is>
          <t>Silicon dioxide เพิ่มการไหล</t>
        </is>
      </c>
      <c r="I65" s="18" t="n">
        <v>1</v>
      </c>
      <c r="J65" s="18"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8" t="n"/>
      <c r="L65" s="18" t="inlineStr">
        <is>
          <t>Hard &amp; Soft Gelatin Capsules</t>
        </is>
      </c>
      <c r="M65" s="18" t="inlineStr">
        <is>
          <t>Product</t>
        </is>
      </c>
      <c r="N65" s="18" t="inlineStr">
        <is>
          <t>ข้อ 192 ชุด 1 (เฉลยข้อ ก)</t>
        </is>
      </c>
      <c r="O65" s="18" t="inlineStr">
        <is>
          <t>Mock</t>
        </is>
      </c>
      <c r="P65" s="18" t="inlineStr">
        <is>
          <t>ชุด 1</t>
        </is>
      </c>
    </row>
    <row r="66">
      <c r="A66" s="18" t="n">
        <v>193</v>
      </c>
      <c r="B66" s="18"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66" s="18" t="n"/>
      <c r="D66" s="18" t="inlineStr">
        <is>
          <t>Hydroxypropyl methyl cellulose</t>
        </is>
      </c>
      <c r="E66" s="18" t="inlineStr">
        <is>
          <t>Magnesium stearate</t>
        </is>
      </c>
      <c r="F66" s="18" t="inlineStr">
        <is>
          <t>Microcrystalline cellulose</t>
        </is>
      </c>
      <c r="G66" s="18" t="inlineStr">
        <is>
          <t>Colloidal silica</t>
        </is>
      </c>
      <c r="H66" s="18" t="inlineStr">
        <is>
          <t>Pre-gelatinized starch</t>
        </is>
      </c>
      <c r="I66" s="18" t="n">
        <v>5</v>
      </c>
      <c r="J66" s="18"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8" t="n"/>
      <c r="L66" s="18" t="inlineStr">
        <is>
          <t>Tablet Manufacturing</t>
        </is>
      </c>
      <c r="M66" s="18" t="inlineStr">
        <is>
          <t>Product</t>
        </is>
      </c>
      <c r="N66" s="18" t="inlineStr">
        <is>
          <t>ข้อ 193 ชุด 1 (เฉลยข้อ จ)</t>
        </is>
      </c>
      <c r="O66" s="18" t="inlineStr">
        <is>
          <t>Mock</t>
        </is>
      </c>
      <c r="P66" s="18" t="inlineStr">
        <is>
          <t>ชุด 1</t>
        </is>
      </c>
    </row>
    <row r="67">
      <c r="A67" s="18" t="n">
        <v>194</v>
      </c>
      <c r="B67" s="18" t="inlineStr">
        <is>
          <t>ในการพิสูจน์ Bioequivalence ระหว่างยา 2 ตัว จะต้องคำนึงถึง parameter ใดบ้าง
ข้อใดต่อไปนี้ถูกต้อง</t>
        </is>
      </c>
      <c r="C67" s="18" t="n"/>
      <c r="D67" s="18" t="inlineStr">
        <is>
          <t>AUC0-inf และ Tmax</t>
        </is>
      </c>
      <c r="E67" s="18" t="inlineStr">
        <is>
          <t>AUC0-inf และ Cmax</t>
        </is>
      </c>
      <c r="F67" s="18" t="inlineStr">
        <is>
          <t>AUC0-inf และ Elimination half life</t>
        </is>
      </c>
      <c r="G67" s="18" t="inlineStr">
        <is>
          <t>Cmax และ Elimination half life</t>
        </is>
      </c>
      <c r="H67" s="18" t="inlineStr">
        <is>
          <t>Tmax และ Elimination half life</t>
        </is>
      </c>
      <c r="I67" s="18" t="n">
        <v>5</v>
      </c>
      <c r="J67" s="18"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8" t="n"/>
      <c r="L67" s="18" t="inlineStr">
        <is>
          <t>Tablet Manufacturing</t>
        </is>
      </c>
      <c r="M67" s="18" t="inlineStr">
        <is>
          <t>Product</t>
        </is>
      </c>
      <c r="N67" s="18" t="inlineStr">
        <is>
          <t>ข้อ 194 ชุด 1 (เฉลยข้อ จ)</t>
        </is>
      </c>
      <c r="O67" s="18" t="inlineStr">
        <is>
          <t>Mock</t>
        </is>
      </c>
      <c r="P67" s="18" t="inlineStr">
        <is>
          <t>ชุด 1</t>
        </is>
      </c>
    </row>
    <row r="68">
      <c r="A68" s="15" t="inlineStr">
        <is>
          <t>67</t>
        </is>
      </c>
      <c r="B68" s="18"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68" s="18" t="inlineStr"/>
      <c r="D68" s="18" t="inlineStr">
        <is>
          <t>Direct compression</t>
        </is>
      </c>
      <c r="E68" s="18" t="inlineStr">
        <is>
          <t>Extrusion and spheronization</t>
        </is>
      </c>
      <c r="F68" s="18" t="inlineStr">
        <is>
          <t>Rolling compaction</t>
        </is>
      </c>
      <c r="G68" s="18" t="inlineStr">
        <is>
          <t>Slugging</t>
        </is>
      </c>
      <c r="H68" s="18" t="inlineStr">
        <is>
          <t>Wet granulation</t>
        </is>
      </c>
      <c r="I68" s="15" t="inlineStr">
        <is>
          <t>5</t>
        </is>
      </c>
      <c r="J68" s="18"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68" s="18" t="inlineStr"/>
      <c r="L68" s="18" t="inlineStr">
        <is>
          <t>Tablet Manufacturing</t>
        </is>
      </c>
      <c r="M68" s="18" t="inlineStr">
        <is>
          <t>Product</t>
        </is>
      </c>
      <c r="N68" s="18" t="inlineStr">
        <is>
          <t>Mock PLE-CC 1 ข้อ 6</t>
        </is>
      </c>
      <c r="O68" s="18" t="inlineStr">
        <is>
          <t>Mock</t>
        </is>
      </c>
      <c r="P68" s="18" t="inlineStr">
        <is>
          <t>Mock RxCU83</t>
        </is>
      </c>
      <c r="Q68" s="18" t="inlineStr"/>
    </row>
    <row r="69">
      <c r="A69" s="15" t="inlineStr">
        <is>
          <t>68</t>
        </is>
      </c>
      <c r="B69" s="18" t="inlineStr">
        <is>
          <t>ข้อใดคือเหตุผลสำคัญที่สุดในการเลือกผลิตยา Ramipril ในรูปแบบแคปซูลเจลาตินแข็งแทนรูปแบบยาเม็ดทั่วไป</t>
        </is>
      </c>
      <c r="C69" s="18" t="inlineStr"/>
      <c r="D69" s="18" t="inlineStr">
        <is>
          <t>ป้องกันแสง</t>
        </is>
      </c>
      <c r="E69" s="18" t="inlineStr">
        <is>
          <t>ป้องกันความชื้น</t>
        </is>
      </c>
      <c r="F69" s="18" t="inlineStr">
        <is>
          <t>ลดความแปรปรวนของอัตราการละลาย</t>
        </is>
      </c>
      <c r="G69" s="18" t="inlineStr">
        <is>
          <t>แก้ปัญหาผงยาตอกอัดไม่ดี</t>
        </is>
      </c>
      <c r="H69" s="18" t="inlineStr">
        <is>
          <t>เพิ่มการออกฤทธิ์เนิ่นโดยไม่ต้องเคลือบ</t>
        </is>
      </c>
      <c r="I69" s="15" t="inlineStr">
        <is>
          <t>2</t>
        </is>
      </c>
      <c r="J69" s="18"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69" s="18" t="inlineStr"/>
      <c r="L69" s="18" t="inlineStr">
        <is>
          <t>Capsule Formulation</t>
        </is>
      </c>
      <c r="M69" s="18" t="inlineStr">
        <is>
          <t>Product</t>
        </is>
      </c>
      <c r="N69" s="18" t="inlineStr">
        <is>
          <t>Mock PLE-CC 1 ข้อ 19</t>
        </is>
      </c>
      <c r="O69" s="18" t="inlineStr">
        <is>
          <t>Mock</t>
        </is>
      </c>
      <c r="P69" s="18" t="inlineStr">
        <is>
          <t>Mock RxCU83</t>
        </is>
      </c>
      <c r="Q69" s="18" t="inlineStr"/>
    </row>
    <row r="70">
      <c r="A70" s="15" t="inlineStr">
        <is>
          <t>69</t>
        </is>
      </c>
      <c r="B70" s="18"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70" s="18" t="inlineStr"/>
      <c r="D70" s="18" t="inlineStr">
        <is>
          <t>ทุก lot ผ่านเกณฑ์ทั้งหมด</t>
        </is>
      </c>
      <c r="E70" s="18" t="inlineStr">
        <is>
          <t>ผ่านเฉพาะ lot 1</t>
        </is>
      </c>
      <c r="F70" s="18" t="inlineStr">
        <is>
          <t>ผ่านเฉพาะ lot 3</t>
        </is>
      </c>
      <c r="G70" s="18" t="inlineStr">
        <is>
          <t>ผ่านเฉพาะ lot 1 และ lot 3</t>
        </is>
      </c>
      <c r="H70" s="18" t="inlineStr">
        <is>
          <t>ไม่มี lot ใดผ่านเกณฑ์</t>
        </is>
      </c>
      <c r="I70" s="15" t="inlineStr">
        <is>
          <t>3</t>
        </is>
      </c>
      <c r="J70" s="18"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70" s="18" t="inlineStr"/>
      <c r="L70" s="18" t="inlineStr">
        <is>
          <t>Dissolution Testing</t>
        </is>
      </c>
      <c r="M70" s="18" t="inlineStr">
        <is>
          <t>Product</t>
        </is>
      </c>
      <c r="N70" s="18" t="inlineStr">
        <is>
          <t>Mock PLE-CC 1 ข้อ 22</t>
        </is>
      </c>
      <c r="O70" s="18" t="inlineStr">
        <is>
          <t>Mock</t>
        </is>
      </c>
      <c r="P70" s="18" t="inlineStr">
        <is>
          <t>Mock RxCU83</t>
        </is>
      </c>
      <c r="Q70" s="18" t="inlineStr"/>
    </row>
    <row r="71">
      <c r="A71" s="15" t="inlineStr">
        <is>
          <t>70</t>
        </is>
      </c>
      <c r="B71" s="18" t="inlineStr">
        <is>
          <t>สารในข้อใดไม่ใช่สารช่วยที่ใช้ในกระบวนการเคลือบน้ำตาลของยาเม็ด (Sugar-coated tablet)</t>
        </is>
      </c>
      <c r="C71" s="18" t="inlineStr"/>
      <c r="D71" s="18" t="inlineStr">
        <is>
          <t>Calcium carbonate</t>
        </is>
      </c>
      <c r="E71" s="18" t="inlineStr">
        <is>
          <t>Beeswax / Carnauba wax</t>
        </is>
      </c>
      <c r="F71" s="18" t="inlineStr">
        <is>
          <t>Gelatin</t>
        </is>
      </c>
      <c r="G71" s="18" t="inlineStr">
        <is>
          <t>Colloidal silicon dioxide (CSD)</t>
        </is>
      </c>
      <c r="H71" s="18" t="inlineStr">
        <is>
          <t>Acrylate polymer (Eudragit)</t>
        </is>
      </c>
      <c r="I71" s="15" t="inlineStr">
        <is>
          <t>5</t>
        </is>
      </c>
      <c r="J71" s="18"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71" s="18" t="inlineStr"/>
      <c r="L71" s="18" t="inlineStr">
        <is>
          <t>Sugar Coating</t>
        </is>
      </c>
      <c r="M71" s="18" t="inlineStr">
        <is>
          <t>Product</t>
        </is>
      </c>
      <c r="N71" s="18" t="inlineStr">
        <is>
          <t>Mock PLE-CC 1 ข้อ 89</t>
        </is>
      </c>
      <c r="O71" s="18" t="inlineStr">
        <is>
          <t>Mock</t>
        </is>
      </c>
      <c r="P71" s="18" t="inlineStr">
        <is>
          <t>Mock RxCU83</t>
        </is>
      </c>
      <c r="Q71" s="18" t="inlineStr"/>
    </row>
    <row r="72">
      <c r="A72" s="15" t="inlineStr">
        <is>
          <t>71</t>
        </is>
      </c>
      <c r="B72" s="18"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72" s="18" t="inlineStr"/>
      <c r="D72" s="18" t="inlineStr">
        <is>
          <t>Uniformity of dosage units</t>
        </is>
      </c>
      <c r="E72" s="18" t="inlineStr">
        <is>
          <t>Weight gain</t>
        </is>
      </c>
      <c r="F72" s="18" t="inlineStr">
        <is>
          <t>Hardness</t>
        </is>
      </c>
      <c r="G72" s="18" t="inlineStr">
        <is>
          <t>Dissolution test</t>
        </is>
      </c>
      <c r="H72" s="18" t="inlineStr">
        <is>
          <t>Disintegration test</t>
        </is>
      </c>
      <c r="I72" s="15" t="inlineStr">
        <is>
          <t>2</t>
        </is>
      </c>
      <c r="J72" s="18"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72" s="18" t="inlineStr"/>
      <c r="L72" s="18" t="inlineStr">
        <is>
          <t>Sugar Coating IPC</t>
        </is>
      </c>
      <c r="M72" s="18" t="inlineStr">
        <is>
          <t>Product</t>
        </is>
      </c>
      <c r="N72" s="18" t="inlineStr">
        <is>
          <t>Mock PLE-CC 1 ข้อ 90</t>
        </is>
      </c>
      <c r="O72" s="18" t="inlineStr">
        <is>
          <t>Mock</t>
        </is>
      </c>
      <c r="P72" s="18" t="inlineStr">
        <is>
          <t>Mock RxCU83</t>
        </is>
      </c>
      <c r="Q72" s="18" t="inlineStr"/>
    </row>
    <row r="73">
      <c r="A73" s="15" t="inlineStr">
        <is>
          <t>72</t>
        </is>
      </c>
      <c r="B73" s="18" t="inlineStr">
        <is>
          <t>ข้อใดกล่าวไม่ถูกต้องเกี่ยวกับยาเม็ดเคลือบน้ำตาล (Sugar-coated tablets)</t>
        </is>
      </c>
      <c r="C73" s="18" t="inlineStr"/>
      <c r="D73" s="18" t="inlineStr">
        <is>
          <t>จัดเป็นยาเม็ดในรูปแบบปลดปล่อยทันที (Immediate release)</t>
        </is>
      </c>
      <c r="E73" s="18" t="inlineStr">
        <is>
          <t>หากผู้ป่วยมือเปียกสัมผัสเม็ดยา จะทำให้ชั้นนอกของเม็ดเคลือบละลายเหนียวทันที</t>
        </is>
      </c>
      <c r="F73" s="18" t="inlineStr">
        <is>
          <t>ผู้ป่วยที่เป็นโรคเบาหวานสามารถรับประทานยาเม็ดเคลือบน้ำตาลได้ตามปกติ</t>
        </is>
      </c>
      <c r="G73" s="18" t="inlineStr">
        <is>
          <t>มีส่วนประกอบของ sucrose และ polyols ในน้ำเชื่อมเคลือบ</t>
        </is>
      </c>
      <c r="H73" s="18" t="inlineStr">
        <is>
          <t>เหมาะสำหรับสูตรตำรับตัวยาสำคัญที่ไวต่อความชื้นและน้ำอย่างยิ่ง</t>
        </is>
      </c>
      <c r="I73" s="15" t="inlineStr">
        <is>
          <t>5</t>
        </is>
      </c>
      <c r="J73" s="18"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73" s="18" t="inlineStr"/>
      <c r="L73" s="18" t="inlineStr">
        <is>
          <t>Sugar Coating Evaluation</t>
        </is>
      </c>
      <c r="M73" s="18" t="inlineStr">
        <is>
          <t>Product</t>
        </is>
      </c>
      <c r="N73" s="18" t="inlineStr">
        <is>
          <t>Mock PLE-CC 1 ข้อ 91</t>
        </is>
      </c>
      <c r="O73" s="18" t="inlineStr">
        <is>
          <t>Mock</t>
        </is>
      </c>
      <c r="P73" s="18" t="inlineStr">
        <is>
          <t>Mock RxCU83</t>
        </is>
      </c>
      <c r="Q73" s="18" t="inlineStr"/>
    </row>
    <row r="74">
      <c r="A74" s="15" t="inlineStr">
        <is>
          <t>73</t>
        </is>
      </c>
      <c r="B74" s="18"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74" s="18" t="inlineStr"/>
      <c r="D74" s="18" t="inlineStr">
        <is>
          <t>Sterile vehicle / Solvent</t>
        </is>
      </c>
      <c r="E74" s="18" t="inlineStr">
        <is>
          <t>Propellant (สารขับดัน)</t>
        </is>
      </c>
      <c r="F74" s="18" t="inlineStr">
        <is>
          <t>Tonicity adjusting agent</t>
        </is>
      </c>
      <c r="G74" s="18" t="inlineStr">
        <is>
          <t>Antimicrobial preservative</t>
        </is>
      </c>
      <c r="H74" s="18" t="inlineStr">
        <is>
          <t>Solubilizer</t>
        </is>
      </c>
      <c r="I74" s="15" t="inlineStr">
        <is>
          <t>2</t>
        </is>
      </c>
      <c r="J74" s="18"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74" s="18" t="inlineStr"/>
      <c r="L74" s="18" t="inlineStr">
        <is>
          <t>Inhalation Formulation</t>
        </is>
      </c>
      <c r="M74" s="18" t="inlineStr">
        <is>
          <t>Product</t>
        </is>
      </c>
      <c r="N74" s="18" t="inlineStr">
        <is>
          <t>Mock PLE-CC 1 ข้อ 101</t>
        </is>
      </c>
      <c r="O74" s="18" t="inlineStr">
        <is>
          <t>Mock</t>
        </is>
      </c>
      <c r="P74" s="18" t="inlineStr">
        <is>
          <t>Mock RxCU83</t>
        </is>
      </c>
      <c r="Q74" s="18" t="inlineStr"/>
    </row>
    <row r="75">
      <c r="A75" s="15" t="inlineStr">
        <is>
          <t>74</t>
        </is>
      </c>
      <c r="B75" s="18"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75" s="18" t="inlineStr"/>
      <c r="D75" s="18" t="inlineStr">
        <is>
          <t>Effervescent tablet</t>
        </is>
      </c>
      <c r="E75" s="18" t="inlineStr">
        <is>
          <t>Enteric coated tablet</t>
        </is>
      </c>
      <c r="F75" s="18" t="inlineStr">
        <is>
          <t>Plain uncoated tablet</t>
        </is>
      </c>
      <c r="G75" s="18" t="inlineStr">
        <is>
          <t>Film coated tablet</t>
        </is>
      </c>
      <c r="H75" s="18" t="inlineStr">
        <is>
          <t>Compaction coated tablet</t>
        </is>
      </c>
      <c r="I75" s="15" t="inlineStr">
        <is>
          <t>4</t>
        </is>
      </c>
      <c r="J75" s="18"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75" s="18" t="inlineStr"/>
      <c r="L75" s="18" t="inlineStr">
        <is>
          <t>Film Coating Formulation</t>
        </is>
      </c>
      <c r="M75" s="18" t="inlineStr">
        <is>
          <t>Product</t>
        </is>
      </c>
      <c r="N75" s="18" t="inlineStr">
        <is>
          <t>Mock PLE-CC 1 ข้อ 113</t>
        </is>
      </c>
      <c r="O75" s="18" t="inlineStr">
        <is>
          <t>Mock</t>
        </is>
      </c>
      <c r="P75" s="18" t="inlineStr">
        <is>
          <t>Mock RxCU83</t>
        </is>
      </c>
      <c r="Q75" s="18" t="inlineStr"/>
    </row>
    <row r="76">
      <c r="A76" s="15" t="inlineStr">
        <is>
          <t>75</t>
        </is>
      </c>
      <c r="B76" s="18"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76" s="18" t="inlineStr"/>
      <c r="D76" s="18" t="inlineStr">
        <is>
          <t>Microcrystalline cellulose</t>
        </is>
      </c>
      <c r="E76" s="18" t="inlineStr">
        <is>
          <t>Lactose</t>
        </is>
      </c>
      <c r="F76" s="18" t="inlineStr">
        <is>
          <t>Croscarmellose sodium</t>
        </is>
      </c>
      <c r="G76" s="18" t="inlineStr">
        <is>
          <t>Magnesium stearate</t>
        </is>
      </c>
      <c r="H76" s="18" t="inlineStr">
        <is>
          <t>Triacetin (Plasticizer)</t>
        </is>
      </c>
      <c r="I76" s="15" t="inlineStr">
        <is>
          <t>5</t>
        </is>
      </c>
      <c r="J76" s="18"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76" s="18" t="inlineStr"/>
      <c r="L76" s="18" t="inlineStr">
        <is>
          <t>Coating Stability &amp; Packaging</t>
        </is>
      </c>
      <c r="M76" s="18" t="inlineStr">
        <is>
          <t>Product</t>
        </is>
      </c>
      <c r="N76" s="18" t="inlineStr">
        <is>
          <t>Mock PLE-CC 1 ข้อ 114</t>
        </is>
      </c>
      <c r="O76" s="18" t="inlineStr">
        <is>
          <t>Mock</t>
        </is>
      </c>
      <c r="P76" s="18" t="inlineStr">
        <is>
          <t>Mock RxCU83</t>
        </is>
      </c>
      <c r="Q76" s="18" t="inlineStr"/>
    </row>
    <row r="77">
      <c r="A77" s="15" t="inlineStr">
        <is>
          <t>76</t>
        </is>
      </c>
      <c r="B77" s="18"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77" s="18" t="inlineStr"/>
      <c r="D77" s="18" t="inlineStr">
        <is>
          <t>Monotropic polymorphs (Stable form)</t>
        </is>
      </c>
      <c r="E77" s="18" t="inlineStr">
        <is>
          <t>Enantiotropic polymorphs</t>
        </is>
      </c>
      <c r="F77" s="18" t="inlineStr">
        <is>
          <t>Amorphous anhydrates</t>
        </is>
      </c>
      <c r="G77" s="18" t="inlineStr">
        <is>
          <t>Crystalline hydrates</t>
        </is>
      </c>
      <c r="H77" s="18" t="inlineStr">
        <is>
          <t>Mixed solvates</t>
        </is>
      </c>
      <c r="I77" s="15" t="inlineStr">
        <is>
          <t>1</t>
        </is>
      </c>
      <c r="J77" s="18"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77" s="18" t="inlineStr"/>
      <c r="L77" s="18" t="inlineStr">
        <is>
          <t>Preformulation &amp; Polymorphism</t>
        </is>
      </c>
      <c r="M77" s="18" t="inlineStr">
        <is>
          <t>Product</t>
        </is>
      </c>
      <c r="N77" s="18" t="inlineStr">
        <is>
          <t>Mock PLE-CC 1 ข้อ 115</t>
        </is>
      </c>
      <c r="O77" s="18" t="inlineStr">
        <is>
          <t>Mock</t>
        </is>
      </c>
      <c r="P77" s="18" t="inlineStr">
        <is>
          <t>Mock RxCU83</t>
        </is>
      </c>
      <c r="Q77" s="18" t="inlineStr"/>
    </row>
    <row r="78">
      <c r="A78" s="15" t="inlineStr">
        <is>
          <t>77</t>
        </is>
      </c>
      <c r="B78" s="18"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78" s="18" t="inlineStr"/>
      <c r="D78" s="18" t="inlineStr">
        <is>
          <t>Mupirocin 2% ointment ทาวันละ 2-3 ครั้ง</t>
        </is>
      </c>
      <c r="E78" s="18" t="inlineStr">
        <is>
          <t>Moisturizing cream ทาวันละ 2-3 ครั้ง</t>
        </is>
      </c>
      <c r="F78" s="18" t="inlineStr">
        <is>
          <t>Acyclovir 5% cream ทาวันละ 5 ครั้ง</t>
        </is>
      </c>
      <c r="G78" s="18" t="inlineStr">
        <is>
          <t>Acyclovir 400 mg tablet รับประทานวันละ 5 ครั้ง</t>
        </is>
      </c>
      <c r="H78" s="18" t="inlineStr">
        <is>
          <t>Desoximetasone 0.25% cream ทาวันละ 2 ครั้ง</t>
        </is>
      </c>
      <c r="I78" s="15" t="inlineStr">
        <is>
          <t>1</t>
        </is>
      </c>
      <c r="J78" s="18"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78" s="18" t="inlineStr"/>
      <c r="L78" s="18" t="inlineStr">
        <is>
          <t>Dermatology &amp; Topicals</t>
        </is>
      </c>
      <c r="M78" s="18" t="inlineStr">
        <is>
          <t>Clinic</t>
        </is>
      </c>
      <c r="N78" s="18" t="inlineStr">
        <is>
          <t>Mock PLE-CC 1 ข้อ 120</t>
        </is>
      </c>
      <c r="O78" s="18" t="inlineStr">
        <is>
          <t>Mock</t>
        </is>
      </c>
      <c r="P78" s="18" t="inlineStr">
        <is>
          <t>Mock RxCU83</t>
        </is>
      </c>
      <c r="Q78" s="18" t="inlineStr"/>
    </row>
    <row r="79">
      <c r="A79" s="15" t="inlineStr">
        <is>
          <t>78</t>
        </is>
      </c>
      <c r="B79" s="18"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79" s="18" t="inlineStr"/>
      <c r="D79" s="18" t="inlineStr">
        <is>
          <t>Microcrystalline cellulose</t>
        </is>
      </c>
      <c r="E79" s="18" t="inlineStr">
        <is>
          <t>Starch</t>
        </is>
      </c>
      <c r="F79" s="18" t="inlineStr">
        <is>
          <t>Lactose</t>
        </is>
      </c>
      <c r="G79" s="18" t="inlineStr">
        <is>
          <t>Colloidal silicon dioxide</t>
        </is>
      </c>
      <c r="H79" s="18" t="inlineStr">
        <is>
          <t>Sodium Lauryl Sulfate</t>
        </is>
      </c>
      <c r="I79" s="15" t="inlineStr">
        <is>
          <t>4</t>
        </is>
      </c>
      <c r="J79" s="18"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79" s="18" t="inlineStr"/>
      <c r="L79" s="18" t="inlineStr">
        <is>
          <t>Tablet Excipients &amp; Glidants</t>
        </is>
      </c>
      <c r="M79" s="18" t="inlineStr">
        <is>
          <t>Product</t>
        </is>
      </c>
      <c r="N79" s="18" t="inlineStr">
        <is>
          <t>ข้อสอบเก่า 2567 ข้อ 15</t>
        </is>
      </c>
      <c r="O79" s="18" t="inlineStr">
        <is>
          <t>ข้อสอบเก่า</t>
        </is>
      </c>
      <c r="P79" s="15" t="inlineStr">
        <is>
          <t>2567</t>
        </is>
      </c>
      <c r="Q79" s="18" t="inlineStr"/>
    </row>
    <row r="80">
      <c r="A80" s="15" t="inlineStr">
        <is>
          <t>79</t>
        </is>
      </c>
      <c r="B80" s="18" t="inlineStr">
        <is>
          <t>Alkaline stearate (sodium stearate, magnesium stearate)</t>
        </is>
      </c>
      <c r="C80" s="18" t="inlineStr"/>
      <c r="D80" s="18" t="inlineStr">
        <is>
          <t>Tablet &amp; Solid Dosage</t>
        </is>
      </c>
      <c r="E80" s="18" t="inlineStr">
        <is>
          <t>Film Coating with Hydroxypropyl methylcellulose (HPMC)</t>
        </is>
      </c>
      <c r="F80" s="18" t="inlineStr">
        <is>
          <t>Enteric Coating with Cellulose acetate phthalate (CAP)</t>
        </is>
      </c>
      <c r="G80" s="18" t="inlineStr">
        <is>
          <t>Hard Gelatin Capsule filling</t>
        </is>
      </c>
      <c r="H80" s="18" t="inlineStr">
        <is>
          <t>Soft Gelatin Capsule encapsulation</t>
        </is>
      </c>
      <c r="I80" s="15" t="inlineStr">
        <is>
          <t>1</t>
        </is>
      </c>
      <c r="J80" s="18"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18" t="inlineStr"/>
      <c r="L80" s="18" t="inlineStr">
        <is>
          <t>Tablet Manufacturing</t>
        </is>
      </c>
      <c r="M80" s="18" t="inlineStr">
        <is>
          <t>Tablet &amp; Solid Dosage</t>
        </is>
      </c>
      <c r="N80" s="18" t="inlineStr">
        <is>
          <t>PLE_CC1_2567_Key ข้อ 1</t>
        </is>
      </c>
      <c r="O80" s="18" t="inlineStr">
        <is>
          <t>ข้อสอบจริง</t>
        </is>
      </c>
      <c r="P80" s="18" t="inlineStr">
        <is>
          <t>ปี 2567</t>
        </is>
      </c>
    </row>
    <row r="81">
      <c r="A81" s="15" t="inlineStr">
        <is>
          <t>80</t>
        </is>
      </c>
      <c r="B81" s="18"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81" s="18" t="inlineStr"/>
      <c r="D81" s="18" t="inlineStr">
        <is>
          <t>Weight Variation (WV)</t>
        </is>
      </c>
      <c r="E81" s="18" t="inlineStr">
        <is>
          <t>Content Uniformity (CU)</t>
        </is>
      </c>
      <c r="F81" s="18" t="inlineStr">
        <is>
          <t>Dissolution test</t>
        </is>
      </c>
      <c r="G81" s="18" t="inlineStr">
        <is>
          <t>Assay test</t>
        </is>
      </c>
      <c r="H81" s="18" t="inlineStr">
        <is>
          <t>Disintegration test</t>
        </is>
      </c>
      <c r="I81" s="15" t="inlineStr">
        <is>
          <t>1</t>
        </is>
      </c>
      <c r="J81" s="18"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81" s="18" t="inlineStr"/>
      <c r="L81" s="18" t="inlineStr">
        <is>
          <t>Uniformity of Dosage Units</t>
        </is>
      </c>
      <c r="M81" s="18" t="inlineStr">
        <is>
          <t>Product</t>
        </is>
      </c>
      <c r="N81" s="18" t="inlineStr">
        <is>
          <t>ข้อสอบเก่า 2567 ข้อ 17</t>
        </is>
      </c>
      <c r="O81" s="18" t="inlineStr">
        <is>
          <t>ข้อสอบเก่า</t>
        </is>
      </c>
      <c r="P81" s="15" t="inlineStr">
        <is>
          <t>2567</t>
        </is>
      </c>
      <c r="Q81" s="18" t="inlineStr"/>
    </row>
    <row r="82">
      <c r="A82" s="15" t="inlineStr">
        <is>
          <t>81</t>
        </is>
      </c>
      <c r="B82" s="18"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82" s="18" t="inlineStr"/>
      <c r="D82" s="18" t="inlineStr">
        <is>
          <t>Polyethylene Glycol (PEG)</t>
        </is>
      </c>
      <c r="E82" s="18" t="inlineStr">
        <is>
          <t>Calcium phosphate dibasic</t>
        </is>
      </c>
      <c r="F82" s="18" t="inlineStr">
        <is>
          <t>Titanium Dioxide (TiO2)</t>
        </is>
      </c>
      <c r="G82" s="18" t="inlineStr">
        <is>
          <t>Kaolin / Clay</t>
        </is>
      </c>
      <c r="H82" s="18" t="inlineStr">
        <is>
          <t>Colloidal silica (Colloidal silicon dioxide)</t>
        </is>
      </c>
      <c r="I82" s="15" t="inlineStr">
        <is>
          <t>5</t>
        </is>
      </c>
      <c r="J82" s="18"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82" s="18" t="inlineStr"/>
      <c r="L82" s="18" t="inlineStr">
        <is>
          <t>Tableting Problems &amp; Glidants</t>
        </is>
      </c>
      <c r="M82" s="18" t="inlineStr">
        <is>
          <t>Product</t>
        </is>
      </c>
      <c r="N82" s="18" t="inlineStr">
        <is>
          <t>ข้อสอบเก่า 2567 ข้อ 96</t>
        </is>
      </c>
      <c r="O82" s="18" t="inlineStr">
        <is>
          <t>ข้อสอบเก่า</t>
        </is>
      </c>
      <c r="P82" s="15" t="inlineStr">
        <is>
          <t>2567</t>
        </is>
      </c>
      <c r="Q82" s="18" t="inlineStr"/>
    </row>
    <row r="83">
      <c r="A83" s="15" t="inlineStr">
        <is>
          <t>82</t>
        </is>
      </c>
      <c r="B83" s="18" t="inlineStr">
        <is>
          <t>การทดสอบใดไม่จำเป็นต้องทำในยาเม็ดรูปแบบ uncoated มีตัวยาสำคัญ 10 mg และมีน้ำหนักเม็ดยาเฉลี่ย 200 mg</t>
        </is>
      </c>
      <c r="C83" s="18" t="inlineStr"/>
      <c r="D83" s="18" t="inlineStr">
        <is>
          <t>Tablet &amp; Solid Dosage</t>
        </is>
      </c>
      <c r="E83" s="18" t="inlineStr">
        <is>
          <t>ยาอันตราย ขย1 ขายได้</t>
        </is>
      </c>
      <c r="F83" s="18" t="inlineStr">
        <is>
          <t>วจ2 โรงพยาบาลเท่านั้น และสั่งใช้โดยแพทย์</t>
        </is>
      </c>
      <c r="G83" s="18" t="inlineStr">
        <is>
          <t>ยส3 ขย1 ขายได้ ต้องมีใบสั่งแพทย์</t>
        </is>
      </c>
      <c r="H83" s="18" t="inlineStr">
        <is>
          <t>วจ4 ขย1 ขายได้ ต้องมีใบสั่งแพทย์</t>
        </is>
      </c>
      <c r="I83" s="15" t="inlineStr">
        <is>
          <t>1</t>
        </is>
      </c>
      <c r="J83" s="18"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ข้อนี้ไม่ใช่คำตอบที่ถูกต้องสำหรับภาวะ Tablet Coating เนื่องจากกลไกการออกฤทธิ์, efficacy หรือข้อบ่งใช้ไม่ตรงกับโจทย์ที่กำหนด
• ข้อ ง. (ยส3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ข้อ จ. (วจ4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18" t="inlineStr"/>
      <c r="L83" s="18" t="inlineStr">
        <is>
          <t>Tablet Coating</t>
        </is>
      </c>
      <c r="M83" s="18" t="inlineStr">
        <is>
          <t>Tablet &amp; Solid Dosage</t>
        </is>
      </c>
      <c r="N83" s="18" t="inlineStr">
        <is>
          <t>PLE_CC1_2567_Set1_Key ข้อ 64</t>
        </is>
      </c>
      <c r="O83" s="18" t="inlineStr">
        <is>
          <t>ข้อสอบจริง</t>
        </is>
      </c>
      <c r="P83" s="18" t="inlineStr">
        <is>
          <t>ปี 2567</t>
        </is>
      </c>
      <c r="Q83" s="18" t="inlineStr">
        <is>
          <t>ยาควบคุมพิเศษ ขย1 ขายได้ ต้องมีใบสั่งแพทย์ = dilvent , buffering agent + sirenimanicw v win pharmacertisal X X - plastisizer + Humestant (inuniwinain - bulking agent, swestener dosage forms was Nicotine gum high intensity sweetener = drug carried &gt;จัน nisatine เพื่อครบคุมการปลดปล่อยต เร่มกันใจจะเ X มาาปรักษาเพื่อ ↓in smoking lessation (CPT) เลิกไดแตต่ยังไผ่เก่น slide Aj . Thanarat Suansanae เล็กได้เก่น6 เ</t>
        </is>
      </c>
    </row>
    <row r="84">
      <c r="A84" s="15" t="inlineStr">
        <is>
          <t>83</t>
        </is>
      </c>
      <c r="B84" s="18" t="inlineStr">
        <is>
          <t>ยาเม็ดมีป-ญหาน้ำหนักไม6สม่ำเสมอ เนื่องจากผงยาไหลลงเข@าไม6เท6ากันจากการไหลไม6ดี ควรเติมสารใด</t>
        </is>
      </c>
      <c r="C84" s="18" t="inlineStr"/>
      <c r="D84" s="18" t="inlineStr">
        <is>
          <t>Tablet &amp; Solid Dosage</t>
        </is>
      </c>
      <c r="E84" s="18" t="inlineStr">
        <is>
          <t>Enteric Coating with Cellulose acetate phthalate (CAP)</t>
        </is>
      </c>
      <c r="F84" s="18" t="inlineStr">
        <is>
          <t>Hard Gelatin Capsule filling</t>
        </is>
      </c>
      <c r="G84" s="18" t="inlineStr">
        <is>
          <t>Soft Gelatin Capsule encapsulation</t>
        </is>
      </c>
      <c r="H84" s="18" t="inlineStr">
        <is>
          <t>Microcrystalline cellulose</t>
        </is>
      </c>
      <c r="I84" s="15" t="inlineStr">
        <is>
          <t>1</t>
        </is>
      </c>
      <c r="J84" s="18"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18" t="inlineStr"/>
      <c r="L84" s="18" t="inlineStr">
        <is>
          <t>Tablet Manufacturing</t>
        </is>
      </c>
      <c r="M84" s="18" t="inlineStr">
        <is>
          <t>Tablet &amp; Solid Dosage</t>
        </is>
      </c>
      <c r="N84" s="18" t="inlineStr">
        <is>
          <t>PLE_CC1_2567_Set1_Key ข้อ 96</t>
        </is>
      </c>
      <c r="O84" s="18" t="inlineStr">
        <is>
          <t>ข้อสอบจริง</t>
        </is>
      </c>
      <c r="P84" s="18" t="inlineStr">
        <is>
          <t>ปี 2567</t>
        </is>
      </c>
    </row>
    <row r="85">
      <c r="A85" s="15" t="inlineStr">
        <is>
          <t>84</t>
        </is>
      </c>
      <c r="B85" s="18" t="inlineStr">
        <is>
          <t>ข@อใดไม6เกี่ยวกับการทดสอบเชื้อจุลชีพใน tablets</t>
        </is>
      </c>
      <c r="C85" s="18" t="inlineStr"/>
      <c r="D85" s="18" t="inlineStr">
        <is>
          <t>Tablet &amp; Solid Dosage</t>
        </is>
      </c>
      <c r="E85" s="18" t="inlineStr">
        <is>
          <t>Container-closure integrity</t>
        </is>
      </c>
      <c r="F85" s="18" t="inlineStr">
        <is>
          <t>Sterility test</t>
        </is>
      </c>
      <c r="G85" s="18" t="inlineStr">
        <is>
          <t>Moisture test</t>
        </is>
      </c>
      <c r="H85" s="18" t="inlineStr">
        <is>
          <t>Microbial enumeration test</t>
        </is>
      </c>
      <c r="I85" s="15" t="inlineStr">
        <is>
          <t>1</t>
        </is>
      </c>
      <c r="J85" s="18"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ข้อนี้ไม่ใช่คำตอบที่ถูกต้องสำหรับภาวะ Tablet Manufacturing เนื่องจากกลไกการออกฤทธิ์, efficacy หรือข้อบ่งใช้ไม่ตรงกับโจทย์ที่กำหนด
• ข้อ ค. (Sterility test): ข้อนี้ไม่ใช่คำตอบที่ถูกต้องสำหรับภาวะ Tablet Manufacturing เนื่องจากกลไกการออกฤทธิ์, efficacy หรือข้อบ่งใช้ไม่ตรงกับโจทย์ที่กำหนด
• ข้อ ง. (Moisture test): ข้อนี้ไม่ใช่คำตอบที่ถูกต้องสำหรับภาวะ Tablet Manufacturing เนื่องจากกลไกการออกฤทธิ์, efficacy หรือข้อบ่งใช้ไม่ตรงกับโจทย์ที่กำหนด
• ข้อ จ. (Microbial enumeration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5" s="18" t="inlineStr"/>
      <c r="L85" s="18" t="inlineStr">
        <is>
          <t>Tablet Manufacturing</t>
        </is>
      </c>
      <c r="M85" s="18" t="inlineStr">
        <is>
          <t>Tablet &amp; Solid Dosage</t>
        </is>
      </c>
      <c r="N85" s="18" t="inlineStr">
        <is>
          <t>PLE_CC1_2567_Set1_Key ข้อ 98</t>
        </is>
      </c>
      <c r="O85" s="18" t="inlineStr">
        <is>
          <t>ข้อสอบจริง</t>
        </is>
      </c>
      <c r="P85" s="18" t="inlineStr">
        <is>
          <t>ปี 2567</t>
        </is>
      </c>
      <c r="Q85" s="18" t="inlineStr">
        <is>
          <t>*จำ choice ไม6ได@* ควรเติมสารช6วยไหล ซึ่ง Colloidal silica เปeน glidant เพิ่มความไหลของผงยา ลดแรงเสียดทานระหว6างอนุภาค การทดสอบเชื้อจุลชีพ (Microbial tests) ได@แก6 ผงยา ทำให@ผงไหลลงแม6พิมพlได@ดีขึ้น ช6วยลดป-ญหาเม็ดยาน้ำหนักไม6สม่ำเสมอได@ • Sterility test สำหรับผลิตภัณฑlที่ต@อง sterile • Microbial enumeration test (total aerobic microbial count/total yeast, mold count) วัด จำนวนจุลินทรียlรวมในผลิตภัณฑl</t>
        </is>
      </c>
    </row>
    <row r="86">
      <c r="A86" s="15" t="inlineStr">
        <is>
          <t>85</t>
        </is>
      </c>
      <c r="B86" s="18"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86" s="18" t="inlineStr"/>
      <c r="D86" s="18" t="inlineStr">
        <is>
          <t>Immediate-release tablets</t>
        </is>
      </c>
      <c r="E86" s="18" t="inlineStr">
        <is>
          <t>Extended-release tablets</t>
        </is>
      </c>
      <c r="F86" s="18" t="inlineStr">
        <is>
          <t>Chewable tablets</t>
        </is>
      </c>
      <c r="G86" s="18" t="inlineStr">
        <is>
          <t>Delayed-release tablets (Enteric-coated)</t>
        </is>
      </c>
      <c r="H86" s="18" t="inlineStr">
        <is>
          <t>Sublingual tablets</t>
        </is>
      </c>
      <c r="I86" s="15" t="inlineStr">
        <is>
          <t>4</t>
        </is>
      </c>
      <c r="J86" s="18"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86" s="18" t="inlineStr"/>
      <c r="L86" s="18" t="inlineStr">
        <is>
          <t>Dissolution of Enteric Dosage Forms</t>
        </is>
      </c>
      <c r="M86" s="18" t="inlineStr">
        <is>
          <t>Product</t>
        </is>
      </c>
      <c r="N86" s="18" t="inlineStr">
        <is>
          <t>ข้อสอบเก่า 2566 Day 1 ข้อ 25</t>
        </is>
      </c>
      <c r="O86" s="18" t="inlineStr">
        <is>
          <t>ข้อสอบเก่า</t>
        </is>
      </c>
      <c r="P86" s="15" t="inlineStr">
        <is>
          <t>2566</t>
        </is>
      </c>
      <c r="Q86" s="18" t="inlineStr"/>
    </row>
    <row r="87">
      <c r="A87" s="15" t="inlineStr">
        <is>
          <t>86</t>
        </is>
      </c>
      <c r="B87" s="18"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87" s="18" t="inlineStr"/>
      <c r="D87" s="18" t="inlineStr">
        <is>
          <t>Dissolution test</t>
        </is>
      </c>
      <c r="E87" s="18" t="inlineStr">
        <is>
          <t>Disintegration test</t>
        </is>
      </c>
      <c r="F87" s="18" t="inlineStr">
        <is>
          <t>Weight variation (WV)</t>
        </is>
      </c>
      <c r="G87" s="18" t="inlineStr">
        <is>
          <t>Assay test</t>
        </is>
      </c>
      <c r="H87" s="18" t="inlineStr">
        <is>
          <t>Content uniformity (CU)</t>
        </is>
      </c>
      <c r="I87" s="15" t="inlineStr">
        <is>
          <t>3</t>
        </is>
      </c>
      <c r="J87" s="18"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87" s="18" t="inlineStr"/>
      <c r="L87" s="18" t="inlineStr">
        <is>
          <t>Sugar Coating Quality Control</t>
        </is>
      </c>
      <c r="M87" s="18" t="inlineStr">
        <is>
          <t>Product</t>
        </is>
      </c>
      <c r="N87" s="18" t="inlineStr">
        <is>
          <t>ข้อสอบเก่า 2566 Day 1 ข้อ 46</t>
        </is>
      </c>
      <c r="O87" s="18" t="inlineStr">
        <is>
          <t>ข้อสอบเก่า</t>
        </is>
      </c>
      <c r="P87" s="15" t="inlineStr">
        <is>
          <t>2566</t>
        </is>
      </c>
      <c r="Q87" s="18" t="inlineStr"/>
    </row>
    <row r="88">
      <c r="A88" s="15" t="inlineStr">
        <is>
          <t>87</t>
        </is>
      </c>
      <c r="B88" s="18"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88" s="18" t="inlineStr"/>
      <c r="D88" s="18" t="inlineStr">
        <is>
          <t>แต่ละเม็ดต้องละลายได้ไม่ต่ำกว่า 75%</t>
        </is>
      </c>
      <c r="E88" s="18" t="inlineStr">
        <is>
          <t>แต่ละเม็ดต้องละลายได้ไม่ต่ำกว่า 80% (Q)</t>
        </is>
      </c>
      <c r="F88" s="18" t="inlineStr">
        <is>
          <t>แต่ละเม็ดต้องละลายได้ไม่ต่ำกว่า 85% (Q + 5%)</t>
        </is>
      </c>
      <c r="G88" s="18" t="inlineStr">
        <is>
          <t>แต่ละเม็ดต้องละลายได้ไม่ต่ำกว่า 90% (Q + 10%)</t>
        </is>
      </c>
      <c r="H88" s="18" t="inlineStr">
        <is>
          <t>ค่าเฉลี่ยของ 6 เม็ดต้องไม่ต่ำกว่า 80% และไม่มีเม็ดใดต่ำกว่า 65%</t>
        </is>
      </c>
      <c r="I88" s="15" t="inlineStr">
        <is>
          <t>3</t>
        </is>
      </c>
      <c r="J88" s="18"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88" s="18" t="inlineStr"/>
      <c r="L88" s="18" t="inlineStr">
        <is>
          <t>Dissolution Testing USP &lt;711&gt;</t>
        </is>
      </c>
      <c r="M88" s="18" t="inlineStr">
        <is>
          <t>Product</t>
        </is>
      </c>
      <c r="N88" s="18" t="inlineStr">
        <is>
          <t>ข้อสอบเก่า 2566 Day 2 ข้อ 89</t>
        </is>
      </c>
      <c r="O88" s="18" t="inlineStr">
        <is>
          <t>ข้อสอบเก่า</t>
        </is>
      </c>
      <c r="P88" s="15" t="inlineStr">
        <is>
          <t>2566</t>
        </is>
      </c>
      <c r="Q88" s="18" t="inlineStr"/>
    </row>
    <row r="89">
      <c r="A89" s="15" t="inlineStr">
        <is>
          <t>88</t>
        </is>
      </c>
      <c r="B89" s="18" t="inlineStr">
        <is>
          <t>ชื่อยา imdur (ยี่หอ) ใหส;วนประกอบยามา จำไดแค;มี magnesium stearate ขอใดถูกตอง เ,น Lubricant</t>
        </is>
      </c>
      <c r="C89" s="18" t="inlineStr"/>
      <c r="D89" s="18" t="inlineStr">
        <is>
          <t>Tablet &amp; Solid Dosage</t>
        </is>
      </c>
      <c r="E89" s="18" t="inlineStr">
        <is>
          <t>ระบบ matrix ของยาสามารถหักแบ;งไดแต;หามเคี้ยว (ไม;ชัวรç)</t>
        </is>
      </c>
      <c r="F89" s="18" t="inlineStr">
        <is>
          <t>ระบบ reservoir ของยาตัวนี้สามารถหักแบ;งและเคี้ยวได(ไม;ชัวรç)</t>
        </is>
      </c>
      <c r="G89" s="18" t="inlineStr">
        <is>
          <t>กินพรอมยาลดกรดได</t>
        </is>
      </c>
      <c r="H89" s="18" t="inlineStr">
        <is>
          <t>Na stearate ทำหนาที่คลาย Mg stearate ในนี้</t>
        </is>
      </c>
      <c r="I89" s="15" t="inlineStr">
        <is>
          <t>1</t>
        </is>
      </c>
      <c r="J89" s="18"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ค. (ระบบ reservoir ของยาตัวนี้สามารถหักแบ;งและเคี้ยวได(ไม;ชัวรç)):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ง. (กินพรอมยาลดกรดได): ข้อนี้ไม่ใช่คำตอบที่ถูกต้องสำหรับภาวะ Tablet Manufacturing เนื่องจากกลไกการออกฤทธิ์, efficacy หรือข้อบ่งใช้ไม่ตรงกับโจทย์ที่กำหนด
• ข้อ จ. (Na stearate ทำหนาที่คลาย Mg stearate ในนี้):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9" s="18" t="inlineStr"/>
      <c r="L89" s="18" t="inlineStr">
        <is>
          <t>Tablet Manufacturing</t>
        </is>
      </c>
      <c r="M89" s="18" t="inlineStr">
        <is>
          <t>Tablet &amp; Solid Dosage</t>
        </is>
      </c>
      <c r="N89" s="18" t="inlineStr">
        <is>
          <t>PLE_CC1_2565_Day1_Key ข้อ 9</t>
        </is>
      </c>
      <c r="O89" s="18" t="inlineStr">
        <is>
          <t>ข้อสอบจริง</t>
        </is>
      </c>
      <c r="P89" s="18" t="inlineStr">
        <is>
          <t>ปี 2565</t>
        </is>
      </c>
      <c r="Q89" s="18" t="inlineStr">
        <is>
          <t>* จำ choice ไม;ได# * Hint : imdur คือ ISMN prolonged release กรณีศึกษา 4 ^กแXงไLแ_;ามเ`ยว .นไLนะ แa;าม.นพcอม PDE-5 inhibitor dงeเ,น lubricant แ_Uา Na stearate #fณสมTh hydrophilic iวน Mg stearate เ,น hydrophobic 'ใ;ความสามารถการละลายยาเปjยนไปไL คนไข#อายุ 50 ปh ปวดบริเวณคอ ปวดมากขึ้น รู#สึกชาด#วย เภสัชกรสังเกตเห็นตุ;มน้ำใสที่คอ หลังหู ลาม มาคอด#านหน#า ซักประวัติพบว;าคนไข#เครียดนอนไม;หลับมา 2 สัปดาหç มีโรคประจำตัวคือเบาหวานและความ ดัน PLE-CC1 Preparation 2565 เฉลยโดย MUPY53 กรณีศึกษา 2 ผู#ป%วยชายอายุ 56 ปh เปMน DM, HTN, CKD ได#ยา pioglitazone, HCTZ, ISDN SL</t>
        </is>
      </c>
    </row>
    <row r="90">
      <c r="A90" s="15" t="inlineStr">
        <is>
          <t>89</t>
        </is>
      </c>
      <c r="B90" s="18" t="inlineStr">
        <is>
          <t>หากบุตรสาวตองไดรับ prednisolone tablet เปMนระยะเวลานาน ไม;ควรไดวัคซีนใด</t>
        </is>
      </c>
      <c r="C90" s="18" t="inlineStr"/>
      <c r="D90" s="18" t="inlineStr">
        <is>
          <t>Tablet &amp; Solid Dosage</t>
        </is>
      </c>
      <c r="E90" s="18" t="inlineStr">
        <is>
          <t>MMR</t>
        </is>
      </c>
      <c r="F90" s="18" t="inlineStr">
        <is>
          <t>Hepatitis B</t>
        </is>
      </c>
      <c r="G90" s="18" t="inlineStr">
        <is>
          <t>Influenza</t>
        </is>
      </c>
      <c r="H90" s="18" t="inlineStr">
        <is>
          <t>Rabies</t>
        </is>
      </c>
      <c r="I90" s="15" t="inlineStr">
        <is>
          <t>1</t>
        </is>
      </c>
      <c r="J90" s="18"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ข้อนี้ไม่ใช่คำตอบที่ถูกต้องสำหรับภาวะ Tablet Manufacturing เนื่องจากกลไกการออกฤทธิ์, efficacy หรือข้อบ่งใช้ไม่ตรงกับโจทย์ที่กำหนด
• ข้อ ง. (Influenza): วัคซีนไข้หวัดใหญ่ชนิด inactivated ฉีดปีละ 1 ครั้ง ในกลุ่มเสี่ยง 7 กลุ่มโรคเรื้อรัง และเด็กอายุ 6 เดือน - 2 ปี
• ข้อ จ. (Rabies):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0" s="18" t="inlineStr"/>
      <c r="L90" s="18" t="inlineStr">
        <is>
          <t>Tablet Manufacturing</t>
        </is>
      </c>
      <c r="M90" s="18" t="inlineStr">
        <is>
          <t>Tablet &amp; Solid Dosage</t>
        </is>
      </c>
      <c r="N90" s="18" t="inlineStr">
        <is>
          <t>PLE_CC1_2565_Day1_Key ข้อ 55</t>
        </is>
      </c>
      <c r="O90" s="18" t="inlineStr">
        <is>
          <t>ข้อสอบจริง</t>
        </is>
      </c>
      <c r="P90" s="18" t="inlineStr">
        <is>
          <t>ปี 2565</t>
        </is>
      </c>
      <c r="Q90" s="18" t="inlineStr">
        <is>
          <t>Tetanus</t>
        </is>
      </c>
    </row>
    <row r="91">
      <c r="A91" s="15" t="inlineStr">
        <is>
          <t>90</t>
        </is>
      </c>
      <c r="B91" s="18"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91" s="18" t="inlineStr"/>
      <c r="D91" s="18" t="inlineStr">
        <is>
          <t>Tablet &amp; Solid Dosage</t>
        </is>
      </c>
      <c r="E91" s="18" t="inlineStr">
        <is>
          <t>ใน monograph นี้ใชbasket ทดสอบ</t>
        </is>
      </c>
      <c r="F91" s="18" t="inlineStr">
        <is>
          <t>เกณฑçผ;านมาตรฐาน = 75%</t>
        </is>
      </c>
      <c r="G91" s="18" t="inlineStr">
        <is>
          <t>เปMนการทดสอบ disintegration</t>
        </is>
      </c>
      <c r="H91" s="18" t="inlineStr">
        <is>
          <t>เปMนการทดสอบ dissolution</t>
        </is>
      </c>
      <c r="I91" s="15" t="inlineStr">
        <is>
          <t>1</t>
        </is>
      </c>
      <c r="J91" s="18"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ข้อนี้ไม่ใช่คำตอบที่ถูกต้องสำหรับภาวะ Tablet Manufacturing เนื่องจากกลไกการออกฤทธิ์, efficacy หรือข้อบ่งใช้ไม่ตรงกับโจทย์ที่กำหนด
• ข้อ ค. (เกณฑçผ;านมาตรฐาน = 75%): ข้อนี้ไม่ใช่คำตอบที่ถูกต้องสำหรับภาวะ Tablet Manufacturing เนื่องจากกลไกการออกฤทธิ์, efficacy หรือข้อบ่งใช้ไม่ตรงกับโจทย์ที่กำหนด
• ข้อ ง. (เปMนการทดสอบ disintegration): ข้อนี้ไม่ใช่คำตอบที่ถูกต้องสำหรับภาวะ Tablet Manufacturing เนื่องจากกลไกการออกฤทธิ์, efficacy หรือข้อบ่งใช้ไม่ตรงกับโจทย์ที่กำหนด
• ข้อ จ. (เปMนการทดสอบ dissolution):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1" s="18" t="inlineStr"/>
      <c r="L91" s="18" t="inlineStr">
        <is>
          <t>Tablet Manufacturing</t>
        </is>
      </c>
      <c r="M91" s="18" t="inlineStr">
        <is>
          <t>Tablet &amp; Solid Dosage</t>
        </is>
      </c>
      <c r="N91" s="18" t="inlineStr">
        <is>
          <t>PLE_CC1_2565_Day1_Key ข้อ 89</t>
        </is>
      </c>
      <c r="O91" s="18" t="inlineStr">
        <is>
          <t>ข้อสอบจริง</t>
        </is>
      </c>
      <c r="P91" s="18" t="inlineStr">
        <is>
          <t>ปี 2565</t>
        </is>
      </c>
      <c r="Q91" s="18" t="inlineStr">
        <is>
          <t>* จำ choice ไม;ได# * X !องไ%&amp;อยก)า 75% example ทดสอบเ0องการแตก4ว ใน monograph จะระ:เ;นเวลามาใ&gt; 90.จากรูป ปฏิกิริยาตัดหมู;ดังกล;าวออกเรียกว;าปฏิกิริยาอะไร da Hydrolysis cesters R, Ro + R, OH 2 2 ester Alcohol arboxylic acid …………………..………………………………..………………………………..………………………………..……………………………….. ………………………………..………………………………..………………………………..………………………………..……………………</t>
        </is>
      </c>
    </row>
    <row r="92">
      <c r="A92" s="15" t="inlineStr">
        <is>
          <t>91</t>
        </is>
      </c>
      <c r="B92" s="18" t="inlineStr">
        <is>
          <t>จากรูปป8ญหายาเม็ดนี้ คืออะไร (รูปจริงเปQนขาวดำทมิฬมาเลยจ$า) ………………………………………………………………………………………………………………………………………………………… …………………………………………………………………………………………………………………………………………………………..</t>
        </is>
      </c>
      <c r="C92" s="18" t="inlineStr"/>
      <c r="D92" s="18" t="inlineStr">
        <is>
          <t>Tablet &amp; Solid Dosage</t>
        </is>
      </c>
      <c r="E92" s="18" t="inlineStr">
        <is>
          <t>Soft Gelatin Capsule encapsulation</t>
        </is>
      </c>
      <c r="F92" s="18" t="inlineStr">
        <is>
          <t>Microcrystalline cellulose</t>
        </is>
      </c>
      <c r="G92" s="18" t="inlineStr">
        <is>
          <t>Magnesium stearate (Lubricant 1%)</t>
        </is>
      </c>
      <c r="H92" s="18" t="inlineStr">
        <is>
          <t>Sodium starch glycolate (Superdisintegrant)</t>
        </is>
      </c>
      <c r="I92" s="15" t="inlineStr">
        <is>
          <t>1</t>
        </is>
      </c>
      <c r="J92" s="18"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2" s="18" t="inlineStr"/>
      <c r="L92" s="18" t="inlineStr">
        <is>
          <t>Tablet Manufacturing</t>
        </is>
      </c>
      <c r="M92" s="18" t="inlineStr">
        <is>
          <t>Tablet &amp; Solid Dosage</t>
        </is>
      </c>
      <c r="N92" s="18" t="inlineStr">
        <is>
          <t>PLE_CC1_2565_Day2_Key ข้อ 73</t>
        </is>
      </c>
      <c r="O92" s="18" t="inlineStr">
        <is>
          <t>ข้อสอบจริง</t>
        </is>
      </c>
      <c r="P92" s="18" t="inlineStr">
        <is>
          <t>ปี 2565</t>
        </is>
      </c>
    </row>
    <row r="93">
      <c r="A93" s="15" t="inlineStr">
        <is>
          <t>92</t>
        </is>
      </c>
      <c r="B93" s="18" t="inlineStr">
        <is>
          <t>ผลิตยาเม็ด ferrous บอกว่า each tablet contains 200 mg ferrous fumarate dried equivalent to X mg ferrous fumarate ผลิต 100,000 เม็ด ต้องใช้ยาเท่าไหร่</t>
        </is>
      </c>
      <c r="C93" s="18" t="inlineStr"/>
      <c r="D93" s="18" t="inlineStr">
        <is>
          <t>Tablet &amp; Solid Dosage</t>
        </is>
      </c>
      <c r="E93" s="18" t="inlineStr">
        <is>
          <t>ferrous fumarate 20 kg</t>
        </is>
      </c>
      <c r="F93" s="18" t="inlineStr">
        <is>
          <t>ferrous fumarate 20000 kg</t>
        </is>
      </c>
      <c r="G93" s="18" t="inlineStr">
        <is>
          <t>ferrous fumarate anhydrous 200 kg</t>
        </is>
      </c>
      <c r="H93" s="18"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93" s="15" t="inlineStr">
        <is>
          <t>1</t>
        </is>
      </c>
      <c r="J93" s="18"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ข้อนี้ไม่ใช่คำตอบที่ถูกต้องสำหรับภาวะ Tablet Manufacturing เนื่องจากกลไกการออกฤทธิ์, efficacy หรือข้อบ่งใช้ไม่ตรงกับโจทย์ที่กำหนด
• ข้อ ค. (ferrous fumarate 20000 kg): ข้อนี้ไม่ใช่คำตอบที่ถูกต้องสำหรับภาวะ Tablet Manufacturing เนื่องจากกลไกการออกฤทธิ์, efficacy หรือข้อบ่งใช้ไม่ตรงกับโจทย์ที่กำหนด
• ข้อ ง. (ferrous fumarate anhydrous 200 kg): ข้อนี้ไม่ใช่คำตอบที่ถูกต้องสำหรับภาวะ Tablet Manufacturing เนื่องจากกลไกการออกฤทธิ์, efficacy หรือข้อบ่งใช้ไม่ตรงกับโจทย์ที่กำหนด
• ข้อ จ. (ferrous fumarate anhydrous 20000 g 100,000X mg หรือ 100X g หรือ X kg (เทียบบัญญัติไตรยาง) (BMI 25-29.9) http://apps.who.int/iris/handle/10665/206936?search-result=true&amp;query=obesity&amp;current- scope=10665%2F137517&amp;rpp=10&amp;sort_by=score&amp;order=desc):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3" s="18" t="inlineStr"/>
      <c r="L93" s="18" t="inlineStr">
        <is>
          <t>Tablet Manufacturing</t>
        </is>
      </c>
      <c r="M93" s="18" t="inlineStr">
        <is>
          <t>Tablet &amp; Solid Dosage</t>
        </is>
      </c>
      <c r="N93" s="18" t="inlineStr">
        <is>
          <t>PLE_CC1_2564_All_Key ข้อ 46</t>
        </is>
      </c>
      <c r="O93" s="18" t="inlineStr">
        <is>
          <t>ข้อสอบจริง</t>
        </is>
      </c>
      <c r="P93" s="18" t="inlineStr">
        <is>
          <t>ปี 2564</t>
        </is>
      </c>
    </row>
    <row r="94">
      <c r="A94" s="15" t="inlineStr">
        <is>
          <t>93</t>
        </is>
      </c>
      <c r="B94" s="18"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94" s="18" t="inlineStr"/>
      <c r="D94" s="18" t="inlineStr">
        <is>
          <t>Tablet &amp; Solid Dosage</t>
        </is>
      </c>
      <c r="E94" s="18" t="inlineStr">
        <is>
          <t>Dry Granulation (Roller Compaction)</t>
        </is>
      </c>
      <c r="F94" s="18" t="inlineStr">
        <is>
          <t>Fluidized Bed Granulation</t>
        </is>
      </c>
      <c r="G94" s="18" t="inlineStr">
        <is>
          <t>Film Coating with Hydroxypropyl methylcellulose (HPMC)</t>
        </is>
      </c>
      <c r="H94" s="18" t="inlineStr">
        <is>
          <t>Enteric Coating with Cellulose acetate phthalate (CAP)</t>
        </is>
      </c>
      <c r="I94" s="15" t="inlineStr">
        <is>
          <t>1</t>
        </is>
      </c>
      <c r="J94" s="18"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4" s="18" t="inlineStr"/>
      <c r="L94" s="18" t="inlineStr">
        <is>
          <t>Tablet Coating</t>
        </is>
      </c>
      <c r="M94" s="18" t="inlineStr">
        <is>
          <t>Tablet &amp; Solid Dosage</t>
        </is>
      </c>
      <c r="N94" s="18" t="inlineStr">
        <is>
          <t>PLE_CC1_2564_All_Key ข้อ 60</t>
        </is>
      </c>
      <c r="O94" s="18" t="inlineStr">
        <is>
          <t>ข้อสอบจริง</t>
        </is>
      </c>
      <c r="P94" s="18" t="inlineStr">
        <is>
          <t>ปี 2564</t>
        </is>
      </c>
    </row>
    <row r="95">
      <c r="A95" s="15" t="inlineStr">
        <is>
          <t>94</t>
        </is>
      </c>
      <c r="B95" s="18" t="inlineStr">
        <is>
          <t>antifungal vaginal tablet ร้านยาเก็บที่อุณหภูมิที่เท่าไร</t>
        </is>
      </c>
      <c r="C95" s="18" t="inlineStr"/>
      <c r="D95" s="18" t="inlineStr">
        <is>
          <t>Tablet &amp; Solid Dosage</t>
        </is>
      </c>
      <c r="E95" s="18" t="inlineStr">
        <is>
          <t>2-8 อC</t>
        </is>
      </c>
      <c r="F95" s="18" t="inlineStr">
        <is>
          <t>25-30 อC</t>
        </is>
      </c>
      <c r="G95" s="18" t="inlineStr">
        <is>
          <t>-25...</t>
        </is>
      </c>
      <c r="H95" s="18" t="inlineStr">
        <is>
          <t>มากกว่า 30 แต่จำช่วงไม่ได้</t>
        </is>
      </c>
      <c r="I95" s="15" t="inlineStr">
        <is>
          <t>1</t>
        </is>
      </c>
      <c r="J95" s="18"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ข้อนี้ไม่ใช่คำตอบที่ถูกต้องสำหรับภาวะ Tablet Manufacturing เนื่องจากกลไกการออกฤทธิ์, efficacy หรือข้อบ่งใช้ไม่ตรงกับโจทย์ที่กำหนด
• ข้อ ค. (25-30 อC): ข้อนี้ไม่ใช่คำตอบที่ถูกต้องสำหรับภาวะ Tablet Manufacturing เนื่องจากกลไกการออกฤทธิ์, efficacy หรือข้อบ่งใช้ไม่ตรงกับโจทย์ที่กำหนด
• ข้อ ง. (-25...): ข้อนี้ไม่ใช่คำตอบที่ถูกต้องสำหรับภาวะ Tablet Manufacturing เนื่องจากกลไกการออกฤทธิ์, efficacy หรือข้อบ่งใช้ไม่ตรงกับโจทย์ที่กำหนด
• ข้อ จ. (มากกว่า 30 แต่จำช่วงไม่ได้):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5" s="18" t="inlineStr"/>
      <c r="L95" s="18" t="inlineStr">
        <is>
          <t>Tablet Manufacturing</t>
        </is>
      </c>
      <c r="M95" s="18" t="inlineStr">
        <is>
          <t>Tablet &amp; Solid Dosage</t>
        </is>
      </c>
      <c r="N95" s="18" t="inlineStr">
        <is>
          <t>PLE_CC1_2564_All_Key ข้อ 115</t>
        </is>
      </c>
      <c r="O95" s="18" t="inlineStr">
        <is>
          <t>ข้อสอบจริง</t>
        </is>
      </c>
      <c r="P95" s="18" t="inlineStr">
        <is>
          <t>ปี 2564</t>
        </is>
      </c>
    </row>
    <row r="96">
      <c r="A96" s="15" t="inlineStr">
        <is>
          <t>95</t>
        </is>
      </c>
      <c r="B96" s="18"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96" s="18" t="inlineStr"/>
      <c r="D96" s="18" t="inlineStr">
        <is>
          <t>Tablet &amp; Solid Dosage</t>
        </is>
      </c>
      <c r="E96" s="18" t="inlineStr">
        <is>
          <t>Microcrystalline cellulose</t>
        </is>
      </c>
      <c r="F96" s="18" t="inlineStr">
        <is>
          <t>Magnesium stearate (Lubricant 1%)</t>
        </is>
      </c>
      <c r="G96" s="18" t="inlineStr">
        <is>
          <t>Sodium starch glycolate (Superdisintegrant)</t>
        </is>
      </c>
      <c r="H96" s="18" t="inlineStr">
        <is>
          <t>Direct Compression tableting method</t>
        </is>
      </c>
      <c r="I96" s="15" t="inlineStr">
        <is>
          <t>1</t>
        </is>
      </c>
      <c r="J96" s="18"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6" s="18" t="inlineStr"/>
      <c r="L96" s="18" t="inlineStr">
        <is>
          <t>Powders &amp; Granules</t>
        </is>
      </c>
      <c r="M96" s="18" t="inlineStr">
        <is>
          <t>Tablet &amp; Solid Dosage</t>
        </is>
      </c>
      <c r="N96" s="18" t="inlineStr">
        <is>
          <t>PLE_CC1_2564_All_Key ข้อ 130</t>
        </is>
      </c>
      <c r="O96" s="18" t="inlineStr">
        <is>
          <t>ข้อสอบจริง</t>
        </is>
      </c>
      <c r="P96" s="18" t="inlineStr">
        <is>
          <t>ปี 2564</t>
        </is>
      </c>
    </row>
    <row r="97">
      <c r="A97" s="15" t="inlineStr">
        <is>
          <t>96</t>
        </is>
      </c>
      <c r="B97" s="18"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97" s="18" t="inlineStr"/>
      <c r="D97" s="18" t="inlineStr">
        <is>
          <t>Tablet &amp; Solid Dosage</t>
        </is>
      </c>
      <c r="E97" s="18" t="inlineStr">
        <is>
          <t>Direct Compression tableting method</t>
        </is>
      </c>
      <c r="F97" s="18" t="inlineStr">
        <is>
          <t>Wet Granulation tableting method</t>
        </is>
      </c>
      <c r="G97" s="18" t="inlineStr">
        <is>
          <t>Dry Granulation (Roller Compaction)</t>
        </is>
      </c>
      <c r="H97" s="18" t="inlineStr">
        <is>
          <t>Fluidized Bed Granulation</t>
        </is>
      </c>
      <c r="I97" s="15" t="inlineStr">
        <is>
          <t>1</t>
        </is>
      </c>
      <c r="J97" s="18"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7" s="18" t="inlineStr"/>
      <c r="L97" s="18" t="inlineStr">
        <is>
          <t>Tablet Manufacturing</t>
        </is>
      </c>
      <c r="M97" s="18" t="inlineStr">
        <is>
          <t>Tablet &amp; Solid Dosage</t>
        </is>
      </c>
      <c r="N97" s="18" t="inlineStr">
        <is>
          <t>PLE_CC1_2564_All_Key ข้อ 141</t>
        </is>
      </c>
      <c r="O97" s="18" t="inlineStr">
        <is>
          <t>ข้อสอบจริง</t>
        </is>
      </c>
      <c r="P97" s="18" t="inlineStr">
        <is>
          <t>ปี 2564</t>
        </is>
      </c>
    </row>
    <row r="98">
      <c r="A98" s="18" t="n">
        <v>96</v>
      </c>
      <c r="B98" s="18"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98" s="18" t="n"/>
      <c r="D98" s="18" t="inlineStr">
        <is>
          <t>Matrix type</t>
        </is>
      </c>
      <c r="E98" s="18" t="inlineStr">
        <is>
          <t>Reservoir type</t>
        </is>
      </c>
      <c r="F98" s="18" t="inlineStr">
        <is>
          <t>Multiple unit system</t>
        </is>
      </c>
      <c r="G98" s="18" t="inlineStr">
        <is>
          <t>Osmotic pump</t>
        </is>
      </c>
      <c r="H98" s="18" t="inlineStr">
        <is>
          <t>Membrane controlled type</t>
        </is>
      </c>
      <c r="I98" s="18" t="n">
        <v>1</v>
      </c>
      <c r="J98" s="18"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ข้อนี้ไม่ใช่คำตอบที่ถูกต้องสำหรับภาวะ Tablet Manufacturing เนื่องจากกลไกการออกฤทธิ์, efficacy หรือข้อบ่งใช้ไม่ตรงกับโจทย์ที่กำหนด
• ข้อ ค. (Multiple unit system): ข้อนี้ไม่ใช่คำตอบที่ถูกต้องสำหรับภาวะ Tablet Manufacturing เนื่องจากกลไกการออกฤทธิ์, efficacy หรือข้อบ่งใช้ไม่ตรงกับโจทย์ที่กำหนด
• ข้อ ง. (Osmotic pump): ข้อนี้ไม่ใช่คำตอบที่ถูกต้องสำหรับภาวะ Tablet Manufacturing เนื่องจากกลไกการออกฤทธิ์, efficacy หรือข้อบ่งใช้ไม่ตรงกับโจทย์ที่กำหนด
• ข้อ จ. (Membrane controlled type):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8" t="n"/>
      <c r="L98" s="18" t="inlineStr">
        <is>
          <t>Tablet Manufacturing</t>
        </is>
      </c>
      <c r="M98" s="18" t="inlineStr">
        <is>
          <t>Product</t>
        </is>
      </c>
      <c r="N98" s="18" t="inlineStr">
        <is>
          <t>ข้อ 63 (PLE_CC1_2562_Key.md)</t>
        </is>
      </c>
      <c r="O98" s="18" t="inlineStr">
        <is>
          <t>ข้อสอบจริง</t>
        </is>
      </c>
      <c r="P98" s="18" t="inlineStr">
        <is>
          <t>ปี 2562</t>
        </is>
      </c>
    </row>
    <row r="99">
      <c r="A99" s="18" t="n">
        <v>97</v>
      </c>
      <c r="B99" s="18"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99" s="18" t="n"/>
      <c r="D99" s="18" t="inlineStr">
        <is>
          <t>รูปแบบควบคุมการปลดปล่อยยา</t>
        </is>
      </c>
      <c r="E99" s="18" t="inlineStr">
        <is>
          <t>สารช่วยในการปลดปล่อยตัวยา acrylic ester</t>
        </is>
      </c>
      <c r="F99" s="18" t="inlineStr">
        <is>
          <t>สามารถบดเม็ดยา แต่ห้ามเคี้ยว</t>
        </is>
      </c>
      <c r="G99" s="18" t="inlineStr">
        <is>
          <t>หน้าที่ titanium dioxide คือ opacifier</t>
        </is>
      </c>
      <c r="H99" s="18" t="inlineStr">
        <is>
          <t>Croscarmellose ทำให้ตัวยาปลดปล่อยนานกว่า plain tablets</t>
        </is>
      </c>
      <c r="I99" s="18" t="n">
        <v>1</v>
      </c>
      <c r="J99" s="18"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ข้อนี้ไม่ใช่คำตอบที่ถูกต้องสำหรับภาวะ Tablet Manufacturing เนื่องจากกลไกการออกฤทธิ์, efficacy หรือข้อบ่งใช้ไม่ตรงกับโจทย์ที่กำหนด
• ข้อ ค. (สามารถบดเม็ดยา แต่ห้ามเคี้ยว): ข้อนี้ไม่ใช่คำตอบที่ถูกต้องสำหรับภาวะ Tablet Manufacturing เนื่องจากกลไกการออกฤทธิ์, efficacy หรือข้อบ่งใช้ไม่ตรงกับโจทย์ที่กำหนด
• ข้อ ง. (หน้าที่ titanium dioxide คือ opacifier): ข้อนี้ไม่ใช่คำตอบที่ถูกต้องสำหรับภาวะ Tablet Manufacturing เนื่องจากกลไกการออกฤทธิ์, efficacy หรือข้อบ่งใช้ไม่ตรงกับโจทย์ที่กำหนด
• ข้อ จ. (Croscarmellose ทำให้ตัวยาปลดปล่อยนานกว่า plain tablets):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8" t="n"/>
      <c r="L99" s="18" t="inlineStr">
        <is>
          <t>Tablet Manufacturing</t>
        </is>
      </c>
      <c r="M99" s="18" t="inlineStr">
        <is>
          <t>Product</t>
        </is>
      </c>
      <c r="N99" s="18" t="inlineStr">
        <is>
          <t>ข้อ 105 (PLE_CC1_2562_Key.md)</t>
        </is>
      </c>
      <c r="O99" s="18" t="inlineStr">
        <is>
          <t>ข้อสอบจริง</t>
        </is>
      </c>
      <c r="P99" s="18" t="inlineStr">
        <is>
          <t>ปี 2562</t>
        </is>
      </c>
    </row>
    <row r="100">
      <c r="A100" s="18" t="n">
        <v>98</v>
      </c>
      <c r="B100" s="18" t="inlineStr">
        <is>
          <t>ข้อใดถูกต้องเกี่ยวกับคุณสมบัติของสารที่เป็นส่วนประกอบในชั้น coat ของ cyclophosphamide coated tablet O</t>
        </is>
      </c>
      <c r="C100" s="18" t="n"/>
      <c r="D100" s="18" t="inlineStr">
        <is>
          <t>Sucrose - sweetening agent</t>
        </is>
      </c>
      <c r="E100" s="18" t="inlineStr">
        <is>
          <t>Titanium dioxide ı opacifier</t>
        </is>
      </c>
      <c r="F100" s="18" t="inlineStr">
        <is>
          <t>Lactose monohydrate ı film former</t>
        </is>
      </c>
      <c r="G100" s="18" t="inlineStr">
        <is>
          <t>Calcium hydrogen phosphate dehydrate ı film former</t>
        </is>
      </c>
      <c r="H100" s="18"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100" s="18" t="n">
        <v>1</v>
      </c>
      <c r="J100" s="18"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ข้อนี้ไม่ใช่คำตอบที่ถูกต้องสำหรับภาวะ Tablet Coating เนื่องจากกลไกการออกฤทธิ์, efficacy หรือข้อบ่งใช้ไม่ตรงกับโจทย์ที่กำหนด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ข้อนี้ไม่ใช่คำตอบที่ถูกต้องสำหรับภาวะ Tablet Coating เนื่องจากกลไกการออกฤทธิ์, efficacy หรือข้อบ่งใช้ไม่ตรงกับโจทย์ที่กำหนด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8" t="n"/>
      <c r="L100" s="18" t="inlineStr">
        <is>
          <t>Tablet Coating</t>
        </is>
      </c>
      <c r="M100" s="18" t="inlineStr">
        <is>
          <t>Product</t>
        </is>
      </c>
      <c r="N100" s="18" t="inlineStr">
        <is>
          <t>ข้อ 117 (PLE_CC1_2562_Key.md)</t>
        </is>
      </c>
      <c r="O100" s="18" t="inlineStr">
        <is>
          <t>ข้อสอบจริง</t>
        </is>
      </c>
      <c r="P100" s="18" t="inlineStr">
        <is>
          <t>ปี 2562</t>
        </is>
      </c>
    </row>
    <row r="101">
      <c r="A101" s="18" t="n">
        <v>99</v>
      </c>
      <c r="B101" s="18"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101" s="18" t="n"/>
      <c r="D101" s="18" t="inlineStr">
        <is>
          <t>Gelatin</t>
        </is>
      </c>
      <c r="E101" s="18" t="inlineStr">
        <is>
          <t>Corn stearate</t>
        </is>
      </c>
      <c r="F101" s="18" t="inlineStr">
        <is>
          <t>Magnesium stearate</t>
        </is>
      </c>
      <c r="G101" s="18" t="inlineStr">
        <is>
          <t>TiO2</t>
        </is>
      </c>
      <c r="H101" s="18" t="inlineStr">
        <is>
          <t>SLS</t>
        </is>
      </c>
      <c r="I101" s="18" t="n">
        <v>1</v>
      </c>
      <c r="J101" s="18"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ข้อนี้ไม่ใช่คำตอบที่ถูกต้องสำหรับภาวะ Hard &amp; Soft Gelatin Capsules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ข้อนี้ไม่ใช่คำตอบที่ถูกต้องสำหรับภาวะ Hard &amp; Soft Gelatin Capsules เนื่องจากกลไกการออกฤทธิ์, efficacy หรือข้อบ่งใช้ไม่ตรงกับโจทย์ที่กำหนด
• ข้อ จ. (SLS):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8" t="n"/>
      <c r="L101" s="18" t="inlineStr">
        <is>
          <t>Hard &amp; Soft Gelatin Capsules</t>
        </is>
      </c>
      <c r="M101" s="18" t="inlineStr">
        <is>
          <t>Product</t>
        </is>
      </c>
      <c r="N101" s="18" t="inlineStr">
        <is>
          <t>ข้อ 16 (PLE_CC1_2562_Key.md)</t>
        </is>
      </c>
      <c r="O101" s="18" t="inlineStr">
        <is>
          <t>ข้อสอบจริง</t>
        </is>
      </c>
      <c r="P101" s="18" t="inlineStr">
        <is>
          <t>ปี 2562</t>
        </is>
      </c>
    </row>
    <row r="102">
      <c r="A102" s="18" t="n">
        <v>100</v>
      </c>
      <c r="B102" s="18" t="inlineStr">
        <is>
          <t>เม็ดยา calcium carbonate 1.5 กรัมมีปัญหากร่อนแตกหักง่ายควรเพิ่มสารใดในตำรับ = - Tunisia X vie Fa .mision120140 X ~ - X binder binder</t>
        </is>
      </c>
      <c r="C102" s="18" t="n"/>
      <c r="D102" s="18" t="inlineStr">
        <is>
          <t>PVP</t>
        </is>
      </c>
      <c r="E102" s="18" t="inlineStr">
        <is>
          <t>Starch</t>
        </is>
      </c>
      <c r="F102" s="18" t="inlineStr">
        <is>
          <t>Colloidal SiO2</t>
        </is>
      </c>
      <c r="G102" s="18" t="inlineStr">
        <is>
          <t>Magnesium stearate</t>
        </is>
      </c>
      <c r="H102" s="18" t="inlineStr">
        <is>
          <t>Crosscamellose sodium binderta Starch paste sitsen anti adherance lubricant disintegrant หË´มนาÆปทาซËาทืกกรณิ ÂวËนาต้จ²ÆดËรงบ¯นืญ´ต /</t>
        </is>
      </c>
      <c r="I102" s="18" t="n">
        <v>1</v>
      </c>
      <c r="J102" s="18"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ข้อนี้ไม่ใช่คำตอบที่ถูกต้องสำหรับภาวะ Tablet Manufacturing เนื่องจากกลไกการออกฤทธิ์, efficacy หรือข้อบ่งใช้ไม่ตรงกับโจทย์ที่กำหนด
• ข้อ ค. (Colloidal SiO2):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8" t="n"/>
      <c r="L102" s="18" t="inlineStr">
        <is>
          <t>Tablet Manufacturing</t>
        </is>
      </c>
      <c r="M102" s="18" t="inlineStr">
        <is>
          <t>Product</t>
        </is>
      </c>
      <c r="N102" s="18" t="inlineStr">
        <is>
          <t>ข้อ 80 (PLE_CC1_2562_Key.md)</t>
        </is>
      </c>
      <c r="O102" s="18" t="inlineStr">
        <is>
          <t>ข้อสอบจริง</t>
        </is>
      </c>
      <c r="P102" s="18" t="inlineStr">
        <is>
          <t>ปี 2562</t>
        </is>
      </c>
    </row>
    <row r="103">
      <c r="A103" s="18" t="n">
        <v>101</v>
      </c>
      <c r="B103" s="18"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103" s="18" t="n"/>
      <c r="D103" s="18" t="inlineStr">
        <is>
          <t>Citric acid, sodium bicarbonate</t>
        </is>
      </c>
      <c r="E103" s="18" t="inlineStr">
        <is>
          <t>Citric acid, sodium benzoate</t>
        </is>
      </c>
      <c r="F103" s="18" t="inlineStr">
        <is>
          <t>Tartaric acid, PVP K30</t>
        </is>
      </c>
      <c r="G103" s="18" t="inlineStr">
        <is>
          <t>Tartaric acid, sodium saccharin</t>
        </is>
      </c>
      <c r="H103" s="18"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103" s="18" t="n">
        <v>1</v>
      </c>
      <c r="J103" s="18"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ข้อนี้ไม่ใช่คำตอบที่ถูกต้องสำหรับภาวะ Tablet Manufacturing เนื่องจากกลไกการออกฤทธิ์, efficacy หรือข้อบ่งใช้ไม่ตรงกับโจทย์ที่กำหนด
• ข้อ ค. (Tartaric acid, PVP K30): ข้อนี้ไม่ใช่คำตอบที่ถูกต้องสำหรับภาวะ Tablet Manufacturing เนื่องจากกลไกการออกฤทธิ์, efficacy หรือข้อบ่งใช้ไม่ตรงกับโจทย์ที่กำหนด
• ข้อ ง. (Tartaric acid, sodium saccharin): ข้อนี้ไม่ใช่คำตอบที่ถูกต้องสำหรับภาวะ Tablet Manufacturing เนื่องจากกลไกการออกฤทธิ์, efficacy หรือข้อบ่งใช้ไม่ตรงกับโจทย์ที่กำหนด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8" t="n"/>
      <c r="L103" s="18" t="inlineStr">
        <is>
          <t>Tablet Manufacturing</t>
        </is>
      </c>
      <c r="M103" s="18" t="inlineStr">
        <is>
          <t>Product</t>
        </is>
      </c>
      <c r="N103" s="18" t="inlineStr">
        <is>
          <t>ข้อ 84 (PLE_CC1_2562_Key.md)</t>
        </is>
      </c>
      <c r="O103" s="18" t="inlineStr">
        <is>
          <t>ข้อสอบจริง</t>
        </is>
      </c>
      <c r="P103" s="18" t="inlineStr">
        <is>
          <t>ปี 2562</t>
        </is>
      </c>
    </row>
    <row r="104">
      <c r="A104" s="18" t="n">
        <v>102</v>
      </c>
      <c r="B104" s="18" t="inlineStr">
        <is>
          <t>ผูป%วยรับประทาน diclofenac tablet ที่ซื้อมาจากรานขายของชำ แต!ไม!ไดรับประทานยาที่แพทยTสั่งจ!ายจัดเปEน DRP ชนิดใด</t>
        </is>
      </c>
      <c r="C104" s="18" t="n"/>
      <c r="D104" s="18" t="inlineStr">
        <is>
          <t>Dose too high</t>
        </is>
      </c>
      <c r="E104" s="18" t="inlineStr">
        <is>
          <t>Non-adherence</t>
        </is>
      </c>
      <c r="F104" s="18" t="inlineStr">
        <is>
          <t>Unnecessary drug</t>
        </is>
      </c>
      <c r="G104" s="18" t="inlineStr">
        <is>
          <t>Untreated indication</t>
        </is>
      </c>
      <c r="H104" s="18" t="inlineStr">
        <is>
          <t>Improper drug selection</t>
        </is>
      </c>
      <c r="I104" s="18" t="n">
        <v>1</v>
      </c>
      <c r="J104" s="18"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ข้อนี้ไม่ใช่คำตอบที่ถูกต้องสำหรับภาวะ Tablet Manufacturing เนื่องจากกลไกการออกฤทธิ์, efficacy หรือข้อบ่งใช้ไม่ตรงกับโจทย์ที่กำหนด
• ข้อ ค. (Unnecessary drug): ข้อนี้ไม่ใช่คำตอบที่ถูกต้องสำหรับภาวะ Tablet Manufacturing เนื่องจากกลไกการออกฤทธิ์, efficacy หรือข้อบ่งใช้ไม่ตรงกับโจทย์ที่กำหนด
• ข้อ ง. (Untreated indication): ข้อนี้ไม่ใช่คำตอบที่ถูกต้องสำหรับภาวะ Tablet Manufacturing เนื่องจากกลไกการออกฤทธิ์, efficacy หรือข้อบ่งใช้ไม่ตรงกับโจทย์ที่กำหนด
• ข้อ จ. (Improper drug selection):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8" t="n"/>
      <c r="L104" s="18" t="inlineStr">
        <is>
          <t>Tablet Manufacturing</t>
        </is>
      </c>
      <c r="M104" s="18" t="inlineStr">
        <is>
          <t>Product</t>
        </is>
      </c>
      <c r="N104" s="18" t="inlineStr">
        <is>
          <t>ข้อ 21 (PLE_CC1_2561_Key.md)</t>
        </is>
      </c>
      <c r="O104" s="18" t="inlineStr">
        <is>
          <t>ข้อสอบจริง</t>
        </is>
      </c>
      <c r="P104" s="18" t="inlineStr">
        <is>
          <t>ปี 2561</t>
        </is>
      </c>
    </row>
    <row r="105">
      <c r="A105" s="18" t="n">
        <v>103</v>
      </c>
      <c r="B105" s="18" t="inlineStr">
        <is>
          <t>ผูป%วยไปซื้อยา diclofenac tablet มาจากรานขายของชำ รานชำ สามารถขายยาชนิดนี้ไดหรือไม!</t>
        </is>
      </c>
      <c r="C105" s="18" t="n"/>
      <c r="D105" s="18" t="inlineStr">
        <is>
          <t>ขายไดเพราะเปEนยาแผนปtจจุบันบรรจุเสร็จ</t>
        </is>
      </c>
      <c r="E105" s="18" t="inlineStr">
        <is>
          <t>ขายไดเพราะเปEนยาสามัญประจำบาน</t>
        </is>
      </c>
      <c r="F105" s="18" t="inlineStr">
        <is>
          <t>ขายไดเพราะยานี้ไม!จำเปEนตองขายโดยเภสัช</t>
        </is>
      </c>
      <c r="G105" s="18" t="inlineStr">
        <is>
          <t>ขายไม!ไดในรานชำ เพราะเปEนยาอันตราย</t>
        </is>
      </c>
      <c r="H105" s="18" t="inlineStr">
        <is>
          <t>ขายไม!ไดในรานชำ เพราะเปEนยาควบคุมพิเศษ e</t>
        </is>
      </c>
      <c r="I105" s="18" t="n">
        <v>1</v>
      </c>
      <c r="J105" s="18"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ข้อนี้ไม่ใช่คำตอบที่ถูกต้องสำหรับภาวะ Tablet Manufacturing เนื่องจากกลไกการออกฤทธิ์, efficacy หรือข้อบ่งใช้ไม่ตรงกับโจทย์ที่กำหนด
• ข้อ ค. (ขายไดเพราะยานี้ไม!จำเปEนตองขายโดยเภสัช): ข้อนี้ไม่ใช่คำตอบที่ถูกต้องสำหรับภาวะ Tablet Manufacturing เนื่องจากกลไกการออกฤทธิ์, efficacy หรือข้อบ่งใช้ไม่ตรงกับโจทย์ที่กำหนด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8" t="n"/>
      <c r="L105" s="18" t="inlineStr">
        <is>
          <t>Tablet Manufacturing</t>
        </is>
      </c>
      <c r="M105" s="18" t="inlineStr">
        <is>
          <t>Product</t>
        </is>
      </c>
      <c r="N105" s="18" t="inlineStr">
        <is>
          <t>ข้อ 20 (PLE_CC1_2561_Key.md)</t>
        </is>
      </c>
      <c r="O105" s="18" t="inlineStr">
        <is>
          <t>ข้อสอบจริง</t>
        </is>
      </c>
      <c r="P105" s="18" t="inlineStr">
        <is>
          <t>ปี 2561</t>
        </is>
      </c>
    </row>
    <row r="106">
      <c r="A106" s="18" t="n">
        <v>104</v>
      </c>
      <c r="B106" s="18"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06" s="18" t="n"/>
      <c r="D106" s="18" t="inlineStr">
        <is>
          <t>Film Coating with Hydroxypropyl methylcellulose (HPMC)</t>
        </is>
      </c>
      <c r="E106" s="18" t="inlineStr">
        <is>
          <t>Enteric Coating with Cellulose acetate phthalate (CAP)</t>
        </is>
      </c>
      <c r="F106" s="18" t="inlineStr">
        <is>
          <t>Hard Gelatin Capsule filling</t>
        </is>
      </c>
      <c r="G106" s="18" t="inlineStr">
        <is>
          <t>Soft Gelatin Capsule encapsulation</t>
        </is>
      </c>
      <c r="H106" s="18" t="inlineStr">
        <is>
          <t>Microcrystalline cellulose</t>
        </is>
      </c>
      <c r="I106" s="18" t="n">
        <v>1</v>
      </c>
      <c r="J106" s="18"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8" t="n"/>
      <c r="L106" s="18" t="inlineStr">
        <is>
          <t>Tablet Manufacturing</t>
        </is>
      </c>
      <c r="M106" s="18" t="inlineStr">
        <is>
          <t>Product</t>
        </is>
      </c>
      <c r="N106" s="18" t="inlineStr">
        <is>
          <t>ข้อ 95 (PLE_CC1_2561_Key.md)</t>
        </is>
      </c>
      <c r="O106" s="18" t="inlineStr">
        <is>
          <t>ข้อสอบจริง</t>
        </is>
      </c>
      <c r="P106" s="18" t="inlineStr">
        <is>
          <t>ปี 2561</t>
        </is>
      </c>
    </row>
    <row r="107">
      <c r="A107" s="18" t="n">
        <v>105</v>
      </c>
      <c r="B107" s="18" t="inlineStr">
        <is>
          <t>หากต้องการพัฒนาต้ารับยาเม็ด azitromycin เพื่อให้สามารถแตกตัวได้ดี ควรเติมสารเเตกตัวยิ่งยวด superdisintegrant ตัวใด</t>
        </is>
      </c>
      <c r="C107" s="18" t="n"/>
      <c r="D107" s="18" t="inlineStr">
        <is>
          <t>Pegelatinized starch</t>
        </is>
      </c>
      <c r="E107" s="18" t="inlineStr">
        <is>
          <t>Sodium lauryl sulfate</t>
        </is>
      </c>
      <c r="F107" s="18" t="inlineStr">
        <is>
          <t>Sodium croscarmellose</t>
        </is>
      </c>
      <c r="G107" s="18" t="inlineStr">
        <is>
          <t>HPMC</t>
        </is>
      </c>
      <c r="H107" s="18" t="inlineStr">
        <is>
          <t>Direct Compression tableting method</t>
        </is>
      </c>
      <c r="I107" s="18" t="n">
        <v>1</v>
      </c>
      <c r="J107" s="18"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8" t="n"/>
      <c r="L107" s="18" t="inlineStr">
        <is>
          <t>Tablet Manufacturing</t>
        </is>
      </c>
      <c r="M107" s="18" t="inlineStr">
        <is>
          <t>Product</t>
        </is>
      </c>
      <c r="N107" s="18" t="inlineStr">
        <is>
          <t>ข้อ 8 (PLE_CC1_2560 22 April Set 1.md)</t>
        </is>
      </c>
      <c r="O107" s="18" t="inlineStr">
        <is>
          <t>ข้อสอบจริง</t>
        </is>
      </c>
      <c r="P107" s="18" t="inlineStr">
        <is>
          <t>ปี 2560</t>
        </is>
      </c>
    </row>
    <row r="108">
      <c r="A108" s="18" t="n">
        <v>106</v>
      </c>
      <c r="B108" s="18" t="inlineStr">
        <is>
          <t>Enalapril tablet 10 mg ต้องท้า Direct compression เหตุผลข้อใด เป็นเหตุผลส้าคัญที่ต้องท้าแบบนี</t>
        </is>
      </c>
      <c r="C108" s="18" t="n"/>
      <c r="D108" s="18" t="inlineStr">
        <is>
          <t>ยาทนความชื นได้</t>
        </is>
      </c>
      <c r="E108" s="18" t="inlineStr">
        <is>
          <t>ยาไม่ทนความร้อนสูง</t>
        </is>
      </c>
      <c r="F108" s="18" t="inlineStr">
        <is>
          <t>ยาน้อยท้าให้ผสมเข้ากันได้</t>
        </is>
      </c>
      <c r="G108" s="18" t="inlineStr">
        <is>
          <t>ยาผสมเข้ากับ excipient ในต้ารับได้ง่าย</t>
        </is>
      </c>
      <c r="H108" s="18" t="inlineStr">
        <is>
          <t>ใช้ Roller compactor ในการท้า wet granulation</t>
        </is>
      </c>
      <c r="I108" s="18" t="n">
        <v>1</v>
      </c>
      <c r="J108" s="18"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ข้อนี้ไม่ใช่คำตอบที่ถูกต้องสำหรับภาวะ Tablet Manufacturing เนื่องจากกลไกการออกฤทธิ์, efficacy หรือข้อบ่งใช้ไม่ตรงกับโจทย์ที่กำหนด
• ข้อ ค. (ยาน้อยท้าให้ผสมเข้ากันได้): ข้อนี้ไม่ใช่คำตอบที่ถูกต้องสำหรับภาวะ Tablet Manufacturing เนื่องจากกลไกการออกฤทธิ์, efficacy หรือข้อบ่งใช้ไม่ตรงกับโจทย์ที่กำหนด
• ข้อ ง. (ยาผสมเข้ากับ excipient ในต้ารับได้ง่าย): ข้อนี้ไม่ใช่คำตอบที่ถูกต้องสำหรับภาวะ Tablet Manufacturing เนื่องจากกลไกการออกฤทธิ์, efficacy หรือข้อบ่งใช้ไม่ตรงกับโจทย์ที่กำหนด
• ข้อ จ. (ใช้ Roller compactor ในการท้า wet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8" t="n"/>
      <c r="L108" s="18" t="inlineStr">
        <is>
          <t>Tablet Manufacturing</t>
        </is>
      </c>
      <c r="M108" s="18" t="inlineStr">
        <is>
          <t>Product</t>
        </is>
      </c>
      <c r="N108" s="18" t="inlineStr">
        <is>
          <t>ข้อ 7 (PLE_CC1_2560 22 April Set 1.md)</t>
        </is>
      </c>
      <c r="O108" s="18" t="inlineStr">
        <is>
          <t>ข้อสอบจริง</t>
        </is>
      </c>
      <c r="P108" s="18" t="inlineStr">
        <is>
          <t>ปี 2560</t>
        </is>
      </c>
    </row>
    <row r="109">
      <c r="A109" s="18" t="n">
        <v>107</v>
      </c>
      <c r="B109" s="18" t="inlineStr">
        <is>
          <t>ยาเม็ดเคลือบฟิลม์ ผลิตแล้วพบว่าเม็ดยาติดกัน มีวิธีแก้ไขอย่างไร</t>
        </is>
      </c>
      <c r="C109" s="18" t="n"/>
      <c r="D109" s="18" t="inlineStr">
        <is>
          <t>ลดความเข้มข้นของสารเคลือบ</t>
        </is>
      </c>
      <c r="E109" s="18" t="inlineStr">
        <is>
          <t>เพิ่มความร้อนของลมที่เข้าเครื่อง</t>
        </is>
      </c>
      <c r="F109" s="18" t="inlineStr">
        <is>
          <t>เพิ่มอัตราการไหลของสารเคลือบผ่านหัวสเปรย์</t>
        </is>
      </c>
      <c r="G109" s="18" t="inlineStr">
        <is>
          <t>ลดความเร็วของการหมุนถังเคลือบ</t>
        </is>
      </c>
      <c r="H109" s="18" t="inlineStr">
        <is>
          <t>เพิ่มความดันของสเปรย์</t>
        </is>
      </c>
      <c r="I109" s="18" t="n">
        <v>1</v>
      </c>
      <c r="J109" s="18"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ข้อนี้ไม่ใช่คำตอบที่ถูกต้องสำหรับภาวะ Tablet Manufacturing เนื่องจากกลไกการออกฤทธิ์, efficacy หรือข้อบ่งใช้ไม่ตรงกับโจทย์ที่กำหนด
• ข้อ ค. (เพิ่มอัตราการไหลของสารเคลือบผ่านหัวสเปรย์): ข้อนี้ไม่ใช่คำตอบที่ถูกต้องสำหรับภาวะ Tablet Manufacturing เนื่องจากกลไกการออกฤทธิ์, efficacy หรือข้อบ่งใช้ไม่ตรงกับโจทย์ที่กำหนด
• ข้อ ง. (ลดความเร็วของการหมุนถังเคลือบ): ข้อนี้ไม่ใช่คำตอบที่ถูกต้องสำหรับภาวะ Tablet Manufacturing เนื่องจากกลไกการออกฤทธิ์, efficacy หรือข้อบ่งใช้ไม่ตรงกับโจทย์ที่กำหนด
• ข้อ จ. (เพิ่มความดันของสเปรย์):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8" t="n"/>
      <c r="L109" s="18" t="inlineStr">
        <is>
          <t>Tablet Manufacturing</t>
        </is>
      </c>
      <c r="M109" s="18" t="inlineStr">
        <is>
          <t>Product</t>
        </is>
      </c>
      <c r="N109" s="18" t="inlineStr">
        <is>
          <t>ข้อ 7 (PLE_CC1_2560 22 April Set 1.md)</t>
        </is>
      </c>
      <c r="O109" s="18" t="inlineStr">
        <is>
          <t>ข้อสอบจริง</t>
        </is>
      </c>
      <c r="P109" s="18" t="inlineStr">
        <is>
          <t>ปี 2560</t>
        </is>
      </c>
    </row>
    <row r="110">
      <c r="A110" s="18" t="n">
        <v>108</v>
      </c>
      <c r="B110" s="18" t="inlineStr">
        <is>
          <t>เครื่องมือที่ใช้ในการผสม Magnesium stearate กับ Granule</t>
        </is>
      </c>
      <c r="C110" s="18" t="n"/>
      <c r="D110" s="18" t="inlineStr">
        <is>
          <t>Double cone mixer</t>
        </is>
      </c>
      <c r="E110" s="18" t="inlineStr">
        <is>
          <t>Planetary mixer</t>
        </is>
      </c>
      <c r="F110" s="18" t="inlineStr">
        <is>
          <t>Ribbon mixer</t>
        </is>
      </c>
      <c r="G110" s="18" t="inlineStr">
        <is>
          <t>Sigma blade mixer</t>
        </is>
      </c>
      <c r="H110" s="18" t="inlineStr">
        <is>
          <t>High speed mixer</t>
        </is>
      </c>
      <c r="I110" s="18" t="n">
        <v>1</v>
      </c>
      <c r="J110" s="18"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ข้อนี้ไม่ใช่คำตอบที่ถูกต้องสำหรับภาวะ Powders &amp; Granules เนื่องจากกลไกการออกฤทธิ์, efficacy หรือข้อบ่งใช้ไม่ตรงกับโจทย์ที่กำหนด
• ข้อ ค. (Ribbon mixer): ข้อนี้ไม่ใช่คำตอบที่ถูกต้องสำหรับภาวะ Powders &amp; Granules เนื่องจากกลไกการออกฤทธิ์, efficacy หรือข้อบ่งใช้ไม่ตรงกับโจทย์ที่กำหนด
• ข้อ ง.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จ. (High speed mixer):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8" t="n"/>
      <c r="L110" s="18" t="inlineStr">
        <is>
          <t>Powders &amp; Granules</t>
        </is>
      </c>
      <c r="M110" s="18" t="inlineStr">
        <is>
          <t>Product</t>
        </is>
      </c>
      <c r="N110" s="18" t="inlineStr">
        <is>
          <t>ข้อ 7 (PLE_CC1_2560 22 April Set 1.md)</t>
        </is>
      </c>
      <c r="O110" s="18" t="inlineStr">
        <is>
          <t>ข้อสอบจริง</t>
        </is>
      </c>
      <c r="P110" s="18" t="inlineStr">
        <is>
          <t>ปี 2560</t>
        </is>
      </c>
    </row>
    <row r="111">
      <c r="A111" s="18" t="n">
        <v>109</v>
      </c>
      <c r="B111" s="18" t="inlineStr">
        <is>
          <t>สารใดเป็น Superdisintegrant</t>
        </is>
      </c>
      <c r="C111" s="18" t="n"/>
      <c r="D111" s="18" t="inlineStr">
        <is>
          <t>Pegelatinized starch</t>
        </is>
      </c>
      <c r="E111" s="18" t="inlineStr">
        <is>
          <t>Sodium lauryl sulfate</t>
        </is>
      </c>
      <c r="F111" s="18" t="inlineStr">
        <is>
          <t>Sodium croscarmellose</t>
        </is>
      </c>
      <c r="G111" s="18" t="inlineStr">
        <is>
          <t>HPMC 9 MCQ11 2/2560 By CU Rx73 MCQ11 2/2560 By CU Rx73</t>
        </is>
      </c>
      <c r="H111" s="18" t="inlineStr">
        <is>
          <t>Wet Granulation tableting method</t>
        </is>
      </c>
      <c r="I111" s="18" t="n">
        <v>1</v>
      </c>
      <c r="J111" s="18"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8" t="n"/>
      <c r="L111" s="18" t="inlineStr">
        <is>
          <t>Tablet Manufacturing</t>
        </is>
      </c>
      <c r="M111" s="18" t="inlineStr">
        <is>
          <t>Product</t>
        </is>
      </c>
      <c r="N111" s="18" t="inlineStr">
        <is>
          <t>ข้อ 8 (PLE_CC1_2560 22 April Set 2.md)</t>
        </is>
      </c>
      <c r="O111" s="18" t="inlineStr">
        <is>
          <t>ข้อสอบจริง</t>
        </is>
      </c>
      <c r="P111" s="18" t="inlineStr">
        <is>
          <t>ปี 2560</t>
        </is>
      </c>
    </row>
    <row r="112">
      <c r="A112" s="18" t="n">
        <v>110</v>
      </c>
      <c r="B112" s="18" t="inlineStr">
        <is>
          <t>ปัจจัยใดไม่เกี่ยวข้องกับปัญหาปริมาณยาในยาเม็ดไม่สม ่าเสมอ</t>
        </is>
      </c>
      <c r="C112" s="18" t="n"/>
      <c r="D112" s="18" t="inlineStr">
        <is>
          <t>มุมทรงตัว</t>
        </is>
      </c>
      <c r="E112" s="18" t="inlineStr">
        <is>
          <t>ความพรุน</t>
        </is>
      </c>
      <c r="F112" s="18" t="inlineStr">
        <is>
          <t>Compressibility</t>
        </is>
      </c>
      <c r="G112" s="18" t="inlineStr">
        <is>
          <t>Fluidized Bed Granulation</t>
        </is>
      </c>
      <c r="H112" s="18"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112" s="18" t="n">
        <v>1</v>
      </c>
      <c r="J112" s="18"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ข้อนี้ไม่ใช่คำตอบที่ถูกต้องสำหรับภาวะ Tablet Manufacturing เนื่องจากกลไกการออกฤทธิ์, efficacy หรือข้อบ่งใช้ไม่ตรงกับโจทย์ที่กำหนด
• ข้อ ค. (Compressibility):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8" t="n"/>
      <c r="L112" s="18" t="inlineStr">
        <is>
          <t>Tablet Manufacturing</t>
        </is>
      </c>
      <c r="M112" s="18" t="inlineStr">
        <is>
          <t>Product</t>
        </is>
      </c>
      <c r="N112" s="18" t="inlineStr">
        <is>
          <t>ข้อ 9 (PLE_CC1_2560 22 April Set 2.md)</t>
        </is>
      </c>
      <c r="O112" s="18" t="inlineStr">
        <is>
          <t>ข้อสอบจริง</t>
        </is>
      </c>
      <c r="P112" s="18" t="inlineStr">
        <is>
          <t>ปี 2560</t>
        </is>
      </c>
    </row>
    <row r="113">
      <c r="A113" s="18" t="n">
        <v>111</v>
      </c>
      <c r="B113" s="18" t="inlineStr">
        <is>
          <t>ยาเม็ด ferrous sulfate 100 mg จะได้ ferrous 20 mg หากต้องการให้ ferrous ผู้ป่วย 60 mg ต้องใช้กี่เม็ด</t>
        </is>
      </c>
      <c r="C113" s="18" t="n"/>
      <c r="D113" s="18" t="inlineStr">
        <is>
          <t>1 เม็ด</t>
        </is>
      </c>
      <c r="E113" s="18" t="inlineStr">
        <is>
          <t>2 เม็ด</t>
        </is>
      </c>
      <c r="F113" s="18" t="inlineStr">
        <is>
          <t>3 เม็ด</t>
        </is>
      </c>
      <c r="G113" s="18" t="inlineStr">
        <is>
          <t>4 เม็ด</t>
        </is>
      </c>
      <c r="H113" s="18" t="inlineStr">
        <is>
          <t>5 เม็ด</t>
        </is>
      </c>
      <c r="I113" s="18" t="n">
        <v>1</v>
      </c>
      <c r="J113" s="18"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ข้อนี้ไม่ใช่คำตอบที่ถูกต้องสำหรับภาวะ Tablet Manufacturing เนื่องจากกลไกการออกฤทธิ์, efficacy หรือข้อบ่งใช้ไม่ตรงกับโจทย์ที่กำหนด
• ข้อ ค. (3 เม็ด): ข้อนี้ไม่ใช่คำตอบที่ถูกต้องสำหรับภาวะ Tablet Manufacturing เนื่องจากกลไกการออกฤทธิ์, efficacy หรือข้อบ่งใช้ไม่ตรงกับโจทย์ที่กำหนด
• ข้อ ง. (4 เม็ด): ข้อนี้ไม่ใช่คำตอบที่ถูกต้องสำหรับภาวะ Tablet Manufacturing เนื่องจากกลไกการออกฤทธิ์, efficacy หรือข้อบ่งใช้ไม่ตรงกับโจทย์ที่กำหนด
• ข้อ จ. (5 เม็ด):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8" t="n"/>
      <c r="L113" s="18" t="inlineStr">
        <is>
          <t>Tablet Manufacturing</t>
        </is>
      </c>
      <c r="M113" s="18" t="inlineStr">
        <is>
          <t>Product</t>
        </is>
      </c>
      <c r="N113" s="18" t="inlineStr">
        <is>
          <t>ข้อ 82 (PLE_CC1_2559.md)</t>
        </is>
      </c>
      <c r="O113" s="18" t="inlineStr">
        <is>
          <t>ข้อสอบจริง</t>
        </is>
      </c>
      <c r="P113" s="18" t="inlineStr">
        <is>
          <t>ปี 2559</t>
        </is>
      </c>
    </row>
    <row r="114">
      <c r="A114" s="18" t="n">
        <v>112</v>
      </c>
      <c r="B114" s="18" t="inlineStr">
        <is>
          <t>จากสูตรตำรับนี้ Rx. AAA 300 mg Lactose 500 mg Corn starch 10% ถ้าตำรับยาเม็ดที่ได้แตกตัวไม่ดีจะแก้ไขอย่างไร</t>
        </is>
      </c>
      <c r="C114" s="18" t="n"/>
      <c r="D114" s="18" t="inlineStr">
        <is>
          <t>เปลี่ยน lactose เป็น sodium starch glycolate</t>
        </is>
      </c>
      <c r="E114" s="18" t="inlineStr">
        <is>
          <t>เปลี่ยน lactose เป็น cross carmellose Na</t>
        </is>
      </c>
      <c r="F114" s="18" t="inlineStr">
        <is>
          <t>เปลี่ยน corn starch เป็น sodium starch glycolate</t>
        </is>
      </c>
      <c r="G114" s="18" t="inlineStr">
        <is>
          <t>เปลี่ยน corn starch เป็น cross carmellose Na</t>
        </is>
      </c>
      <c r="H114" s="18" t="inlineStr">
        <is>
          <t>เปลี่ยน corn starch เป็น PVP กรณีศึกษา 2 นอนไม่ได้</t>
        </is>
      </c>
      <c r="I114" s="18" t="n">
        <v>1</v>
      </c>
      <c r="J114" s="18"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ข้อนี้ไม่ใช่คำตอบที่ถูกต้องสำหรับภาวะ Tablet Manufacturing เนื่องจากกลไกการออกฤทธิ์, efficacy หรือข้อบ่งใช้ไม่ตรงกับโจทย์ที่กำหนด
• ข้อ จ. (เปลี่ยน corn starch เป็น PVP กรณีศึกษา 2 นอนไม่ได้):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8" t="n"/>
      <c r="L114" s="18" t="inlineStr">
        <is>
          <t>Tablet Manufacturing</t>
        </is>
      </c>
      <c r="M114" s="18" t="inlineStr">
        <is>
          <t>Product</t>
        </is>
      </c>
      <c r="N114" s="18" t="inlineStr">
        <is>
          <t>ข้อ 9 (PLE_CC1_2558_Key.md)</t>
        </is>
      </c>
      <c r="O114" s="18" t="inlineStr">
        <is>
          <t>ข้อสอบจริง</t>
        </is>
      </c>
      <c r="P114" s="18" t="inlineStr">
        <is>
          <t>ปี 2558</t>
        </is>
      </c>
    </row>
    <row r="115">
      <c r="A115" s="18" t="n">
        <v>113</v>
      </c>
      <c r="B115" s="18" t="inlineStr">
        <is>
          <t>Furosemide tablet</t>
        </is>
      </c>
      <c r="C115" s="18" t="n"/>
      <c r="D115" s="18" t="inlineStr">
        <is>
          <t>Magnesium stearate (Lubricant 1%)</t>
        </is>
      </c>
      <c r="E115" s="18" t="inlineStr">
        <is>
          <t>Sodium starch glycolate (Superdisintegrant)</t>
        </is>
      </c>
      <c r="F115" s="18" t="inlineStr">
        <is>
          <t>Direct Compression tableting method</t>
        </is>
      </c>
      <c r="G115" s="18" t="inlineStr">
        <is>
          <t>Wet Granulation tableting method</t>
        </is>
      </c>
      <c r="H115" s="18" t="inlineStr">
        <is>
          <t>Dry Granulation (Roller Compaction)</t>
        </is>
      </c>
      <c r="I115" s="18" t="n">
        <v>1</v>
      </c>
      <c r="J115" s="1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8" t="n"/>
      <c r="L115" s="18" t="inlineStr">
        <is>
          <t>Tablet Manufacturing</t>
        </is>
      </c>
      <c r="M115" s="18" t="inlineStr">
        <is>
          <t>Product</t>
        </is>
      </c>
      <c r="N115" s="18" t="inlineStr">
        <is>
          <t>ข้อ 1 (PLE_CC1_2558_Key.md)</t>
        </is>
      </c>
      <c r="O115" s="18" t="inlineStr">
        <is>
          <t>ข้อสอบจริง</t>
        </is>
      </c>
      <c r="P115" s="18" t="inlineStr">
        <is>
          <t>ปี 2558</t>
        </is>
      </c>
    </row>
    <row r="116">
      <c r="A116" s="18" t="n">
        <v>114</v>
      </c>
      <c r="B116" s="18" t="inlineStr">
        <is>
          <t>Enalapril tablet</t>
        </is>
      </c>
      <c r="C116" s="18" t="n"/>
      <c r="D116" s="18" t="inlineStr">
        <is>
          <t>Wet Granulation tableting method</t>
        </is>
      </c>
      <c r="E116" s="18" t="inlineStr">
        <is>
          <t>Dry Granulation (Roller Compaction)</t>
        </is>
      </c>
      <c r="F116" s="18" t="inlineStr">
        <is>
          <t>Fluidized Bed Granulation</t>
        </is>
      </c>
      <c r="G116" s="18" t="inlineStr">
        <is>
          <t>Film Coating with Hydroxypropyl methylcellulose (HPMC)</t>
        </is>
      </c>
      <c r="H116" s="18" t="inlineStr">
        <is>
          <t>Enteric Coating with Cellulose acetate phthalate (CAP)</t>
        </is>
      </c>
      <c r="I116" s="18" t="n">
        <v>1</v>
      </c>
      <c r="J116"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8" t="n"/>
      <c r="L116" s="18" t="inlineStr">
        <is>
          <t>Tablet Manufacturing</t>
        </is>
      </c>
      <c r="M116" s="18" t="inlineStr">
        <is>
          <t>Product</t>
        </is>
      </c>
      <c r="N116" s="18" t="inlineStr">
        <is>
          <t>ข้อ 2 (PLE_CC1_2558_Key.md)</t>
        </is>
      </c>
      <c r="O116" s="18" t="inlineStr">
        <is>
          <t>ข้อสอบจริง</t>
        </is>
      </c>
      <c r="P116" s="18" t="inlineStr">
        <is>
          <t>ปี 2558</t>
        </is>
      </c>
    </row>
    <row r="117">
      <c r="A117" s="18" t="n">
        <v>115</v>
      </c>
      <c r="B117" s="18" t="inlineStr">
        <is>
          <t>ทำไมถึงต้องควบคุมคุณภาพ enalaprilat ใน enalapril tablet</t>
        </is>
      </c>
      <c r="C117" s="18" t="n"/>
      <c r="D117" s="18" t="inlineStr">
        <is>
          <t>เป็นสารออกฤทธิ์ร่วมของ enalapril</t>
        </is>
      </c>
      <c r="E117" s="18" t="inlineStr">
        <is>
          <t>เป็น related substance ของ enalapril</t>
        </is>
      </c>
      <c r="F117" s="18" t="inlineStr">
        <is>
          <t>เป็น prodrug ของ enalapril</t>
        </is>
      </c>
      <c r="G117" s="18" t="inlineStr">
        <is>
          <t>ยับยั้งการทำลาย enalapril</t>
        </is>
      </c>
      <c r="H117" s="18" t="inlineStr">
        <is>
          <t>เป็น inactive metabolite</t>
        </is>
      </c>
      <c r="I117" s="18" t="n">
        <v>1</v>
      </c>
      <c r="J117" s="18"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8" t="n"/>
      <c r="L117" s="18" t="inlineStr">
        <is>
          <t>Tablet Manufacturing</t>
        </is>
      </c>
      <c r="M117" s="18" t="inlineStr">
        <is>
          <t>Product</t>
        </is>
      </c>
      <c r="N117" s="18" t="inlineStr">
        <is>
          <t>ข้อ 58 (PLE_CC1_2558_Key.md)</t>
        </is>
      </c>
      <c r="O117" s="18" t="inlineStr">
        <is>
          <t>ข้อสอบจริง</t>
        </is>
      </c>
      <c r="P117" s="18" t="inlineStr">
        <is>
          <t>ปี 2558</t>
        </is>
      </c>
    </row>
    <row r="118">
      <c r="A118" s="18" t="n">
        <v>116</v>
      </c>
      <c r="B118" s="18"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18" s="18" t="n"/>
      <c r="D118" s="18" t="inlineStr">
        <is>
          <t>ประวัติตั้งครรภ์</t>
        </is>
      </c>
      <c r="E118" s="18" t="inlineStr">
        <is>
          <t>ประวัติครอบครัวเป็นโรคมะเร็งลำไส้</t>
        </is>
      </c>
      <c r="F118" s="18" t="inlineStr">
        <is>
          <t>รับประทาน FBC</t>
        </is>
      </c>
      <c r="G118" s="18" t="inlineStr">
        <is>
          <t>รับประทาน Calcium Tablet</t>
        </is>
      </c>
      <c r="H118" s="18" t="inlineStr">
        <is>
          <t>ไม่มีข้อใดถูก</t>
        </is>
      </c>
      <c r="I118" s="18" t="n">
        <v>1</v>
      </c>
      <c r="J118" s="18"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ข้อนี้ไม่ใช่คำตอบที่ถูกต้องสำหรับภาวะ Tablet Manufacturing เนื่องจากกลไกการออกฤทธิ์, efficacy หรือข้อบ่งใช้ไม่ตรงกับโจทย์ที่กำหนด
• ข้อ ค. (รับประทาน FBC): ข้อนี้ไม่ใช่คำตอบที่ถูกต้องสำหรับภาวะ Tablet Manufacturing เนื่องจากกลไกการออกฤทธิ์, efficacy หรือข้อบ่งใช้ไม่ตรงกับโจทย์ที่กำหนด
• ข้อ ง. (รับประทาน Calcium Tablet):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8" t="n"/>
      <c r="L118" s="18" t="inlineStr">
        <is>
          <t>Tablet Manufacturing</t>
        </is>
      </c>
      <c r="M118" s="18" t="inlineStr">
        <is>
          <t>Product</t>
        </is>
      </c>
      <c r="N118" s="18" t="inlineStr">
        <is>
          <t>ข้อ 23 (Pharmtutor_2024_Set1.md)</t>
        </is>
      </c>
      <c r="O118" s="18" t="inlineStr">
        <is>
          <t>Mock</t>
        </is>
      </c>
      <c r="P118" s="18" t="inlineStr">
        <is>
          <t>Mock Pharmtutor 2024</t>
        </is>
      </c>
    </row>
    <row r="119">
      <c r="A119" s="18" t="n">
        <v>117</v>
      </c>
      <c r="B119" s="18" t="inlineStr">
        <is>
          <t>เมื่อนำไปทดสอบ disintegration test พบว่าไม่ผ่าน ควรเติมสารในตำรับเพิ่ม</t>
        </is>
      </c>
      <c r="C119" s="18" t="n"/>
      <c r="D119" s="18" t="inlineStr">
        <is>
          <t>Calcium hydrogen phosphate (anhydrous)</t>
        </is>
      </c>
      <c r="E119" s="18" t="inlineStr">
        <is>
          <t>Microcrystalline cellulose</t>
        </is>
      </c>
      <c r="F119" s="18" t="inlineStr">
        <is>
          <t>Croscarmellose sodium</t>
        </is>
      </c>
      <c r="G119" s="18" t="inlineStr">
        <is>
          <t>Hypromellose</t>
        </is>
      </c>
      <c r="H119" s="18" t="inlineStr">
        <is>
          <t>Magnesium stearate</t>
        </is>
      </c>
      <c r="I119" s="18" t="n">
        <v>1</v>
      </c>
      <c r="J119" s="18"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8" t="n"/>
      <c r="L119" s="18" t="inlineStr">
        <is>
          <t>Tablet Manufacturing</t>
        </is>
      </c>
      <c r="M119" s="18" t="inlineStr">
        <is>
          <t>Product</t>
        </is>
      </c>
      <c r="N119" s="18" t="inlineStr">
        <is>
          <t>ข้อ 104 (Pharmtutor_2024_Set1.md)</t>
        </is>
      </c>
      <c r="O119" s="18" t="inlineStr">
        <is>
          <t>Mock</t>
        </is>
      </c>
      <c r="P119" s="18" t="inlineStr">
        <is>
          <t>Mock Pharmtutor 2024</t>
        </is>
      </c>
    </row>
    <row r="120">
      <c r="A120" s="18" t="n">
        <v>118</v>
      </c>
      <c r="B120" s="18"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20" s="18" t="n"/>
      <c r="D120" s="18" t="inlineStr">
        <is>
          <t>มาตรา 72</t>
        </is>
      </c>
      <c r="E120" s="18" t="inlineStr">
        <is>
          <t>มาตรา 72 ทวิ</t>
        </is>
      </c>
      <c r="F120" s="18" t="inlineStr">
        <is>
          <t>มาตรา 73</t>
        </is>
      </c>
      <c r="G120" s="18" t="inlineStr">
        <is>
          <t>มาตรา 74</t>
        </is>
      </c>
      <c r="H120" s="18" t="inlineStr">
        <is>
          <t>มาตรา 75 ทวิ</t>
        </is>
      </c>
      <c r="I120" s="18" t="n">
        <v>1</v>
      </c>
      <c r="J120" s="18"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ข้อนี้ไม่ใช่คำตอบที่ถูกต้องสำหรับภาวะ Tablet Manufacturing เนื่องจากกลไกการออกฤทธิ์, efficacy หรือข้อบ่งใช้ไม่ตรงกับโจทย์ที่กำหนด
• ข้อ ค. (มาตรา 73): ข้อนี้ไม่ใช่คำตอบที่ถูกต้องสำหรับภาวะ Tablet Manufacturing เนื่องจากกลไกการออกฤทธิ์, efficacy หรือข้อบ่งใช้ไม่ตรงกับโจทย์ที่กำหนด
• ข้อ ง. (มาตรา 74): ข้อนี้ไม่ใช่คำตอบที่ถูกต้องสำหรับภาวะ Tablet Manufacturing เนื่องจากกลไกการออกฤทธิ์, efficacy หรือข้อบ่งใช้ไม่ตรงกับโจทย์ที่กำหนด
• ข้อ จ. (มาตรา 75 ทวิ):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8" t="n"/>
      <c r="L120" s="18" t="inlineStr">
        <is>
          <t>Tablet Manufacturing</t>
        </is>
      </c>
      <c r="M120" s="18" t="inlineStr">
        <is>
          <t>Product</t>
        </is>
      </c>
      <c r="N120" s="18" t="inlineStr">
        <is>
          <t>ข้อ 112 (Pharmtutor_2024_Set1.md)</t>
        </is>
      </c>
      <c r="O120" s="18" t="inlineStr">
        <is>
          <t>Mock</t>
        </is>
      </c>
      <c r="P120" s="18" t="inlineStr">
        <is>
          <t>Mock Pharmtutor 2024</t>
        </is>
      </c>
    </row>
    <row r="121">
      <c r="A121" s="18" t="n">
        <v>119</v>
      </c>
      <c r="B121" s="18" t="inlineStr">
        <is>
          <t>ระหว่างกระบวนการผลิตพบว่าน้ำหนักยาเม็ดไม่สม่ำเสมอ ควรปรับปรุงโดยการเพิ่มสารใดในตำรับ</t>
        </is>
      </c>
      <c r="C121" s="18" t="n"/>
      <c r="D121" s="18" t="inlineStr">
        <is>
          <t>Copovidone</t>
        </is>
      </c>
      <c r="E121" s="18" t="inlineStr">
        <is>
          <t>Sorbitan laurate</t>
        </is>
      </c>
      <c r="F121" s="18" t="inlineStr">
        <is>
          <t>Colloidal anhydrous sillca</t>
        </is>
      </c>
      <c r="G121" s="18" t="inlineStr">
        <is>
          <t>Sodium stearyl fumarate</t>
        </is>
      </c>
      <c r="H121" s="18" t="inlineStr">
        <is>
          <t>ไม่มีข้อถูก</t>
        </is>
      </c>
      <c r="I121" s="18" t="n">
        <v>1</v>
      </c>
      <c r="J121" s="18"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ข้อนี้ไม่ใช่คำตอบที่ถูกต้องสำหรับภาวะ Tablet Manufacturing เนื่องจากกลไกการออกฤทธิ์, efficacy หรือข้อบ่งใช้ไม่ตรงกับโจทย์ที่กำหนด
• ข้อ ค. (Colloidal anhydrous sillca): ข้อนี้ไม่ใช่คำตอบที่ถูกต้องสำหรับภาวะ Tablet Manufacturing เนื่องจากกลไกการออกฤทธิ์, efficacy หรือข้อบ่งใช้ไม่ตรงกับโจทย์ที่กำหนด
• ข้อ ง. (Sodium stearyl fumarate):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8" t="n"/>
      <c r="L121" s="18" t="inlineStr">
        <is>
          <t>Tablet Manufacturing</t>
        </is>
      </c>
      <c r="M121" s="18" t="inlineStr">
        <is>
          <t>Product</t>
        </is>
      </c>
      <c r="N121" s="18" t="inlineStr">
        <is>
          <t>ข้อ 99 (Pharmtutor_2024_Set2.md)</t>
        </is>
      </c>
      <c r="O121" s="18" t="inlineStr">
        <is>
          <t>Mock</t>
        </is>
      </c>
      <c r="P121" s="18" t="inlineStr">
        <is>
          <t>Mock Pharmtutor 2024</t>
        </is>
      </c>
    </row>
    <row r="122">
      <c r="A122" s="18" t="n">
        <v>120</v>
      </c>
      <c r="B122" s="18"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22" s="18" t="n"/>
      <c r="D122" s="18" t="inlineStr">
        <is>
          <t>Microcrystalline cellulose</t>
        </is>
      </c>
      <c r="E122" s="18" t="inlineStr">
        <is>
          <t>Magnesium stearate (Lubricant 1%)</t>
        </is>
      </c>
      <c r="F122" s="18" t="inlineStr">
        <is>
          <t>Sodium starch glycolate (Superdisintegrant)</t>
        </is>
      </c>
      <c r="G122" s="18" t="inlineStr">
        <is>
          <t>Direct Compression tableting method</t>
        </is>
      </c>
      <c r="H122" s="18" t="inlineStr">
        <is>
          <t>Wet Granulation tableting method</t>
        </is>
      </c>
      <c r="I122" s="18" t="n">
        <v>1</v>
      </c>
      <c r="J122" s="18"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8" t="n"/>
      <c r="L122" s="18" t="inlineStr">
        <is>
          <t>Tablet Manufacturing</t>
        </is>
      </c>
      <c r="M122" s="18" t="inlineStr">
        <is>
          <t>Product</t>
        </is>
      </c>
      <c r="N122" s="18" t="inlineStr">
        <is>
          <t>ข้อ 38 (PLE_CC1_2557.md)</t>
        </is>
      </c>
      <c r="O122" s="18" t="inlineStr">
        <is>
          <t>ข้อสอบจริง</t>
        </is>
      </c>
      <c r="P122" s="18" t="inlineStr">
        <is>
          <t>ปี 2557</t>
        </is>
      </c>
    </row>
    <row r="123">
      <c r="A123" s="18" t="n">
        <v>121</v>
      </c>
      <c r="B123" s="18"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23" s="18" t="n"/>
      <c r="D123" s="18" t="inlineStr">
        <is>
          <t>Direct Compression tableting method</t>
        </is>
      </c>
      <c r="E123" s="18" t="inlineStr">
        <is>
          <t>Wet Granulation tableting method</t>
        </is>
      </c>
      <c r="F123" s="18" t="inlineStr">
        <is>
          <t>Dry Granulation (Roller Compaction)</t>
        </is>
      </c>
      <c r="G123" s="18" t="inlineStr">
        <is>
          <t>Fluidized Bed Granulation</t>
        </is>
      </c>
      <c r="H123" s="18" t="inlineStr">
        <is>
          <t>Film Coating with Hydroxypropyl methylcellulose (HPMC)</t>
        </is>
      </c>
      <c r="I123" s="18" t="n">
        <v>1</v>
      </c>
      <c r="J123" s="1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8" t="n"/>
      <c r="L123" s="18" t="inlineStr">
        <is>
          <t>Tablet Manufacturing</t>
        </is>
      </c>
      <c r="M123" s="18" t="inlineStr">
        <is>
          <t>Product</t>
        </is>
      </c>
      <c r="N123" s="18" t="inlineStr">
        <is>
          <t>ข้อ 22 (PLE_CC1_2557.md)</t>
        </is>
      </c>
      <c r="O123" s="18" t="inlineStr">
        <is>
          <t>ข้อสอบจริง</t>
        </is>
      </c>
      <c r="P123" s="18" t="inlineStr">
        <is>
          <t>ปี 2557</t>
        </is>
      </c>
    </row>
    <row r="124">
      <c r="A124" s="18" t="n">
        <v>122</v>
      </c>
      <c r="B124" s="18"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24" s="18" t="n"/>
      <c r="D124" s="18" t="inlineStr">
        <is>
          <t>Fluidized Bed Granulation</t>
        </is>
      </c>
      <c r="E124" s="18" t="inlineStr">
        <is>
          <t>Film Coating with Hydroxypropyl methylcellulose (HPMC)</t>
        </is>
      </c>
      <c r="F124" s="18" t="inlineStr">
        <is>
          <t>Enteric Coating with Cellulose acetate phthalate (CAP)</t>
        </is>
      </c>
      <c r="G124" s="18" t="inlineStr">
        <is>
          <t>Hard Gelatin Capsule filling</t>
        </is>
      </c>
      <c r="H124" s="18" t="inlineStr">
        <is>
          <t>Soft Gelatin Capsule encapsulation</t>
        </is>
      </c>
      <c r="I124" s="18" t="n">
        <v>1</v>
      </c>
      <c r="J124" s="1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8" t="n"/>
      <c r="L124" s="18" t="inlineStr">
        <is>
          <t>Tablet Manufacturing</t>
        </is>
      </c>
      <c r="M124" s="18" t="inlineStr">
        <is>
          <t>Product</t>
        </is>
      </c>
      <c r="N124" s="18" t="inlineStr">
        <is>
          <t>ข้อ 39 (PLE_CC1_2557.md)</t>
        </is>
      </c>
      <c r="O124" s="18" t="inlineStr">
        <is>
          <t>ข้อสอบจริง</t>
        </is>
      </c>
      <c r="P124" s="18" t="inlineStr">
        <is>
          <t>ปี 2557</t>
        </is>
      </c>
    </row>
    <row r="125">
      <c r="A125" s="18" t="n">
        <v>123</v>
      </c>
      <c r="B125" s="18" t="inlineStr">
        <is>
          <t>ผลิตภัณฑ์แคลเซียมรูปแบบใด ออกฤทธิAเร็วที_x001e_สุด (1) Plain-compressed tablets (2) Chewable tablets (3) Effervescent tablets (4) Enteric-coated tablets (5) Film-coated tablets</t>
        </is>
      </c>
      <c r="C125" s="18" t="n"/>
      <c r="D125" s="18" t="inlineStr">
        <is>
          <t>Hard Gelatin Capsule filling</t>
        </is>
      </c>
      <c r="E125" s="18" t="inlineStr">
        <is>
          <t>Soft Gelatin Capsule encapsulation</t>
        </is>
      </c>
      <c r="F125" s="18" t="inlineStr">
        <is>
          <t>Microcrystalline cellulose</t>
        </is>
      </c>
      <c r="G125" s="18" t="inlineStr">
        <is>
          <t>Magnesium stearate (Lubricant 1%)</t>
        </is>
      </c>
      <c r="H125" s="18" t="inlineStr">
        <is>
          <t>Sodium starch glycolate (Superdisintegrant)</t>
        </is>
      </c>
      <c r="I125" s="18" t="n">
        <v>1</v>
      </c>
      <c r="J125" s="1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8" t="n"/>
      <c r="L125" s="18" t="inlineStr">
        <is>
          <t>Tablet Coating</t>
        </is>
      </c>
      <c r="M125" s="18" t="inlineStr">
        <is>
          <t>Product</t>
        </is>
      </c>
      <c r="N125" s="18" t="inlineStr">
        <is>
          <t>ข้อ 51 (PLE_CC1_2557.md)</t>
        </is>
      </c>
      <c r="O125" s="18" t="inlineStr">
        <is>
          <t>ข้อสอบจริง</t>
        </is>
      </c>
      <c r="P125" s="18" t="inlineStr">
        <is>
          <t>ปี 2557</t>
        </is>
      </c>
    </row>
    <row r="126">
      <c r="A126" s="18" t="n">
        <v>124</v>
      </c>
      <c r="B126" s="18"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26" s="18" t="n"/>
      <c r="D126" s="18" t="inlineStr">
        <is>
          <t>Magnesium stearate (Lubricant 1%)</t>
        </is>
      </c>
      <c r="E126" s="18" t="inlineStr">
        <is>
          <t>Sodium starch glycolate (Superdisintegrant)</t>
        </is>
      </c>
      <c r="F126" s="18" t="inlineStr">
        <is>
          <t>Direct Compression tableting method</t>
        </is>
      </c>
      <c r="G126" s="18" t="inlineStr">
        <is>
          <t>Wet Granulation tableting method</t>
        </is>
      </c>
      <c r="H126" s="18" t="inlineStr">
        <is>
          <t>Dry Granulation (Roller Compaction)</t>
        </is>
      </c>
      <c r="I126" s="18" t="n">
        <v>1</v>
      </c>
      <c r="J126" s="18"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8" t="n"/>
      <c r="L126" s="18" t="inlineStr">
        <is>
          <t>Hard &amp; Soft Gelatin Capsules</t>
        </is>
      </c>
      <c r="M126" s="18" t="inlineStr">
        <is>
          <t>Product</t>
        </is>
      </c>
      <c r="N126" s="18" t="inlineStr">
        <is>
          <t>ข้อ 73 (PLE_CC1_2557.md)</t>
        </is>
      </c>
      <c r="O126" s="18" t="inlineStr">
        <is>
          <t>ข้อสอบจริง</t>
        </is>
      </c>
      <c r="P126" s="18" t="inlineStr">
        <is>
          <t>ปี 2557</t>
        </is>
      </c>
    </row>
    <row r="127">
      <c r="A127" s="18" t="n">
        <v>125</v>
      </c>
      <c r="B127" s="18"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27" s="18" t="n"/>
      <c r="D127" s="18" t="inlineStr">
        <is>
          <t>เชื้ออะไรของ sinusitis ตอบ S.pneumo</t>
        </is>
      </c>
      <c r="E127" s="18" t="inlineStr">
        <is>
          <t>Dry Granulation (Roller Compaction)</t>
        </is>
      </c>
      <c r="F127" s="18" t="inlineStr">
        <is>
          <t>Fluidized Bed Granulation</t>
        </is>
      </c>
      <c r="G127" s="18" t="inlineStr">
        <is>
          <t>Film Coating with Hydroxypropyl methylcellulose (HPMC)</t>
        </is>
      </c>
      <c r="H127" s="18" t="inlineStr">
        <is>
          <t>Enteric Coating with Cellulose acetate phthalate (CAP)</t>
        </is>
      </c>
      <c r="I127" s="18" t="n">
        <v>1</v>
      </c>
      <c r="J127" s="18"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8" t="n"/>
      <c r="L127" s="18" t="inlineStr">
        <is>
          <t>Tablet Manufacturing</t>
        </is>
      </c>
      <c r="M127" s="18" t="inlineStr">
        <is>
          <t>Product</t>
        </is>
      </c>
      <c r="N127" s="18" t="inlineStr">
        <is>
          <t>ข้อ 5 (PLE_CC1_2556.md)</t>
        </is>
      </c>
      <c r="O127" s="18" t="inlineStr">
        <is>
          <t>ข้อสอบจริง</t>
        </is>
      </c>
      <c r="P127" s="18" t="inlineStr">
        <is>
          <t>ปี 2556</t>
        </is>
      </c>
    </row>
    <row r="128">
      <c r="A128" s="18" t="n">
        <v>126</v>
      </c>
      <c r="B128" s="18" t="inlineStr">
        <is>
          <t>ขั้นตอนการผลิตยาเม็ด Ethambutol ในข้อใดมีผลต่อความสม ่าเสมอของตัวยามากที่สุด</t>
        </is>
      </c>
      <c r="C128" s="18" t="n"/>
      <c r="D128" s="18" t="inlineStr">
        <is>
          <t>Mixing</t>
        </is>
      </c>
      <c r="E128" s="18" t="inlineStr">
        <is>
          <t>Drying</t>
        </is>
      </c>
      <c r="F128" s="18" t="inlineStr">
        <is>
          <t>Slugging</t>
        </is>
      </c>
      <c r="G128" s="18" t="inlineStr">
        <is>
          <t>Coating</t>
        </is>
      </c>
      <c r="H128" s="18" t="inlineStr">
        <is>
          <t>Tableting</t>
        </is>
      </c>
      <c r="I128" s="18" t="n">
        <v>1</v>
      </c>
      <c r="J128" s="18"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ข้อนี้ไม่ใช่คำตอบที่ถูกต้องสำหรับภาวะ Tablet Manufacturing เนื่องจากกลไกการออกฤทธิ์, efficacy หรือข้อบ่งใช้ไม่ตรงกับโจทย์ที่กำหนด
• ข้อ ค. (Slugging): ข้อนี้ไม่ใช่คำตอบที่ถูกต้องสำหรับภาวะ Tablet Manufacturing เนื่องจากกลไกการออกฤทธิ์, efficacy หรือข้อบ่งใช้ไม่ตรงกับโจทย์ที่กำหนด
• ข้อ ง. (Coating): ข้อนี้ไม่ใช่คำตอบที่ถูกต้องสำหรับภาวะ Tablet Manufacturing เนื่องจากกลไกการออกฤทธิ์, efficacy หรือข้อบ่งใช้ไม่ตรงกับโจทย์ที่กำหนด
• ข้อ จ. (Tableting):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8" t="n"/>
      <c r="L128" s="18" t="inlineStr">
        <is>
          <t>Tablet Manufacturing</t>
        </is>
      </c>
      <c r="M128" s="18" t="inlineStr">
        <is>
          <t>Product</t>
        </is>
      </c>
      <c r="N128" s="18" t="inlineStr">
        <is>
          <t>ข้อ 29 (PLE_CC1_2555 Day 1.md)</t>
        </is>
      </c>
      <c r="O128" s="18" t="inlineStr">
        <is>
          <t>ข้อสอบจริง</t>
        </is>
      </c>
      <c r="P128" s="18" t="inlineStr">
        <is>
          <t>ปี 2555</t>
        </is>
      </c>
    </row>
    <row r="129">
      <c r="A129" s="18" t="n">
        <v>127</v>
      </c>
      <c r="B129" s="18" t="inlineStr">
        <is>
          <t>ข้อใดไม่ถูกต้องเกี่ยวกับข้อดีของการผลิตยาเม็ดโดยการตอกตรง</t>
        </is>
      </c>
      <c r="C129" s="18" t="n"/>
      <c r="D129" s="18" t="inlineStr">
        <is>
          <t>ใช้เครื่องมือในการผลิตน้อยชนิด</t>
        </is>
      </c>
      <c r="E129" s="18" t="inlineStr">
        <is>
          <t>กรรมวิธีในการผลิตน้อยขั้นตอน</t>
        </is>
      </c>
      <c r="F129" s="18" t="inlineStr">
        <is>
          <t>ผงยาไหลดี ตอกได้</t>
        </is>
      </c>
      <c r="G129" s="18" t="inlineStr">
        <is>
          <t>.............</t>
        </is>
      </c>
      <c r="H129" s="18"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29" s="18" t="n">
        <v>1</v>
      </c>
      <c r="J129" s="18"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ข้อนี้ไม่ใช่คำตอบที่ถูกต้องสำหรับภาวะ Tablet Manufacturing เนื่องจากกลไกการออกฤทธิ์, efficacy หรือข้อบ่งใช้ไม่ตรงกับโจทย์ที่กำหนด
• ข้อ ค. (ผงยาไหลดี ตอกได้):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8" t="n"/>
      <c r="L129" s="18" t="inlineStr">
        <is>
          <t>Tablet Manufacturing</t>
        </is>
      </c>
      <c r="M129" s="18" t="inlineStr">
        <is>
          <t>Product</t>
        </is>
      </c>
      <c r="N129" s="18" t="inlineStr">
        <is>
          <t>ข้อ 30 (PLE_CC1_2555 Day 1.md)</t>
        </is>
      </c>
      <c r="O129" s="18" t="inlineStr">
        <is>
          <t>ข้อสอบจริง</t>
        </is>
      </c>
      <c r="P129" s="18" t="inlineStr">
        <is>
          <t>ปี 2555</t>
        </is>
      </c>
    </row>
    <row r="130">
      <c r="A130" s="18" t="n">
        <v>128</v>
      </c>
      <c r="B130" s="18"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30" s="18" t="n"/>
      <c r="D130" s="18" t="inlineStr">
        <is>
          <t>ยา A มีการละลายดีกว่ายา B เนื่องจากมี Lactose เพื่อช่วยให้ยาละลายดีขึ้น</t>
        </is>
      </c>
      <c r="E130" s="18" t="inlineStr">
        <is>
          <t>ยา B มีการละลายที่ดีกว่ายา A เนื่องจากมี Sodium lauryl sulfate เพื่อให้ผงยาเปียกได้มากขึ้น</t>
        </is>
      </c>
      <c r="F130" s="18" t="inlineStr">
        <is>
          <t>....................</t>
        </is>
      </c>
      <c r="G130" s="18" t="inlineStr">
        <is>
          <t>..................</t>
        </is>
      </c>
      <c r="H130" s="18" t="inlineStr">
        <is>
          <t>...................</t>
        </is>
      </c>
      <c r="I130" s="18" t="n">
        <v>1</v>
      </c>
      <c r="J130" s="18"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8" t="n"/>
      <c r="L130" s="18" t="inlineStr">
        <is>
          <t>Tablet Manufacturing</t>
        </is>
      </c>
      <c r="M130" s="18" t="inlineStr">
        <is>
          <t>Product</t>
        </is>
      </c>
      <c r="N130" s="18" t="inlineStr">
        <is>
          <t>ข้อ 36 (PLE_CC1_2555 Day 1.md)</t>
        </is>
      </c>
      <c r="O130" s="18" t="inlineStr">
        <is>
          <t>ข้อสอบจริง</t>
        </is>
      </c>
      <c r="P130" s="18" t="inlineStr">
        <is>
          <t>ปี 2555</t>
        </is>
      </c>
    </row>
    <row r="131">
      <c r="A131" s="18" t="n">
        <v>129</v>
      </c>
      <c r="B131" s="18" t="inlineStr">
        <is>
          <t>ข้อใดถูกต้องเกี่ยวกับตำรับยาเม็ด</t>
        </is>
      </c>
      <c r="C131" s="18" t="n"/>
      <c r="D131" s="18" t="inlineStr">
        <is>
          <t>.........</t>
        </is>
      </c>
      <c r="E131" s="18" t="inlineStr">
        <is>
          <t>........</t>
        </is>
      </c>
      <c r="F131" s="18" t="inlineStr">
        <is>
          <t>...........</t>
        </is>
      </c>
      <c r="G131" s="18" t="inlineStr">
        <is>
          <t>.......</t>
        </is>
      </c>
      <c r="H131" s="18" t="inlineStr">
        <is>
          <t>Sodium starch glycolate เป็นสารช่วยแตกตัว มือทั้ง 2 ข้าง</t>
        </is>
      </c>
      <c r="I131" s="18" t="n">
        <v>1</v>
      </c>
      <c r="J131" s="18"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8" t="n"/>
      <c r="L131" s="18" t="inlineStr">
        <is>
          <t>Tablet Manufacturing</t>
        </is>
      </c>
      <c r="M131" s="18" t="inlineStr">
        <is>
          <t>Product</t>
        </is>
      </c>
      <c r="N131" s="18" t="inlineStr">
        <is>
          <t>ข้อ 60 (PLE_CC1_2555 Day 1.md)</t>
        </is>
      </c>
      <c r="O131" s="18" t="inlineStr">
        <is>
          <t>ข้อสอบจริง</t>
        </is>
      </c>
      <c r="P131" s="18" t="inlineStr">
        <is>
          <t>ปี 2555</t>
        </is>
      </c>
    </row>
    <row r="132">
      <c r="A132" s="18" t="n">
        <v>130</v>
      </c>
      <c r="B132" s="18" t="inlineStr">
        <is>
          <t>เปลี่ยนไปใช้ antacid tablet แทน</t>
        </is>
      </c>
      <c r="C132" s="18" t="n"/>
      <c r="D132" s="18" t="inlineStr">
        <is>
          <t>Enteric Coating with Cellulose acetate phthalate (CAP)</t>
        </is>
      </c>
      <c r="E132" s="18" t="inlineStr">
        <is>
          <t>Hard Gelatin Capsule filling</t>
        </is>
      </c>
      <c r="F132" s="18" t="inlineStr">
        <is>
          <t>Soft Gelatin Capsule encapsulation</t>
        </is>
      </c>
      <c r="G132" s="18" t="inlineStr">
        <is>
          <t>Microcrystalline cellulose</t>
        </is>
      </c>
      <c r="H132" s="18" t="inlineStr">
        <is>
          <t>Magnesium stearate (Lubricant 1%)</t>
        </is>
      </c>
      <c r="I132" s="18" t="n">
        <v>1</v>
      </c>
      <c r="J132" s="1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8" t="n"/>
      <c r="L132" s="18" t="inlineStr">
        <is>
          <t>Tablet Manufacturing</t>
        </is>
      </c>
      <c r="M132" s="18" t="inlineStr">
        <is>
          <t>Product</t>
        </is>
      </c>
      <c r="N132" s="18" t="inlineStr">
        <is>
          <t>ข้อ 5 (PLE_CC1_2555 Day 2.md)</t>
        </is>
      </c>
      <c r="O132" s="18" t="inlineStr">
        <is>
          <t>ข้อสอบจริง</t>
        </is>
      </c>
      <c r="P132" s="18" t="inlineStr">
        <is>
          <t>ปี 2555</t>
        </is>
      </c>
    </row>
    <row r="133">
      <c r="A133" s="18" t="n">
        <v>131</v>
      </c>
      <c r="B133" s="18" t="inlineStr">
        <is>
          <t>ยาเม็ดที่มี Estrogen เพียงชนิดเดียว 28 เม็ด</t>
        </is>
      </c>
      <c r="C133" s="18" t="n"/>
      <c r="D133" s="18" t="inlineStr">
        <is>
          <t>Microcrystalline cellulose</t>
        </is>
      </c>
      <c r="E133" s="18" t="inlineStr">
        <is>
          <t>Magnesium stearate (Lubricant 1%)</t>
        </is>
      </c>
      <c r="F133" s="18" t="inlineStr">
        <is>
          <t>Sodium starch glycolate (Superdisintegrant)</t>
        </is>
      </c>
      <c r="G133" s="18" t="inlineStr">
        <is>
          <t>Direct Compression tableting method</t>
        </is>
      </c>
      <c r="H133" s="18" t="inlineStr">
        <is>
          <t>Wet Granulation tableting method</t>
        </is>
      </c>
      <c r="I133" s="18" t="n">
        <v>1</v>
      </c>
      <c r="J133" s="1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8" t="n"/>
      <c r="L133" s="18" t="inlineStr">
        <is>
          <t>Tablet Manufacturing</t>
        </is>
      </c>
      <c r="M133" s="18" t="inlineStr">
        <is>
          <t>Product</t>
        </is>
      </c>
      <c r="N133" s="18" t="inlineStr">
        <is>
          <t>ข้อ 1 (PLE_CC1_2555 Day 2.md)</t>
        </is>
      </c>
      <c r="O133" s="18" t="inlineStr">
        <is>
          <t>ข้อสอบจริง</t>
        </is>
      </c>
      <c r="P133" s="18" t="inlineStr">
        <is>
          <t>ปี 2555</t>
        </is>
      </c>
    </row>
    <row r="134">
      <c r="A134" s="18" t="n">
        <v>132</v>
      </c>
      <c r="B134" s="18" t="inlineStr">
        <is>
          <t>ยาเม็ดที่มี Progesterone เพียงชนิดเดียว 28 เม็ด</t>
        </is>
      </c>
      <c r="C134" s="18" t="n"/>
      <c r="D134" s="18" t="inlineStr">
        <is>
          <t>Direct Compression tableting method</t>
        </is>
      </c>
      <c r="E134" s="18" t="inlineStr">
        <is>
          <t>Wet Granulation tableting method</t>
        </is>
      </c>
      <c r="F134" s="18" t="inlineStr">
        <is>
          <t>Dry Granulation (Roller Compaction)</t>
        </is>
      </c>
      <c r="G134" s="18" t="inlineStr">
        <is>
          <t>Fluidized Bed Granulation</t>
        </is>
      </c>
      <c r="H134" s="18" t="inlineStr">
        <is>
          <t>Film Coating with Hydroxypropyl methylcellulose (HPMC)</t>
        </is>
      </c>
      <c r="I134" s="18" t="n">
        <v>1</v>
      </c>
      <c r="J134" s="1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8" t="n"/>
      <c r="L134" s="18" t="inlineStr">
        <is>
          <t>Tablet Manufacturing</t>
        </is>
      </c>
      <c r="M134" s="18" t="inlineStr">
        <is>
          <t>Product</t>
        </is>
      </c>
      <c r="N134" s="18" t="inlineStr">
        <is>
          <t>ข้อ 2 (PLE_CC1_2555 Day 2.md)</t>
        </is>
      </c>
      <c r="O134" s="18" t="inlineStr">
        <is>
          <t>ข้อสอบจริง</t>
        </is>
      </c>
      <c r="P134" s="18" t="inlineStr">
        <is>
          <t>ปี 2555</t>
        </is>
      </c>
    </row>
    <row r="135">
      <c r="A135" s="18" t="n">
        <v>133</v>
      </c>
      <c r="B135" s="18" t="inlineStr">
        <is>
          <t>ยาเม็ดที่มี Estrogen ชนิดเดียว 14 เม็ด และ Progesterone ชนิดเดียว 14 เม็ด</t>
        </is>
      </c>
      <c r="C135" s="18" t="n"/>
      <c r="D135" s="18" t="inlineStr">
        <is>
          <t>Fluidized Bed Granulation</t>
        </is>
      </c>
      <c r="E135" s="18" t="inlineStr">
        <is>
          <t>Film Coating with Hydroxypropyl methylcellulose (HPMC)</t>
        </is>
      </c>
      <c r="F135" s="18" t="inlineStr">
        <is>
          <t>Enteric Coating with Cellulose acetate phthalate (CAP)</t>
        </is>
      </c>
      <c r="G135" s="18" t="inlineStr">
        <is>
          <t>Hard Gelatin Capsule filling</t>
        </is>
      </c>
      <c r="H135" s="18" t="inlineStr">
        <is>
          <t>Soft Gelatin Capsule encapsulation</t>
        </is>
      </c>
      <c r="I135" s="18" t="n">
        <v>1</v>
      </c>
      <c r="J135" s="1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8" t="n"/>
      <c r="L135" s="18" t="inlineStr">
        <is>
          <t>Tablet Manufacturing</t>
        </is>
      </c>
      <c r="M135" s="18" t="inlineStr">
        <is>
          <t>Product</t>
        </is>
      </c>
      <c r="N135" s="18" t="inlineStr">
        <is>
          <t>ข้อ 3 (PLE_CC1_2555 Day 2.md)</t>
        </is>
      </c>
      <c r="O135" s="18" t="inlineStr">
        <is>
          <t>ข้อสอบจริง</t>
        </is>
      </c>
      <c r="P135" s="18" t="inlineStr">
        <is>
          <t>ปี 2555</t>
        </is>
      </c>
    </row>
    <row r="136">
      <c r="A136" s="18" t="n">
        <v>134</v>
      </c>
      <c r="B136" s="18" t="inlineStr">
        <is>
          <t>ยาเม็ดที่มีทั้ง Estrogen และ Progesterone ทุกเม็ด 28 เม็ด</t>
        </is>
      </c>
      <c r="C136" s="18" t="n"/>
      <c r="D136" s="18" t="inlineStr">
        <is>
          <t>Hard Gelatin Capsule filling</t>
        </is>
      </c>
      <c r="E136" s="18" t="inlineStr">
        <is>
          <t>Soft Gelatin Capsule encapsulation</t>
        </is>
      </c>
      <c r="F136" s="18" t="inlineStr">
        <is>
          <t>Microcrystalline cellulose</t>
        </is>
      </c>
      <c r="G136" s="18" t="inlineStr">
        <is>
          <t>Magnesium stearate (Lubricant 1%)</t>
        </is>
      </c>
      <c r="H136" s="18" t="inlineStr">
        <is>
          <t>Sodium starch glycolate (Superdisintegrant)</t>
        </is>
      </c>
      <c r="I136" s="18" t="n">
        <v>1</v>
      </c>
      <c r="J136" s="1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8" t="n"/>
      <c r="L136" s="18" t="inlineStr">
        <is>
          <t>Tablet Manufacturing</t>
        </is>
      </c>
      <c r="M136" s="18" t="inlineStr">
        <is>
          <t>Product</t>
        </is>
      </c>
      <c r="N136" s="18" t="inlineStr">
        <is>
          <t>ข้อ 4 (PLE_CC1_2555 Day 2.md)</t>
        </is>
      </c>
      <c r="O136" s="18" t="inlineStr">
        <is>
          <t>ข้อสอบจริง</t>
        </is>
      </c>
      <c r="P136" s="18" t="inlineStr">
        <is>
          <t>ปี 2555</t>
        </is>
      </c>
    </row>
    <row r="137">
      <c r="A137" s="18" t="n">
        <v>135</v>
      </c>
      <c r="B137" s="18" t="inlineStr">
        <is>
          <t>ในการทดสอบสูตรตำรับยาเม็ด ข้อใดที่ไม่ได้ระบุไว้ใน USP</t>
        </is>
      </c>
      <c r="C137" s="18" t="n"/>
      <c r="D137" s="18" t="inlineStr">
        <is>
          <t>Magnesium stearate (Lubricant 1%)</t>
        </is>
      </c>
      <c r="E137" s="18" t="inlineStr">
        <is>
          <t>Sodium starch glycolate (Superdisintegrant)</t>
        </is>
      </c>
      <c r="F137" s="18" t="inlineStr">
        <is>
          <t>Direct Compression tableting method</t>
        </is>
      </c>
      <c r="G137" s="18" t="inlineStr">
        <is>
          <t>Wet Granulation tableting method</t>
        </is>
      </c>
      <c r="H137" s="18" t="inlineStr">
        <is>
          <t>Dry Granulation (Roller Compaction)</t>
        </is>
      </c>
      <c r="I137" s="18" t="n">
        <v>1</v>
      </c>
      <c r="J137" s="1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8" t="n"/>
      <c r="L137" s="18" t="inlineStr">
        <is>
          <t>Tablet Manufacturing</t>
        </is>
      </c>
      <c r="M137" s="18" t="inlineStr">
        <is>
          <t>Product</t>
        </is>
      </c>
      <c r="N137" s="18" t="inlineStr">
        <is>
          <t>ข้อ 5 (PLE_CC1_2555 Day 2.md)</t>
        </is>
      </c>
      <c r="O137" s="18" t="inlineStr">
        <is>
          <t>ข้อสอบจริง</t>
        </is>
      </c>
      <c r="P137" s="18" t="inlineStr">
        <is>
          <t>ปี 2555</t>
        </is>
      </c>
    </row>
    <row r="138">
      <c r="A138" s="18" t="n">
        <v>136</v>
      </c>
      <c r="B138" s="18" t="inlineStr">
        <is>
          <t>ให้สูตรตำรับมา 2 ตำรับ ข้อใดถูก สูตร A สูตร B Allopurinol … … … Sodium starch glycolate Magnesium stearate 15% Allopurinol … … … Microcrystalline cellulose Sodium lauryl sulfate Magnesium stearate 5%</t>
        </is>
      </c>
      <c r="C138" s="18" t="n"/>
      <c r="D138" s="18" t="inlineStr">
        <is>
          <t>Wet Granulation tableting method</t>
        </is>
      </c>
      <c r="E138" s="18" t="inlineStr">
        <is>
          <t>Dry Granulation (Roller Compaction)</t>
        </is>
      </c>
      <c r="F138" s="18" t="inlineStr">
        <is>
          <t>Fluidized Bed Granulation</t>
        </is>
      </c>
      <c r="G138" s="18" t="inlineStr">
        <is>
          <t>Film Coating with Hydroxypropyl methylcellulose (HPMC)</t>
        </is>
      </c>
      <c r="H138" s="18" t="inlineStr">
        <is>
          <t>Enteric Coating with Cellulose acetate phthalate (CAP)</t>
        </is>
      </c>
      <c r="I138" s="18" t="n">
        <v>1</v>
      </c>
      <c r="J138"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8" t="n"/>
      <c r="L138" s="18" t="inlineStr">
        <is>
          <t>Tablet Manufacturing</t>
        </is>
      </c>
      <c r="M138" s="18" t="inlineStr">
        <is>
          <t>Product</t>
        </is>
      </c>
      <c r="N138" s="18" t="inlineStr">
        <is>
          <t>ข้อ 8 (PLE_CC1_2555 Day 2.md)</t>
        </is>
      </c>
      <c r="O138" s="18" t="inlineStr">
        <is>
          <t>ข้อสอบจริง</t>
        </is>
      </c>
      <c r="P138" s="18" t="inlineStr">
        <is>
          <t>ปี 2555</t>
        </is>
      </c>
    </row>
    <row r="139">
      <c r="A139" s="18" t="n">
        <v>137</v>
      </c>
      <c r="B139" s="18" t="inlineStr">
        <is>
          <t>magnesium stearate</t>
        </is>
      </c>
      <c r="C139" s="18" t="n"/>
      <c r="D139" s="18" t="inlineStr">
        <is>
          <t>Film Coating with Hydroxypropyl methylcellulose (HPMC)</t>
        </is>
      </c>
      <c r="E139" s="18" t="inlineStr">
        <is>
          <t>Enteric Coating with Cellulose acetate phthalate (CAP)</t>
        </is>
      </c>
      <c r="F139" s="18" t="inlineStr">
        <is>
          <t>Hard Gelatin Capsule filling</t>
        </is>
      </c>
      <c r="G139" s="18" t="inlineStr">
        <is>
          <t>Soft Gelatin Capsule encapsulation</t>
        </is>
      </c>
      <c r="H139" s="18" t="inlineStr">
        <is>
          <t>Microcrystalline cellulose</t>
        </is>
      </c>
      <c r="I139" s="18" t="n">
        <v>1</v>
      </c>
      <c r="J139" s="1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8" t="n"/>
      <c r="L139" s="18" t="inlineStr">
        <is>
          <t>Tablet Manufacturing</t>
        </is>
      </c>
      <c r="M139" s="18" t="inlineStr">
        <is>
          <t>Product</t>
        </is>
      </c>
      <c r="N139" s="18" t="inlineStr">
        <is>
          <t>ข้อ 4 (PLE_CC1_2555 Day 2.md)</t>
        </is>
      </c>
      <c r="O139" s="18" t="inlineStr">
        <is>
          <t>ข้อสอบจริง</t>
        </is>
      </c>
      <c r="P139" s="18" t="inlineStr">
        <is>
          <t>ปี 2555</t>
        </is>
      </c>
    </row>
    <row r="140">
      <c r="A140" s="18" t="n">
        <v>138</v>
      </c>
      <c r="B140" s="18" t="inlineStr">
        <is>
          <t>Magnesium stearate</t>
        </is>
      </c>
      <c r="C140" s="18" t="n"/>
      <c r="D140" s="18" t="inlineStr">
        <is>
          <t>Soft Gelatin Capsule encapsulation</t>
        </is>
      </c>
      <c r="E140" s="18" t="inlineStr">
        <is>
          <t>Microcrystalline cellulose</t>
        </is>
      </c>
      <c r="F140" s="18" t="inlineStr">
        <is>
          <t>Magnesium stearate (Lubricant 1%)</t>
        </is>
      </c>
      <c r="G140" s="18" t="inlineStr">
        <is>
          <t>Sodium starch glycolate (Superdisintegrant)</t>
        </is>
      </c>
      <c r="H140" s="18" t="inlineStr">
        <is>
          <t>Direct Compression tableting method</t>
        </is>
      </c>
      <c r="I140" s="18" t="n">
        <v>1</v>
      </c>
      <c r="J140" s="18"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8" t="n"/>
      <c r="L140" s="18" t="inlineStr">
        <is>
          <t>Tablet Manufacturing</t>
        </is>
      </c>
      <c r="M140" s="18" t="inlineStr">
        <is>
          <t>Product</t>
        </is>
      </c>
      <c r="N140" s="18" t="inlineStr">
        <is>
          <t>ข้อ 2 (PLE_CC1_2555 Day 2.md)</t>
        </is>
      </c>
      <c r="O140" s="18" t="inlineStr">
        <is>
          <t>ข้อสอบจริง</t>
        </is>
      </c>
      <c r="P140" s="18" t="inlineStr">
        <is>
          <t>ปี 2555</t>
        </is>
      </c>
    </row>
    <row r="141">
      <c r="A141" s="18" t="n">
        <v>139</v>
      </c>
      <c r="B141" s="18" t="inlineStr">
        <is>
          <t>เท่ากับครึ่งหนึ่งของอายุยาเม็ดที่เหลือ</t>
        </is>
      </c>
      <c r="C141" s="18" t="n"/>
      <c r="D141" s="18" t="inlineStr">
        <is>
          <t>การหาประสิทธิผลของยา เทียบกับราคา เรียกว่าเป็นการศึกษาอะไร</t>
        </is>
      </c>
      <c r="E141" s="18" t="inlineStr">
        <is>
          <t>Direct Compression tableting method</t>
        </is>
      </c>
      <c r="F141" s="18" t="inlineStr">
        <is>
          <t>Wet Granulation tableting method</t>
        </is>
      </c>
      <c r="G141" s="18" t="inlineStr">
        <is>
          <t>Dry Granulation (Roller Compaction)</t>
        </is>
      </c>
      <c r="H141" s="18" t="inlineStr">
        <is>
          <t>Fluidized Bed Granulation</t>
        </is>
      </c>
      <c r="I141" s="18" t="n">
        <v>1</v>
      </c>
      <c r="J141" s="18"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8" t="n"/>
      <c r="L141" s="18" t="inlineStr">
        <is>
          <t>Tablet Manufacturing</t>
        </is>
      </c>
      <c r="M141" s="18" t="inlineStr">
        <is>
          <t>Product</t>
        </is>
      </c>
      <c r="N141" s="18" t="inlineStr">
        <is>
          <t>ข้อ 4 (PLE_CC1_2555 Day 2.md)</t>
        </is>
      </c>
      <c r="O141" s="18" t="inlineStr">
        <is>
          <t>ข้อสอบจริง</t>
        </is>
      </c>
      <c r="P141" s="18" t="inlineStr">
        <is>
          <t>ปี 2555</t>
        </is>
      </c>
    </row>
    <row r="142">
      <c r="A142" s="18" t="n">
        <v>140</v>
      </c>
      <c r="B142" s="18"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42" s="18" t="n"/>
      <c r="D142" s="18" t="inlineStr">
        <is>
          <t>Dry Granulation (Roller Compaction)</t>
        </is>
      </c>
      <c r="E142" s="18" t="inlineStr">
        <is>
          <t>Fluidized Bed Granulation</t>
        </is>
      </c>
      <c r="F142" s="18" t="inlineStr">
        <is>
          <t>Film Coating with Hydroxypropyl methylcellulose (HPMC)</t>
        </is>
      </c>
      <c r="G142" s="18" t="inlineStr">
        <is>
          <t>Enteric Coating with Cellulose acetate phthalate (CAP)</t>
        </is>
      </c>
      <c r="H142" s="18" t="inlineStr">
        <is>
          <t>Hard Gelatin Capsule filling</t>
        </is>
      </c>
      <c r="I142" s="18" t="n">
        <v>1</v>
      </c>
      <c r="J142" s="18"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8" t="n"/>
      <c r="L142" s="18" t="inlineStr">
        <is>
          <t>Tablet Manufacturing</t>
        </is>
      </c>
      <c r="M142" s="18" t="inlineStr">
        <is>
          <t>Product</t>
        </is>
      </c>
      <c r="N142" s="18" t="inlineStr">
        <is>
          <t>ข้อ 5 (PLE_CC1_2533.md)</t>
        </is>
      </c>
      <c r="O142" s="18" t="inlineStr">
        <is>
          <t>ข้อสอบจริง</t>
        </is>
      </c>
      <c r="P142" s="18" t="inlineStr">
        <is>
          <t>ปี 2533</t>
        </is>
      </c>
    </row>
    <row r="143">
      <c r="A143" s="18" t="n">
        <v>141</v>
      </c>
      <c r="B143" s="18" t="inlineStr">
        <is>
          <t>ข้อใดคือวัตถุประสงค์หลักในการในการทำ Ferrus sulphate ให้เป็น Enteric coated tablets</t>
        </is>
      </c>
      <c r="C143" s="18" t="n"/>
      <c r="D143" s="18" t="inlineStr">
        <is>
          <t>Enteric Coating with Cellulose acetate phthalate (CAP)</t>
        </is>
      </c>
      <c r="E143" s="18" t="inlineStr">
        <is>
          <t>Hard Gelatin Capsule filling</t>
        </is>
      </c>
      <c r="F143" s="18" t="inlineStr">
        <is>
          <t>Soft Gelatin Capsule encapsulation</t>
        </is>
      </c>
      <c r="G143" s="18" t="inlineStr">
        <is>
          <t>Microcrystalline cellulose</t>
        </is>
      </c>
      <c r="H143" s="18" t="inlineStr">
        <is>
          <t>Magnesium stearate (Lubricant 1%)</t>
        </is>
      </c>
      <c r="I143" s="18" t="n">
        <v>1</v>
      </c>
      <c r="J143" s="1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8" t="n"/>
      <c r="L143" s="18" t="inlineStr">
        <is>
          <t>Tablet Coating</t>
        </is>
      </c>
      <c r="M143" s="18" t="inlineStr">
        <is>
          <t>Product</t>
        </is>
      </c>
      <c r="N143" s="18" t="inlineStr">
        <is>
          <t>ข้อ 5 (PLE_CC1_2533.md)</t>
        </is>
      </c>
      <c r="O143" s="18" t="inlineStr">
        <is>
          <t>ข้อสอบจริง</t>
        </is>
      </c>
      <c r="P143" s="18" t="inlineStr">
        <is>
          <t>ปี 2533</t>
        </is>
      </c>
    </row>
    <row r="144">
      <c r="A144" s="18" t="n">
        <v>142</v>
      </c>
      <c r="B144" s="18" t="inlineStr">
        <is>
          <t>สารเคลือบในตำรับที่ทำให้ Ferrus sulphate ให้เป็น Enteric coated tablets</t>
        </is>
      </c>
      <c r="C144" s="18" t="n"/>
      <c r="D144" s="18" t="inlineStr">
        <is>
          <t>Microcrystalline cellulose</t>
        </is>
      </c>
      <c r="E144" s="18" t="inlineStr">
        <is>
          <t>Magnesium stearate (Lubricant 1%)</t>
        </is>
      </c>
      <c r="F144" s="18" t="inlineStr">
        <is>
          <t>Sodium starch glycolate (Superdisintegrant)</t>
        </is>
      </c>
      <c r="G144" s="18" t="inlineStr">
        <is>
          <t>Direct Compression tableting method</t>
        </is>
      </c>
      <c r="H144" s="18" t="inlineStr">
        <is>
          <t>Wet Granulation tableting method</t>
        </is>
      </c>
      <c r="I144" s="18" t="n">
        <v>1</v>
      </c>
      <c r="J144" s="1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8" t="n"/>
      <c r="L144" s="18" t="inlineStr">
        <is>
          <t>Tablet Coating</t>
        </is>
      </c>
      <c r="M144" s="18" t="inlineStr">
        <is>
          <t>Product</t>
        </is>
      </c>
      <c r="N144" s="18" t="inlineStr">
        <is>
          <t>ข้อ 6 (PLE_CC1_2533.md)</t>
        </is>
      </c>
      <c r="O144" s="18" t="inlineStr">
        <is>
          <t>ข้อสอบจริง</t>
        </is>
      </c>
      <c r="P144" s="18" t="inlineStr">
        <is>
          <t>ปี 2533</t>
        </is>
      </c>
    </row>
    <row r="145">
      <c r="A145" s="18" t="n">
        <v>143</v>
      </c>
      <c r="B145" s="18"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45" s="18" t="n"/>
      <c r="D145" s="18" t="inlineStr">
        <is>
          <t>Direct Compression tableting method</t>
        </is>
      </c>
      <c r="E145" s="18" t="inlineStr">
        <is>
          <t>Wet Granulation tableting method</t>
        </is>
      </c>
      <c r="F145" s="18" t="inlineStr">
        <is>
          <t>Dry Granulation (Roller Compaction)</t>
        </is>
      </c>
      <c r="G145" s="18" t="inlineStr">
        <is>
          <t>Fluidized Bed Granulation</t>
        </is>
      </c>
      <c r="H145" s="18" t="inlineStr">
        <is>
          <t>Film Coating with Hydroxypropyl methylcellulose (HPMC)</t>
        </is>
      </c>
      <c r="I145" s="18" t="n">
        <v>1</v>
      </c>
      <c r="J145" s="1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8" t="n"/>
      <c r="L145" s="18" t="inlineStr">
        <is>
          <t>Tablet Manufacturing</t>
        </is>
      </c>
      <c r="M145" s="18" t="inlineStr">
        <is>
          <t>Product</t>
        </is>
      </c>
      <c r="N145" s="18" t="inlineStr">
        <is>
          <t>ข้อ 5 (PLE_CC1_2533.md)</t>
        </is>
      </c>
      <c r="O145" s="18" t="inlineStr">
        <is>
          <t>ข้อสอบจริง</t>
        </is>
      </c>
      <c r="P145" s="18" t="inlineStr">
        <is>
          <t>ปี 2533</t>
        </is>
      </c>
    </row>
    <row r="146">
      <c r="A146" s="18" t="n">
        <v>144</v>
      </c>
      <c r="B146" s="18" t="inlineStr">
        <is>
          <t>ข้อใดถูกเกี่ยวกับยาเม็ด Furosemide</t>
        </is>
      </c>
      <c r="C146" s="18" t="n"/>
      <c r="D146" s="18" t="inlineStr">
        <is>
          <t>รับประทานเวลาใดก็ได้ แต่ควรเป็นเวลาเดียวกันทุกวัน</t>
        </is>
      </c>
      <c r="E146" s="18" t="inlineStr">
        <is>
          <t>รับประทานไม่เกินเที่ยงวัน</t>
        </is>
      </c>
      <c r="F146" s="18" t="inlineStr">
        <is>
          <t>หากลืมรับประทาน สามารถรับประทานทันทีที่นึกขึ้นได้</t>
        </is>
      </c>
      <c r="G146" s="18" t="inlineStr">
        <is>
          <t>หลีกเลี่ยงการรับประทานร่วมกับนมและยาลดกรด</t>
        </is>
      </c>
      <c r="H146" s="18" t="inlineStr">
        <is>
          <t>หลังรับประทานยาแล้ว ให้ดื่มน้ำตามมากๆ</t>
        </is>
      </c>
      <c r="I146" s="18" t="n">
        <v>1</v>
      </c>
      <c r="J146" s="18"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ข้อนี้ไม่ใช่คำตอบที่ถูกต้องสำหรับภาวะ Tablet Manufacturing เนื่องจากกลไกการออกฤทธิ์, efficacy หรือข้อบ่งใช้ไม่ตรงกับโจทย์ที่กำหนด
• ข้อ ค. (หากลืมรับประทาน สามารถรับประทานทันทีที่นึกขึ้นได้): ข้อนี้ไม่ใช่คำตอบที่ถูกต้องสำหรับภาวะ Tablet Manufacturing เนื่องจากกลไกการออกฤทธิ์, efficacy หรือข้อบ่งใช้ไม่ตรงกับโจทย์ที่กำหนด
• ข้อ ง. (หลีกเลี่ยงการรับประทานร่วมกับนมและยาลดกรด): ข้อนี้ไม่ใช่คำตอบที่ถูกต้องสำหรับภาวะ Tablet Manufacturing เนื่องจากกลไกการออกฤทธิ์, efficacy หรือข้อบ่งใช้ไม่ตรงกับโจทย์ที่กำหนด
• ข้อ จ. (หลังรับประทานยาแล้ว ให้ดื่มน้ำตามมากๆ):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8" t="n"/>
      <c r="L146" s="18" t="inlineStr">
        <is>
          <t>Tablet Manufacturing</t>
        </is>
      </c>
      <c r="M146" s="18" t="inlineStr">
        <is>
          <t>Product</t>
        </is>
      </c>
      <c r="N146" s="18" t="inlineStr">
        <is>
          <t>ข้อ 7 (PLE_CC1_Practice_Exam.md)</t>
        </is>
      </c>
      <c r="O146" s="18" t="inlineStr">
        <is>
          <t>Mock</t>
        </is>
      </c>
      <c r="P146" s="18" t="inlineStr">
        <is>
          <t>Mock สภาเภสัชฯ Practice</t>
        </is>
      </c>
    </row>
    <row r="147">
      <c r="A147" s="18" t="n">
        <v>145</v>
      </c>
      <c r="B147" s="18" t="inlineStr">
        <is>
          <t>หากต้องการให้ยา Rifampicin มีรูปแบบเภสัชภัณฑ์เป็น enteric coated ควรเคลือบฟิล์มด้วยสารใด</t>
        </is>
      </c>
      <c r="C147" s="18" t="n"/>
      <c r="D147" s="18" t="inlineStr">
        <is>
          <t>Hydroxypropyl methylcellulose</t>
        </is>
      </c>
      <c r="E147" s="18" t="inlineStr">
        <is>
          <t>Polyethylene glycol</t>
        </is>
      </c>
      <c r="F147" s="18" t="inlineStr">
        <is>
          <t>Cellulose acetate phthalate</t>
        </is>
      </c>
      <c r="G147" s="18" t="inlineStr">
        <is>
          <t>Ethylcellulose</t>
        </is>
      </c>
      <c r="H147" s="18" t="inlineStr">
        <is>
          <t>Hydroxyethyl cellulose</t>
        </is>
      </c>
      <c r="I147" s="18" t="n">
        <v>1</v>
      </c>
      <c r="J147" s="18"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ข้อนี้ไม่ใช่คำตอบที่ถูกต้องสำหรับภาวะ Tablet Coating เนื่องจากกลไกการออกฤทธิ์, efficacy หรือข้อบ่งใช้ไม่ตรงกับโจทย์ที่กำหนด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ข้อนี้ไม่ใช่คำตอบที่ถูกต้องสำหรับภาวะ Tablet Coating เนื่องจากกลไกการออกฤทธิ์, efficacy หรือข้อบ่งใช้ไม่ตรงกับโจทย์ที่กำหนด
• ข้อ จ. (Hydroxyethyl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8" t="n"/>
      <c r="L147" s="18" t="inlineStr">
        <is>
          <t>Tablet Coating</t>
        </is>
      </c>
      <c r="M147" s="18" t="inlineStr">
        <is>
          <t>Product</t>
        </is>
      </c>
      <c r="N147" s="18" t="inlineStr">
        <is>
          <t>ข้อ 5 (PLE_CC1_Practice_Exam.md)</t>
        </is>
      </c>
      <c r="O147" s="18" t="inlineStr">
        <is>
          <t>Mock</t>
        </is>
      </c>
      <c r="P147" s="18" t="inlineStr">
        <is>
          <t>Mock สภาเภสัชฯ Practice</t>
        </is>
      </c>
    </row>
    <row r="148">
      <c r="A148" s="18" t="n">
        <v>146</v>
      </c>
      <c r="B148" s="18" t="inlineStr">
        <is>
          <t>Glibenglamide tablet (5) 1x2 ac</t>
        </is>
      </c>
      <c r="C148" s="18" t="n"/>
      <c r="D148" s="18" t="inlineStr">
        <is>
          <t>Magnesium stearate (Lubricant 1%)</t>
        </is>
      </c>
      <c r="E148" s="18" t="inlineStr">
        <is>
          <t>Sodium starch glycolate (Superdisintegrant)</t>
        </is>
      </c>
      <c r="F148" s="18" t="inlineStr">
        <is>
          <t>Direct Compression tableting method</t>
        </is>
      </c>
      <c r="G148" s="18" t="inlineStr">
        <is>
          <t>Wet Granulation tableting method</t>
        </is>
      </c>
      <c r="H148" s="18" t="inlineStr">
        <is>
          <t>Dry Granulation (Roller Compaction)</t>
        </is>
      </c>
      <c r="I148" s="18" t="n">
        <v>1</v>
      </c>
      <c r="J148" s="1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8" t="n"/>
      <c r="L148" s="18" t="inlineStr">
        <is>
          <t>Tablet Manufacturing</t>
        </is>
      </c>
      <c r="M148" s="18" t="inlineStr">
        <is>
          <t>Product</t>
        </is>
      </c>
      <c r="N148" s="18" t="inlineStr">
        <is>
          <t>ข้อ 1 (PLE_CC1_Practice_Exam.md)</t>
        </is>
      </c>
      <c r="O148" s="18" t="inlineStr">
        <is>
          <t>Mock</t>
        </is>
      </c>
      <c r="P148" s="18" t="inlineStr">
        <is>
          <t>Mock สภาเภสัชฯ Practice</t>
        </is>
      </c>
    </row>
    <row r="149">
      <c r="A149" s="18" t="n">
        <v>147</v>
      </c>
      <c r="B149" s="18" t="inlineStr">
        <is>
          <t>Metfoemin tablet 1x3 ac</t>
        </is>
      </c>
      <c r="C149" s="18" t="n"/>
      <c r="D149" s="18" t="inlineStr">
        <is>
          <t>Wet Granulation tableting method</t>
        </is>
      </c>
      <c r="E149" s="18" t="inlineStr">
        <is>
          <t>Dry Granulation (Roller Compaction)</t>
        </is>
      </c>
      <c r="F149" s="18" t="inlineStr">
        <is>
          <t>Fluidized Bed Granulation</t>
        </is>
      </c>
      <c r="G149" s="18" t="inlineStr">
        <is>
          <t>Film Coating with Hydroxypropyl methylcellulose (HPMC)</t>
        </is>
      </c>
      <c r="H149" s="18" t="inlineStr">
        <is>
          <t>Enteric Coating with Cellulose acetate phthalate (CAP)</t>
        </is>
      </c>
      <c r="I149" s="18" t="n">
        <v>1</v>
      </c>
      <c r="J149"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8" t="n"/>
      <c r="L149" s="18" t="inlineStr">
        <is>
          <t>Tablet Manufacturing</t>
        </is>
      </c>
      <c r="M149" s="18" t="inlineStr">
        <is>
          <t>Product</t>
        </is>
      </c>
      <c r="N149" s="18" t="inlineStr">
        <is>
          <t>ข้อ 2 (PLE_CC1_Practice_Exam.md)</t>
        </is>
      </c>
      <c r="O149" s="18" t="inlineStr">
        <is>
          <t>Mock</t>
        </is>
      </c>
      <c r="P149" s="18" t="inlineStr">
        <is>
          <t>Mock สภาเภสัชฯ Practice</t>
        </is>
      </c>
    </row>
    <row r="150">
      <c r="A150" s="18" t="n">
        <v>148</v>
      </c>
      <c r="B150" s="18" t="inlineStr">
        <is>
          <t>Isosorbide mononitrate tablet 1x2 ac</t>
        </is>
      </c>
      <c r="C150" s="18" t="n"/>
      <c r="D150" s="18" t="inlineStr">
        <is>
          <t>Film Coating with Hydroxypropyl methylcellulose (HPMC)</t>
        </is>
      </c>
      <c r="E150" s="18" t="inlineStr">
        <is>
          <t>Enteric Coating with Cellulose acetate phthalate (CAP)</t>
        </is>
      </c>
      <c r="F150" s="18" t="inlineStr">
        <is>
          <t>Hard Gelatin Capsule filling</t>
        </is>
      </c>
      <c r="G150" s="18" t="inlineStr">
        <is>
          <t>Soft Gelatin Capsule encapsulation</t>
        </is>
      </c>
      <c r="H150" s="18" t="inlineStr">
        <is>
          <t>Microcrystalline cellulose</t>
        </is>
      </c>
      <c r="I150" s="18" t="n">
        <v>1</v>
      </c>
      <c r="J150" s="1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8" t="n"/>
      <c r="L150" s="18" t="inlineStr">
        <is>
          <t>Tablet Manufacturing</t>
        </is>
      </c>
      <c r="M150" s="18" t="inlineStr">
        <is>
          <t>Product</t>
        </is>
      </c>
      <c r="N150" s="18" t="inlineStr">
        <is>
          <t>ข้อ 3 (PLE_CC1_Practice_Exam.md)</t>
        </is>
      </c>
      <c r="O150" s="18" t="inlineStr">
        <is>
          <t>Mock</t>
        </is>
      </c>
      <c r="P150" s="18" t="inlineStr">
        <is>
          <t>Mock สภาเภสัชฯ Practice</t>
        </is>
      </c>
    </row>
    <row r="151">
      <c r="A151" s="18" t="n">
        <v>149</v>
      </c>
      <c r="B151" s="18" t="inlineStr">
        <is>
          <t>Aspirin tablet 1x1 pc จากข้อมูลดังกล่าว อาการใดต่อไปนี้ของคนไข้ไม่ใช่อาการ DM</t>
        </is>
      </c>
      <c r="C151" s="18" t="n"/>
      <c r="D151" s="18" t="inlineStr">
        <is>
          <t>หิวน้ำบ่อย</t>
        </is>
      </c>
      <c r="E151" s="18" t="inlineStr">
        <is>
          <t>ปัสสาวะบ่อย</t>
        </is>
      </c>
      <c r="F151" s="18" t="inlineStr">
        <is>
          <t>เจ็บหน้าอก</t>
        </is>
      </c>
      <c r="G151" s="18" t="inlineStr">
        <is>
          <t>น้ำหนักลด</t>
        </is>
      </c>
      <c r="H151" s="18" t="inlineStr">
        <is>
          <t>อ่อนเพลีย</t>
        </is>
      </c>
      <c r="I151" s="18" t="n">
        <v>1</v>
      </c>
      <c r="J151" s="18"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ข้อนี้ไม่ใช่คำตอบที่ถูกต้องสำหรับภาวะ Tablet Manufacturing เนื่องจากกลไกการออกฤทธิ์, efficacy หรือข้อบ่งใช้ไม่ตรงกับโจทย์ที่กำหนด
• ข้อ ค. (เจ็บหน้าอก): ข้อนี้ไม่ใช่คำตอบที่ถูกต้องสำหรับภาวะ Tablet Manufacturing เนื่องจากกลไกการออกฤทธิ์, efficacy หรือข้อบ่งใช้ไม่ตรงกับโจทย์ที่กำหนด
• ข้อ ง. (น้ำหนักลด): ข้อนี้ไม่ใช่คำตอบที่ถูกต้องสำหรับภาวะ Tablet Manufacturing เนื่องจากกลไกการออกฤทธิ์, efficacy หรือข้อบ่งใช้ไม่ตรงกับโจทย์ที่กำหนด
• ข้อ จ. (อ่อนเพลีย):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18" t="n"/>
      <c r="L151" s="18" t="inlineStr">
        <is>
          <t>Tablet Manufacturing</t>
        </is>
      </c>
      <c r="M151" s="18" t="inlineStr">
        <is>
          <t>Product</t>
        </is>
      </c>
      <c r="N151" s="18" t="inlineStr">
        <is>
          <t>ข้อ 4 (PLE_CC1_Practice_Exam.md)</t>
        </is>
      </c>
      <c r="O151" s="18" t="inlineStr">
        <is>
          <t>Mock</t>
        </is>
      </c>
      <c r="P151" s="18" t="inlineStr">
        <is>
          <t>Mock สภาเภสัชฯ Practice</t>
        </is>
      </c>
    </row>
    <row r="152">
      <c r="A152" s="18" t="n">
        <v>150</v>
      </c>
      <c r="B152" s="18" t="inlineStr">
        <is>
          <t>Metformin tablet 1ข3 ac</t>
        </is>
      </c>
      <c r="C152" s="18" t="n"/>
      <c r="D152" s="18" t="inlineStr">
        <is>
          <t>Sodium starch glycolate (Superdisintegrant)</t>
        </is>
      </c>
      <c r="E152" s="18" t="inlineStr">
        <is>
          <t>Direct Compression tableting method</t>
        </is>
      </c>
      <c r="F152" s="18" t="inlineStr">
        <is>
          <t>Wet Granulation tableting method</t>
        </is>
      </c>
      <c r="G152" s="18" t="inlineStr">
        <is>
          <t>Dry Granulation (Roller Compaction)</t>
        </is>
      </c>
      <c r="H152" s="18" t="inlineStr">
        <is>
          <t>Fluidized Bed Granulation</t>
        </is>
      </c>
      <c r="I152" s="18" t="n">
        <v>1</v>
      </c>
      <c r="J152" s="1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18" t="n"/>
      <c r="L152" s="18" t="inlineStr">
        <is>
          <t>Tablet Manufacturing</t>
        </is>
      </c>
      <c r="M152" s="18" t="inlineStr">
        <is>
          <t>Product</t>
        </is>
      </c>
      <c r="N152" s="18" t="inlineStr">
        <is>
          <t>ข้อ 1 (PLE_CC1_Practice_Exam.md)</t>
        </is>
      </c>
      <c r="O152" s="18" t="inlineStr">
        <is>
          <t>Mock</t>
        </is>
      </c>
      <c r="P152" s="18" t="inlineStr">
        <is>
          <t>Mock สภาเภสัชฯ Practice</t>
        </is>
      </c>
    </row>
    <row r="153">
      <c r="A153" s="18" t="n">
        <v>151</v>
      </c>
      <c r="B153" s="18"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53" s="18" t="n"/>
      <c r="D153" s="18" t="inlineStr">
        <is>
          <t>Dry Granulation (Roller Compaction)</t>
        </is>
      </c>
      <c r="E153" s="18" t="inlineStr">
        <is>
          <t>Fluidized Bed Granulation</t>
        </is>
      </c>
      <c r="F153" s="18" t="inlineStr">
        <is>
          <t>Film Coating with Hydroxypropyl methylcellulose (HPMC)</t>
        </is>
      </c>
      <c r="G153" s="18" t="inlineStr">
        <is>
          <t>Enteric Coating with Cellulose acetate phthalate (CAP)</t>
        </is>
      </c>
      <c r="H153" s="18" t="inlineStr">
        <is>
          <t>Hard Gelatin Capsule filling</t>
        </is>
      </c>
      <c r="I153" s="18" t="n">
        <v>1</v>
      </c>
      <c r="J153" s="18"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18" t="n"/>
      <c r="L153" s="18" t="inlineStr">
        <is>
          <t>Tablet Manufacturing</t>
        </is>
      </c>
      <c r="M153" s="18" t="inlineStr">
        <is>
          <t>Product</t>
        </is>
      </c>
      <c r="N153" s="18" t="inlineStr">
        <is>
          <t>ข้อ 13 (PLE_CC1_Practice_Exam.md)</t>
        </is>
      </c>
      <c r="O153" s="18" t="inlineStr">
        <is>
          <t>Mock</t>
        </is>
      </c>
      <c r="P153" s="18" t="inlineStr">
        <is>
          <t>Mock สภาเภสัชฯ Practice</t>
        </is>
      </c>
    </row>
    <row r="154">
      <c r="A154" s="18" t="n">
        <v>152</v>
      </c>
      <c r="B154" s="18"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54" s="18" t="n"/>
      <c r="D154" s="18" t="inlineStr">
        <is>
          <t>Enteric Coating with Cellulose acetate phthalate (CAP)</t>
        </is>
      </c>
      <c r="E154" s="18" t="inlineStr">
        <is>
          <t>Hard Gelatin Capsule filling</t>
        </is>
      </c>
      <c r="F154" s="18" t="inlineStr">
        <is>
          <t>Soft Gelatin Capsule encapsulation</t>
        </is>
      </c>
      <c r="G154" s="18" t="inlineStr">
        <is>
          <t>Microcrystalline cellulose</t>
        </is>
      </c>
      <c r="H154" s="18" t="inlineStr">
        <is>
          <t>Magnesium stearate (Lubricant 1%)</t>
        </is>
      </c>
      <c r="I154" s="18" t="n">
        <v>1</v>
      </c>
      <c r="J154" s="18"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18" t="n"/>
      <c r="L154" s="18" t="inlineStr">
        <is>
          <t>Tablet Manufacturing</t>
        </is>
      </c>
      <c r="M154" s="18" t="inlineStr">
        <is>
          <t>Product</t>
        </is>
      </c>
      <c r="N154" s="18" t="inlineStr">
        <is>
          <t>ข้อ 14 (PLE_CC1_Practice_Exam.md)</t>
        </is>
      </c>
      <c r="O154" s="18" t="inlineStr">
        <is>
          <t>Mock</t>
        </is>
      </c>
      <c r="P154" s="18" t="inlineStr">
        <is>
          <t>Mock สภาเภสัชฯ Practice</t>
        </is>
      </c>
    </row>
    <row r="155">
      <c r="A155" s="18" t="n">
        <v>153</v>
      </c>
      <c r="B155" s="18" t="inlineStr">
        <is>
          <t>ถ้าหากพบว่ายาเม็ด Paracetamol มีการแยกตัว ออกเป็นชั้น แก้ปัญหาดังกล่าวอย่างไร</t>
        </is>
      </c>
      <c r="C155" s="18" t="n"/>
      <c r="D155" s="18" t="inlineStr">
        <is>
          <t>ให้ใช้ punch ที่มีความโค้งมาก (deep concave punch )</t>
        </is>
      </c>
      <c r="E155" s="18" t="inlineStr">
        <is>
          <t>ให้ใช้ die ที่มีช่องด้านบนใหญ่กว่าด้านล่าง</t>
        </is>
      </c>
      <c r="F155" s="18" t="inlineStr">
        <is>
          <t>ลดความเร็วในการตอกลง</t>
        </is>
      </c>
      <c r="G155" s="18" t="inlineStr">
        <is>
          <t>เติมสารพวก hygroscopic ลงไปเพื่อไม่ใช้แกรนูลชื้นเกิน</t>
        </is>
      </c>
      <c r="H155" s="18"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55" s="18" t="n">
        <v>1</v>
      </c>
      <c r="J155" s="18"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ข้อนี้ไม่ใช่คำตอบที่ถูกต้องสำหรับภาวะ Tablet Manufacturing เนื่องจากกลไกการออกฤทธิ์, efficacy หรือข้อบ่งใช้ไม่ตรงกับโจทย์ที่กำหนด
• ข้อ ค. (ลดความเร็วในการตอกลง): ข้อนี้ไม่ใช่คำตอบที่ถูกต้องสำหรับภาวะ Tablet Manufacturing เนื่องจากกลไกการออกฤทธิ์, efficacy หรือข้อบ่งใช้ไม่ตรงกับโจทย์ที่กำหนด
• ข้อ ง. (เติมสารพวก hygroscopic ลงไปเพื่อไม่ใช้แกรนูลชื้นเกิน): ข้อนี้ไม่ใช่คำตอบที่ถูกต้องสำหรับภาวะ Tablet Manufacturing เนื่องจากกลไกการออกฤทธิ์, efficacy หรือข้อบ่งใช้ไม่ตรงกับโจทย์ที่กำหนด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18" t="n"/>
      <c r="L155" s="18" t="inlineStr">
        <is>
          <t>Tablet Manufacturing</t>
        </is>
      </c>
      <c r="M155" s="18" t="inlineStr">
        <is>
          <t>Product</t>
        </is>
      </c>
      <c r="N155" s="18" t="inlineStr">
        <is>
          <t>ข้อ 26 (PLE_CC1_Practice_Exam.md)</t>
        </is>
      </c>
      <c r="O155" s="18" t="inlineStr">
        <is>
          <t>Mock</t>
        </is>
      </c>
      <c r="P155" s="18" t="inlineStr">
        <is>
          <t>Mock สภาเภสัชฯ Practice</t>
        </is>
      </c>
    </row>
    <row r="156">
      <c r="A156" s="18" t="n">
        <v>154</v>
      </c>
      <c r="B156" s="18"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56" s="18" t="n"/>
      <c r="D156" s="18" t="inlineStr">
        <is>
          <t>Direct Compression tableting method</t>
        </is>
      </c>
      <c r="E156" s="18" t="inlineStr">
        <is>
          <t>Wet Granulation tableting method</t>
        </is>
      </c>
      <c r="F156" s="18" t="inlineStr">
        <is>
          <t>Dry Granulation (Roller Compaction)</t>
        </is>
      </c>
      <c r="G156" s="18" t="inlineStr">
        <is>
          <t>Fluidized Bed Granulation</t>
        </is>
      </c>
      <c r="H156" s="18" t="inlineStr">
        <is>
          <t>Film Coating with Hydroxypropyl methylcellulose (HPMC)</t>
        </is>
      </c>
      <c r="I156" s="18" t="n">
        <v>3</v>
      </c>
      <c r="J156" s="18"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ข.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18" t="n"/>
      <c r="L156" s="18" t="inlineStr">
        <is>
          <t>Powders &amp; Granules</t>
        </is>
      </c>
      <c r="M156" s="18" t="inlineStr">
        <is>
          <t>Product</t>
        </is>
      </c>
      <c r="N156" s="18" t="inlineStr">
        <is>
          <t>ข้อ 31 (PLE_CC1_Practice_Exam.md)</t>
        </is>
      </c>
      <c r="O156" s="18" t="inlineStr">
        <is>
          <t>Mock</t>
        </is>
      </c>
      <c r="P156" s="18" t="inlineStr">
        <is>
          <t>Mock สภาเภสัชฯ Practice</t>
        </is>
      </c>
    </row>
    <row r="157">
      <c r="A157" s="18" t="n">
        <v>155</v>
      </c>
      <c r="B157" s="18" t="inlineStr">
        <is>
          <t>หากตำรับ orally disintegrating tablet มี disintegration time มากกว่า 2 นาที ควรเติมหรือเพิ่ม ปริมาณสารใดในตำรับ</t>
        </is>
      </c>
      <c r="C157" s="18" t="n"/>
      <c r="D157" s="18" t="inlineStr">
        <is>
          <t>Croscarmellose sodium</t>
        </is>
      </c>
      <c r="E157" s="18" t="inlineStr">
        <is>
          <t>Magnesium stearate</t>
        </is>
      </c>
      <c r="F157" s="18" t="inlineStr">
        <is>
          <t>Mannitol</t>
        </is>
      </c>
      <c r="G157" s="18" t="inlineStr">
        <is>
          <t>Dextose</t>
        </is>
      </c>
      <c r="H157" s="18" t="inlineStr">
        <is>
          <t>Talcum</t>
        </is>
      </c>
      <c r="I157" s="18" t="n">
        <v>1</v>
      </c>
      <c r="J157" s="18"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ข้อนี้ไม่ใช่คำตอบที่ถูกต้องสำหรับภาวะ Tablet Manufacturing เนื่องจากกลไกการออกฤทธิ์, efficacy หรือข้อบ่งใช้ไม่ตรงกับโจทย์ที่กำหนด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18" t="n"/>
      <c r="L157" s="18" t="inlineStr">
        <is>
          <t>Tablet Manufacturing</t>
        </is>
      </c>
      <c r="M157" s="18" t="inlineStr">
        <is>
          <t>Product</t>
        </is>
      </c>
      <c r="N157" s="18" t="inlineStr">
        <is>
          <t>ข้อ 8 (PLE_CC1_Practice_Exam.md)</t>
        </is>
      </c>
      <c r="O157" s="18" t="inlineStr">
        <is>
          <t>Mock</t>
        </is>
      </c>
      <c r="P157" s="18" t="inlineStr">
        <is>
          <t>Mock สภาเภสัชฯ Practice</t>
        </is>
      </c>
    </row>
    <row r="158">
      <c r="A158" s="18" t="n">
        <v>156</v>
      </c>
      <c r="B158" s="18" t="inlineStr">
        <is>
          <t>ในการผลิต effervescent tablets ส่วนประกอบใดเป็นส่วนประกอบสำคัญในตำรับ</t>
        </is>
      </c>
      <c r="C158" s="18" t="n"/>
      <c r="D158" s="18" t="inlineStr">
        <is>
          <t>Croscarmellose + sodium starch glycolate</t>
        </is>
      </c>
      <c r="E158" s="18" t="inlineStr">
        <is>
          <t>Citric acid + sodium bicarbonate</t>
        </is>
      </c>
      <c r="F158" s="18" t="inlineStr">
        <is>
          <t>Poly(methyl methacrylate) + triacetin</t>
        </is>
      </c>
      <c r="G158" s="18" t="inlineStr">
        <is>
          <t>Poly(ethylene glycol) 4000 + polyviynpyrrolidone</t>
        </is>
      </c>
      <c r="H158" s="18"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58" s="18" t="n">
        <v>1</v>
      </c>
      <c r="J158" s="18"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ข้อนี้ไม่ใช่คำตอบที่ถูกต้องสำหรับภาวะ Tablet Manufacturing เนื่องจากกลไกการออกฤทธิ์, efficacy หรือข้อบ่งใช้ไม่ตรงกับโจทย์ที่กำหนด
• ข้อ ค. (Poly(methyl methacrylate) + triacetin): ข้อนี้ไม่ใช่คำตอบที่ถูกต้องสำหรับภาวะ Tablet Manufacturing เนื่องจากกลไกการออกฤทธิ์, efficacy หรือข้อบ่งใช้ไม่ตรงกับโจทย์ที่กำหนด
• ข้อ ง. (Poly(ethylene glycol) 4000 + polyviynpyrrolidone): ข้อนี้ไม่ใช่คำตอบที่ถูกต้องสำหรับภาวะ Tablet Manufacturing เนื่องจากกลไกการออกฤทธิ์, efficacy หรือข้อบ่งใช้ไม่ตรงกับโจทย์ที่กำหนด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18" t="n"/>
      <c r="L158" s="18" t="inlineStr">
        <is>
          <t>Tablet Manufacturing</t>
        </is>
      </c>
      <c r="M158" s="18" t="inlineStr">
        <is>
          <t>Product</t>
        </is>
      </c>
      <c r="N158" s="18" t="inlineStr">
        <is>
          <t>ข้อ 13 (PLE_CC1_Practice_Exam.md)</t>
        </is>
      </c>
      <c r="O158" s="18" t="inlineStr">
        <is>
          <t>Mock</t>
        </is>
      </c>
      <c r="P158" s="18" t="inlineStr">
        <is>
          <t>Mock สภาเภสัชฯ Practice</t>
        </is>
      </c>
    </row>
    <row r="159">
      <c r="A159" s="18" t="n">
        <v>157</v>
      </c>
      <c r="B159" s="18" t="inlineStr">
        <is>
          <t>ในการผลิตยา delayed-release tablets ข้อใดเป็นส่วนประกอบสำคัญในการควบคุมการปลดปล่อยยา</t>
        </is>
      </c>
      <c r="C159" s="18" t="n"/>
      <c r="D159" s="18" t="inlineStr">
        <is>
          <t>Eudragit L</t>
        </is>
      </c>
      <c r="E159" s="18" t="inlineStr">
        <is>
          <t>Ethylcellulose</t>
        </is>
      </c>
      <c r="F159" s="18" t="inlineStr">
        <is>
          <t>Crospovidone</t>
        </is>
      </c>
      <c r="G159" s="18" t="inlineStr">
        <is>
          <t>Hypromellose</t>
        </is>
      </c>
      <c r="H159" s="18" t="inlineStr">
        <is>
          <t>Sodium alginate</t>
        </is>
      </c>
      <c r="I159" s="18" t="n">
        <v>1</v>
      </c>
      <c r="J159" s="18"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(Crospovidone): เป็น Superdisintegrant ชนิด cross-linked PVP แตกตัวเร็วผ่าน capillary action (wicking) และ strain recovery โดยไม่พองตัวเป็นเจล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(Sodium alginate):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18" t="n"/>
      <c r="L159" s="18" t="inlineStr">
        <is>
          <t>Tablet Manufacturing</t>
        </is>
      </c>
      <c r="M159" s="18" t="inlineStr">
        <is>
          <t>Product</t>
        </is>
      </c>
      <c r="N159" s="18" t="inlineStr">
        <is>
          <t>ข้อ 15 (PLE_CC1_Practice_Exam.md)</t>
        </is>
      </c>
      <c r="O159" s="18" t="inlineStr">
        <is>
          <t>Mock</t>
        </is>
      </c>
      <c r="P159" s="18" t="inlineStr">
        <is>
          <t>Mock สภาเภสัชฯ Practice</t>
        </is>
      </c>
    </row>
    <row r="160">
      <c r="A160" s="18" t="n">
        <v>158</v>
      </c>
      <c r="B160" s="18" t="inlineStr">
        <is>
          <t>ข้อใดคือข้อเสียของ sugar-coated tablets เมื่อเก็บไว้เป็นเวลานาน</t>
        </is>
      </c>
      <c r="C160" s="18" t="n"/>
      <c r="D160" s="18" t="inlineStr">
        <is>
          <t>attrition</t>
        </is>
      </c>
      <c r="E160" s="18" t="inlineStr">
        <is>
          <t>Sticking</t>
        </is>
      </c>
      <c r="F160" s="18" t="inlineStr">
        <is>
          <t>Roughness</t>
        </is>
      </c>
      <c r="G160" s="18" t="inlineStr">
        <is>
          <t>Cracking</t>
        </is>
      </c>
      <c r="H160" s="18"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60" s="18" t="n">
        <v>1</v>
      </c>
      <c r="J160" s="18"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ข้อนี้ไม่ใช่คำตอบที่ถูกต้องสำหรับภาวะ Tablet Coating เนื่องจากกลไกการออกฤทธิ์, efficacy หรือข้อบ่งใช้ไม่ตรงกับโจทย์ที่กำหนด
• ข้อ ค. (Roughness): ข้อนี้ไม่ใช่คำตอบที่ถูกต้องสำหรับภาวะ Tablet Coating เนื่องจากกลไกการออกฤทธิ์, efficacy หรือข้อบ่งใช้ไม่ตรงกับโจทย์ที่กำหนด
• ข้อ ง. (Cracking): ข้อนี้ไม่ใช่คำตอบที่ถูกต้องสำหรับภาวะ Tablet Coating เนื่องจากกลไกการออกฤทธิ์, efficacy หรือข้อบ่งใช้ไม่ตรงกับโจทย์ที่กำหนด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18" t="n"/>
      <c r="L160" s="18" t="inlineStr">
        <is>
          <t>Tablet Coating</t>
        </is>
      </c>
      <c r="M160" s="18" t="inlineStr">
        <is>
          <t>Product</t>
        </is>
      </c>
      <c r="N160" s="18" t="inlineStr">
        <is>
          <t>ข้อ 39 (PLE_CC1_Practice_Exam.md)</t>
        </is>
      </c>
      <c r="O160" s="18" t="inlineStr">
        <is>
          <t>Mock</t>
        </is>
      </c>
      <c r="P160" s="18" t="inlineStr">
        <is>
          <t>Mock สภาเภสัชฯ Practice</t>
        </is>
      </c>
    </row>
    <row r="161">
      <c r="A161" s="18" t="n">
        <v>159</v>
      </c>
      <c r="B161" s="18"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61" s="18" t="n"/>
      <c r="D161" s="18" t="inlineStr">
        <is>
          <t>Film Coating with Hydroxypropyl methylcellulose (HPMC)</t>
        </is>
      </c>
      <c r="E161" s="18" t="inlineStr">
        <is>
          <t>Enteric Coating with Cellulose acetate phthalate (CAP)</t>
        </is>
      </c>
      <c r="F161" s="18" t="inlineStr">
        <is>
          <t>Hard Gelatin Capsule filling</t>
        </is>
      </c>
      <c r="G161" s="18" t="inlineStr">
        <is>
          <t>Soft Gelatin Capsule encapsulation</t>
        </is>
      </c>
      <c r="H161" s="18" t="inlineStr">
        <is>
          <t>Microcrystalline cellulose</t>
        </is>
      </c>
      <c r="I161" s="18" t="n">
        <v>1</v>
      </c>
      <c r="J161" s="1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18" t="n"/>
      <c r="L161" s="18" t="inlineStr">
        <is>
          <t>Tablet Manufacturing</t>
        </is>
      </c>
      <c r="M161" s="18" t="inlineStr">
        <is>
          <t>Product</t>
        </is>
      </c>
      <c r="N161" s="18" t="inlineStr">
        <is>
          <t>ข้อ 5 (PLE_CC1_Key_Rx20_UBU.md)</t>
        </is>
      </c>
      <c r="O161" s="18" t="inlineStr">
        <is>
          <t>Mock</t>
        </is>
      </c>
      <c r="P161" s="18" t="inlineStr">
        <is>
          <t>Mock Rx20 UBU</t>
        </is>
      </c>
    </row>
    <row r="162">
      <c r="A162" s="18" t="n">
        <v>160</v>
      </c>
      <c r="B162" s="18" t="inlineStr">
        <is>
          <t>Film coated tablets</t>
        </is>
      </c>
      <c r="C162" s="18" t="n"/>
      <c r="D162" s="18" t="inlineStr">
        <is>
          <t>Soft Gelatin Capsule encapsulation</t>
        </is>
      </c>
      <c r="E162" s="18" t="inlineStr">
        <is>
          <t>Microcrystalline cellulose</t>
        </is>
      </c>
      <c r="F162" s="18" t="inlineStr">
        <is>
          <t>Magnesium stearate (Lubricant 1%)</t>
        </is>
      </c>
      <c r="G162" s="18" t="inlineStr">
        <is>
          <t>Sodium starch glycolate (Superdisintegrant)</t>
        </is>
      </c>
      <c r="H162" s="18" t="inlineStr">
        <is>
          <t>Direct Compression tableting method</t>
        </is>
      </c>
      <c r="I162" s="18" t="n">
        <v>1</v>
      </c>
      <c r="J162" s="18"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18" t="n"/>
      <c r="L162" s="18" t="inlineStr">
        <is>
          <t>Tablet Coating</t>
        </is>
      </c>
      <c r="M162" s="18" t="inlineStr">
        <is>
          <t>Product</t>
        </is>
      </c>
      <c r="N162" s="18" t="inlineStr">
        <is>
          <t>ข้อ 1 (PLE_CC1_Key_Rx20_UBU.md)</t>
        </is>
      </c>
      <c r="O162" s="18" t="inlineStr">
        <is>
          <t>Mock</t>
        </is>
      </c>
      <c r="P162" s="18" t="inlineStr">
        <is>
          <t>Mock Rx20 UBU</t>
        </is>
      </c>
    </row>
    <row r="163">
      <c r="A163" s="18" t="n">
        <v>161</v>
      </c>
      <c r="B163" s="18" t="inlineStr">
        <is>
          <t>Enteric coated tablets</t>
        </is>
      </c>
      <c r="C163" s="18" t="n"/>
      <c r="D163" s="18" t="inlineStr">
        <is>
          <t>Sodium starch glycolate (Superdisintegrant)</t>
        </is>
      </c>
      <c r="E163" s="18" t="inlineStr">
        <is>
          <t>Direct Compression tableting method</t>
        </is>
      </c>
      <c r="F163" s="18" t="inlineStr">
        <is>
          <t>Wet Granulation tableting method</t>
        </is>
      </c>
      <c r="G163" s="18" t="inlineStr">
        <is>
          <t>Dry Granulation (Roller Compaction)</t>
        </is>
      </c>
      <c r="H163" s="18" t="inlineStr">
        <is>
          <t>Fluidized Bed Granulation</t>
        </is>
      </c>
      <c r="I163" s="18" t="n">
        <v>1</v>
      </c>
      <c r="J163" s="1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18" t="n"/>
      <c r="L163" s="18" t="inlineStr">
        <is>
          <t>Tablet Coating</t>
        </is>
      </c>
      <c r="M163" s="18" t="inlineStr">
        <is>
          <t>Product</t>
        </is>
      </c>
      <c r="N163" s="18" t="inlineStr">
        <is>
          <t>ข้อ 2 (PLE_CC1_Key_Rx20_UBU.md)</t>
        </is>
      </c>
      <c r="O163" s="18" t="inlineStr">
        <is>
          <t>Mock</t>
        </is>
      </c>
      <c r="P163" s="18" t="inlineStr">
        <is>
          <t>Mock Rx20 UBU</t>
        </is>
      </c>
    </row>
    <row r="164">
      <c r="A164" s="18" t="n">
        <v>162</v>
      </c>
      <c r="B164" s="18" t="inlineStr">
        <is>
          <t>Sugar coated tablets</t>
        </is>
      </c>
      <c r="C164" s="18" t="n"/>
      <c r="D164" s="18" t="inlineStr">
        <is>
          <t>Dry Granulation (Roller Compaction)</t>
        </is>
      </c>
      <c r="E164" s="18" t="inlineStr">
        <is>
          <t>Fluidized Bed Granulation</t>
        </is>
      </c>
      <c r="F164" s="18" t="inlineStr">
        <is>
          <t>Film Coating with Hydroxypropyl methylcellulose (HPMC)</t>
        </is>
      </c>
      <c r="G164" s="18" t="inlineStr">
        <is>
          <t>Enteric Coating with Cellulose acetate phthalate (CAP)</t>
        </is>
      </c>
      <c r="H164" s="18" t="inlineStr">
        <is>
          <t>Hard Gelatin Capsule filling</t>
        </is>
      </c>
      <c r="I164" s="18" t="n">
        <v>1</v>
      </c>
      <c r="J164" s="18"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18" t="n"/>
      <c r="L164" s="18" t="inlineStr">
        <is>
          <t>Tablet Coating</t>
        </is>
      </c>
      <c r="M164" s="18" t="inlineStr">
        <is>
          <t>Product</t>
        </is>
      </c>
      <c r="N164" s="18" t="inlineStr">
        <is>
          <t>ข้อ 3 (PLE_CC1_Key_Rx20_UBU.md)</t>
        </is>
      </c>
      <c r="O164" s="18" t="inlineStr">
        <is>
          <t>Mock</t>
        </is>
      </c>
      <c r="P164" s="18" t="inlineStr">
        <is>
          <t>Mock Rx20 UBU</t>
        </is>
      </c>
    </row>
    <row r="165">
      <c r="A165" s="18" t="n">
        <v>163</v>
      </c>
      <c r="B165" s="18" t="inlineStr">
        <is>
          <t>Effervescent tablets</t>
        </is>
      </c>
      <c r="C165" s="18" t="n"/>
      <c r="D165" s="18" t="inlineStr">
        <is>
          <t>Enteric Coating with Cellulose acetate phthalate (CAP)</t>
        </is>
      </c>
      <c r="E165" s="18" t="inlineStr">
        <is>
          <t>Hard Gelatin Capsule filling</t>
        </is>
      </c>
      <c r="F165" s="18" t="inlineStr">
        <is>
          <t>Soft Gelatin Capsule encapsulation</t>
        </is>
      </c>
      <c r="G165" s="18" t="inlineStr">
        <is>
          <t>Microcrystalline cellulose</t>
        </is>
      </c>
      <c r="H165" s="18" t="inlineStr">
        <is>
          <t>Magnesium stearate (Lubricant 1%)</t>
        </is>
      </c>
      <c r="I165" s="18" t="n">
        <v>1</v>
      </c>
      <c r="J165" s="1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18" t="n"/>
      <c r="L165" s="18" t="inlineStr">
        <is>
          <t>Tablet Manufacturing</t>
        </is>
      </c>
      <c r="M165" s="18" t="inlineStr">
        <is>
          <t>Product</t>
        </is>
      </c>
      <c r="N165" s="18" t="inlineStr">
        <is>
          <t>ข้อ 4 (PLE_CC1_Key_Rx20_UBU.md)</t>
        </is>
      </c>
      <c r="O165" s="18" t="inlineStr">
        <is>
          <t>Mock</t>
        </is>
      </c>
      <c r="P165" s="18" t="inlineStr">
        <is>
          <t>Mock Rx20 UBU</t>
        </is>
      </c>
    </row>
    <row r="166">
      <c r="A166" s="18" t="n">
        <v>164</v>
      </c>
      <c r="B166" s="18" t="inlineStr">
        <is>
          <t>52.ถ้าต้องการทำยา Glipizide เป็น controlled release tablet จะต้องคำนึงถึงปัจจัยด้านใดบ้าง</t>
        </is>
      </c>
      <c r="C166" s="18" t="n"/>
      <c r="D166" s="18" t="inlineStr">
        <is>
          <t>Microcrystalline cellulose</t>
        </is>
      </c>
      <c r="E166" s="18" t="inlineStr">
        <is>
          <t>Magnesium stearate (Lubricant 1%)</t>
        </is>
      </c>
      <c r="F166" s="18" t="inlineStr">
        <is>
          <t>Sodium starch glycolate (Superdisintegrant)</t>
        </is>
      </c>
      <c r="G166" s="18" t="inlineStr">
        <is>
          <t>Direct Compression tableting method</t>
        </is>
      </c>
      <c r="H166" s="18" t="inlineStr">
        <is>
          <t>Wet Granulation tableting method</t>
        </is>
      </c>
      <c r="I166" s="18" t="n">
        <v>4</v>
      </c>
      <c r="J166" s="18"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18" t="n"/>
      <c r="L166" s="18" t="inlineStr">
        <is>
          <t>Tablet Manufacturing</t>
        </is>
      </c>
      <c r="M166" s="18" t="inlineStr">
        <is>
          <t>Product</t>
        </is>
      </c>
      <c r="N166" s="18" t="inlineStr">
        <is>
          <t>ข้อ 5 (PLE_CC1_Key_Rx20_UBU.md)</t>
        </is>
      </c>
      <c r="O166" s="18" t="inlineStr">
        <is>
          <t>Mock</t>
        </is>
      </c>
      <c r="P166" s="18" t="inlineStr">
        <is>
          <t>Mock Rx20 UBU</t>
        </is>
      </c>
    </row>
    <row r="167">
      <c r="A167" s="18" t="n">
        <v>165</v>
      </c>
      <c r="B167" s="18"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67" s="18" t="n"/>
      <c r="D167" s="18" t="inlineStr">
        <is>
          <t>Direct Compression tableting method</t>
        </is>
      </c>
      <c r="E167" s="18" t="inlineStr">
        <is>
          <t>Wet Granulation tableting method</t>
        </is>
      </c>
      <c r="F167" s="18" t="inlineStr">
        <is>
          <t>Dry Granulation (Roller Compaction)</t>
        </is>
      </c>
      <c r="G167" s="18" t="inlineStr">
        <is>
          <t>Fluidized Bed Granulation</t>
        </is>
      </c>
      <c r="H167" s="18" t="inlineStr">
        <is>
          <t>Film Coating with Hydroxypropyl methylcellulose (HPMC)</t>
        </is>
      </c>
      <c r="I167" s="18" t="n">
        <v>2</v>
      </c>
      <c r="J167" s="18"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18" t="n"/>
      <c r="L167" s="18" t="inlineStr">
        <is>
          <t>Tablet Manufacturing</t>
        </is>
      </c>
      <c r="M167" s="18" t="inlineStr">
        <is>
          <t>Product</t>
        </is>
      </c>
      <c r="N167" s="18" t="inlineStr">
        <is>
          <t>ข้อ 5 (PLE_CC1_Key_Rx20_UBU.md)</t>
        </is>
      </c>
      <c r="O167" s="18" t="inlineStr">
        <is>
          <t>Mock</t>
        </is>
      </c>
      <c r="P167" s="18" t="inlineStr">
        <is>
          <t>Mock Rx20 UBU</t>
        </is>
      </c>
    </row>
    <row r="168">
      <c r="A168" s="18" t="n">
        <v>166</v>
      </c>
      <c r="B168" s="18" t="inlineStr">
        <is>
          <t>USP กำหนดให้ไม่ต้องทำ Disintegration time</t>
        </is>
      </c>
      <c r="C168" s="18" t="n"/>
      <c r="D168" s="18" t="inlineStr">
        <is>
          <t>Fluidized Bed Granulation</t>
        </is>
      </c>
      <c r="E168" s="18" t="inlineStr">
        <is>
          <t>Film Coating with Hydroxypropyl methylcellulose (HPMC)</t>
        </is>
      </c>
      <c r="F168" s="18" t="inlineStr">
        <is>
          <t>Enteric Coating with Cellulose acetate phthalate (CAP)</t>
        </is>
      </c>
      <c r="G168" s="18" t="inlineStr">
        <is>
          <t>Hard Gelatin Capsule filling</t>
        </is>
      </c>
      <c r="H168" s="18" t="inlineStr">
        <is>
          <t>Soft Gelatin Capsule encapsulation</t>
        </is>
      </c>
      <c r="I168" s="18" t="n">
        <v>1</v>
      </c>
      <c r="J168" s="1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18" t="n"/>
      <c r="L168" s="18" t="inlineStr">
        <is>
          <t>Tablet Manufacturing</t>
        </is>
      </c>
      <c r="M168" s="18" t="inlineStr">
        <is>
          <t>Product</t>
        </is>
      </c>
      <c r="N168" s="18" t="inlineStr">
        <is>
          <t>ข้อ 3 (PLE_CC1_Key_Rx20_UBU.md)</t>
        </is>
      </c>
      <c r="O168" s="18" t="inlineStr">
        <is>
          <t>Mock</t>
        </is>
      </c>
      <c r="P168" s="18" t="inlineStr">
        <is>
          <t>Mock Rx20 UBU</t>
        </is>
      </c>
    </row>
    <row r="169">
      <c r="A169" s="18" t="n">
        <v>167</v>
      </c>
      <c r="B169" s="18"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69" s="18" t="n"/>
      <c r="D169" s="18" t="inlineStr">
        <is>
          <t>Hard Gelatin Capsule filling</t>
        </is>
      </c>
      <c r="E169" s="18" t="inlineStr">
        <is>
          <t>Soft Gelatin Capsule encapsulation</t>
        </is>
      </c>
      <c r="F169" s="18" t="inlineStr">
        <is>
          <t>Microcrystalline cellulose</t>
        </is>
      </c>
      <c r="G169" s="18" t="inlineStr">
        <is>
          <t>Magnesium stearate (Lubricant 1%)</t>
        </is>
      </c>
      <c r="H169" s="18" t="inlineStr">
        <is>
          <t>Sodium starch glycolate (Superdisintegrant)</t>
        </is>
      </c>
      <c r="I169" s="18" t="n">
        <v>4</v>
      </c>
      <c r="J169" s="18"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18" t="n"/>
      <c r="L169" s="18" t="inlineStr">
        <is>
          <t>Tablet Manufacturing</t>
        </is>
      </c>
      <c r="M169" s="18" t="inlineStr">
        <is>
          <t>Product</t>
        </is>
      </c>
      <c r="N169" s="18" t="inlineStr">
        <is>
          <t>ข้อ 3 (PLE_CC1_Key_Rx20_UBU.md)</t>
        </is>
      </c>
      <c r="O169" s="18" t="inlineStr">
        <is>
          <t>Mock</t>
        </is>
      </c>
      <c r="P169" s="18" t="inlineStr">
        <is>
          <t>Mock Rx20 UBU</t>
        </is>
      </c>
    </row>
    <row r="170">
      <c r="A170" s="18" t="n">
        <v>168</v>
      </c>
      <c r="B170" s="18"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70" s="18" t="n"/>
      <c r="D170" s="18" t="inlineStr">
        <is>
          <t>Magnesium stearate (Lubricant 1%)</t>
        </is>
      </c>
      <c r="E170" s="18" t="inlineStr">
        <is>
          <t>Sodium starch glycolate (Superdisintegrant)</t>
        </is>
      </c>
      <c r="F170" s="18" t="inlineStr">
        <is>
          <t>Direct Compression tableting method</t>
        </is>
      </c>
      <c r="G170" s="18" t="inlineStr">
        <is>
          <t>Wet Granulation tableting method</t>
        </is>
      </c>
      <c r="H170" s="18" t="inlineStr">
        <is>
          <t>Dry Granulation (Roller Compaction)</t>
        </is>
      </c>
      <c r="I170" s="18" t="n">
        <v>1</v>
      </c>
      <c r="J170" s="1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18" t="n"/>
      <c r="L170" s="18" t="inlineStr">
        <is>
          <t>Tablet Manufacturing</t>
        </is>
      </c>
      <c r="M170" s="18" t="inlineStr">
        <is>
          <t>Product</t>
        </is>
      </c>
      <c r="N170" s="18" t="inlineStr">
        <is>
          <t>ข้อ 78 (PLE_CC1_Key_Rx20_UBU.md)</t>
        </is>
      </c>
      <c r="O170" s="18" t="inlineStr">
        <is>
          <t>Mock</t>
        </is>
      </c>
      <c r="P170" s="18" t="inlineStr">
        <is>
          <t>Mock Rx20 UBU</t>
        </is>
      </c>
    </row>
    <row r="171">
      <c r="A171" s="18" t="n">
        <v>169</v>
      </c>
      <c r="B171" s="18" t="inlineStr">
        <is>
          <t>Friability+ Hardness</t>
        </is>
      </c>
      <c r="C171" s="18" t="n"/>
      <c r="D171" s="18" t="inlineStr">
        <is>
          <t>Wet Granulation tableting method</t>
        </is>
      </c>
      <c r="E171" s="18" t="inlineStr">
        <is>
          <t>Dry Granulation (Roller Compaction)</t>
        </is>
      </c>
      <c r="F171" s="18" t="inlineStr">
        <is>
          <t>Fluidized Bed Granulation</t>
        </is>
      </c>
      <c r="G171" s="18" t="inlineStr">
        <is>
          <t>Film Coating with Hydroxypropyl methylcellulose (HPMC)</t>
        </is>
      </c>
      <c r="H171" s="18" t="inlineStr">
        <is>
          <t>Enteric Coating with Cellulose acetate phthalate (CAP)</t>
        </is>
      </c>
      <c r="I171" s="18" t="n">
        <v>1</v>
      </c>
      <c r="J171"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18" t="n"/>
      <c r="L171" s="18" t="inlineStr">
        <is>
          <t>Tablet Manufacturing</t>
        </is>
      </c>
      <c r="M171" s="18" t="inlineStr">
        <is>
          <t>Product</t>
        </is>
      </c>
      <c r="N171" s="18" t="inlineStr">
        <is>
          <t>ข้อ 1 (PLE_CC1_Key_Rx20_UBU.md)</t>
        </is>
      </c>
      <c r="O171" s="18" t="inlineStr">
        <is>
          <t>Mock</t>
        </is>
      </c>
      <c r="P171" s="18" t="inlineStr">
        <is>
          <t>Mock Rx20 UBU</t>
        </is>
      </c>
    </row>
    <row r="172">
      <c r="A172" s="18" t="n">
        <v>170</v>
      </c>
      <c r="B172" s="18" t="inlineStr">
        <is>
          <t>Friability+ Weight variation</t>
        </is>
      </c>
      <c r="C172" s="18" t="n"/>
      <c r="D172" s="18" t="inlineStr">
        <is>
          <t>Film Coating with Hydroxypropyl methylcellulose (HPMC)</t>
        </is>
      </c>
      <c r="E172" s="18" t="inlineStr">
        <is>
          <t>Enteric Coating with Cellulose acetate phthalate (CAP)</t>
        </is>
      </c>
      <c r="F172" s="18" t="inlineStr">
        <is>
          <t>Hard Gelatin Capsule filling</t>
        </is>
      </c>
      <c r="G172" s="18" t="inlineStr">
        <is>
          <t>Soft Gelatin Capsule encapsulation</t>
        </is>
      </c>
      <c r="H172" s="18" t="inlineStr">
        <is>
          <t>Microcrystalline cellulose</t>
        </is>
      </c>
      <c r="I172" s="18" t="n">
        <v>1</v>
      </c>
      <c r="J172" s="1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18" t="n"/>
      <c r="L172" s="18" t="inlineStr">
        <is>
          <t>Tablet Manufacturing</t>
        </is>
      </c>
      <c r="M172" s="18" t="inlineStr">
        <is>
          <t>Product</t>
        </is>
      </c>
      <c r="N172" s="18" t="inlineStr">
        <is>
          <t>ข้อ 2 (PLE_CC1_Key_Rx20_UBU.md)</t>
        </is>
      </c>
      <c r="O172" s="18" t="inlineStr">
        <is>
          <t>Mock</t>
        </is>
      </c>
      <c r="P172" s="18" t="inlineStr">
        <is>
          <t>Mock Rx20 UBU</t>
        </is>
      </c>
    </row>
    <row r="173">
      <c r="A173" s="18" t="n">
        <v>171</v>
      </c>
      <c r="B173" s="18" t="inlineStr">
        <is>
          <t>Disintegrant+ Hardness</t>
        </is>
      </c>
      <c r="C173" s="18" t="n"/>
      <c r="D173" s="18" t="inlineStr">
        <is>
          <t>Soft Gelatin Capsule encapsulation</t>
        </is>
      </c>
      <c r="E173" s="18" t="inlineStr">
        <is>
          <t>Microcrystalline cellulose</t>
        </is>
      </c>
      <c r="F173" s="18" t="inlineStr">
        <is>
          <t>Magnesium stearate (Lubricant 1%)</t>
        </is>
      </c>
      <c r="G173" s="18" t="inlineStr">
        <is>
          <t>Sodium starch glycolate (Superdisintegrant)</t>
        </is>
      </c>
      <c r="H173" s="18" t="inlineStr">
        <is>
          <t>Direct Compression tableting method</t>
        </is>
      </c>
      <c r="I173" s="18" t="n">
        <v>1</v>
      </c>
      <c r="J173" s="18"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18" t="n"/>
      <c r="L173" s="18" t="inlineStr">
        <is>
          <t>Tablet Manufacturing</t>
        </is>
      </c>
      <c r="M173" s="18" t="inlineStr">
        <is>
          <t>Product</t>
        </is>
      </c>
      <c r="N173" s="18" t="inlineStr">
        <is>
          <t>ข้อ 4 (PLE_CC1_Key_Rx20_UBU.md)</t>
        </is>
      </c>
      <c r="O173" s="18" t="inlineStr">
        <is>
          <t>Mock</t>
        </is>
      </c>
      <c r="P173" s="18" t="inlineStr">
        <is>
          <t>Mock Rx20 UBU</t>
        </is>
      </c>
    </row>
    <row r="174">
      <c r="A174" s="18" t="n">
        <v>172</v>
      </c>
      <c r="B174" s="18" t="inlineStr">
        <is>
          <t>Disintegrant + Dissolution</t>
        </is>
      </c>
      <c r="C174" s="18" t="n"/>
      <c r="D174" s="18" t="inlineStr">
        <is>
          <t>Sodium starch glycolate (Superdisintegrant)</t>
        </is>
      </c>
      <c r="E174" s="18" t="inlineStr">
        <is>
          <t>Direct Compression tableting method</t>
        </is>
      </c>
      <c r="F174" s="18" t="inlineStr">
        <is>
          <t>Wet Granulation tableting method</t>
        </is>
      </c>
      <c r="G174" s="18" t="inlineStr">
        <is>
          <t>Dry Granulation (Roller Compaction)</t>
        </is>
      </c>
      <c r="H174" s="18" t="inlineStr">
        <is>
          <t>Fluidized Bed Granulation</t>
        </is>
      </c>
      <c r="I174" s="18" t="n">
        <v>1</v>
      </c>
      <c r="J174" s="1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18" t="n"/>
      <c r="L174" s="18" t="inlineStr">
        <is>
          <t>Tablet Manufacturing</t>
        </is>
      </c>
      <c r="M174" s="18" t="inlineStr">
        <is>
          <t>Product</t>
        </is>
      </c>
      <c r="N174" s="18" t="inlineStr">
        <is>
          <t>ข้อ 5 (PLE_CC1_Key_Rx20_UBU.md)</t>
        </is>
      </c>
      <c r="O174" s="18" t="inlineStr">
        <is>
          <t>Mock</t>
        </is>
      </c>
      <c r="P174" s="18" t="inlineStr">
        <is>
          <t>Mock Rx20 UBU</t>
        </is>
      </c>
    </row>
    <row r="175">
      <c r="A175" s="18" t="n">
        <v>173</v>
      </c>
      <c r="B175" s="18"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75" s="18" t="n"/>
      <c r="D175" s="18" t="inlineStr">
        <is>
          <t>Dry Granulation (Roller Compaction)</t>
        </is>
      </c>
      <c r="E175" s="18" t="inlineStr">
        <is>
          <t>Fluidized Bed Granulation</t>
        </is>
      </c>
      <c r="F175" s="18" t="inlineStr">
        <is>
          <t>Film Coating with Hydroxypropyl methylcellulose (HPMC)</t>
        </is>
      </c>
      <c r="G175" s="18" t="inlineStr">
        <is>
          <t>Enteric Coating with Cellulose acetate phthalate (CAP)</t>
        </is>
      </c>
      <c r="H175" s="18" t="inlineStr">
        <is>
          <t>Hard Gelatin Capsule filling</t>
        </is>
      </c>
      <c r="I175" s="18" t="n">
        <v>5</v>
      </c>
      <c r="J175" s="18"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18" t="n"/>
      <c r="L175" s="18" t="inlineStr">
        <is>
          <t>Tablet Manufacturing</t>
        </is>
      </c>
      <c r="M175" s="18" t="inlineStr">
        <is>
          <t>Product</t>
        </is>
      </c>
      <c r="N175" s="18" t="inlineStr">
        <is>
          <t>ข้อ 5 (PLE_CC1_Key_Rx20_UBU.md)</t>
        </is>
      </c>
      <c r="O175" s="18" t="inlineStr">
        <is>
          <t>Mock</t>
        </is>
      </c>
      <c r="P175" s="18" t="inlineStr">
        <is>
          <t>Mock Rx20 UBU</t>
        </is>
      </c>
    </row>
    <row r="176">
      <c r="A176" s="18" t="n">
        <v>174</v>
      </c>
      <c r="B176" s="18" t="inlineStr">
        <is>
          <t>ข้อใดถูกต้องเกี่ยวกับตำรับยาเม็ด</t>
        </is>
      </c>
      <c r="C176" s="18" t="n"/>
      <c r="D176" s="18" t="inlineStr">
        <is>
          <t>Enteric Coating with Cellulose acetate phthalate (CAP)</t>
        </is>
      </c>
      <c r="E176" s="18" t="inlineStr">
        <is>
          <t>Hard Gelatin Capsule filling</t>
        </is>
      </c>
      <c r="F176" s="18" t="inlineStr">
        <is>
          <t>Soft Gelatin Capsule encapsulation</t>
        </is>
      </c>
      <c r="G176" s="18" t="inlineStr">
        <is>
          <t>Microcrystalline cellulose</t>
        </is>
      </c>
      <c r="H176" s="18" t="inlineStr">
        <is>
          <t>Magnesium stearate (Lubricant 1%)</t>
        </is>
      </c>
      <c r="I176" s="18" t="n">
        <v>1</v>
      </c>
      <c r="J176" s="1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18" t="n"/>
      <c r="L176" s="18" t="inlineStr">
        <is>
          <t>Tablet Manufacturing</t>
        </is>
      </c>
      <c r="M176" s="18" t="inlineStr">
        <is>
          <t>Product</t>
        </is>
      </c>
      <c r="N176" s="18" t="inlineStr">
        <is>
          <t>ข้อ 9 (PLE_CC1_Key_Rx20_UBU.md)</t>
        </is>
      </c>
      <c r="O176" s="18" t="inlineStr">
        <is>
          <t>Mock</t>
        </is>
      </c>
      <c r="P176" s="18" t="inlineStr">
        <is>
          <t>Mock Rx20 UBU</t>
        </is>
      </c>
    </row>
    <row r="177">
      <c r="A177" s="18" t="n">
        <v>175</v>
      </c>
      <c r="B177" s="18" t="inlineStr">
        <is>
          <t>8.สูตรยาเม็ดเคลือบฟิล์ม Ethambutol สารใดเป็นสารช่วยแตกตัว</t>
        </is>
      </c>
      <c r="C177" s="18" t="n"/>
      <c r="D177" s="18" t="inlineStr">
        <is>
          <t>Microcrystalline cellulose</t>
        </is>
      </c>
      <c r="E177" s="18" t="inlineStr">
        <is>
          <t>Magnesium stearate (Lubricant 1%)</t>
        </is>
      </c>
      <c r="F177" s="18" t="inlineStr">
        <is>
          <t>Sodium starch glycolate (Superdisintegrant)</t>
        </is>
      </c>
      <c r="G177" s="18" t="inlineStr">
        <is>
          <t>Direct Compression tableting method</t>
        </is>
      </c>
      <c r="H177" s="18" t="inlineStr">
        <is>
          <t>Wet Granulation tableting method</t>
        </is>
      </c>
      <c r="I177" s="18" t="n">
        <v>2</v>
      </c>
      <c r="J177" s="18"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18" t="n"/>
      <c r="L177" s="18" t="inlineStr">
        <is>
          <t>Tablet Manufacturing</t>
        </is>
      </c>
      <c r="M177" s="18" t="inlineStr">
        <is>
          <t>Product</t>
        </is>
      </c>
      <c r="N177" s="18" t="inlineStr">
        <is>
          <t>ข้อ 3 (PLE_CC1_Key_Rx20_UBU.md)</t>
        </is>
      </c>
      <c r="O177" s="18" t="inlineStr">
        <is>
          <t>Mock</t>
        </is>
      </c>
      <c r="P177" s="18" t="inlineStr">
        <is>
          <t>Mock Rx20 UBU</t>
        </is>
      </c>
    </row>
    <row r="178">
      <c r="A178" s="18" t="n">
        <v>176</v>
      </c>
      <c r="B178" s="18"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78" s="18" t="n"/>
      <c r="D178" s="18" t="inlineStr">
        <is>
          <t>Direct Compression tableting method</t>
        </is>
      </c>
      <c r="E178" s="18" t="inlineStr">
        <is>
          <t>Wet Granulation tableting method</t>
        </is>
      </c>
      <c r="F178" s="18" t="inlineStr">
        <is>
          <t>Dry Granulation (Roller Compaction)</t>
        </is>
      </c>
      <c r="G178" s="18" t="inlineStr">
        <is>
          <t>Fluidized Bed Granulation</t>
        </is>
      </c>
      <c r="H178" s="18" t="inlineStr">
        <is>
          <t>Film Coating with Hydroxypropyl methylcellulose (HPMC)</t>
        </is>
      </c>
      <c r="I178" s="18" t="n">
        <v>1</v>
      </c>
      <c r="J178" s="1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18" t="n"/>
      <c r="L178" s="18" t="inlineStr">
        <is>
          <t>Tablet Manufacturing</t>
        </is>
      </c>
      <c r="M178" s="18" t="inlineStr">
        <is>
          <t>Product</t>
        </is>
      </c>
      <c r="N178" s="18" t="inlineStr">
        <is>
          <t>ข้อ 5 (PLE_CC1_Key_Rx20_UBU.md)</t>
        </is>
      </c>
      <c r="O178" s="18" t="inlineStr">
        <is>
          <t>Mock</t>
        </is>
      </c>
      <c r="P178" s="18" t="inlineStr">
        <is>
          <t>Mock Rx20 UBU</t>
        </is>
      </c>
    </row>
    <row r="179">
      <c r="A179" s="18" t="n">
        <v>177</v>
      </c>
      <c r="B179" s="18" t="inlineStr">
        <is>
          <t>กินยาเม็ดฟ้าทะลายโจร ตอนที่มีอาการเจ็บคอ</t>
        </is>
      </c>
      <c r="C179" s="18" t="n"/>
      <c r="D179" s="18" t="inlineStr">
        <is>
          <t>Fluidized Bed Granulation</t>
        </is>
      </c>
      <c r="E179" s="18" t="inlineStr">
        <is>
          <t>Film Coating with Hydroxypropyl methylcellulose (HPMC)</t>
        </is>
      </c>
      <c r="F179" s="18" t="inlineStr">
        <is>
          <t>Enteric Coating with Cellulose acetate phthalate (CAP)</t>
        </is>
      </c>
      <c r="G179" s="18" t="inlineStr">
        <is>
          <t>Hard Gelatin Capsule filling</t>
        </is>
      </c>
      <c r="H179" s="18" t="inlineStr">
        <is>
          <t>Soft Gelatin Capsule encapsulation</t>
        </is>
      </c>
      <c r="I179" s="18" t="n">
        <v>2</v>
      </c>
      <c r="J179" s="18"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18" t="n"/>
      <c r="L179" s="18" t="inlineStr">
        <is>
          <t>Tablet Manufacturing</t>
        </is>
      </c>
      <c r="M179" s="18" t="inlineStr">
        <is>
          <t>Product</t>
        </is>
      </c>
      <c r="N179" s="18" t="inlineStr">
        <is>
          <t>ข้อ 4 (PLE_CC1_Key_Rx20_UBU.md)</t>
        </is>
      </c>
      <c r="O179" s="18" t="inlineStr">
        <is>
          <t>Mock</t>
        </is>
      </c>
      <c r="P179" s="18" t="inlineStr">
        <is>
          <t>Mock Rx20 UBU</t>
        </is>
      </c>
    </row>
    <row r="180">
      <c r="A180" s="18" t="n">
        <v>178</v>
      </c>
      <c r="B180" s="18" t="inlineStr">
        <is>
          <t>ในระหว่างกระบวนการผลิต หากเม็ดยาเคลือบฟิล์ม metformin ไม่สามารถ screen ข้อความติดได้เรียกการเกิดนี้ว่าอะไร</t>
        </is>
      </c>
      <c r="C180" s="18" t="n"/>
      <c r="D180" s="18" t="inlineStr">
        <is>
          <t>Hard Gelatin Capsule filling</t>
        </is>
      </c>
      <c r="E180" s="18" t="inlineStr">
        <is>
          <t>Soft Gelatin Capsule encapsulation</t>
        </is>
      </c>
      <c r="F180" s="18" t="inlineStr">
        <is>
          <t>Microcrystalline cellulose</t>
        </is>
      </c>
      <c r="G180" s="18" t="inlineStr">
        <is>
          <t>Magnesium stearate (Lubricant 1%)</t>
        </is>
      </c>
      <c r="H180" s="18" t="inlineStr">
        <is>
          <t>Sodium starch glycolate (Superdisintegrant)</t>
        </is>
      </c>
      <c r="I180" s="18" t="n">
        <v>1</v>
      </c>
      <c r="J180" s="1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18" t="n"/>
      <c r="L180" s="18" t="inlineStr">
        <is>
          <t>Tablet Manufacturing</t>
        </is>
      </c>
      <c r="M180" s="18" t="inlineStr">
        <is>
          <t>Product</t>
        </is>
      </c>
      <c r="N180" s="18" t="inlineStr">
        <is>
          <t>ข้อ 9 (PLE_CC1_Key_Rx20_UBU.md)</t>
        </is>
      </c>
      <c r="O180" s="18" t="inlineStr">
        <is>
          <t>Mock</t>
        </is>
      </c>
      <c r="P180" s="18" t="inlineStr">
        <is>
          <t>Mock Rx20 UBU</t>
        </is>
      </c>
    </row>
    <row r="181">
      <c r="A181" s="18" t="n">
        <v>179</v>
      </c>
      <c r="B181" s="18" t="inlineStr">
        <is>
          <t>Friability (ความกร่อน)</t>
        </is>
      </c>
      <c r="C181" s="18" t="n"/>
      <c r="D181" s="18" t="inlineStr">
        <is>
          <t>Magnesium stearate (Lubricant 1%)</t>
        </is>
      </c>
      <c r="E181" s="18" t="inlineStr">
        <is>
          <t>Sodium starch glycolate (Superdisintegrant)</t>
        </is>
      </c>
      <c r="F181" s="18" t="inlineStr">
        <is>
          <t>Direct Compression tableting method</t>
        </is>
      </c>
      <c r="G181" s="18" t="inlineStr">
        <is>
          <t>Wet Granulation tableting method</t>
        </is>
      </c>
      <c r="H181" s="18" t="inlineStr">
        <is>
          <t>Dry Granulation (Roller Compaction)</t>
        </is>
      </c>
      <c r="I181" s="18" t="n">
        <v>1</v>
      </c>
      <c r="J181" s="1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18" t="n"/>
      <c r="L181" s="18" t="inlineStr">
        <is>
          <t>Tablet Manufacturing</t>
        </is>
      </c>
      <c r="M181" s="18" t="inlineStr">
        <is>
          <t>Product</t>
        </is>
      </c>
      <c r="N181" s="18" t="inlineStr">
        <is>
          <t>ข้อ 4 (PLE_CC1_Key_Rx20_UBU.md)</t>
        </is>
      </c>
      <c r="O181" s="18" t="inlineStr">
        <is>
          <t>Mock</t>
        </is>
      </c>
      <c r="P181" s="18" t="inlineStr">
        <is>
          <t>Mock Rx20 UBU</t>
        </is>
      </c>
    </row>
    <row r="182">
      <c r="A182" s="18" t="n">
        <v>180</v>
      </c>
      <c r="B182" s="18"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82" s="18" t="n"/>
      <c r="D182" s="18" t="inlineStr">
        <is>
          <t>Wet Granulation tableting method</t>
        </is>
      </c>
      <c r="E182" s="18" t="inlineStr">
        <is>
          <t>Dry Granulation (Roller Compaction)</t>
        </is>
      </c>
      <c r="F182" s="18" t="inlineStr">
        <is>
          <t>Fluidized Bed Granulation</t>
        </is>
      </c>
      <c r="G182" s="18" t="inlineStr">
        <is>
          <t>Film Coating with Hydroxypropyl methylcellulose (HPMC)</t>
        </is>
      </c>
      <c r="H182" s="18" t="inlineStr">
        <is>
          <t>Enteric Coating with Cellulose acetate phthalate (CAP)</t>
        </is>
      </c>
      <c r="I182" s="18" t="n">
        <v>1</v>
      </c>
      <c r="J182"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18" t="n"/>
      <c r="L182" s="18" t="inlineStr">
        <is>
          <t>Tablet Manufacturing</t>
        </is>
      </c>
      <c r="M182" s="18" t="inlineStr">
        <is>
          <t>Product</t>
        </is>
      </c>
      <c r="N182" s="18" t="inlineStr">
        <is>
          <t>ข้อ 5 (PLE_CC1_Key_Rx20_UBU.md)</t>
        </is>
      </c>
      <c r="O182" s="18" t="inlineStr">
        <is>
          <t>Mock</t>
        </is>
      </c>
      <c r="P182" s="18" t="inlineStr">
        <is>
          <t>Mock Rx20 UBU</t>
        </is>
      </c>
    </row>
    <row r="183">
      <c r="A183" s="18" t="n">
        <v>181</v>
      </c>
      <c r="B183" s="18" t="inlineStr">
        <is>
          <t>Disintegration time</t>
        </is>
      </c>
      <c r="C183" s="18" t="n"/>
      <c r="D183" s="18" t="inlineStr">
        <is>
          <t>Film Coating with Hydroxypropyl methylcellulose (HPMC)</t>
        </is>
      </c>
      <c r="E183" s="18" t="inlineStr">
        <is>
          <t>Enteric Coating with Cellulose acetate phthalate (CAP)</t>
        </is>
      </c>
      <c r="F183" s="18" t="inlineStr">
        <is>
          <t>Hard Gelatin Capsule filling</t>
        </is>
      </c>
      <c r="G183" s="18" t="inlineStr">
        <is>
          <t>Soft Gelatin Capsule encapsulation</t>
        </is>
      </c>
      <c r="H183" s="18" t="inlineStr">
        <is>
          <t>Microcrystalline cellulose</t>
        </is>
      </c>
      <c r="I183" s="18" t="n">
        <v>1</v>
      </c>
      <c r="J183" s="1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18" t="n"/>
      <c r="L183" s="18" t="inlineStr">
        <is>
          <t>Tablet Manufacturing</t>
        </is>
      </c>
      <c r="M183" s="18" t="inlineStr">
        <is>
          <t>Product</t>
        </is>
      </c>
      <c r="N183" s="18" t="inlineStr">
        <is>
          <t>ข้อ 3 (PLE_CC1_Key_Rx20_UBU.md)</t>
        </is>
      </c>
      <c r="O183" s="18" t="inlineStr">
        <is>
          <t>Mock</t>
        </is>
      </c>
      <c r="P183" s="18" t="inlineStr">
        <is>
          <t>Mock Rx20 UBU</t>
        </is>
      </c>
    </row>
    <row r="184">
      <c r="A184" s="18" t="n">
        <v>182</v>
      </c>
      <c r="B184" s="18"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84" s="18" t="n"/>
      <c r="D184" s="18" t="inlineStr">
        <is>
          <t>Soft Gelatin Capsule encapsulation</t>
        </is>
      </c>
      <c r="E184" s="18" t="inlineStr">
        <is>
          <t>Microcrystalline cellulose</t>
        </is>
      </c>
      <c r="F184" s="18" t="inlineStr">
        <is>
          <t>Magnesium stearate (Lubricant 1%)</t>
        </is>
      </c>
      <c r="G184" s="18" t="inlineStr">
        <is>
          <t>Sodium starch glycolate (Superdisintegrant)</t>
        </is>
      </c>
      <c r="H184" s="18" t="inlineStr">
        <is>
          <t>Direct Compression tableting method</t>
        </is>
      </c>
      <c r="I184" s="18" t="n">
        <v>1</v>
      </c>
      <c r="J184" s="18"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18" t="n"/>
      <c r="L184" s="18" t="inlineStr">
        <is>
          <t>Tablet Manufacturing</t>
        </is>
      </c>
      <c r="M184" s="18" t="inlineStr">
        <is>
          <t>Product</t>
        </is>
      </c>
      <c r="N184" s="18" t="inlineStr">
        <is>
          <t>ข้อ 5 (PLE_CC1_Key_Rx20_UBU.md)</t>
        </is>
      </c>
      <c r="O184" s="18" t="inlineStr">
        <is>
          <t>Mock</t>
        </is>
      </c>
      <c r="P184" s="18" t="inlineStr">
        <is>
          <t>Mock Rx20 UBU</t>
        </is>
      </c>
    </row>
    <row r="185">
      <c r="A185" s="18" t="n">
        <v>183</v>
      </c>
      <c r="B185" s="18" t="inlineStr">
        <is>
          <t>ยา Theophylline 200 mg ยาเม็ดหนัก 0.27 g มี Bulk volume 0.09 cm3 ความหนาแน่นที่แท้จริง</t>
        </is>
      </c>
      <c r="C185" s="18" t="n"/>
      <c r="D185" s="18" t="inlineStr">
        <is>
          <t>00 g/cm3 จงหา %total porosity [กำหนด % total porosity = (1-(bulk density/true density) )x 100]</t>
        </is>
      </c>
      <c r="E185" s="18" t="inlineStr">
        <is>
          <t>Direct Compression tableting method</t>
        </is>
      </c>
      <c r="F185" s="18" t="inlineStr">
        <is>
          <t>Wet Granulation tableting method</t>
        </is>
      </c>
      <c r="G185" s="18" t="inlineStr">
        <is>
          <t>Dry Granulation (Roller Compaction)</t>
        </is>
      </c>
      <c r="H185" s="18" t="inlineStr">
        <is>
          <t>Fluidized Bed Granulation</t>
        </is>
      </c>
      <c r="I185" s="18" t="n">
        <v>1</v>
      </c>
      <c r="J185" s="18"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18" t="n"/>
      <c r="L185" s="18" t="inlineStr">
        <is>
          <t>Tablet Manufacturing</t>
        </is>
      </c>
      <c r="M185" s="18" t="inlineStr">
        <is>
          <t>Product</t>
        </is>
      </c>
      <c r="N185" s="18" t="inlineStr">
        <is>
          <t>ข้อ 7 (PLE_CC1_Key_Rx20_UBU.md)</t>
        </is>
      </c>
      <c r="O185" s="18" t="inlineStr">
        <is>
          <t>Mock</t>
        </is>
      </c>
      <c r="P185" s="18" t="inlineStr">
        <is>
          <t>Mock Rx20 UBU</t>
        </is>
      </c>
    </row>
    <row r="186">
      <c r="A186" s="18" t="n">
        <v>184</v>
      </c>
      <c r="B186" s="18"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86" s="18" t="n"/>
      <c r="D186" s="18" t="inlineStr">
        <is>
          <t>ผู้ป่วยป่วยเป็นโรคอะไร</t>
        </is>
      </c>
      <c r="E186" s="18" t="inlineStr">
        <is>
          <t>allergic conjunctivitis</t>
        </is>
      </c>
      <c r="F186" s="18" t="inlineStr">
        <is>
          <t>bacterial conjunctivitis</t>
        </is>
      </c>
      <c r="G186" s="18" t="inlineStr">
        <is>
          <t>cataract</t>
        </is>
      </c>
      <c r="H186" s="18" t="inlineStr">
        <is>
          <t>glaucoma</t>
        </is>
      </c>
      <c r="I186" s="18" t="n">
        <v>3</v>
      </c>
      <c r="J186" s="18"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ข้อนี้ไม่ใช่คำตอบที่ถูกต้องสำหรับภาวะ Tablet Manufacturing เนื่องจากกลไกการออกฤทธิ์, efficacy หรือข้อบ่งใช้ไม่ตรงกับโจทย์ที่กำหนด
• ข้อ ข. (allergic conjunctivitis): ข้อนี้ไม่ใช่คำตอบที่ถูกต้องสำหรับภาวะ Tablet Manufacturing เนื่องจากกลไกการออกฤทธิ์, efficacy หรือข้อบ่งใช้ไม่ตรงกับโจทย์ที่กำหนด
• ข้อ ง. (cataract): ข้อนี้ไม่ใช่คำตอบที่ถูกต้องสำหรับภาวะ Tablet Manufacturing เนื่องจากกลไกการออกฤทธิ์, efficacy หรือข้อบ่งใช้ไม่ตรงกับโจทย์ที่กำหนด
• ข้อ จ. (glaucoma):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18" t="n"/>
      <c r="L186" s="18" t="inlineStr">
        <is>
          <t>Tablet Manufacturing</t>
        </is>
      </c>
      <c r="M186" s="18" t="inlineStr">
        <is>
          <t>Product</t>
        </is>
      </c>
      <c r="N186" s="18" t="inlineStr">
        <is>
          <t>ข้อ 5 (PLE_CC1_Key_Rx20_UBU.md)</t>
        </is>
      </c>
      <c r="O186" s="18" t="inlineStr">
        <is>
          <t>Mock</t>
        </is>
      </c>
      <c r="P186" s="18" t="inlineStr">
        <is>
          <t>Mock Rx20 UBU</t>
        </is>
      </c>
    </row>
    <row r="187">
      <c r="A187" s="18" t="n">
        <v>185</v>
      </c>
      <c r="B187" s="18" t="inlineStr">
        <is>
          <t>Disintegration, Dissolution, Flowability &amp; = ข จบqานrผม / &amp; = = เSนOษWอl0 6hHrestrd 1T 6 - ข ข x เHypwglyamro j ข &amp;</t>
        </is>
      </c>
      <c r="C187" s="18" t="n"/>
      <c r="D187" s="18" t="inlineStr">
        <is>
          <t>Enteric Coating with Cellulose acetate phthalate (CAP)</t>
        </is>
      </c>
      <c r="E187" s="18" t="inlineStr">
        <is>
          <t>Hard Gelatin Capsule filling</t>
        </is>
      </c>
      <c r="F187" s="18" t="inlineStr">
        <is>
          <t>Soft Gelatin Capsule encapsulation</t>
        </is>
      </c>
      <c r="G187" s="18" t="inlineStr">
        <is>
          <t>Microcrystalline cellulose</t>
        </is>
      </c>
      <c r="H187" s="18" t="inlineStr">
        <is>
          <t>Magnesium stearate (Lubricant 1%)</t>
        </is>
      </c>
      <c r="I187" s="18" t="n">
        <v>1</v>
      </c>
      <c r="J187" s="1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18" t="n"/>
      <c r="L187" s="18" t="inlineStr">
        <is>
          <t>Tablet Manufacturing</t>
        </is>
      </c>
      <c r="M187" s="18" t="inlineStr">
        <is>
          <t>Product</t>
        </is>
      </c>
      <c r="N187" s="18" t="inlineStr">
        <is>
          <t>ข้อ 2 (PLE_CC1_Key_Rx20_UBU.md)</t>
        </is>
      </c>
      <c r="O187" s="18" t="inlineStr">
        <is>
          <t>Mock</t>
        </is>
      </c>
      <c r="P187" s="18" t="inlineStr">
        <is>
          <t>Mock Rx20 UBU</t>
        </is>
      </c>
    </row>
    <row r="188">
      <c r="A188" s="18" t="n">
        <v>186</v>
      </c>
      <c r="B188" s="18" t="inlineStr">
        <is>
          <t>Stability, Moisture permeation, Friability</t>
        </is>
      </c>
      <c r="C188" s="18" t="n"/>
      <c r="D188" s="18" t="inlineStr">
        <is>
          <t>Microcrystalline cellulose</t>
        </is>
      </c>
      <c r="E188" s="18" t="inlineStr">
        <is>
          <t>Magnesium stearate (Lubricant 1%)</t>
        </is>
      </c>
      <c r="F188" s="18" t="inlineStr">
        <is>
          <t>Sodium starch glycolate (Superdisintegrant)</t>
        </is>
      </c>
      <c r="G188" s="18" t="inlineStr">
        <is>
          <t>Direct Compression tableting method</t>
        </is>
      </c>
      <c r="H188" s="18" t="inlineStr">
        <is>
          <t>Wet Granulation tableting method</t>
        </is>
      </c>
      <c r="I188" s="18" t="n">
        <v>1</v>
      </c>
      <c r="J188" s="1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18" t="n"/>
      <c r="L188" s="18" t="inlineStr">
        <is>
          <t>Tablet Manufacturing</t>
        </is>
      </c>
      <c r="M188" s="18" t="inlineStr">
        <is>
          <t>Product</t>
        </is>
      </c>
      <c r="N188" s="18" t="inlineStr">
        <is>
          <t>ข้อ 4 (PLE_CC1_Key_Rx20_UBU.md)</t>
        </is>
      </c>
      <c r="O188" s="18" t="inlineStr">
        <is>
          <t>Mock</t>
        </is>
      </c>
      <c r="P188" s="18" t="inlineStr">
        <is>
          <t>Mock Rx20 UBU</t>
        </is>
      </c>
    </row>
    <row r="189">
      <c r="A189" s="18" t="n">
        <v>187</v>
      </c>
      <c r="B189" s="18" t="inlineStr">
        <is>
          <t>Weight validation, Drug content, Disintegration</t>
        </is>
      </c>
      <c r="C189" s="18" t="n"/>
      <c r="D189" s="18" t="inlineStr">
        <is>
          <t>Direct Compression tableting method</t>
        </is>
      </c>
      <c r="E189" s="18" t="inlineStr">
        <is>
          <t>Wet Granulation tableting method</t>
        </is>
      </c>
      <c r="F189" s="18" t="inlineStr">
        <is>
          <t>Dry Granulation (Roller Compaction)</t>
        </is>
      </c>
      <c r="G189" s="18" t="inlineStr">
        <is>
          <t>Fluidized Bed Granulation</t>
        </is>
      </c>
      <c r="H189" s="18" t="inlineStr">
        <is>
          <t>Film Coating with Hydroxypropyl methylcellulose (HPMC)</t>
        </is>
      </c>
      <c r="I189" s="18" t="n">
        <v>1</v>
      </c>
      <c r="J189" s="1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18" t="n"/>
      <c r="L189" s="18" t="inlineStr">
        <is>
          <t>Tablet Manufacturing</t>
        </is>
      </c>
      <c r="M189" s="18" t="inlineStr">
        <is>
          <t>Product</t>
        </is>
      </c>
      <c r="N189" s="18" t="inlineStr">
        <is>
          <t>ข้อ 5 (PLE_CC1_Key_Rx20_UBU.md)</t>
        </is>
      </c>
      <c r="O189" s="18" t="inlineStr">
        <is>
          <t>Mock</t>
        </is>
      </c>
      <c r="P189" s="18" t="inlineStr">
        <is>
          <t>Mock Rx20 UBU</t>
        </is>
      </c>
    </row>
    <row r="190">
      <c r="A190" s="18" t="n">
        <v>188</v>
      </c>
      <c r="B190" s="18"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90" s="18" t="n"/>
      <c r="D190" s="18" t="inlineStr">
        <is>
          <t>Fluidized Bed Granulation</t>
        </is>
      </c>
      <c r="E190" s="18" t="inlineStr">
        <is>
          <t>Film Coating with Hydroxypropyl methylcellulose (HPMC)</t>
        </is>
      </c>
      <c r="F190" s="18" t="inlineStr">
        <is>
          <t>Enteric Coating with Cellulose acetate phthalate (CAP)</t>
        </is>
      </c>
      <c r="G190" s="18" t="inlineStr">
        <is>
          <t>Hard Gelatin Capsule filling</t>
        </is>
      </c>
      <c r="H190" s="18" t="inlineStr">
        <is>
          <t>Soft Gelatin Capsule encapsulation</t>
        </is>
      </c>
      <c r="I190" s="18" t="n">
        <v>1</v>
      </c>
      <c r="J190" s="1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18" t="n"/>
      <c r="L190" s="18" t="inlineStr">
        <is>
          <t>Tablet Coating</t>
        </is>
      </c>
      <c r="M190" s="18" t="inlineStr">
        <is>
          <t>Product</t>
        </is>
      </c>
      <c r="N190" s="18" t="inlineStr">
        <is>
          <t>ข้อ 5 (PLE_CC1_Key_Rx20_UBU.md)</t>
        </is>
      </c>
      <c r="O190" s="18" t="inlineStr">
        <is>
          <t>Mock</t>
        </is>
      </c>
      <c r="P190" s="18" t="inlineStr">
        <is>
          <t>Mock Rx20 UBU</t>
        </is>
      </c>
    </row>
    <row r="191">
      <c r="A191" s="18" t="n">
        <v>189</v>
      </c>
      <c r="B191" s="18" t="inlineStr">
        <is>
          <t>Anti-foaming agent สารหลGอลื่น (Lubricants) Talc Stearic acid Magnesium stearate Polyethylene glycol Surfactants Vegetable oil</t>
        </is>
      </c>
      <c r="C191" s="18" t="n"/>
      <c r="D191" s="18" t="inlineStr">
        <is>
          <t>Hard Gelatin Capsule filling</t>
        </is>
      </c>
      <c r="E191" s="18" t="inlineStr">
        <is>
          <t>Soft Gelatin Capsule encapsulation</t>
        </is>
      </c>
      <c r="F191" s="18" t="inlineStr">
        <is>
          <t>Microcrystalline cellulose</t>
        </is>
      </c>
      <c r="G191" s="18" t="inlineStr">
        <is>
          <t>Magnesium stearate (Lubricant 1%)</t>
        </is>
      </c>
      <c r="H191" s="18" t="inlineStr">
        <is>
          <t>Sodium starch glycolate (Superdisintegrant)</t>
        </is>
      </c>
      <c r="I191" s="18" t="n">
        <v>2</v>
      </c>
      <c r="J191" s="18"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18" t="n"/>
      <c r="L191" s="18" t="inlineStr">
        <is>
          <t>Tablet Manufacturing</t>
        </is>
      </c>
      <c r="M191" s="18" t="inlineStr">
        <is>
          <t>Product</t>
        </is>
      </c>
      <c r="N191" s="18" t="inlineStr">
        <is>
          <t>ข้อ 5 (PLE_CC1_Key_Rx20_UBU.md)</t>
        </is>
      </c>
      <c r="O191" s="18" t="inlineStr">
        <is>
          <t>Mock</t>
        </is>
      </c>
      <c r="P191" s="18" t="inlineStr">
        <is>
          <t>Mock Rx20 UBU</t>
        </is>
      </c>
    </row>
    <row r="192">
      <c r="A192" s="18" t="n">
        <v>190</v>
      </c>
      <c r="B192" s="18"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92" s="18" t="n"/>
      <c r="D192" s="18" t="inlineStr">
        <is>
          <t>Magnesium stearate (Lubricant 1%)</t>
        </is>
      </c>
      <c r="E192" s="18" t="inlineStr">
        <is>
          <t>Sodium starch glycolate (Superdisintegrant)</t>
        </is>
      </c>
      <c r="F192" s="18" t="inlineStr">
        <is>
          <t>Direct Compression tableting method</t>
        </is>
      </c>
      <c r="G192" s="18" t="inlineStr">
        <is>
          <t>Wet Granulation tableting method</t>
        </is>
      </c>
      <c r="H192" s="18" t="inlineStr">
        <is>
          <t>Dry Granulation (Roller Compaction)</t>
        </is>
      </c>
      <c r="I192" s="18" t="n">
        <v>1</v>
      </c>
      <c r="J192" s="1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18" t="n"/>
      <c r="L192" s="18" t="inlineStr">
        <is>
          <t>Tablet Manufacturing</t>
        </is>
      </c>
      <c r="M192" s="18" t="inlineStr">
        <is>
          <t>Product</t>
        </is>
      </c>
      <c r="N192" s="18" t="inlineStr">
        <is>
          <t>ข้อ 36 (PLE_CC1_Key_Rx20_UBU.md)</t>
        </is>
      </c>
      <c r="O192" s="18" t="inlineStr">
        <is>
          <t>Mock</t>
        </is>
      </c>
      <c r="P192" s="18" t="inlineStr">
        <is>
          <t>Mock Rx20 UBU</t>
        </is>
      </c>
    </row>
    <row r="193">
      <c r="A193" s="18" t="n">
        <v>191</v>
      </c>
      <c r="B193" s="18" t="inlineStr">
        <is>
          <t>Wet granulation โดยใช$น้ำเปญนตัวทำละลาย binder</t>
        </is>
      </c>
      <c r="C193" s="18" t="n"/>
      <c r="D193" s="18" t="inlineStr">
        <is>
          <t>Wet Granulation tableting method</t>
        </is>
      </c>
      <c r="E193" s="18" t="inlineStr">
        <is>
          <t>Dry Granulation (Roller Compaction)</t>
        </is>
      </c>
      <c r="F193" s="18" t="inlineStr">
        <is>
          <t>Fluidized Bed Granulation</t>
        </is>
      </c>
      <c r="G193" s="18" t="inlineStr">
        <is>
          <t>Film Coating with Hydroxypropyl methylcellulose (HPMC)</t>
        </is>
      </c>
      <c r="H193" s="18" t="inlineStr">
        <is>
          <t>Enteric Coating with Cellulose acetate phthalate (CAP)</t>
        </is>
      </c>
      <c r="I193" s="18" t="n">
        <v>1</v>
      </c>
      <c r="J193" s="1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ข้อ ค.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18" t="n"/>
      <c r="L193" s="18" t="inlineStr">
        <is>
          <t>Powders &amp; Granules</t>
        </is>
      </c>
      <c r="M193" s="18" t="inlineStr">
        <is>
          <t>Product</t>
        </is>
      </c>
      <c r="N193" s="18" t="inlineStr">
        <is>
          <t>ข้อ 2 (PLE_CC1_Key_Rx20_UBU.md)</t>
        </is>
      </c>
      <c r="O193" s="18" t="inlineStr">
        <is>
          <t>Mock</t>
        </is>
      </c>
      <c r="P193" s="18" t="inlineStr">
        <is>
          <t>Mock Rx20 UBU</t>
        </is>
      </c>
    </row>
    <row r="194">
      <c r="A194" s="18" t="n">
        <v>192</v>
      </c>
      <c r="B194" s="18" t="inlineStr">
        <is>
          <t>Wet granulation โดยใช$ตัวทำละลายอินทรีย_เปญนตัวทำละลาย binder</t>
        </is>
      </c>
      <c r="C194" s="18" t="n"/>
      <c r="D194" s="18" t="inlineStr">
        <is>
          <t>Film Coating with Hydroxypropyl methylcellulose (HPMC)</t>
        </is>
      </c>
      <c r="E194" s="18" t="inlineStr">
        <is>
          <t>Enteric Coating with Cellulose acetate phthalate (CAP)</t>
        </is>
      </c>
      <c r="F194" s="18" t="inlineStr">
        <is>
          <t>Hard Gelatin Capsule filling</t>
        </is>
      </c>
      <c r="G194" s="18" t="inlineStr">
        <is>
          <t>Soft Gelatin Capsule encapsulation</t>
        </is>
      </c>
      <c r="H194" s="18" t="inlineStr">
        <is>
          <t>Microcrystalline cellulose</t>
        </is>
      </c>
      <c r="I194" s="18" t="n">
        <v>1</v>
      </c>
      <c r="J194" s="1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Powders &amp; Granules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จ.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18" t="n"/>
      <c r="L194" s="18" t="inlineStr">
        <is>
          <t>Powders &amp; Granules</t>
        </is>
      </c>
      <c r="M194" s="18" t="inlineStr">
        <is>
          <t>Product</t>
        </is>
      </c>
      <c r="N194" s="18" t="inlineStr">
        <is>
          <t>ข้อ 3 (PLE_CC1_Key_Rx20_UBU.md)</t>
        </is>
      </c>
      <c r="O194" s="18" t="inlineStr">
        <is>
          <t>Mock</t>
        </is>
      </c>
      <c r="P194" s="18" t="inlineStr">
        <is>
          <t>Mock Rx20 UBU</t>
        </is>
      </c>
    </row>
    <row r="195">
      <c r="A195" s="18" t="n">
        <v>193</v>
      </c>
      <c r="B195" s="18" t="inlineStr">
        <is>
          <t>Dry granulation โดยเครื่อง Roller compactor</t>
        </is>
      </c>
      <c r="C195" s="18" t="n"/>
      <c r="D195" s="18" t="inlineStr">
        <is>
          <t>Soft Gelatin Capsule encapsulation</t>
        </is>
      </c>
      <c r="E195" s="18" t="inlineStr">
        <is>
          <t>Microcrystalline cellulose</t>
        </is>
      </c>
      <c r="F195" s="18" t="inlineStr">
        <is>
          <t>Magnesium stearate (Lubricant 1%)</t>
        </is>
      </c>
      <c r="G195" s="18" t="inlineStr">
        <is>
          <t>Sodium starch glycolate (Superdisintegrant)</t>
        </is>
      </c>
      <c r="H195" s="18" t="inlineStr">
        <is>
          <t>Direct Compression tableting method</t>
        </is>
      </c>
      <c r="I195" s="18" t="n">
        <v>4</v>
      </c>
      <c r="J195" s="18"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18" t="n"/>
      <c r="L195" s="18" t="inlineStr">
        <is>
          <t>Powders &amp; Granules</t>
        </is>
      </c>
      <c r="M195" s="18" t="inlineStr">
        <is>
          <t>Product</t>
        </is>
      </c>
      <c r="N195" s="18" t="inlineStr">
        <is>
          <t>ข้อ 5 (PLE_CC1_Key_Rx20_UBU.md)</t>
        </is>
      </c>
      <c r="O195" s="18" t="inlineStr">
        <is>
          <t>Mock</t>
        </is>
      </c>
      <c r="P195" s="18" t="inlineStr">
        <is>
          <t>Mock Rx20 UBU</t>
        </is>
      </c>
    </row>
    <row r="196">
      <c r="A196" s="18" t="n">
        <v>194</v>
      </c>
      <c r="B196" s="18"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96" s="18" t="n"/>
      <c r="D196" s="18" t="inlineStr">
        <is>
          <t>Sodium starch glycolate (Superdisintegrant)</t>
        </is>
      </c>
      <c r="E196" s="18" t="inlineStr">
        <is>
          <t>Direct Compression tableting method</t>
        </is>
      </c>
      <c r="F196" s="18" t="inlineStr">
        <is>
          <t>Wet Granulation tableting method</t>
        </is>
      </c>
      <c r="G196" s="18" t="inlineStr">
        <is>
          <t>Dry Granulation (Roller Compaction)</t>
        </is>
      </c>
      <c r="H196" s="18" t="inlineStr">
        <is>
          <t>Fluidized Bed Granulation</t>
        </is>
      </c>
      <c r="I196" s="18" t="n">
        <v>1</v>
      </c>
      <c r="J196" s="1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Defects เนื่องจากกลไกการออกฤทธิ์, efficacy หรือข้อบ่งใช้ไม่ตรงกับโจทย์ที่กำหนด
• ข้อ จ. (Fluidized Bed Granulation):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18" t="n"/>
      <c r="L196" s="18" t="inlineStr">
        <is>
          <t>Tablet Defects</t>
        </is>
      </c>
      <c r="M196" s="18" t="inlineStr">
        <is>
          <t>Product</t>
        </is>
      </c>
      <c r="N196" s="18" t="inlineStr">
        <is>
          <t>ข้อ 37 (PLE_CC1_Key_Rx20_UBU.md)</t>
        </is>
      </c>
      <c r="O196" s="18" t="inlineStr">
        <is>
          <t>Mock</t>
        </is>
      </c>
      <c r="P196" s="18" t="inlineStr">
        <is>
          <t>Mock Rx20 UBU</t>
        </is>
      </c>
    </row>
    <row r="197">
      <c r="A197" s="18" t="n">
        <v>195</v>
      </c>
      <c r="B197" s="18" t="inlineStr">
        <is>
          <t>ลดปริมาณ Binder ในตำรับ</t>
        </is>
      </c>
      <c r="C197" s="18" t="n"/>
      <c r="D197" s="18" t="inlineStr">
        <is>
          <t>Dry Granulation (Roller Compaction)</t>
        </is>
      </c>
      <c r="E197" s="18" t="inlineStr">
        <is>
          <t>Fluidized Bed Granulation</t>
        </is>
      </c>
      <c r="F197" s="18" t="inlineStr">
        <is>
          <t>Film Coating with Hydroxypropyl methylcellulose (HPMC)</t>
        </is>
      </c>
      <c r="G197" s="18" t="inlineStr">
        <is>
          <t>Enteric Coating with Cellulose acetate phthalate (CAP)</t>
        </is>
      </c>
      <c r="H197" s="18" t="inlineStr">
        <is>
          <t>Hard Gelatin Capsule filling</t>
        </is>
      </c>
      <c r="I197" s="18" t="n">
        <v>1</v>
      </c>
      <c r="J197" s="18"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18" t="n"/>
      <c r="L197" s="18" t="inlineStr">
        <is>
          <t>Tablet Manufacturing</t>
        </is>
      </c>
      <c r="M197" s="18" t="inlineStr">
        <is>
          <t>Product</t>
        </is>
      </c>
      <c r="N197" s="18" t="inlineStr">
        <is>
          <t>ข้อ 2 (PLE_CC1_Key_Rx20_UBU.md)</t>
        </is>
      </c>
      <c r="O197" s="18" t="inlineStr">
        <is>
          <t>Mock</t>
        </is>
      </c>
      <c r="P197" s="18" t="inlineStr">
        <is>
          <t>Mock Rx20 UBU</t>
        </is>
      </c>
    </row>
    <row r="198">
      <c r="A198" s="18" t="n">
        <v>196</v>
      </c>
      <c r="B198" s="18" t="inlineStr">
        <is>
          <t>Magnesium stearate เปญนสาร....</t>
        </is>
      </c>
      <c r="C198" s="18" t="n"/>
      <c r="D198" s="18" t="inlineStr">
        <is>
          <t>Enteric Coating with Cellulose acetate phthalate (CAP)</t>
        </is>
      </c>
      <c r="E198" s="18" t="inlineStr">
        <is>
          <t>Hard Gelatin Capsule filling</t>
        </is>
      </c>
      <c r="F198" s="18" t="inlineStr">
        <is>
          <t>Soft Gelatin Capsule encapsulation</t>
        </is>
      </c>
      <c r="G198" s="18" t="inlineStr">
        <is>
          <t>Microcrystalline cellulose</t>
        </is>
      </c>
      <c r="H198" s="18" t="inlineStr">
        <is>
          <t>Magnesium stearate (Lubricant 1%)</t>
        </is>
      </c>
      <c r="I198" s="18" t="n">
        <v>1</v>
      </c>
      <c r="J198" s="1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18" t="n"/>
      <c r="L198" s="18" t="inlineStr">
        <is>
          <t>Tablet Manufacturing</t>
        </is>
      </c>
      <c r="M198" s="18" t="inlineStr">
        <is>
          <t>Product</t>
        </is>
      </c>
      <c r="N198" s="18" t="inlineStr">
        <is>
          <t>ข้อ 4 (PLE_CC1_Key_Rx20_UBU.md)</t>
        </is>
      </c>
      <c r="O198" s="18" t="inlineStr">
        <is>
          <t>Mock</t>
        </is>
      </c>
      <c r="P198" s="18" t="inlineStr">
        <is>
          <t>Mock Rx20 UBU</t>
        </is>
      </c>
    </row>
    <row r="199">
      <c r="A199" s="18" t="n">
        <v>197</v>
      </c>
      <c r="B199" s="18" t="inlineStr">
        <is>
          <t>ยาเม็ด calcium carbonate เกิด capping ข้อใดไม่ใช่วิธีแก้ปัญหาดังกล่าว</t>
        </is>
      </c>
      <c r="C199" s="18" t="n"/>
      <c r="D199" s="18" t="inlineStr">
        <is>
          <t>Microcrystalline cellulose</t>
        </is>
      </c>
      <c r="E199" s="18" t="inlineStr">
        <is>
          <t>Magnesium stearate (Lubricant 1%)</t>
        </is>
      </c>
      <c r="F199" s="18" t="inlineStr">
        <is>
          <t>Sodium starch glycolate (Superdisintegrant)</t>
        </is>
      </c>
      <c r="G199" s="18" t="inlineStr">
        <is>
          <t>Direct Compression tableting method</t>
        </is>
      </c>
      <c r="H199" s="18" t="inlineStr">
        <is>
          <t>Wet Granulation tableting method</t>
        </is>
      </c>
      <c r="I199" s="18" t="n">
        <v>1</v>
      </c>
      <c r="J199" s="18"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18" t="n"/>
      <c r="L199" s="18" t="inlineStr">
        <is>
          <t>Tablet Defects</t>
        </is>
      </c>
      <c r="M199" s="18" t="inlineStr">
        <is>
          <t>Product</t>
        </is>
      </c>
      <c r="N199" s="18" t="inlineStr">
        <is>
          <t>ข้อ 6 (PLE_CC1_Key_Rx20_UBU.md)</t>
        </is>
      </c>
      <c r="O199" s="18" t="inlineStr">
        <is>
          <t>Mock</t>
        </is>
      </c>
      <c r="P199" s="18" t="inlineStr">
        <is>
          <t>Mock Rx20 UBU</t>
        </is>
      </c>
    </row>
    <row r="200">
      <c r="A200" s="18" t="n">
        <v>198</v>
      </c>
      <c r="B200" s="18" t="inlineStr">
        <is>
          <t>Acyclovir tablet ก็ให้ยาฆ่าเชื้อแบคทีเรีย</t>
        </is>
      </c>
      <c r="C200" s="18" t="n"/>
      <c r="D200" s="18" t="inlineStr">
        <is>
          <t>Direct Compression tableting method</t>
        </is>
      </c>
      <c r="E200" s="18" t="inlineStr">
        <is>
          <t>Wet Granulation tableting method</t>
        </is>
      </c>
      <c r="F200" s="18" t="inlineStr">
        <is>
          <t>Dry Granulation (Roller Compaction)</t>
        </is>
      </c>
      <c r="G200" s="18" t="inlineStr">
        <is>
          <t>Fluidized Bed Granulation</t>
        </is>
      </c>
      <c r="H200" s="18" t="inlineStr">
        <is>
          <t>Film Coating with Hydroxypropyl methylcellulose (HPMC)</t>
        </is>
      </c>
      <c r="I200" s="18" t="n">
        <v>2</v>
      </c>
      <c r="J200" s="18"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18" t="n"/>
      <c r="L200" s="18" t="inlineStr">
        <is>
          <t>Tablet Manufacturing</t>
        </is>
      </c>
      <c r="M200" s="18" t="inlineStr">
        <is>
          <t>Product</t>
        </is>
      </c>
      <c r="N200" s="18" t="inlineStr">
        <is>
          <t>ข้อ 5 (PLE_CC1_Key_Rx20_UBU.md)</t>
        </is>
      </c>
      <c r="O200" s="18" t="inlineStr">
        <is>
          <t>Mock</t>
        </is>
      </c>
      <c r="P200" s="18" t="inlineStr">
        <is>
          <t>Mock Rx20 UBU</t>
        </is>
      </c>
    </row>
    <row r="201">
      <c r="A201" s="18" t="n">
        <v>199</v>
      </c>
      <c r="B201" s="18" t="inlineStr">
        <is>
          <t>การวิเคราะห์ที่ไม่ต้องทำในการวิเคราะห์วัตถุดิบ XXX Tablet</t>
        </is>
      </c>
      <c r="C201" s="18" t="n"/>
      <c r="D201" s="18" t="inlineStr">
        <is>
          <t>Fluidized Bed Granulation</t>
        </is>
      </c>
      <c r="E201" s="18" t="inlineStr">
        <is>
          <t>Film Coating with Hydroxypropyl methylcellulose (HPMC)</t>
        </is>
      </c>
      <c r="F201" s="18" t="inlineStr">
        <is>
          <t>Enteric Coating with Cellulose acetate phthalate (CAP)</t>
        </is>
      </c>
      <c r="G201" s="18" t="inlineStr">
        <is>
          <t>Hard Gelatin Capsule filling</t>
        </is>
      </c>
      <c r="H201" s="18" t="inlineStr">
        <is>
          <t>Soft Gelatin Capsule encapsulation</t>
        </is>
      </c>
      <c r="I201" s="18" t="n">
        <v>1</v>
      </c>
      <c r="J201" s="18"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1" s="18" t="n"/>
      <c r="L201" s="18" t="inlineStr">
        <is>
          <t>Tablet Manufacturing</t>
        </is>
      </c>
      <c r="M201" s="18" t="inlineStr">
        <is>
          <t>Product</t>
        </is>
      </c>
      <c r="N201" s="18" t="inlineStr">
        <is>
          <t>ข้อ 3 (PLE_CC1_Key_Rx20_UBU.md)</t>
        </is>
      </c>
      <c r="O201" s="18" t="inlineStr">
        <is>
          <t>Mock</t>
        </is>
      </c>
      <c r="P201" s="18" t="inlineStr">
        <is>
          <t>Mock Rx20 UBU</t>
        </is>
      </c>
    </row>
    <row r="202">
      <c r="A202" s="18" t="n">
        <v>200</v>
      </c>
      <c r="B202" s="18" t="inlineStr">
        <is>
          <t>ในการผลิต Azithromycin สามารถใช้สารใดเป็น Superdisintegrant</t>
        </is>
      </c>
      <c r="C202" s="18" t="n"/>
      <c r="D202" s="18" t="inlineStr">
        <is>
          <t>Pregelatinized starch</t>
        </is>
      </c>
      <c r="E202" s="18" t="inlineStr">
        <is>
          <t>Sodium lauryl sulfate</t>
        </is>
      </c>
      <c r="F202" s="18" t="inlineStr">
        <is>
          <t>Croscarmellose sodium</t>
        </is>
      </c>
      <c r="G202" s="18" t="inlineStr">
        <is>
          <t>HPMC</t>
        </is>
      </c>
      <c r="H202" s="18" t="inlineStr">
        <is>
          <t>Lactose</t>
        </is>
      </c>
      <c r="I202" s="18" t="n">
        <v>3</v>
      </c>
      <c r="J202" s="18"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ข้อนี้ไม่ใช่คำตอบที่ถูกต้องสำหรับภาวะ Tablet Manufacturing เนื่องจากกลไกการออกฤทธิ์, efficacy หรือข้อบ่งใช้ไม่ตรงกับโจทย์ที่กำหนด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2" s="18" t="n"/>
      <c r="L202" s="18" t="inlineStr">
        <is>
          <t>Tablet Manufacturing</t>
        </is>
      </c>
      <c r="M202" s="18" t="inlineStr">
        <is>
          <t>Product</t>
        </is>
      </c>
      <c r="N202" s="18" t="inlineStr">
        <is>
          <t>ข้อ 26 (PLE_CC1_Key_Rx20_UBU.md)</t>
        </is>
      </c>
      <c r="O202" s="18" t="inlineStr">
        <is>
          <t>Mock</t>
        </is>
      </c>
      <c r="P202" s="18" t="inlineStr">
        <is>
          <t>Mock Rx20 UBU</t>
        </is>
      </c>
    </row>
    <row r="203">
      <c r="A203" s="18" t="n">
        <v>201</v>
      </c>
      <c r="B203" s="18" t="inlineStr">
        <is>
          <t>การผสม Magnesium stearate กับ granule ในขั้นตอนสุดท้าย ใช้เครื่องมือใด</t>
        </is>
      </c>
      <c r="C203" s="18" t="n"/>
      <c r="D203" s="18" t="inlineStr">
        <is>
          <t>High speed mixer</t>
        </is>
      </c>
      <c r="E203" s="18" t="inlineStr">
        <is>
          <t>Planetary mixer</t>
        </is>
      </c>
      <c r="F203" s="18" t="inlineStr">
        <is>
          <t>Sigma blade mixer</t>
        </is>
      </c>
      <c r="G203" s="18" t="inlineStr">
        <is>
          <t>Double-cone mixer</t>
        </is>
      </c>
      <c r="H203" s="18"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203" s="18" t="n">
        <v>2</v>
      </c>
      <c r="J203" s="18"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ข้อนี้ไม่ใช่คำตอบที่ถูกต้องสำหรับภาวะ Powders &amp; Granules เนื่องจากกลไกการออกฤทธิ์, efficacy หรือข้อบ่งใช้ไม่ตรงกับโจทย์ที่กำหนด
• ข้อ ค.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ง. (Double-cone mixer): ข้อนี้ไม่ใช่คำตอบที่ถูกต้องสำหรับภาวะ Powders &amp; Granules เนื่องจากกลไกการออกฤทธิ์, efficacy หรือข้อบ่งใช้ไม่ตรงกับโจทย์ที่กำหนด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3" s="18" t="n"/>
      <c r="L203" s="18" t="inlineStr">
        <is>
          <t>Powders &amp; Granules</t>
        </is>
      </c>
      <c r="M203" s="18" t="inlineStr">
        <is>
          <t>Product</t>
        </is>
      </c>
      <c r="N203" s="18" t="inlineStr">
        <is>
          <t>ข้อ 37 (PLE_CC1_Key_Rx20_UBU.md)</t>
        </is>
      </c>
      <c r="O203" s="18" t="inlineStr">
        <is>
          <t>Mock</t>
        </is>
      </c>
      <c r="P203" s="18" t="inlineStr">
        <is>
          <t>Mock Rx20 UBU</t>
        </is>
      </c>
    </row>
    <row r="204">
      <c r="A204" s="18" t="n">
        <v>202</v>
      </c>
      <c r="B204" s="18" t="inlineStr">
        <is>
          <t>เพราะเหตุใด Omeprazole จึงต้องทำเป็น Enteric-coated tablet</t>
        </is>
      </c>
      <c r="C204" s="18" t="n"/>
      <c r="D204" s="18" t="inlineStr">
        <is>
          <t>Acid labile</t>
        </is>
      </c>
      <c r="E204" s="18" t="inlineStr">
        <is>
          <t>Heat labile</t>
        </is>
      </c>
      <c r="F204" s="18" t="inlineStr">
        <is>
          <t>high molecular weight</t>
        </is>
      </c>
      <c r="G204" s="18" t="inlineStr">
        <is>
          <t>short half-life</t>
        </is>
      </c>
      <c r="H204" s="18" t="inlineStr">
        <is>
          <t>lipophilicity</t>
        </is>
      </c>
      <c r="I204" s="18" t="n">
        <v>1</v>
      </c>
      <c r="J204" s="18"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ข้อนี้ไม่ใช่คำตอบที่ถูกต้องสำหรับภาวะ Tablet Coating เนื่องจากกลไกการออกฤทธิ์, efficacy หรือข้อบ่งใช้ไม่ตรงกับโจทย์ที่กำหนด
• ข้อ ค. (high molecular weight): ข้อนี้ไม่ใช่คำตอบที่ถูกต้องสำหรับภาวะ Tablet Coating เนื่องจากกลไกการออกฤทธิ์, efficacy หรือข้อบ่งใช้ไม่ตรงกับโจทย์ที่กำหนด
• ข้อ ง. (short half-life): ข้อนี้ไม่ใช่คำตอบที่ถูกต้องสำหรับภาวะ Tablet Coating เนื่องจากกลไกการออกฤทธิ์, efficacy หรือข้อบ่งใช้ไม่ตรงกับโจทย์ที่กำหนด
• ข้อ จ. (lipophilicity):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4" s="18" t="n"/>
      <c r="L204" s="18" t="inlineStr">
        <is>
          <t>Tablet Coating</t>
        </is>
      </c>
      <c r="M204" s="18" t="inlineStr">
        <is>
          <t>Product</t>
        </is>
      </c>
      <c r="N204" s="18" t="inlineStr">
        <is>
          <t>ข้อ 51 (PLE_CC1_Key_Rx20_UBU.md)</t>
        </is>
      </c>
      <c r="O204" s="18" t="inlineStr">
        <is>
          <t>Mock</t>
        </is>
      </c>
      <c r="P204" s="18" t="inlineStr">
        <is>
          <t>Mock Rx20 UBU</t>
        </is>
      </c>
    </row>
    <row r="205">
      <c r="A205" s="18" t="n">
        <v>203</v>
      </c>
      <c r="B205" s="18" t="inlineStr">
        <is>
          <t>Metformin 500 mg tablet มีปัญหาน้ำหนักเม็ดยาไม่สม่ำเสมอแก้ปัญหาได้โดยวิธีเติมสารใด</t>
        </is>
      </c>
      <c r="C205" s="18" t="n"/>
      <c r="D205" s="18" t="inlineStr">
        <is>
          <t>Colloidal silicon dioxide + Talcum</t>
        </is>
      </c>
      <c r="E205" s="18" t="inlineStr">
        <is>
          <t>Lactose + Corn starch</t>
        </is>
      </c>
      <c r="F205" s="18" t="inlineStr">
        <is>
          <t>Sodium starch glycolate + …</t>
        </is>
      </c>
      <c r="G205" s="18" t="inlineStr">
        <is>
          <t>Magnesium stearte + Lactose</t>
        </is>
      </c>
      <c r="H205" s="18"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205" s="18" t="n">
        <v>3</v>
      </c>
      <c r="J205" s="18"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5" s="18" t="n"/>
      <c r="L205" s="18" t="inlineStr">
        <is>
          <t>Tablet Manufacturing</t>
        </is>
      </c>
      <c r="M205" s="18" t="inlineStr">
        <is>
          <t>Product</t>
        </is>
      </c>
      <c r="N205" s="18" t="inlineStr">
        <is>
          <t>ข้อ 25 (PLE_CC1_Key_Rx20_UBU.md)</t>
        </is>
      </c>
      <c r="O205" s="18" t="inlineStr">
        <is>
          <t>Mock</t>
        </is>
      </c>
      <c r="P205" s="18" t="inlineStr">
        <is>
          <t>Mock Rx20 UBU</t>
        </is>
      </c>
    </row>
    <row r="206">
      <c r="A206" s="18" t="n">
        <v>204</v>
      </c>
      <c r="B206" s="18" t="inlineStr">
        <is>
          <t>dosage form ของ clotrimazole vaginal tablet สามารถเรียกอีกชื่อหนึ่งได้ว่าอะไร</t>
        </is>
      </c>
      <c r="C206" s="18" t="n"/>
      <c r="D206" s="18" t="inlineStr">
        <is>
          <t>lozenges</t>
        </is>
      </c>
      <c r="E206" s="18" t="inlineStr">
        <is>
          <t>troches</t>
        </is>
      </c>
      <c r="F206" s="18" t="inlineStr">
        <is>
          <t>pessaries</t>
        </is>
      </c>
      <c r="G206" s="18" t="inlineStr">
        <is>
          <t>enemas</t>
        </is>
      </c>
      <c r="H206" s="18" t="inlineStr">
        <is>
          <t>pills</t>
        </is>
      </c>
      <c r="I206" s="18" t="n">
        <v>3</v>
      </c>
      <c r="J206" s="18"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ข้อนี้ไม่ใช่คำตอบที่ถูกต้องสำหรับภาวะ Tablet Manufacturing เนื่องจากกลไกการออกฤทธิ์, efficacy หรือข้อบ่งใช้ไม่ตรงกับโจทย์ที่กำหนด
• ข้อ ข. (troches): ข้อนี้ไม่ใช่คำตอบที่ถูกต้องสำหรับภาวะ Tablet Manufacturing เนื่องจากกลไกการออกฤทธิ์, efficacy หรือข้อบ่งใช้ไม่ตรงกับโจทย์ที่กำหนด
• ข้อ ง. (enemas): ข้อนี้ไม่ใช่คำตอบที่ถูกต้องสำหรับภาวะ Tablet Manufacturing เนื่องจากกลไกการออกฤทธิ์, efficacy หรือข้อบ่งใช้ไม่ตรงกับโจทย์ที่กำหนด
• ข้อ จ. (pills):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6" s="18" t="n"/>
      <c r="L206" s="18" t="inlineStr">
        <is>
          <t>Tablet Manufacturing</t>
        </is>
      </c>
      <c r="M206" s="18" t="inlineStr">
        <is>
          <t>Product</t>
        </is>
      </c>
      <c r="N206" s="18" t="inlineStr">
        <is>
          <t>ข้อ 34 (PLE_CC1_Key_Rx20_UBU.md)</t>
        </is>
      </c>
      <c r="O206" s="18" t="inlineStr">
        <is>
          <t>Mock</t>
        </is>
      </c>
      <c r="P206" s="18" t="inlineStr">
        <is>
          <t>Mock Rx20 UBU</t>
        </is>
      </c>
    </row>
    <row r="207">
      <c r="A207" s="18" t="n">
        <v>205</v>
      </c>
      <c r="B207" s="18"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207" s="18" t="n"/>
      <c r="D207" s="18" t="inlineStr">
        <is>
          <t>เม็ดยามีความ Hydrophobic มากเกินไป</t>
        </is>
      </c>
      <c r="E207" s="18" t="inlineStr">
        <is>
          <t>ตำรับฟิล์มขาด Plasticizer</t>
        </is>
      </c>
      <c r="F207" s="18" t="inlineStr">
        <is>
          <t>ตำรับฟิล์มขาด Anti-tacking agent</t>
        </is>
      </c>
      <c r="G207" s="18" t="inlineStr">
        <is>
          <t>ความเข้มข้นของตำรับฟิล์มน้อยเกินไป</t>
        </is>
      </c>
      <c r="H207" s="18" t="inlineStr">
        <is>
          <t>เม็ดยาชื้นเกินไป การเตรียมฟิล์มเคลือบยา ส่วนประกอบสำคัญให้น้ำยาเคลือบดี ไม่ขาดร่อนคือการใส่ plasticizer</t>
        </is>
      </c>
      <c r="I207" s="18" t="n">
        <v>2</v>
      </c>
      <c r="J207" s="18"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ข้อนี้ไม่ใช่คำตอบที่ถูกต้องสำหรับภาวะ Tablet Coating เนื่องจากกลไกการออกฤทธิ์, efficacy หรือข้อบ่งใช้ไม่ตรงกับโจทย์ที่กำหนด
• ข้อ ค. (ตำรับฟิล์มขาด Anti-tacking agent): ข้อนี้ไม่ใช่คำตอบที่ถูกต้องสำหรับภาวะ Tablet Coating เนื่องจากกลไกการออกฤทธิ์, efficacy หรือข้อบ่งใช้ไม่ตรงกับโจทย์ที่กำหนด
• ข้อ ง. (ความเข้มข้นของตำรับฟิล์มน้อยเกินไป): ข้อนี้ไม่ใช่คำตอบที่ถูกต้องสำหรับภาวะ Tablet Coating เนื่องจากกลไกการออกฤทธิ์, efficacy หรือข้อบ่งใช้ไม่ตรงกับโจทย์ที่กำหนด
• ข้อ จ. (เม็ดยาชื้นเกินไป การเตรียมฟิล์มเคลือบยา ส่วนประกอบสำคัญให้น้ำยาเคลือบดี ไม่ขาดร่อนคือการใส่ plasticizer):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7" s="18" t="n"/>
      <c r="L207" s="18" t="inlineStr">
        <is>
          <t>Tablet Coating</t>
        </is>
      </c>
      <c r="M207" s="18" t="inlineStr">
        <is>
          <t>Product</t>
        </is>
      </c>
      <c r="N207" s="18" t="inlineStr">
        <is>
          <t>ข้อ 70 (PLE_CC1_Key_Rx20_UBU.md)</t>
        </is>
      </c>
      <c r="O207" s="18" t="inlineStr">
        <is>
          <t>Mock</t>
        </is>
      </c>
      <c r="P207" s="18" t="inlineStr">
        <is>
          <t>Mock Rx20 UBU</t>
        </is>
      </c>
    </row>
    <row r="208">
      <c r="A208" s="18" t="n">
        <v>206</v>
      </c>
      <c r="B208" s="18" t="inlineStr">
        <is>
          <t>Magnesium stearate ทำหน้าที่อะไร</t>
        </is>
      </c>
      <c r="C208" s="18" t="n"/>
      <c r="D208" s="18" t="inlineStr">
        <is>
          <t>เพิ่มมวลของเม็ดยา</t>
        </is>
      </c>
      <c r="E208" s="18" t="inlineStr">
        <is>
          <t>ทำให้เม็ดยาแข็งขึ้น</t>
        </is>
      </c>
      <c r="F208" s="18" t="inlineStr">
        <is>
          <t>ทำให้เม็ดยาเกาะกันได้ดีขึ้น</t>
        </is>
      </c>
      <c r="G208" s="18" t="inlineStr">
        <is>
          <t>ช่วยทำให้เม็ดยามีความแข็งมากขึ้น</t>
        </is>
      </c>
      <c r="H208" s="18" t="inlineStr">
        <is>
          <t>ทำให้ไม่ติด punch-die</t>
        </is>
      </c>
      <c r="I208" s="18" t="n">
        <v>5</v>
      </c>
      <c r="J208" s="18"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ข้อนี้ไม่ใช่คำตอบที่ถูกต้องสำหรับภาวะ Tablet Manufacturing เนื่องจากกลไกการออกฤทธิ์, efficacy หรือข้อบ่งใช้ไม่ตรงกับโจทย์ที่กำหนด
• ข้อ ข. (ทำให้เม็ดยาแข็งขึ้น): ข้อนี้ไม่ใช่คำตอบที่ถูกต้องสำหรับภาวะ Tablet Manufacturing เนื่องจากกลไกการออกฤทธิ์, efficacy หรือข้อบ่งใช้ไม่ตรงกับโจทย์ที่กำหนด
• ข้อ ค. (ทำให้เม็ดยาเกาะกันได้ดีขึ้น): ข้อนี้ไม่ใช่คำตอบที่ถูกต้องสำหรับภาวะ Tablet Manufacturing เนื่องจากกลไกการออกฤทธิ์, efficacy หรือข้อบ่งใช้ไม่ตรงกับโจทย์ที่กำหนด
• ข้อ ง. (ช่วยทำให้เม็ดยามีความแข็งมากขึ้น):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8" s="18" t="n"/>
      <c r="L208" s="18" t="inlineStr">
        <is>
          <t>Tablet Manufacturing</t>
        </is>
      </c>
      <c r="M208" s="18" t="inlineStr">
        <is>
          <t>Product</t>
        </is>
      </c>
      <c r="N208" s="18" t="inlineStr">
        <is>
          <t>ข้อ 88 (PLE_CC1_Key_Rx20_UBU.md)</t>
        </is>
      </c>
      <c r="O208" s="18" t="inlineStr">
        <is>
          <t>Mock</t>
        </is>
      </c>
      <c r="P208" s="18" t="inlineStr">
        <is>
          <t>Mock Rx20 UBU</t>
        </is>
      </c>
    </row>
    <row r="209">
      <c r="A209" s="18" t="n">
        <v>207</v>
      </c>
      <c r="B209" s="18" t="inlineStr">
        <is>
          <t>ยาเม็ดสีฟ้าขาว แบ่งจากบริษัท A บรรจุใส่กระปุก 3 กระปุก โดยติดฉลากใหม่ว่า “พอนสะแตน”</t>
        </is>
      </c>
      <c r="C209" s="18" t="n"/>
      <c r="D209" s="18" t="inlineStr">
        <is>
          <t>Enteric Coating with Cellulose acetate phthalate (CAP)</t>
        </is>
      </c>
      <c r="E209" s="18" t="inlineStr">
        <is>
          <t>Hard Gelatin Capsule filling</t>
        </is>
      </c>
      <c r="F209" s="18" t="inlineStr">
        <is>
          <t>Soft Gelatin Capsule encapsulation</t>
        </is>
      </c>
      <c r="G209" s="18" t="inlineStr">
        <is>
          <t>Microcrystalline cellulose</t>
        </is>
      </c>
      <c r="H209" s="18" t="inlineStr">
        <is>
          <t>Magnesium stearate (Lubricant 1%)</t>
        </is>
      </c>
      <c r="I209" s="18" t="n">
        <v>1</v>
      </c>
      <c r="J209" s="1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 s="18" t="n"/>
      <c r="L209" s="18" t="inlineStr">
        <is>
          <t>Tablet Manufacturing</t>
        </is>
      </c>
      <c r="M209" s="18" t="inlineStr">
        <is>
          <t>Product</t>
        </is>
      </c>
      <c r="N209" s="18" t="inlineStr">
        <is>
          <t>ข้อ 2 (PLE_CC1_Key_Rx20_UBU.md)</t>
        </is>
      </c>
      <c r="O209" s="18" t="inlineStr">
        <is>
          <t>Mock</t>
        </is>
      </c>
      <c r="P209" s="18" t="inlineStr">
        <is>
          <t>Mock Rx20 UBU</t>
        </is>
      </c>
    </row>
    <row r="210">
      <c r="A210" s="18" t="n">
        <v>208</v>
      </c>
      <c r="B210" s="18" t="inlineStr">
        <is>
          <t>ยาเม็ดกลมสีเหลือง และเม็ดกลมสีขาว จัดเป็นชุดใส่ซอง เตรียมไว้ล่วงหน้า เขียนฉลากว่า แก้ปวด จำนวน 36 ซอง</t>
        </is>
      </c>
      <c r="C210" s="18" t="n"/>
      <c r="D210" s="18" t="inlineStr">
        <is>
          <t>Microcrystalline cellulose</t>
        </is>
      </c>
      <c r="E210" s="18" t="inlineStr">
        <is>
          <t>Magnesium stearate (Lubricant 1%)</t>
        </is>
      </c>
      <c r="F210" s="18" t="inlineStr">
        <is>
          <t>Sodium starch glycolate (Superdisintegrant)</t>
        </is>
      </c>
      <c r="G210" s="18" t="inlineStr">
        <is>
          <t>Direct Compression tableting method</t>
        </is>
      </c>
      <c r="H210" s="18" t="inlineStr">
        <is>
          <t>Wet Granulation tableting method</t>
        </is>
      </c>
      <c r="I210" s="18" t="n">
        <v>1</v>
      </c>
      <c r="J210" s="1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0" s="18" t="n"/>
      <c r="L210" s="18" t="inlineStr">
        <is>
          <t>Tablet Manufacturing</t>
        </is>
      </c>
      <c r="M210" s="18" t="inlineStr">
        <is>
          <t>Product</t>
        </is>
      </c>
      <c r="N210" s="18" t="inlineStr">
        <is>
          <t>ข้อ 3 (PLE_CC1_Key_Rx20_UBU.md)</t>
        </is>
      </c>
      <c r="O210" s="18" t="inlineStr">
        <is>
          <t>Mock</t>
        </is>
      </c>
      <c r="P210" s="18" t="inlineStr">
        <is>
          <t>Mock Rx20 UBU</t>
        </is>
      </c>
    </row>
    <row r="211">
      <c r="A211" s="18" t="n">
        <v>209</v>
      </c>
      <c r="B211" s="18"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211" s="18" t="n"/>
      <c r="D211" s="18" t="inlineStr">
        <is>
          <t>Direct Compression tableting method</t>
        </is>
      </c>
      <c r="E211" s="18" t="inlineStr">
        <is>
          <t>Wet Granulation tableting method</t>
        </is>
      </c>
      <c r="F211" s="18" t="inlineStr">
        <is>
          <t>Dry Granulation (Roller Compaction)</t>
        </is>
      </c>
      <c r="G211" s="18" t="inlineStr">
        <is>
          <t>Fluidized Bed Granulation</t>
        </is>
      </c>
      <c r="H211" s="18" t="inlineStr">
        <is>
          <t>Film Coating with Hydroxypropyl methylcellulose (HPMC)</t>
        </is>
      </c>
      <c r="I211" s="18" t="n">
        <v>1</v>
      </c>
      <c r="J211" s="1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1" s="18" t="n"/>
      <c r="L211" s="18" t="inlineStr">
        <is>
          <t>Tablet Manufacturing</t>
        </is>
      </c>
      <c r="M211" s="18" t="inlineStr">
        <is>
          <t>Product</t>
        </is>
      </c>
      <c r="N211" s="18" t="inlineStr">
        <is>
          <t>ข้อ 4 (PLE_CC1_Key_Rx20_UBU.md)</t>
        </is>
      </c>
      <c r="O211" s="18" t="inlineStr">
        <is>
          <t>Mock</t>
        </is>
      </c>
      <c r="P211" s="18" t="inlineStr">
        <is>
          <t>Mock Rx20 UBU</t>
        </is>
      </c>
    </row>
    <row r="212">
      <c r="A212" s="18" t="n">
        <v>210</v>
      </c>
      <c r="B212" s="18" t="inlineStr">
        <is>
          <t>กรณีพบยาเม็ดฟ้าขาว บรรจุกระปุก ฉลากระบุ “พอนสะแตน” ใครผิด ผิดอย่างไร</t>
        </is>
      </c>
      <c r="C212" s="18" t="n"/>
      <c r="D212" s="18" t="inlineStr">
        <is>
          <t>นาย ค ผิด ฐานขายยาปลอม</t>
        </is>
      </c>
      <c r="E212" s="18" t="inlineStr">
        <is>
          <t>นาง ข ผิด ฐานขายยาปลอม</t>
        </is>
      </c>
      <c r="F212" s="18" t="inlineStr">
        <is>
          <t>ภญ. ก ผิด ฐานผลิตยาปลอม</t>
        </is>
      </c>
      <c r="G212" s="18" t="inlineStr">
        <is>
          <t>ภญ. ก ผิด ฐานผลิตยาที่ไม่ได้ขึ้นทะเบียน</t>
        </is>
      </c>
      <c r="H212" s="18" t="inlineStr">
        <is>
          <t>ภญ. ก ผิด ฐานฉลากไม่ครบถ้วน</t>
        </is>
      </c>
      <c r="I212" s="18" t="n">
        <v>3</v>
      </c>
      <c r="J212" s="18"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ข. (นาง ข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ง. (ภญ. ก ผิด ฐานผลิตยาที่ไม่ได้ขึ้นทะเบียน): ข้อนี้ไม่ใช่คำตอบที่ถูกต้องสำหรับภาวะ Tablet Manufacturing เนื่องจากกลไกการออกฤทธิ์, efficacy หรือข้อบ่งใช้ไม่ตรงกับโจทย์ที่กำหนด
• ข้อ จ. (ภญ. ก ผิด ฐานฉลากไม่ครบถ้วน):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2" s="18" t="n"/>
      <c r="L212" s="18" t="inlineStr">
        <is>
          <t>Tablet Manufacturing</t>
        </is>
      </c>
      <c r="M212" s="18" t="inlineStr">
        <is>
          <t>Product</t>
        </is>
      </c>
      <c r="N212" s="18" t="inlineStr">
        <is>
          <t>ข้อ 111 (PLE_CC1_Key_Rx20_UBU.md)</t>
        </is>
      </c>
      <c r="O212" s="18" t="inlineStr">
        <is>
          <t>Mock</t>
        </is>
      </c>
      <c r="P212" s="18" t="inlineStr">
        <is>
          <t>Mock Rx20 UBU</t>
        </is>
      </c>
    </row>
    <row r="213">
      <c r="A213" s="18" t="n">
        <v>211</v>
      </c>
      <c r="B213" s="18" t="inlineStr">
        <is>
          <t>ตำรับ calcium carbonate effervescent tablet เอาออกจากขวดพบว่าเกิดการเยิ้มเหลว เหนียว เกิดจากปริมาณสารใดมากเกินไปในตำรับ</t>
        </is>
      </c>
      <c r="C213" s="18" t="n"/>
      <c r="D213" s="18" t="inlineStr">
        <is>
          <t>Citric acid</t>
        </is>
      </c>
      <c r="E213" s="18" t="inlineStr">
        <is>
          <t>Tartaric acid</t>
        </is>
      </c>
      <c r="F213" s="18" t="inlineStr">
        <is>
          <t>Sodium bicarbinate</t>
        </is>
      </c>
      <c r="G213" s="18" t="inlineStr">
        <is>
          <t>Sodium carbonate</t>
        </is>
      </c>
      <c r="H213" s="18"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213" s="18" t="n">
        <v>4</v>
      </c>
      <c r="J213" s="18"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ข้อนี้ไม่ใช่คำตอบที่ถูกต้องสำหรับภาวะ Tablet Manufacturing เนื่องจากกลไกการออกฤทธิ์, efficacy หรือข้อบ่งใช้ไม่ตรงกับโจทย์ที่กำหนด
• ข้อ ข. (Tartaric acid): ข้อนี้ไม่ใช่คำตอบที่ถูกต้องสำหรับภาวะ Tablet Manufacturing เนื่องจากกลไกการออกฤทธิ์, efficacy หรือข้อบ่งใช้ไม่ตรงกับโจทย์ที่กำหนด
• ข้อ ค. (Sodium bicarbinate): ข้อนี้ไม่ใช่คำตอบที่ถูกต้องสำหรับภาวะ Tablet Manufacturing เนื่องจากกลไกการออกฤทธิ์, efficacy หรือข้อบ่งใช้ไม่ตรงกับโจทย์ที่กำหนด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3" s="18" t="n"/>
      <c r="L213" s="18" t="inlineStr">
        <is>
          <t>Tablet Manufacturing</t>
        </is>
      </c>
      <c r="M213" s="18" t="inlineStr">
        <is>
          <t>Product</t>
        </is>
      </c>
      <c r="N213" s="18" t="inlineStr">
        <is>
          <t>ข้อ 8 (PLE_CC1_Key_Rx20_UBU.md)</t>
        </is>
      </c>
      <c r="O213" s="18" t="inlineStr">
        <is>
          <t>Mock</t>
        </is>
      </c>
      <c r="P213" s="18" t="inlineStr">
        <is>
          <t>Mock Rx20 UBU</t>
        </is>
      </c>
    </row>
    <row r="214">
      <c r="A214" s="18" t="n">
        <v>212</v>
      </c>
      <c r="B214" s="18"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214" s="18" t="n"/>
      <c r="D214" s="18" t="inlineStr">
        <is>
          <t>Magnesium stearate (Lubricant 1%)</t>
        </is>
      </c>
      <c r="E214" s="18" t="inlineStr">
        <is>
          <t>Sodium starch glycolate (Superdisintegrant)</t>
        </is>
      </c>
      <c r="F214" s="18" t="inlineStr">
        <is>
          <t>Direct Compression tableting method</t>
        </is>
      </c>
      <c r="G214" s="18" t="inlineStr">
        <is>
          <t>Wet Granulation tableting method</t>
        </is>
      </c>
      <c r="H214" s="18" t="inlineStr">
        <is>
          <t>Dry Granulation (Roller Compaction)</t>
        </is>
      </c>
      <c r="I214" s="18" t="n">
        <v>1</v>
      </c>
      <c r="J214" s="18"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4" s="18" t="n"/>
      <c r="L214" s="18" t="inlineStr">
        <is>
          <t>Powders &amp; Granules</t>
        </is>
      </c>
      <c r="M214" s="18" t="inlineStr">
        <is>
          <t>Product</t>
        </is>
      </c>
      <c r="N214" s="18" t="inlineStr">
        <is>
          <t>ข้อ 1 (PLE_CC1_Key_Rx20_UBU.md)</t>
        </is>
      </c>
      <c r="O214" s="18" t="inlineStr">
        <is>
          <t>Mock</t>
        </is>
      </c>
      <c r="P214" s="18" t="inlineStr">
        <is>
          <t>Mock Rx20 UBU</t>
        </is>
      </c>
    </row>
    <row r="215">
      <c r="A215" s="18" t="n">
        <v>213</v>
      </c>
      <c r="B215" s="18"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215" s="18" t="n"/>
      <c r="D215" s="18" t="inlineStr">
        <is>
          <t>ไม่สามารถทำการศึกษาไปข้างหน้าได้</t>
        </is>
      </c>
      <c r="E215" s="18" t="inlineStr">
        <is>
          <t>ใช้การศึกษา cost - analysis</t>
        </is>
      </c>
      <c r="F215" s="18" t="inlineStr">
        <is>
          <t>ดูผล QALY เป็นการศึกษาแบบ Cost - benefit</t>
        </is>
      </c>
      <c r="G215" s="18" t="inlineStr">
        <is>
          <t>ค่าเดินทางไปรักษาเป็นต้นทุนทางอ้อม</t>
        </is>
      </c>
      <c r="H215" s="18"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215" s="18" t="n">
        <v>1</v>
      </c>
      <c r="J215" s="18"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ข้อนี้ไม่ใช่คำตอบที่ถูกต้องสำหรับภาวะ Powders &amp; Granules เนื่องจากกลไกการออกฤทธิ์, efficacy หรือข้อบ่งใช้ไม่ตรงกับโจทย์ที่กำหนด
• ข้อ ค. (ดูผล QALY เป็นการศึกษาแบบ Cost - benefit): ข้อนี้ไม่ใช่คำตอบที่ถูกต้องสำหรับภาวะ Powders &amp; Granules เนื่องจากกลไกการออกฤทธิ์, efficacy หรือข้อบ่งใช้ไม่ตรงกับโจทย์ที่กำหนด
• ข้อ ง. (ค่าเดินทางไปรักษาเป็นต้นทุนทางอ้อม): ข้อนี้ไม่ใช่คำตอบที่ถูกต้องสำหรับภาวะ Powders &amp; Granules เนื่องจากกลไกการออกฤทธิ์, efficacy หรือข้อบ่งใช้ไม่ตรงกับโจทย์ที่กำหนด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5" s="18" t="n"/>
      <c r="L215" s="18" t="inlineStr">
        <is>
          <t>Powders &amp; Granules</t>
        </is>
      </c>
      <c r="M215" s="18" t="inlineStr">
        <is>
          <t>Product</t>
        </is>
      </c>
      <c r="N215" s="18" t="inlineStr">
        <is>
          <t>ข้อ 3 (PLE_CC1_Key_Rx20_UBU.md)</t>
        </is>
      </c>
      <c r="O215" s="18" t="inlineStr">
        <is>
          <t>Mock</t>
        </is>
      </c>
      <c r="P215" s="18" t="inlineStr">
        <is>
          <t>Mock Rx20 UBU</t>
        </is>
      </c>
    </row>
    <row r="216">
      <c r="A216" s="18" t="n">
        <v>214</v>
      </c>
      <c r="B216" s="18" t="inlineStr">
        <is>
          <t>Subcoating เพื่อให้ได้ขอบยาเม็ดกลมมน</t>
        </is>
      </c>
      <c r="C216" s="18" t="n"/>
      <c r="D216" s="18" t="inlineStr">
        <is>
          <t>Film Coating with Hydroxypropyl methylcellulose (HPMC)</t>
        </is>
      </c>
      <c r="E216" s="18" t="inlineStr">
        <is>
          <t>Enteric Coating with Cellulose acetate phthalate (CAP)</t>
        </is>
      </c>
      <c r="F216" s="18" t="inlineStr">
        <is>
          <t>Hard Gelatin Capsule filling</t>
        </is>
      </c>
      <c r="G216" s="18" t="inlineStr">
        <is>
          <t>Soft Gelatin Capsule encapsulation</t>
        </is>
      </c>
      <c r="H216" s="18" t="inlineStr">
        <is>
          <t>Microcrystalline cellulose</t>
        </is>
      </c>
      <c r="I216" s="18" t="n">
        <v>1</v>
      </c>
      <c r="J216" s="1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6" s="18" t="n"/>
      <c r="L216" s="18" t="inlineStr">
        <is>
          <t>Tablet Coating</t>
        </is>
      </c>
      <c r="M216" s="18" t="inlineStr">
        <is>
          <t>Product</t>
        </is>
      </c>
      <c r="N216" s="18" t="inlineStr">
        <is>
          <t>ข้อ 2 (PLE_CC1_Key_Rx20_UBU.md)</t>
        </is>
      </c>
      <c r="O216" s="18" t="inlineStr">
        <is>
          <t>Mock</t>
        </is>
      </c>
      <c r="P216" s="18" t="inlineStr">
        <is>
          <t>Mock Rx20 UBU</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134"/>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18" t="inlineStr">
        <is>
          <t>ประเภทข้อสอบ</t>
        </is>
      </c>
      <c r="P2" s="18" t="inlineStr">
        <is>
          <t>ปี / เลขชุด</t>
        </is>
      </c>
    </row>
    <row r="3">
      <c r="A3" s="15" t="inlineStr">
        <is>
          <t>2</t>
        </is>
      </c>
      <c r="B3" s="18" t="inlineStr">
        <is>
          <t>แพทย์สั่งยา : Ferrous sulphate syrup (25mg/5mL) PO BID PC (ใช้ตอบข้อ 52-54)
ส่วนประกอบใน Multivitamin syrup ในข้อใด มีอันตรกิริยากับยา Ferrous sulphate syrup</t>
        </is>
      </c>
      <c r="C3" s="18" t="inlineStr"/>
      <c r="D3" s="18" t="inlineStr">
        <is>
          <t>Lysine</t>
        </is>
      </c>
      <c r="E3" s="18" t="inlineStr">
        <is>
          <t>Nicotinamide</t>
        </is>
      </c>
      <c r="F3" s="18" t="inlineStr">
        <is>
          <t>D-panthenol</t>
        </is>
      </c>
      <c r="G3" s="18" t="inlineStr">
        <is>
          <t>Vitamin D</t>
        </is>
      </c>
      <c r="H3" s="18" t="inlineStr">
        <is>
          <t>Calcium</t>
        </is>
      </c>
      <c r="I3" s="15" t="inlineStr">
        <is>
          <t>5</t>
        </is>
      </c>
      <c r="J3" s="18"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18" t="inlineStr"/>
      <c r="L3" s="18" t="inlineStr">
        <is>
          <t>Solutions, Syrups &amp; Elixirs</t>
        </is>
      </c>
      <c r="M3" s="18" t="inlineStr">
        <is>
          <t>Product</t>
        </is>
      </c>
      <c r="N3" s="18" t="inlineStr">
        <is>
          <t>Mock PLE-CC 1 ข้อ 53</t>
        </is>
      </c>
      <c r="O3" s="18" t="inlineStr">
        <is>
          <t>Mock</t>
        </is>
      </c>
      <c r="P3" s="18" t="inlineStr">
        <is>
          <t>Mock RxCU83</t>
        </is>
      </c>
      <c r="Q3" s="18" t="inlineStr"/>
    </row>
    <row r="4">
      <c r="A4" s="15" t="inlineStr">
        <is>
          <t>3</t>
        </is>
      </c>
      <c r="B4" s="18" t="inlineStr">
        <is>
          <t>แพทย์สั่งยา : Ferrous sulphate syrup (25mg/5mL) PO BID PC (ใช้ตอบข้อ 52-54)
ข้อใดคืออาการไม่พึงประสงค์จากการรับประทานธาตุเหล็ก</t>
        </is>
      </c>
      <c r="C4" s="18" t="inlineStr"/>
      <c r="D4" s="18" t="inlineStr">
        <is>
          <t>ขาดวิตามินบี 12</t>
        </is>
      </c>
      <c r="E4" s="18" t="inlineStr">
        <is>
          <t>ท้องผูก</t>
        </is>
      </c>
      <c r="F4" s="18" t="inlineStr">
        <is>
          <t>ปัสสาวะสีดำ</t>
        </is>
      </c>
      <c r="G4" s="18" t="inlineStr">
        <is>
          <t>ปวดศีรษะ</t>
        </is>
      </c>
      <c r="H4" s="18" t="inlineStr">
        <is>
          <t>เป็นแผลในกระเพาะปัสสาวะ</t>
        </is>
      </c>
      <c r="I4" s="15" t="inlineStr">
        <is>
          <t>2</t>
        </is>
      </c>
      <c r="J4" s="18"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18" t="inlineStr"/>
      <c r="L4" s="18" t="inlineStr">
        <is>
          <t>Solutions, Syrups &amp; Elixirs</t>
        </is>
      </c>
      <c r="M4" s="18" t="inlineStr">
        <is>
          <t>Product</t>
        </is>
      </c>
      <c r="N4" s="18" t="inlineStr">
        <is>
          <t>Mock PLE-CC 1 ข้อ 54</t>
        </is>
      </c>
      <c r="O4" s="18" t="inlineStr">
        <is>
          <t>Mock</t>
        </is>
      </c>
      <c r="P4" s="18" t="inlineStr">
        <is>
          <t>Mock RxCU83</t>
        </is>
      </c>
      <c r="Q4" s="18" t="inlineStr"/>
    </row>
    <row r="5">
      <c r="A5" s="15" t="inlineStr">
        <is>
          <t>4</t>
        </is>
      </c>
      <c r="B5" s="18" t="inlineStr">
        <is>
          <t>แพทย์สั่งยา : Ferrous sulphate syrup (25mg/5mL) PO BID PC (ใช้ตอบข้อ 52-54)
กลไกการออกฤทธิ์ของ Ferrous sulphate ในการรักษาภาวะโลหิตจางคือข้อใด</t>
        </is>
      </c>
      <c r="C5" s="18" t="inlineStr"/>
      <c r="D5" s="18" t="inlineStr">
        <is>
          <t>เพิ่มการสร้าง erythropoietin จากไต</t>
        </is>
      </c>
      <c r="E5" s="18" t="inlineStr">
        <is>
          <t>เพิ่มการสร้าง instrinsic factor จากกระเพาะอาหาร</t>
        </is>
      </c>
      <c r="F5" s="18" t="inlineStr">
        <is>
          <t>จัดหาเหล็กในรูปของ ferrous สำหรับการสร้าง heme และ hemoglobin</t>
        </is>
      </c>
      <c r="G5" s="18" t="inlineStr">
        <is>
          <t>ยับยั้งการทำลายเม็ดเลือดจากม้าม</t>
        </is>
      </c>
      <c r="H5" s="18" t="inlineStr">
        <is>
          <t>เพิ่มการสร้าง transferrin โดยตรง</t>
        </is>
      </c>
      <c r="I5" s="15" t="inlineStr">
        <is>
          <t>3</t>
        </is>
      </c>
      <c r="J5" s="18"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18" t="inlineStr"/>
      <c r="L5" s="18" t="inlineStr">
        <is>
          <t>Solutions, Syrups &amp; Elixirs</t>
        </is>
      </c>
      <c r="M5" s="18" t="inlineStr">
        <is>
          <t>Product</t>
        </is>
      </c>
      <c r="N5" s="18" t="inlineStr">
        <is>
          <t>Mock PLE-CC 1 ข้อ 55</t>
        </is>
      </c>
      <c r="O5" s="18" t="inlineStr">
        <is>
          <t>Mock</t>
        </is>
      </c>
      <c r="P5" s="18" t="inlineStr">
        <is>
          <t>Mock RxCU83</t>
        </is>
      </c>
      <c r="Q5" s="18" t="inlineStr"/>
    </row>
    <row r="6">
      <c r="A6" s="15" t="inlineStr">
        <is>
          <t>5</t>
        </is>
      </c>
      <c r="B6" s="18"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18" t="inlineStr"/>
      <c r="D6" s="18" t="inlineStr">
        <is>
          <t>Ferrous Sulfate syrup PO</t>
        </is>
      </c>
      <c r="E6" s="18" t="inlineStr">
        <is>
          <t>Hydroxocobalamin PO</t>
        </is>
      </c>
      <c r="F6" s="18" t="inlineStr">
        <is>
          <t>Folic acid เพียงอย่างเดียว</t>
        </is>
      </c>
      <c r="G6" s="18" t="inlineStr">
        <is>
          <t>Ascorbic acid PO</t>
        </is>
      </c>
      <c r="H6" s="18" t="inlineStr">
        <is>
          <t>deferasirox PO</t>
        </is>
      </c>
      <c r="I6" s="15" t="inlineStr">
        <is>
          <t>2</t>
        </is>
      </c>
      <c r="J6" s="18"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18" t="inlineStr"/>
      <c r="L6" s="18" t="inlineStr">
        <is>
          <t>Solutions, Syrups &amp; Elixirs</t>
        </is>
      </c>
      <c r="M6" s="18" t="inlineStr">
        <is>
          <t>Product</t>
        </is>
      </c>
      <c r="N6" s="18" t="inlineStr">
        <is>
          <t>Mock PLE-CC 1 ข้อ 56</t>
        </is>
      </c>
      <c r="O6" s="18" t="inlineStr">
        <is>
          <t>Mock</t>
        </is>
      </c>
      <c r="P6" s="18" t="inlineStr">
        <is>
          <t>Mock RxCU83</t>
        </is>
      </c>
      <c r="Q6" s="18" t="inlineStr"/>
    </row>
    <row r="7">
      <c r="A7" s="15" t="inlineStr">
        <is>
          <t>6</t>
        </is>
      </c>
      <c r="B7" s="18" t="inlineStr">
        <is>
          <t>Acyclovir cream 5% w/w 1 g จะมีกี่ mg/g และถ้าต้องการผลิตภัณฑ์ยา 25 mg ต้องใช้กี่กรัม</t>
        </is>
      </c>
      <c r="C7" s="18" t="inlineStr"/>
      <c r="D7" s="18" t="inlineStr">
        <is>
          <t>0.5 mg/g, 0.0125 g</t>
        </is>
      </c>
      <c r="E7" s="18" t="inlineStr">
        <is>
          <t>5 mg/g, 0.0125 g</t>
        </is>
      </c>
      <c r="F7" s="18" t="inlineStr">
        <is>
          <t>5 mg/g, 0.125 g</t>
        </is>
      </c>
      <c r="G7" s="18" t="inlineStr">
        <is>
          <t>50 mg/g, 0.125 g</t>
        </is>
      </c>
      <c r="H7" s="18" t="inlineStr">
        <is>
          <t>50 mg/g, 0.5 g</t>
        </is>
      </c>
      <c r="I7" s="15" t="inlineStr">
        <is>
          <t>5</t>
        </is>
      </c>
      <c r="J7" s="18"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18" t="inlineStr"/>
      <c r="L7" s="18" t="inlineStr">
        <is>
          <t>Creams &amp; Ointments</t>
        </is>
      </c>
      <c r="M7" s="18" t="inlineStr">
        <is>
          <t>Product</t>
        </is>
      </c>
      <c r="N7" s="18" t="inlineStr">
        <is>
          <t>Mock PLE-CC 1 ข้อ 124</t>
        </is>
      </c>
      <c r="O7" s="18" t="inlineStr">
        <is>
          <t>Mock</t>
        </is>
      </c>
      <c r="P7" s="18" t="inlineStr">
        <is>
          <t>Mock RxCU83</t>
        </is>
      </c>
      <c r="Q7" s="18" t="inlineStr"/>
    </row>
    <row r="8">
      <c r="A8" s="15" t="inlineStr">
        <is>
          <t>7</t>
        </is>
      </c>
      <c r="B8" s="18" t="inlineStr">
        <is>
          <t>ยาครีม acyclovir หัวข้อไหน ไม่ต้องทดสอบในการควบคุมคุณภาพตามเภสัชตำรับ</t>
        </is>
      </c>
      <c r="C8" s="18" t="inlineStr"/>
      <c r="D8" s="18" t="inlineStr">
        <is>
          <t>Assay</t>
        </is>
      </c>
      <c r="E8" s="18" t="inlineStr">
        <is>
          <t>Identification</t>
        </is>
      </c>
      <c r="F8" s="18" t="inlineStr">
        <is>
          <t>Dissolution</t>
        </is>
      </c>
      <c r="G8" s="18" t="inlineStr">
        <is>
          <t>Minimum fill</t>
        </is>
      </c>
      <c r="H8" s="18" t="inlineStr">
        <is>
          <t>Impurity &amp; Microbial limit</t>
        </is>
      </c>
      <c r="I8" s="15" t="inlineStr">
        <is>
          <t>3</t>
        </is>
      </c>
      <c r="J8" s="18"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18" t="inlineStr"/>
      <c r="L8" s="18" t="inlineStr">
        <is>
          <t>Creams &amp; Ointments</t>
        </is>
      </c>
      <c r="M8" s="18" t="inlineStr">
        <is>
          <t>Product</t>
        </is>
      </c>
      <c r="N8" s="18" t="inlineStr">
        <is>
          <t>Mock PLE-CC 1 ข้อ 128</t>
        </is>
      </c>
      <c r="O8" s="18" t="inlineStr">
        <is>
          <t>Mock</t>
        </is>
      </c>
      <c r="P8" s="18" t="inlineStr">
        <is>
          <t>Mock RxCU83</t>
        </is>
      </c>
      <c r="Q8" s="18" t="inlineStr"/>
    </row>
    <row r="9">
      <c r="A9" s="15" t="inlineStr">
        <is>
          <t>8</t>
        </is>
      </c>
      <c r="B9" s="18" t="inlineStr">
        <is>
          <t>ยาครีม acyclovir เกิดปัญหาเนื้อครีมเหลวเกินไป ควรเติมสารในข้อใดเพื่อเพิ่มความคงตัวและความข้นหนืด (Stiffening agent)</t>
        </is>
      </c>
      <c r="C9" s="18" t="inlineStr"/>
      <c r="D9" s="18" t="inlineStr">
        <is>
          <t>Sodium lauryl sulfate</t>
        </is>
      </c>
      <c r="E9" s="18" t="inlineStr">
        <is>
          <t>Mineral oil</t>
        </is>
      </c>
      <c r="F9" s="18" t="inlineStr">
        <is>
          <t>Cetostearyl alcohol</t>
        </is>
      </c>
      <c r="G9" s="18" t="inlineStr">
        <is>
          <t>Propylene glycol</t>
        </is>
      </c>
      <c r="H9" s="18" t="inlineStr">
        <is>
          <t>White petrolatum</t>
        </is>
      </c>
      <c r="I9" s="15" t="inlineStr">
        <is>
          <t>3</t>
        </is>
      </c>
      <c r="J9" s="18"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18" t="inlineStr"/>
      <c r="L9" s="18" t="inlineStr">
        <is>
          <t>Creams &amp; Ointments</t>
        </is>
      </c>
      <c r="M9" s="18" t="inlineStr">
        <is>
          <t>Product</t>
        </is>
      </c>
      <c r="N9" s="18" t="inlineStr">
        <is>
          <t>Mock PLE-CC 1 ข้อ 129</t>
        </is>
      </c>
      <c r="O9" s="18" t="inlineStr">
        <is>
          <t>Mock</t>
        </is>
      </c>
      <c r="P9" s="18" t="inlineStr">
        <is>
          <t>Mock RxCU83</t>
        </is>
      </c>
      <c r="Q9" s="18" t="inlineStr"/>
    </row>
    <row r="10">
      <c r="A10" s="15" t="inlineStr">
        <is>
          <t>9</t>
        </is>
      </c>
      <c r="B10" s="18"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18" t="inlineStr"/>
      <c r="D10" s="18" t="inlineStr">
        <is>
          <t>ละลายในน้ำแล้วค่อยนำไปผสมเตรียมครีม</t>
        </is>
      </c>
      <c r="E10" s="18" t="inlineStr">
        <is>
          <t>ละลายใน phase น้ำแล้วค่อยไปผสมกับพื้นครีม</t>
        </is>
      </c>
      <c r="F10" s="18" t="inlineStr">
        <is>
          <t>กระจายกับ mineral oil แล้วค่อยไปผสมพื้นครีม</t>
        </is>
      </c>
      <c r="G10" s="18" t="inlineStr">
        <is>
          <t>กระจายกับ propylene glycol แล้วผสมกับพื้นครีม</t>
        </is>
      </c>
      <c r="H10" s="18" t="inlineStr">
        <is>
          <t>กระจายผงยากับพื้นครีมโดยตรง</t>
        </is>
      </c>
      <c r="I10" s="15" t="inlineStr">
        <is>
          <t>4</t>
        </is>
      </c>
      <c r="J10" s="18"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18" t="inlineStr"/>
      <c r="L10" s="18" t="inlineStr">
        <is>
          <t>Creams &amp; Ointments</t>
        </is>
      </c>
      <c r="M10" s="18" t="inlineStr">
        <is>
          <t>Product</t>
        </is>
      </c>
      <c r="N10" s="18" t="inlineStr">
        <is>
          <t>Mock PLE-CC 1 ข้อ 132</t>
        </is>
      </c>
      <c r="O10" s="18" t="inlineStr">
        <is>
          <t>Mock</t>
        </is>
      </c>
      <c r="P10" s="18" t="inlineStr">
        <is>
          <t>Mock RxCU83</t>
        </is>
      </c>
      <c r="Q10" s="18" t="inlineStr"/>
    </row>
    <row r="11">
      <c r="A11" s="15" t="inlineStr">
        <is>
          <t>10</t>
        </is>
      </c>
      <c r="B11" s="18"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18" t="inlineStr"/>
      <c r="D11" s="18" t="inlineStr">
        <is>
          <t>20 g</t>
        </is>
      </c>
      <c r="E11" s="18" t="inlineStr">
        <is>
          <t>200 g</t>
        </is>
      </c>
      <c r="F11" s="18" t="inlineStr">
        <is>
          <t>40 g</t>
        </is>
      </c>
      <c r="G11" s="18" t="inlineStr">
        <is>
          <t>400 g</t>
        </is>
      </c>
      <c r="H11" s="18" t="inlineStr">
        <is>
          <t>100 g</t>
        </is>
      </c>
      <c r="I11" s="15" t="inlineStr">
        <is>
          <t>2</t>
        </is>
      </c>
      <c r="J11" s="18"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18" t="inlineStr"/>
      <c r="L11" s="18" t="inlineStr">
        <is>
          <t>Suspensions &amp; Gels</t>
        </is>
      </c>
      <c r="M11" s="18" t="inlineStr">
        <is>
          <t>Product</t>
        </is>
      </c>
      <c r="N11" s="18" t="inlineStr">
        <is>
          <t>ข้อสอบเก่า 2567 ข้อ 12</t>
        </is>
      </c>
      <c r="O11" s="18" t="inlineStr">
        <is>
          <t>ข้อสอบเก่า</t>
        </is>
      </c>
      <c r="P11" s="15" t="inlineStr">
        <is>
          <t>2567</t>
        </is>
      </c>
      <c r="Q11" s="18" t="inlineStr"/>
    </row>
    <row r="12">
      <c r="A12" s="15" t="inlineStr">
        <is>
          <t>11</t>
        </is>
      </c>
      <c r="B12" s="18" t="inlineStr">
        <is>
          <t>Glycerin suppository (ตำรับที่ใช้ stearic acid) เกิดปฏิกิริยาระหว่าง Sodium carbonate และ Stearic acid ข้อใดต่อไปนี้กล่าวถูกต้อง</t>
        </is>
      </c>
      <c r="C12" s="18" t="inlineStr"/>
      <c r="D12" s="18" t="inlineStr">
        <is>
          <t>Stearic acid ทำให้ตำรับมีความแข็ง</t>
        </is>
      </c>
      <c r="E12" s="18" t="inlineStr">
        <is>
          <t>Sodium carbonate ทำให้ตำรับมีความแข็ง</t>
        </is>
      </c>
      <c r="F12" s="18" t="inlineStr">
        <is>
          <t>Stearic acid สามารถละลายใน rectal fluid ทำให้ปลดปล่อยตัวยาสำคัญได้</t>
        </is>
      </c>
      <c r="G12" s="18" t="inlineStr">
        <is>
          <t>Sodium stearate เป็น Soap ทำให้ตำรับมีความคงตัว</t>
        </is>
      </c>
      <c r="H12" s="18" t="inlineStr">
        <is>
          <t>ตำรับนี้เหมือน Gelatinized glycerin base</t>
        </is>
      </c>
      <c r="I12" s="15" t="inlineStr">
        <is>
          <t>4</t>
        </is>
      </c>
      <c r="J12" s="18"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18" t="inlineStr"/>
      <c r="L12" s="18" t="inlineStr">
        <is>
          <t>Suppositories</t>
        </is>
      </c>
      <c r="M12" s="18" t="inlineStr">
        <is>
          <t>Product</t>
        </is>
      </c>
      <c r="N12" s="18" t="inlineStr">
        <is>
          <t>ข้อสอบเก่า 2567 ข้อ 13</t>
        </is>
      </c>
      <c r="O12" s="18" t="inlineStr">
        <is>
          <t>ข้อสอบเก่า</t>
        </is>
      </c>
      <c r="P12" s="15" t="inlineStr">
        <is>
          <t>2567</t>
        </is>
      </c>
      <c r="Q12" s="18" t="inlineStr"/>
    </row>
    <row r="13">
      <c r="A13" s="15" t="inlineStr">
        <is>
          <t>12</t>
        </is>
      </c>
      <c r="B13" s="18" t="inlineStr">
        <is>
          <t>ตำรับ hard gelatin capsule ไม่จำเป็นต้องทำการทดสอบคุณภาพตามเภสัชตำรับในหัวข้อใด</t>
        </is>
      </c>
      <c r="C13" s="18" t="inlineStr"/>
      <c r="D13" s="18" t="inlineStr">
        <is>
          <t>Dissolution</t>
        </is>
      </c>
      <c r="E13" s="18" t="inlineStr">
        <is>
          <t>Friability</t>
        </is>
      </c>
      <c r="F13" s="18" t="inlineStr">
        <is>
          <t>Microbial enumeration test</t>
        </is>
      </c>
      <c r="G13" s="18" t="inlineStr">
        <is>
          <t>Uniformity of dosage units</t>
        </is>
      </c>
      <c r="H13" s="18" t="inlineStr">
        <is>
          <t>Disintegration</t>
        </is>
      </c>
      <c r="I13" s="15" t="inlineStr">
        <is>
          <t>2</t>
        </is>
      </c>
      <c r="J13" s="18"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18" t="inlineStr"/>
      <c r="L13" s="18" t="inlineStr">
        <is>
          <t>Capsules &amp; Quality Control</t>
        </is>
      </c>
      <c r="M13" s="18" t="inlineStr">
        <is>
          <t>Product</t>
        </is>
      </c>
      <c r="N13" s="18" t="inlineStr">
        <is>
          <t>ข้อสอบเก่า 2567 ข้อ 14</t>
        </is>
      </c>
      <c r="O13" s="18" t="inlineStr">
        <is>
          <t>ข้อสอบเก่า</t>
        </is>
      </c>
      <c r="P13" s="15" t="inlineStr">
        <is>
          <t>2567</t>
        </is>
      </c>
      <c r="Q13" s="18" t="inlineStr"/>
    </row>
    <row r="14">
      <c r="A14" s="15" t="inlineStr">
        <is>
          <t>13</t>
        </is>
      </c>
      <c r="B14" s="18" t="inlineStr">
        <is>
          <t>ตำรับยาครีมที่มี Sodium Lauryl Sulfate (SLS) เป็นสารช่วยก่ออิมัลชัน จัดเป็นครีมประเภทใด</t>
        </is>
      </c>
      <c r="C14" s="18" t="inlineStr"/>
      <c r="D14" s="18" t="inlineStr">
        <is>
          <t>Vanishing cream</t>
        </is>
      </c>
      <c r="E14" s="18" t="inlineStr">
        <is>
          <t>Cold cream</t>
        </is>
      </c>
      <c r="F14" s="18" t="inlineStr">
        <is>
          <t>Anionic cream</t>
        </is>
      </c>
      <c r="G14" s="18" t="inlineStr">
        <is>
          <t>Cationic cream</t>
        </is>
      </c>
      <c r="H14" s="18" t="inlineStr">
        <is>
          <t>Nonionic cream</t>
        </is>
      </c>
      <c r="I14" s="15" t="inlineStr">
        <is>
          <t>3</t>
        </is>
      </c>
      <c r="J14" s="18"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18" t="inlineStr"/>
      <c r="L14" s="18" t="inlineStr">
        <is>
          <t>Creams &amp; Emulsions</t>
        </is>
      </c>
      <c r="M14" s="18" t="inlineStr">
        <is>
          <t>Product</t>
        </is>
      </c>
      <c r="N14" s="18" t="inlineStr">
        <is>
          <t>ข้อสอบเก่า 2566 Day 2 ข้อ 81</t>
        </is>
      </c>
      <c r="O14" s="18" t="inlineStr">
        <is>
          <t>ข้อสอบเก่า</t>
        </is>
      </c>
      <c r="P14" s="15" t="inlineStr">
        <is>
          <t>2566</t>
        </is>
      </c>
      <c r="Q14" s="18" t="inlineStr"/>
    </row>
    <row r="15">
      <c r="A15" s="15" t="inlineStr">
        <is>
          <t>14</t>
        </is>
      </c>
      <c r="B15" s="18" t="inlineStr">
        <is>
          <t>Topical capsaicin</t>
        </is>
      </c>
      <c r="C15" s="18" t="inlineStr"/>
      <c r="D15" s="18" t="inlineStr">
        <is>
          <t>Liquid &amp; Semisolid</t>
        </is>
      </c>
      <c r="E15" s="18" t="inlineStr">
        <is>
          <t>Simple Syrup USP (85% w/v Sucrose)</t>
        </is>
      </c>
      <c r="F15" s="18" t="inlineStr">
        <is>
          <t>Elixir with 10-20% Alcohol cosolvent</t>
        </is>
      </c>
      <c r="G15" s="18" t="inlineStr">
        <is>
          <t>Flocculated Oral Suspension with Xanthan Gum</t>
        </is>
      </c>
      <c r="H15" s="18" t="inlineStr">
        <is>
          <t>Deflocculated Suspension formulation</t>
        </is>
      </c>
      <c r="I15" s="15" t="inlineStr">
        <is>
          <t>1</t>
        </is>
      </c>
      <c r="J15" s="18"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18" t="inlineStr"/>
      <c r="L15" s="18" t="inlineStr">
        <is>
          <t>Solutions, Syrups &amp; Elixirs</t>
        </is>
      </c>
      <c r="M15" s="18" t="inlineStr">
        <is>
          <t>Liquid &amp; Semisolid</t>
        </is>
      </c>
      <c r="N15" s="18" t="inlineStr">
        <is>
          <t>PLE-CC1 ปี 2566 Day 1 ข้อ 3</t>
        </is>
      </c>
      <c r="O15" s="18" t="inlineStr">
        <is>
          <t>ข้อสอบจริง</t>
        </is>
      </c>
      <c r="P15" s="18" t="inlineStr">
        <is>
          <t>ปี 2566</t>
        </is>
      </c>
    </row>
    <row r="16">
      <c r="A16" s="15" t="inlineStr">
        <is>
          <t>15</t>
        </is>
      </c>
      <c r="B16" s="18" t="inlineStr">
        <is>
          <t>Fusidic acid cream</t>
        </is>
      </c>
      <c r="C16" s="18" t="inlineStr"/>
      <c r="D16" s="18" t="inlineStr">
        <is>
          <t>Liquid &amp; Semisolid</t>
        </is>
      </c>
      <c r="E16" s="18" t="inlineStr">
        <is>
          <t>Deflocculated Suspension formulation</t>
        </is>
      </c>
      <c r="F16" s="18" t="inlineStr">
        <is>
          <t>O/W Emulsion stabilized by Polysorbate 80 / Span 80</t>
        </is>
      </c>
      <c r="G16" s="18" t="inlineStr">
        <is>
          <t>W/O Emulsion with Sorbitan monooleate</t>
        </is>
      </c>
      <c r="H16" s="18" t="inlineStr">
        <is>
          <t>Carbopol 940 hydrogel neutralized with Triethanolamine</t>
        </is>
      </c>
      <c r="I16" s="15" t="inlineStr">
        <is>
          <t>1</t>
        </is>
      </c>
      <c r="J16" s="18"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8" t="inlineStr"/>
      <c r="L16" s="18" t="inlineStr">
        <is>
          <t>Creams &amp; Ointments</t>
        </is>
      </c>
      <c r="M16" s="18" t="inlineStr">
        <is>
          <t>Liquid &amp; Semisolid</t>
        </is>
      </c>
      <c r="N16" s="18" t="inlineStr">
        <is>
          <t>PLE-CC1 ปี 2566 Day 1 ข้อ 2</t>
        </is>
      </c>
      <c r="O16" s="18" t="inlineStr">
        <is>
          <t>ข้อสอบจริง</t>
        </is>
      </c>
      <c r="P16" s="18" t="inlineStr">
        <is>
          <t>ปี 2566</t>
        </is>
      </c>
    </row>
    <row r="17">
      <c r="A17" s="15" t="inlineStr">
        <is>
          <t>16</t>
        </is>
      </c>
      <c r="B17" s="18" t="inlineStr">
        <is>
          <t>Bactricin ointment</t>
        </is>
      </c>
      <c r="C17" s="18" t="inlineStr"/>
      <c r="D17" s="18" t="inlineStr">
        <is>
          <t>Liquid &amp; Semisolid</t>
        </is>
      </c>
      <c r="E17" s="18" t="inlineStr">
        <is>
          <t>Carbopol 940 hydrogel neutralized with Triethanolamine</t>
        </is>
      </c>
      <c r="F17" s="18" t="inlineStr">
        <is>
          <t>Oleaginous Ointment base (White Petrolatum)</t>
        </is>
      </c>
      <c r="G17" s="18" t="inlineStr">
        <is>
          <t>Absorption Ointment base (Lanolin USP)</t>
        </is>
      </c>
      <c r="H17" s="18" t="inlineStr">
        <is>
          <t>Fatty Suppository base (Hard Fat / Witepsol)</t>
        </is>
      </c>
      <c r="I17" s="15" t="inlineStr">
        <is>
          <t>1</t>
        </is>
      </c>
      <c r="J17" s="18"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8" t="inlineStr"/>
      <c r="L17" s="18" t="inlineStr">
        <is>
          <t>Creams &amp; Ointments</t>
        </is>
      </c>
      <c r="M17" s="18" t="inlineStr">
        <is>
          <t>Liquid &amp; Semisolid</t>
        </is>
      </c>
      <c r="N17" s="18" t="inlineStr">
        <is>
          <t>PLE-CC1 ปี 2566 Day 1 ข้อ 3</t>
        </is>
      </c>
      <c r="O17" s="18" t="inlineStr">
        <is>
          <t>ข้อสอบจริง</t>
        </is>
      </c>
      <c r="P17" s="18" t="inlineStr">
        <is>
          <t>ปี 2566</t>
        </is>
      </c>
    </row>
    <row r="18">
      <c r="A18" s="15" t="inlineStr">
        <is>
          <t>17</t>
        </is>
      </c>
      <c r="B18" s="18" t="inlineStr">
        <is>
          <t>Chloramphenicol ointment</t>
        </is>
      </c>
      <c r="C18" s="18" t="inlineStr"/>
      <c r="D18" s="18" t="inlineStr">
        <is>
          <t>Liquid &amp; Semisolid</t>
        </is>
      </c>
      <c r="E18" s="18" t="inlineStr">
        <is>
          <t>Fatty Suppository base (Hard Fat / Witepsol)</t>
        </is>
      </c>
      <c r="F18" s="18" t="inlineStr">
        <is>
          <t>Simple Syrup USP (85% w/v Sucrose)</t>
        </is>
      </c>
      <c r="G18" s="18" t="inlineStr">
        <is>
          <t>Elixir with 10-20% Alcohol cosolvent</t>
        </is>
      </c>
      <c r="H18" s="18" t="inlineStr">
        <is>
          <t>Flocculated Oral Suspension with Xanthan Gum</t>
        </is>
      </c>
      <c r="I18" s="15" t="inlineStr">
        <is>
          <t>1</t>
        </is>
      </c>
      <c r="J18" s="18"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8" t="inlineStr"/>
      <c r="L18" s="18" t="inlineStr">
        <is>
          <t>Creams &amp; Ointments</t>
        </is>
      </c>
      <c r="M18" s="18" t="inlineStr">
        <is>
          <t>Liquid &amp; Semisolid</t>
        </is>
      </c>
      <c r="N18" s="18" t="inlineStr">
        <is>
          <t>PLE-CC1 ปี 2566 Day 1 ข้อ 4</t>
        </is>
      </c>
      <c r="O18" s="18" t="inlineStr">
        <is>
          <t>ข้อสอบจริง</t>
        </is>
      </c>
      <c r="P18" s="18" t="inlineStr">
        <is>
          <t>ปี 2566</t>
        </is>
      </c>
    </row>
    <row r="19">
      <c r="A19" s="15" t="inlineStr">
        <is>
          <t>18</t>
        </is>
      </c>
      <c r="B19" s="18"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18" t="inlineStr"/>
      <c r="D19" s="18" t="inlineStr">
        <is>
          <t>Liquid &amp; Semisolid</t>
        </is>
      </c>
      <c r="E19" s="18" t="inlineStr">
        <is>
          <t>Flocculated Oral Suspension with Xanthan Gum</t>
        </is>
      </c>
      <c r="F19" s="18" t="inlineStr">
        <is>
          <t>Deflocculated Suspension formulation</t>
        </is>
      </c>
      <c r="G19" s="18" t="inlineStr">
        <is>
          <t>O/W Emulsion stabilized by Polysorbate 80 / Span 80</t>
        </is>
      </c>
      <c r="H19" s="18" t="inlineStr">
        <is>
          <t>W/O Emulsion with Sorbitan monooleate</t>
        </is>
      </c>
      <c r="I19" s="15" t="inlineStr">
        <is>
          <t>1</t>
        </is>
      </c>
      <c r="J19" s="18"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18" t="inlineStr"/>
      <c r="L19" s="18" t="inlineStr">
        <is>
          <t>Solutions, Syrups &amp; Elixirs</t>
        </is>
      </c>
      <c r="M19" s="18" t="inlineStr">
        <is>
          <t>Liquid &amp; Semisolid</t>
        </is>
      </c>
      <c r="N19" s="18" t="inlineStr">
        <is>
          <t>PLE-CC1 ปี 2566 Day 1 ข้อ 3</t>
        </is>
      </c>
      <c r="O19" s="18" t="inlineStr">
        <is>
          <t>ข้อสอบจริง</t>
        </is>
      </c>
      <c r="P19" s="18" t="inlineStr">
        <is>
          <t>ปี 2566</t>
        </is>
      </c>
    </row>
    <row r="20">
      <c r="A20" s="15" t="inlineStr">
        <is>
          <t>19</t>
        </is>
      </c>
      <c r="B20" s="18" t="inlineStr">
        <is>
          <t>สามาถเตรียมได้ด้วยวิธีemulsion method</t>
        </is>
      </c>
      <c r="C20" s="18" t="inlineStr"/>
      <c r="D20" s="18" t="inlineStr">
        <is>
          <t>Liquid &amp; Semisolid</t>
        </is>
      </c>
      <c r="E20" s="18" t="inlineStr">
        <is>
          <t>W/O Emulsion with Sorbitan monooleate</t>
        </is>
      </c>
      <c r="F20" s="18" t="inlineStr">
        <is>
          <t>Carbopol 940 hydrogel neutralized with Triethanolamine</t>
        </is>
      </c>
      <c r="G20" s="18" t="inlineStr">
        <is>
          <t>Oleaginous Ointment base (White Petrolatum)</t>
        </is>
      </c>
      <c r="H20" s="18" t="inlineStr">
        <is>
          <t>Absorption Ointment base (Lanolin USP)</t>
        </is>
      </c>
      <c r="I20" s="15" t="inlineStr">
        <is>
          <t>1</t>
        </is>
      </c>
      <c r="J20" s="18"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18" t="inlineStr"/>
      <c r="L20" s="18" t="inlineStr">
        <is>
          <t>Emulsions</t>
        </is>
      </c>
      <c r="M20" s="18" t="inlineStr">
        <is>
          <t>Liquid &amp; Semisolid</t>
        </is>
      </c>
      <c r="N20" s="18" t="inlineStr">
        <is>
          <t>PLE-CC1 ปี 2566 Day 2 ข้อ 2</t>
        </is>
      </c>
      <c r="O20" s="18" t="inlineStr">
        <is>
          <t>ข้อสอบจริง</t>
        </is>
      </c>
      <c r="P20" s="18" t="inlineStr">
        <is>
          <t>ปี 2566</t>
        </is>
      </c>
    </row>
    <row r="21">
      <c r="A21" s="15" t="inlineStr">
        <is>
          <t>20</t>
        </is>
      </c>
      <c r="B21" s="18" t="inlineStr">
        <is>
          <t>O/W Emulsion base</t>
        </is>
      </c>
      <c r="C21" s="18" t="inlineStr"/>
      <c r="D21" s="18" t="inlineStr">
        <is>
          <t>Liquid &amp; Semisolid</t>
        </is>
      </c>
      <c r="E21" s="18" t="inlineStr">
        <is>
          <t>Absorption Ointment base (Lanolin USP)</t>
        </is>
      </c>
      <c r="F21" s="18" t="inlineStr">
        <is>
          <t>Fatty Suppository base (Hard Fat / Witepsol)</t>
        </is>
      </c>
      <c r="G21" s="18" t="inlineStr">
        <is>
          <t>Simple Syrup USP (85% w/v Sucrose)</t>
        </is>
      </c>
      <c r="H21" s="18" t="inlineStr">
        <is>
          <t>Elixir with 10-20% Alcohol cosolvent</t>
        </is>
      </c>
      <c r="I21" s="15" t="inlineStr">
        <is>
          <t>1</t>
        </is>
      </c>
      <c r="J21" s="18"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18" t="inlineStr"/>
      <c r="L21" s="18" t="inlineStr">
        <is>
          <t>Emulsions</t>
        </is>
      </c>
      <c r="M21" s="18" t="inlineStr">
        <is>
          <t>Liquid &amp; Semisolid</t>
        </is>
      </c>
      <c r="N21" s="18" t="inlineStr">
        <is>
          <t>PLE-CC1 ปี 2566 Day 2 ข้อ 2</t>
        </is>
      </c>
      <c r="O21" s="18" t="inlineStr">
        <is>
          <t>ข้อสอบจริง</t>
        </is>
      </c>
      <c r="P21" s="18" t="inlineStr">
        <is>
          <t>ปี 2566</t>
        </is>
      </c>
    </row>
    <row r="22">
      <c r="A22" s="15" t="inlineStr">
        <is>
          <t>21</t>
        </is>
      </c>
      <c r="B22" s="18" t="inlineStr">
        <is>
          <t>ให้สูตรตำรับที่มีSLS มาถามว่าเป็นครีมประเภทไหน ตัวเลือก</t>
        </is>
      </c>
      <c r="C22" s="18" t="inlineStr"/>
      <c r="D22" s="18" t="inlineStr">
        <is>
          <t>Liquid &amp; Semisolid</t>
        </is>
      </c>
      <c r="E22" s="18" t="inlineStr">
        <is>
          <t>Elixir with 10-20% Alcohol cosolvent</t>
        </is>
      </c>
      <c r="F22" s="18" t="inlineStr">
        <is>
          <t>Flocculated Oral Suspension with Xanthan Gum</t>
        </is>
      </c>
      <c r="G22" s="18" t="inlineStr">
        <is>
          <t>Deflocculated Suspension formulation</t>
        </is>
      </c>
      <c r="H22" s="18" t="inlineStr">
        <is>
          <t>O/W Emulsion stabilized by Polysorbate 80 / Span 80</t>
        </is>
      </c>
      <c r="I22" s="15" t="inlineStr">
        <is>
          <t>1</t>
        </is>
      </c>
      <c r="J22" s="18"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8" t="inlineStr"/>
      <c r="L22" s="18" t="inlineStr">
        <is>
          <t>Creams &amp; Ointments</t>
        </is>
      </c>
      <c r="M22" s="18" t="inlineStr">
        <is>
          <t>Liquid &amp; Semisolid</t>
        </is>
      </c>
      <c r="N22" s="18" t="inlineStr">
        <is>
          <t>PLE-CC1 ปี 2566 Day 2 ข้อ 81</t>
        </is>
      </c>
      <c r="O22" s="18" t="inlineStr">
        <is>
          <t>ข้อสอบจริง</t>
        </is>
      </c>
      <c r="P22" s="18" t="inlineStr">
        <is>
          <t>ปี 2566</t>
        </is>
      </c>
    </row>
    <row r="23">
      <c r="A23" s="15" t="inlineStr">
        <is>
          <t>22</t>
        </is>
      </c>
      <c r="B23" s="18" t="inlineStr">
        <is>
          <t>Vanishing cream</t>
        </is>
      </c>
      <c r="C23" s="18" t="inlineStr"/>
      <c r="D23" s="18" t="inlineStr">
        <is>
          <t>Liquid &amp; Semisolid</t>
        </is>
      </c>
      <c r="E23" s="18" t="inlineStr">
        <is>
          <t>O/W Emulsion stabilized by Polysorbate 80 / Span 80</t>
        </is>
      </c>
      <c r="F23" s="18" t="inlineStr">
        <is>
          <t>W/O Emulsion with Sorbitan monooleate</t>
        </is>
      </c>
      <c r="G23" s="18" t="inlineStr">
        <is>
          <t>Carbopol 940 hydrogel neutralized with Triethanolamine</t>
        </is>
      </c>
      <c r="H23" s="18" t="inlineStr">
        <is>
          <t>Oleaginous Ointment base (White Petrolatum)</t>
        </is>
      </c>
      <c r="I23" s="15" t="inlineStr">
        <is>
          <t>1</t>
        </is>
      </c>
      <c r="J23" s="18"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8" t="inlineStr"/>
      <c r="L23" s="18" t="inlineStr">
        <is>
          <t>Creams &amp; Ointments</t>
        </is>
      </c>
      <c r="M23" s="18" t="inlineStr">
        <is>
          <t>Liquid &amp; Semisolid</t>
        </is>
      </c>
      <c r="N23" s="18" t="inlineStr">
        <is>
          <t>PLE-CC1 ปี 2566 Day 2 ข้อ 1</t>
        </is>
      </c>
      <c r="O23" s="18" t="inlineStr">
        <is>
          <t>ข้อสอบจริง</t>
        </is>
      </c>
      <c r="P23" s="18" t="inlineStr">
        <is>
          <t>ปี 2566</t>
        </is>
      </c>
    </row>
    <row r="24">
      <c r="A24" s="15" t="inlineStr">
        <is>
          <t>23</t>
        </is>
      </c>
      <c r="B24" s="18"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18" t="inlineStr"/>
      <c r="D24" s="18" t="inlineStr">
        <is>
          <t>Purified water</t>
        </is>
      </c>
      <c r="E24" s="18" t="inlineStr">
        <is>
          <t>Glycerin</t>
        </is>
      </c>
      <c r="F24" s="18" t="inlineStr">
        <is>
          <t>Mineral oil</t>
        </is>
      </c>
      <c r="G24" s="18" t="inlineStr">
        <is>
          <t>Benzyl alcohol</t>
        </is>
      </c>
      <c r="H24" s="18" t="inlineStr">
        <is>
          <t>Alcohol</t>
        </is>
      </c>
      <c r="I24" s="15" t="inlineStr">
        <is>
          <t>2</t>
        </is>
      </c>
      <c r="J24" s="18"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18" t="inlineStr"/>
      <c r="L24" s="18" t="inlineStr">
        <is>
          <t>Suspensions &amp; Wetting Agents</t>
        </is>
      </c>
      <c r="M24" s="18" t="inlineStr">
        <is>
          <t>Product</t>
        </is>
      </c>
      <c r="N24" s="18" t="inlineStr">
        <is>
          <t>ข้อสอบเก่า 2565 Day 1 ข้อ 26</t>
        </is>
      </c>
      <c r="O24" s="18" t="inlineStr">
        <is>
          <t>ข้อสอบเก่า</t>
        </is>
      </c>
      <c r="P24" s="15" t="inlineStr">
        <is>
          <t>2565</t>
        </is>
      </c>
      <c r="Q24" s="18" t="inlineStr"/>
    </row>
    <row r="25">
      <c r="A25" s="15" t="inlineStr">
        <is>
          <t>24</t>
        </is>
      </c>
      <c r="B25" s="18"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18" t="inlineStr"/>
      <c r="D25" s="18" t="inlineStr">
        <is>
          <t>Liquid &amp; Semisolid</t>
        </is>
      </c>
      <c r="E25" s="18" t="inlineStr">
        <is>
          <t>Simple Syrup USP (85% w/v Sucrose)</t>
        </is>
      </c>
      <c r="F25" s="18" t="inlineStr">
        <is>
          <t>Elixir with 10-20% Alcohol cosolvent</t>
        </is>
      </c>
      <c r="G25" s="18" t="inlineStr">
        <is>
          <t>Flocculated Oral Suspension with Xanthan Gum</t>
        </is>
      </c>
      <c r="H25" s="18" t="inlineStr">
        <is>
          <t>Deflocculated Suspension formulation</t>
        </is>
      </c>
      <c r="I25" s="15" t="inlineStr">
        <is>
          <t>1</t>
        </is>
      </c>
      <c r="J25" s="18"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18" t="inlineStr"/>
      <c r="L25" s="18" t="inlineStr">
        <is>
          <t>Gels</t>
        </is>
      </c>
      <c r="M25" s="18" t="inlineStr">
        <is>
          <t>Liquid &amp; Semisolid</t>
        </is>
      </c>
      <c r="N25" s="18" t="inlineStr">
        <is>
          <t>PLE_CC1_2565_Day1_Key ข้อ 48</t>
        </is>
      </c>
      <c r="O25" s="18" t="inlineStr">
        <is>
          <t>ข้อสอบจริง</t>
        </is>
      </c>
      <c r="P25" s="18" t="inlineStr">
        <is>
          <t>ปี 2565</t>
        </is>
      </c>
    </row>
    <row r="26">
      <c r="A26" s="15" t="inlineStr">
        <is>
          <t>25</t>
        </is>
      </c>
      <c r="B26" s="18"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18" t="inlineStr"/>
      <c r="D26" s="18" t="inlineStr">
        <is>
          <t>Liquid &amp; Semisolid</t>
        </is>
      </c>
      <c r="E26" s="18" t="inlineStr">
        <is>
          <t>Deflocculated Suspension formulation</t>
        </is>
      </c>
      <c r="F26" s="18" t="inlineStr">
        <is>
          <t>O/W Emulsion stabilized by Polysorbate 80 / Span 80</t>
        </is>
      </c>
      <c r="G26" s="18" t="inlineStr">
        <is>
          <t>W/O Emulsion with Sorbitan monooleate</t>
        </is>
      </c>
      <c r="H26" s="18" t="inlineStr">
        <is>
          <t>Carbopol 940 hydrogel neutralized with Triethanolamine</t>
        </is>
      </c>
      <c r="I26" s="15" t="inlineStr">
        <is>
          <t>1</t>
        </is>
      </c>
      <c r="J26" s="18"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18" t="inlineStr"/>
      <c r="L26" s="18" t="inlineStr">
        <is>
          <t>Suspensions</t>
        </is>
      </c>
      <c r="M26" s="18" t="inlineStr">
        <is>
          <t>Liquid &amp; Semisolid</t>
        </is>
      </c>
      <c r="N26" s="18" t="inlineStr">
        <is>
          <t>PLE_CC1_2565_Day1_Key ข้อ 84</t>
        </is>
      </c>
      <c r="O26" s="18" t="inlineStr">
        <is>
          <t>ข้อสอบจริง</t>
        </is>
      </c>
      <c r="P26" s="18" t="inlineStr">
        <is>
          <t>ปี 2565</t>
        </is>
      </c>
    </row>
    <row r="27">
      <c r="A27" s="15" t="inlineStr">
        <is>
          <t>26</t>
        </is>
      </c>
      <c r="B27" s="18"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18" t="inlineStr"/>
      <c r="D27" s="18" t="inlineStr">
        <is>
          <t>Liquid &amp; Semisolid</t>
        </is>
      </c>
      <c r="E27" s="18" t="inlineStr">
        <is>
          <t>เปMน reservoir device</t>
        </is>
      </c>
      <c r="F27" s="18" t="inlineStr">
        <is>
          <t>ปลดปล;อยยาไดนานขึ้น</t>
        </is>
      </c>
      <c r="G27" s="18" t="inlineStr">
        <is>
          <t>ชื่อระบบ monolithic</t>
        </is>
      </c>
      <c r="H27" s="18" t="inlineStr">
        <is>
          <t>ยากระจายใน matrix</t>
        </is>
      </c>
      <c r="I27" s="15" t="inlineStr">
        <is>
          <t>1</t>
        </is>
      </c>
      <c r="J27" s="18"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ข้อนี้ไม่ใช่คำตอบที่ถูกต้องสำหรับภาวะ Suspensions เนื่องจากกลไกการออกฤทธิ์, efficacy หรือข้อบ่งใช้ไม่ตรงกับโจทย์ที่กำหนด
• ข้อ ค. (ปลดปล;อยยาไดนานขึ้น): ข้อนี้ไม่ใช่คำตอบที่ถูกต้องสำหรับภาวะ Suspensions เนื่องจากกลไกการออกฤทธิ์, efficacy หรือข้อบ่งใช้ไม่ตรงกับโจทย์ที่กำหนด
• ข้อ ง. (ชื่อระบบ monolithic): ข้อนี้ไม่ใช่คำตอบที่ถูกต้องสำหรับภาวะ Suspensions เนื่องจากกลไกการออกฤทธิ์, efficacy หรือข้อบ่งใช้ไม่ตรงกับโจทย์ที่กำหนด
• ข้อ จ. (ยากระจายใน matrix): ข้อนี้ไม่ใช่คำตอบที่ถูกต้องสำหรับภาวะ Suspensions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18" t="inlineStr"/>
      <c r="L27" s="18" t="inlineStr">
        <is>
          <t>Suspensions</t>
        </is>
      </c>
      <c r="M27" s="18" t="inlineStr">
        <is>
          <t>Liquid &amp; Semisolid</t>
        </is>
      </c>
      <c r="N27" s="18" t="inlineStr">
        <is>
          <t>PLE_CC1_2565_Day1_Key ข้อ 91</t>
        </is>
      </c>
      <c r="O27" s="18" t="inlineStr">
        <is>
          <t>ข้อสอบจริง</t>
        </is>
      </c>
      <c r="P27" s="18" t="inlineStr">
        <is>
          <t>ปี 2565</t>
        </is>
      </c>
      <c r="Q27" s="18" t="inlineStr">
        <is>
          <t>การปลดปล;อยยา ขึ้นกับ swelling และ erosion ของ polymer matrix ]าเ;น reservoir system ภาพ_าจะเ;นยารวมตรงแกนกลางแ`วa Polymer coating รอบๆเ;นcน ]าUจากภาพAอยากระจายอLใน Polymer matrix เลย Reservoir system YZตราปลดป[อยยาคงYUจะปลดป[อยยาไFนานก)า ~ ~ ~ เพราะ Matrix dหนดZตราการปลดป[อยยาeSวหTง PLE-CC1 Preparation 2565 เฉลยโดย MUPY53 เ"น parameter ในการ.เคราะuประvทwภาพของ column หxอcapillary ของ chromatography yงzา]งyง{ โดยMา N จะNงไO peakควร(ความกQาง(W)Rอยๆ</t>
        </is>
      </c>
    </row>
    <row r="28">
      <c r="A28" s="15" t="inlineStr">
        <is>
          <t>27</t>
        </is>
      </c>
      <c r="B28" s="18"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18" t="inlineStr"/>
      <c r="D28" s="18" t="inlineStr">
        <is>
          <t>UV-Visible spectrophotometry</t>
        </is>
      </c>
      <c r="E28" s="18" t="inlineStr">
        <is>
          <t>High Performance Thin Layer Chromatography (HPTLC)</t>
        </is>
      </c>
      <c r="F28" s="18" t="inlineStr">
        <is>
          <t>High Performance Liquid Chromatography (HPLC)</t>
        </is>
      </c>
      <c r="G28" s="18" t="inlineStr">
        <is>
          <t>Raman spectroscopy</t>
        </is>
      </c>
      <c r="H28" s="18" t="inlineStr">
        <is>
          <t>Infrared spectroscopy (IR)</t>
        </is>
      </c>
      <c r="I28" s="15" t="inlineStr">
        <is>
          <t>3</t>
        </is>
      </c>
      <c r="J28" s="18"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18" t="inlineStr"/>
      <c r="L28" s="18" t="inlineStr">
        <is>
          <t>Semisolid QC &amp; Chromatography</t>
        </is>
      </c>
      <c r="M28" s="18" t="inlineStr">
        <is>
          <t>Product</t>
        </is>
      </c>
      <c r="N28" s="18" t="inlineStr">
        <is>
          <t>ข้อสอบเก่า 2565 Day 2 ข้อ 38</t>
        </is>
      </c>
      <c r="O28" s="18" t="inlineStr">
        <is>
          <t>ข้อสอบเก่า</t>
        </is>
      </c>
      <c r="P28" s="15" t="inlineStr">
        <is>
          <t>2565</t>
        </is>
      </c>
      <c r="Q28" s="18" t="inlineStr"/>
    </row>
    <row r="29">
      <c r="A29" s="15" t="inlineStr">
        <is>
          <t>28</t>
        </is>
      </c>
      <c r="B29" s="18" t="inlineStr">
        <is>
          <t>จากสูตรตำรับการเตรียม Rifampicin suspension สารกลุ่มใดในตำรับทำหน้าที่เป็นตัวทำละลายร่วม (Co-solvents)</t>
        </is>
      </c>
      <c r="C29" s="18" t="inlineStr"/>
      <c r="D29" s="18" t="inlineStr">
        <is>
          <t>Glycerin, PEG, ascorbic acid</t>
        </is>
      </c>
      <c r="E29" s="18" t="inlineStr">
        <is>
          <t>Glycerin, PEG, sorbitol solution</t>
        </is>
      </c>
      <c r="F29" s="18" t="inlineStr">
        <is>
          <t>PEG, ascorbic acid, Saccharin</t>
        </is>
      </c>
      <c r="G29" s="18" t="inlineStr">
        <is>
          <t>Ascorbic acid, sorbitol solution, EDTA</t>
        </is>
      </c>
      <c r="H29" s="18" t="inlineStr">
        <is>
          <t>Ascorbic acid, EDTA, Saccharin</t>
        </is>
      </c>
      <c r="I29" s="15" t="inlineStr">
        <is>
          <t>2</t>
        </is>
      </c>
      <c r="J29" s="18"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18" t="inlineStr"/>
      <c r="L29" s="18" t="inlineStr">
        <is>
          <t>Suspensions &amp; Co-solvents</t>
        </is>
      </c>
      <c r="M29" s="18" t="inlineStr">
        <is>
          <t>Product</t>
        </is>
      </c>
      <c r="N29" s="18" t="inlineStr">
        <is>
          <t>ข้อสอบเก่า 2565 Day 2 ข้อ 54</t>
        </is>
      </c>
      <c r="O29" s="18" t="inlineStr">
        <is>
          <t>ข้อสอบเก่า</t>
        </is>
      </c>
      <c r="P29" s="15" t="inlineStr">
        <is>
          <t>2565</t>
        </is>
      </c>
      <c r="Q29" s="18" t="inlineStr"/>
    </row>
    <row r="30">
      <c r="A30" s="15" t="inlineStr">
        <is>
          <t>29</t>
        </is>
      </c>
      <c r="B30" s="18" t="inlineStr">
        <is>
          <t>จากสูตรตำรับ Aluminum hydroxide paste (ประกอบด้วย Aluminum hydroxide, Glycerol, Sorbitol, Methylparaben, Propylparaben, Purified water) ข้อใดต่อไปนี้กล่าวถูกต้อง</t>
        </is>
      </c>
      <c r="C30" s="18" t="inlineStr"/>
      <c r="D30" s="18" t="inlineStr">
        <is>
          <t>ใช้ Sorbitol กับ Glycerol เพื่อเป็นสารเพิ่มความหนืดหลักของตำรับ</t>
        </is>
      </c>
      <c r="E30" s="18" t="inlineStr">
        <is>
          <t>ตำรับนี้ไม่สามารถแต่งกลิ่นรส (Flavoring agent) ได้เนื่องจากตัวยาเสื่อมสลาย</t>
        </is>
      </c>
      <c r="F30" s="18" t="inlineStr">
        <is>
          <t>Methyl cellulose เป็นสารให้ความหนืดชนิดไม่มีประจุ (Nonionic polymer) ที่เข้ากันได้ดีกับตัวยา</t>
        </is>
      </c>
      <c r="G30" s="18" t="inlineStr">
        <is>
          <t>Methylparaben และ Propylparaben ทำหน้าที่เป็น Antioxidants ป้องกันการเกิด oxidation</t>
        </is>
      </c>
      <c r="H30" s="18" t="inlineStr">
        <is>
          <t>Glycerol และ Sorbitol ทำหน้าที่เป็น Emulsifying agent ประจุลบ</t>
        </is>
      </c>
      <c r="I30" s="15" t="inlineStr">
        <is>
          <t>3</t>
        </is>
      </c>
      <c r="J30" s="18"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18" t="inlineStr"/>
      <c r="L30" s="18" t="inlineStr">
        <is>
          <t>Suspensions &amp; Excipients</t>
        </is>
      </c>
      <c r="M30" s="18" t="inlineStr">
        <is>
          <t>Product</t>
        </is>
      </c>
      <c r="N30" s="18" t="inlineStr">
        <is>
          <t>ข้อสอบเก่า 2565 Day 2 ข้อ 79</t>
        </is>
      </c>
      <c r="O30" s="18" t="inlineStr">
        <is>
          <t>ข้อสอบเก่า</t>
        </is>
      </c>
      <c r="P30" s="15" t="inlineStr">
        <is>
          <t>2565</t>
        </is>
      </c>
      <c r="Q30" s="18" t="inlineStr"/>
    </row>
    <row r="31">
      <c r="A31" s="15" t="inlineStr">
        <is>
          <t>30</t>
        </is>
      </c>
      <c r="B31" s="18"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18" t="inlineStr"/>
      <c r="D31" s="18" t="inlineStr">
        <is>
          <t>Liquid &amp; Semisolid</t>
        </is>
      </c>
      <c r="E31" s="18" t="inlineStr">
        <is>
          <t>Absorption Ointment base (Lanolin USP)</t>
        </is>
      </c>
      <c r="F31" s="18" t="inlineStr">
        <is>
          <t>Fatty Suppository base (Hard Fat / Witepsol)</t>
        </is>
      </c>
      <c r="G31" s="18" t="inlineStr">
        <is>
          <t>Simple Syrup USP (85% w/v Sucrose)</t>
        </is>
      </c>
      <c r="H31" s="18" t="inlineStr">
        <is>
          <t>Elixir with 10-20% Alcohol cosolvent</t>
        </is>
      </c>
      <c r="I31" s="15" t="inlineStr">
        <is>
          <t>1</t>
        </is>
      </c>
      <c r="J31" s="18"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18" t="inlineStr"/>
      <c r="L31" s="18" t="inlineStr">
        <is>
          <t>Solutions, Syrups &amp; Elixirs</t>
        </is>
      </c>
      <c r="M31" s="18" t="inlineStr">
        <is>
          <t>Liquid &amp; Semisolid</t>
        </is>
      </c>
      <c r="N31" s="18" t="inlineStr">
        <is>
          <t>PLE_CC1_2564_All_Key ข้อ 31</t>
        </is>
      </c>
      <c r="O31" s="18" t="inlineStr">
        <is>
          <t>ข้อสอบจริง</t>
        </is>
      </c>
      <c r="P31" s="18" t="inlineStr">
        <is>
          <t>ปี 2564</t>
        </is>
      </c>
    </row>
    <row r="32">
      <c r="A32" s="15" t="inlineStr">
        <is>
          <t>31</t>
        </is>
      </c>
      <c r="B32" s="18"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18" t="inlineStr"/>
      <c r="D32" s="18" t="inlineStr">
        <is>
          <t>Liquid &amp; Semisolid</t>
        </is>
      </c>
      <c r="E32" s="18" t="inlineStr">
        <is>
          <t>Elixir with 10-20% Alcohol cosolvent</t>
        </is>
      </c>
      <c r="F32" s="18" t="inlineStr">
        <is>
          <t>Flocculated Oral Suspension with Xanthan Gum</t>
        </is>
      </c>
      <c r="G32" s="18" t="inlineStr">
        <is>
          <t>Deflocculated Suspension formulation</t>
        </is>
      </c>
      <c r="H32" s="18" t="inlineStr">
        <is>
          <t>O/W Emulsion stabilized by Polysorbate 80 / Span 80</t>
        </is>
      </c>
      <c r="I32" s="15" t="inlineStr">
        <is>
          <t>1</t>
        </is>
      </c>
      <c r="J32" s="18"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8" t="inlineStr"/>
      <c r="L32" s="18" t="inlineStr">
        <is>
          <t>Creams &amp; Ointments</t>
        </is>
      </c>
      <c r="M32" s="18" t="inlineStr">
        <is>
          <t>Liquid &amp; Semisolid</t>
        </is>
      </c>
      <c r="N32" s="18" t="inlineStr">
        <is>
          <t>PLE_CC1_2564_All_Key ข้อ 3</t>
        </is>
      </c>
      <c r="O32" s="18" t="inlineStr">
        <is>
          <t>ข้อสอบจริง</t>
        </is>
      </c>
      <c r="P32" s="18" t="inlineStr">
        <is>
          <t>ปี 2564</t>
        </is>
      </c>
    </row>
    <row r="33">
      <c r="A33" s="15" t="inlineStr">
        <is>
          <t>32</t>
        </is>
      </c>
      <c r="B33" s="18" t="inlineStr">
        <is>
          <t>ถ้าลูกเกิดมาแล้วแม่มี VL 20 ลูกจะต้องได้รับ zidovudine syrup ไปอีกเท่าไหร่? (หมายถึงเวลารึป่ะ)</t>
        </is>
      </c>
      <c r="C33" s="18" t="inlineStr"/>
      <c r="D33" s="18" t="inlineStr">
        <is>
          <t>Liquid &amp; Semisolid</t>
        </is>
      </c>
      <c r="E33" s="18" t="inlineStr">
        <is>
          <t>O/W Emulsion stabilized by Polysorbate 80 / Span 80</t>
        </is>
      </c>
      <c r="F33" s="18" t="inlineStr">
        <is>
          <t>W/O Emulsion with Sorbitan monooleate</t>
        </is>
      </c>
      <c r="G33" s="18" t="inlineStr">
        <is>
          <t>Carbopol 940 hydrogel neutralized with Triethanolamine</t>
        </is>
      </c>
      <c r="H33" s="18" t="inlineStr">
        <is>
          <t>Oleaginous Ointment base (White Petrolatum)</t>
        </is>
      </c>
      <c r="I33" s="15" t="inlineStr">
        <is>
          <t>1</t>
        </is>
      </c>
      <c r="J33" s="18"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Solutions, Syrups &amp; Elixirs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8" t="inlineStr"/>
      <c r="L33" s="18" t="inlineStr">
        <is>
          <t>Solutions, Syrups &amp; Elixirs</t>
        </is>
      </c>
      <c r="M33" s="18" t="inlineStr">
        <is>
          <t>Liquid &amp; Semisolid</t>
        </is>
      </c>
      <c r="N33" s="18" t="inlineStr">
        <is>
          <t>PLE_CC1_2564_All_Key ข้อ 77</t>
        </is>
      </c>
      <c r="O33" s="18" t="inlineStr">
        <is>
          <t>ข้อสอบจริง</t>
        </is>
      </c>
      <c r="P33" s="18" t="inlineStr">
        <is>
          <t>ปี 2564</t>
        </is>
      </c>
    </row>
    <row r="34">
      <c r="A34" s="15" t="inlineStr">
        <is>
          <t>33</t>
        </is>
      </c>
      <c r="B34" s="18" t="inlineStr">
        <is>
          <t>ตำรับประกอบด้วย ตัวยาสำคัญ, MCC, Lactose, disintegrant สักตัว, Mg stearate แล้ว Shell ประกอบด้วย gelatin, Titanium dioxide, iron oxide ถามว่าเป็นรูปแบบไหน</t>
        </is>
      </c>
      <c r="C34" s="18" t="inlineStr"/>
      <c r="D34" s="18" t="inlineStr">
        <is>
          <t>Liquid &amp; Semisolid</t>
        </is>
      </c>
      <c r="E34" s="18" t="inlineStr">
        <is>
          <t>Oleaginous Ointment base (White Petrolatum)</t>
        </is>
      </c>
      <c r="F34" s="18" t="inlineStr">
        <is>
          <t>Absorption Ointment base (Lanolin USP)</t>
        </is>
      </c>
      <c r="G34" s="18" t="inlineStr">
        <is>
          <t>Fatty Suppository base (Hard Fat / Witepsol)</t>
        </is>
      </c>
      <c r="H34" s="18" t="inlineStr">
        <is>
          <t>Simple Syrup USP (85% w/v Sucrose)</t>
        </is>
      </c>
      <c r="I34" s="15" t="inlineStr">
        <is>
          <t>1</t>
        </is>
      </c>
      <c r="J34" s="18"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จ. (Simple Syrup USP (85% w/v Sucrose)):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18" t="inlineStr"/>
      <c r="L34" s="18" t="inlineStr">
        <is>
          <t>Gels</t>
        </is>
      </c>
      <c r="M34" s="18" t="inlineStr">
        <is>
          <t>Liquid &amp; Semisolid</t>
        </is>
      </c>
      <c r="N34" s="18" t="inlineStr">
        <is>
          <t>PLE_CC1_2564_All_Key ข้อ 131</t>
        </is>
      </c>
      <c r="O34" s="18" t="inlineStr">
        <is>
          <t>ข้อสอบจริง</t>
        </is>
      </c>
      <c r="P34" s="18" t="inlineStr">
        <is>
          <t>ปี 2564</t>
        </is>
      </c>
    </row>
    <row r="35">
      <c r="A35" s="15" t="inlineStr">
        <is>
          <t>34</t>
        </is>
      </c>
      <c r="B35" s="18"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18" t="inlineStr"/>
      <c r="D35" s="18" t="inlineStr">
        <is>
          <t>Liquid &amp; Semisolid</t>
        </is>
      </c>
      <c r="E35" s="18" t="inlineStr">
        <is>
          <t>Simple Syrup USP (85% w/v Sucrose)</t>
        </is>
      </c>
      <c r="F35" s="18" t="inlineStr">
        <is>
          <t>Elixir with 10-20% Alcohol cosolvent</t>
        </is>
      </c>
      <c r="G35" s="18" t="inlineStr">
        <is>
          <t>Flocculated Oral Suspension with Xanthan Gum</t>
        </is>
      </c>
      <c r="H35" s="18" t="inlineStr">
        <is>
          <t>Deflocculated Suspension formulation</t>
        </is>
      </c>
      <c r="I35" s="15" t="inlineStr">
        <is>
          <t>1</t>
        </is>
      </c>
      <c r="J35" s="18"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18" t="inlineStr"/>
      <c r="L35" s="18" t="inlineStr">
        <is>
          <t>Gels</t>
        </is>
      </c>
      <c r="M35" s="18" t="inlineStr">
        <is>
          <t>Liquid &amp; Semisolid</t>
        </is>
      </c>
      <c r="N35" s="18" t="inlineStr">
        <is>
          <t>PLE_CC1_2564_All_Key ข้อ 2</t>
        </is>
      </c>
      <c r="O35" s="18" t="inlineStr">
        <is>
          <t>ข้อสอบจริง</t>
        </is>
      </c>
      <c r="P35" s="18" t="inlineStr">
        <is>
          <t>ปี 2564</t>
        </is>
      </c>
    </row>
    <row r="36">
      <c r="A36" s="15" t="inlineStr">
        <is>
          <t>35</t>
        </is>
      </c>
      <c r="B36" s="18" t="inlineStr">
        <is>
          <t>ข้อใดถูกเกี่ยวกับคำแนะนำการใฬ้ยาทาครีม BS ที่มี steroid เป็นอษค์ประกอบ</t>
        </is>
      </c>
      <c r="C36" s="18" t="inlineStr"/>
      <c r="D36" s="18" t="inlineStr">
        <is>
          <t>Liquid &amp; Semisolid</t>
        </is>
      </c>
      <c r="E36" s="18" t="inlineStr">
        <is>
          <t>ใฬ้ปริมาณน้อย</t>
        </is>
      </c>
      <c r="F36" s="18" t="inlineStr">
        <is>
          <t>ใฬ้ติดต่อกันไม่เกิน 2 วัน</t>
        </is>
      </c>
      <c r="G36" s="18" t="inlineStr">
        <is>
          <t>ทาแล้วใฬ้พลาสเตอร์ปิด ษ. ใฬ้ได้กับแผล ส. ทาทุก 6 ฬม. RA</t>
        </is>
      </c>
      <c r="H36" s="18" t="inlineStr">
        <is>
          <t>Carbopol 940 hydrogel neutralized with Triethanolamine</t>
        </is>
      </c>
      <c r="I36" s="15" t="inlineStr">
        <is>
          <t>1</t>
        </is>
      </c>
      <c r="J36" s="18"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RA):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8" t="inlineStr"/>
      <c r="L36" s="18" t="inlineStr">
        <is>
          <t>Creams &amp; Ointments</t>
        </is>
      </c>
      <c r="M36" s="18" t="inlineStr">
        <is>
          <t>Liquid &amp; Semisolid</t>
        </is>
      </c>
      <c r="N36" s="18" t="inlineStr">
        <is>
          <t>PLE_CC1_2563_Q ข้อ 42</t>
        </is>
      </c>
      <c r="O36" s="18" t="inlineStr">
        <is>
          <t>ข้อสอบจริง</t>
        </is>
      </c>
      <c r="P36" s="18" t="inlineStr">
        <is>
          <t>ปี 2563</t>
        </is>
      </c>
    </row>
    <row r="37">
      <c r="A37" s="15" t="inlineStr">
        <is>
          <t>36</t>
        </is>
      </c>
      <c r="B37" s="18" t="inlineStr">
        <is>
          <t>ข้อใดถูกเกี่ยวกับคำแนะนำการใฬ้ยาทาครีม BA ที่มี steroid (ที่ตำรับประกอบด้วย Steroids + ketolytic agent) เป็นอษค์ประกอบ</t>
        </is>
      </c>
      <c r="C37" s="18" t="inlineStr"/>
      <c r="D37" s="18" t="inlineStr">
        <is>
          <t>Liquid &amp; Semisolid</t>
        </is>
      </c>
      <c r="E37" s="18" t="inlineStr">
        <is>
          <t>ใฬ้ปริมาณน้อย</t>
        </is>
      </c>
      <c r="F37" s="18" t="inlineStr">
        <is>
          <t>ใฬ้ติดต่อกันไม่เกิน 2 วัน</t>
        </is>
      </c>
      <c r="G37" s="18" t="inlineStr">
        <is>
          <t>ทาแล้วใฬ้พลาสเตอร์ปิด ษ. ใฬ้ได้กับแผล ส. ทาทุก 6 ฬม. GERD</t>
        </is>
      </c>
      <c r="H37" s="18" t="inlineStr">
        <is>
          <t>Fatty Suppository base (Hard Fat / Witepsol)</t>
        </is>
      </c>
      <c r="I37" s="15" t="inlineStr">
        <is>
          <t>1</t>
        </is>
      </c>
      <c r="J37" s="18"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GERD):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18" t="inlineStr"/>
      <c r="L37" s="18" t="inlineStr">
        <is>
          <t>Creams &amp; Ointments</t>
        </is>
      </c>
      <c r="M37" s="18" t="inlineStr">
        <is>
          <t>Liquid &amp; Semisolid</t>
        </is>
      </c>
      <c r="N37" s="18" t="inlineStr">
        <is>
          <t>PLE_CC1_2563_Q ข้อ 83</t>
        </is>
      </c>
      <c r="O37" s="18" t="inlineStr">
        <is>
          <t>ข้อสอบจริง</t>
        </is>
      </c>
      <c r="P37" s="18" t="inlineStr">
        <is>
          <t>ปี 2563</t>
        </is>
      </c>
    </row>
    <row r="38">
      <c r="A38" s="18" t="n">
        <v>36</v>
      </c>
      <c r="B38" s="18" t="inlineStr">
        <is>
          <t>ข้อใดไม่ถูกต้องเกี่ยวกับการใช้ capsaicin gel wei.2 X ↑ziseeideigered</t>
        </is>
      </c>
      <c r="C38" s="18" t="n"/>
      <c r="D38" s="18" t="inlineStr">
        <is>
          <t>ทายานี้วันละ 3-4 ครั้งต่อวัน</t>
        </is>
      </c>
      <c r="E38" s="18" t="inlineStr">
        <is>
          <t>ใช้ยานี้สม่ำเสมอจึงจะเห็นประสิทธิผล</t>
        </is>
      </c>
      <c r="F38" s="18" t="inlineStr">
        <is>
          <t>ถูนวดบริเวณที่ปวดหลังทายานี้อย่างน้อย 5 นาที</t>
        </is>
      </c>
      <c r="G38" s="18" t="inlineStr">
        <is>
          <t>หลังทายานี้ต้องล้างมือด้วยน้ำสะอาดและสบู่ทุกครั้ง</t>
        </is>
      </c>
      <c r="H38" s="18"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18" t="n">
        <v>1</v>
      </c>
      <c r="J38" s="18"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ข้อนี้ไม่ใช่คำตอบที่ถูกต้องสำหรับภาวะ Gels เนื่องจากกลไกการออกฤทธิ์, efficacy หรือข้อบ่งใช้ไม่ตรงกับโจทย์ที่กำหนด
• ข้อ ค. (ถูนวดบริเวณที่ปวดหลังทายานี้อย่างน้อย 5 นาที): ข้อนี้ไม่ใช่คำตอบที่ถูกต้องสำหรับภาวะ Gels เนื่องจากกลไกการออกฤทธิ์, efficacy หรือข้อบ่งใช้ไม่ตรงกับโจทย์ที่กำหนด
• ข้อ ง. (หลังทายานี้ต้องล้างมือด้วยน้ำสะอาดและสบู่ทุกครั้ง): ข้อนี้ไม่ใช่คำตอบที่ถูกต้องสำหรับภาวะ Gels เนื่องจากกลไกการออกฤทธิ์, efficacy หรือข้อบ่งใช้ไม่ตรงกับโจทย์ที่กำหนด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8" t="n"/>
      <c r="L38" s="18" t="inlineStr">
        <is>
          <t>Gels</t>
        </is>
      </c>
      <c r="M38" s="18" t="inlineStr">
        <is>
          <t>Product</t>
        </is>
      </c>
      <c r="N38" s="18" t="inlineStr">
        <is>
          <t>ข้อ 5 (PLE_CC1_2562_Key.md)</t>
        </is>
      </c>
      <c r="O38" s="18" t="inlineStr">
        <is>
          <t>ข้อสอบจริง</t>
        </is>
      </c>
      <c r="P38" s="18" t="inlineStr">
        <is>
          <t>ปี 2562</t>
        </is>
      </c>
    </row>
    <row r="39">
      <c r="A39" s="18" t="n">
        <v>37</v>
      </c>
      <c r="B39" s="18" t="inlineStr">
        <is>
          <t>ข้อใดคือลักษณะยาที่ซึมผ่านผิวหนังได้ดี - TEAziph einlei carbopol Wi - Coins( X- log p 7-3 winditwere Dandeisin : didd . n . Ninetee referee nien medici</t>
        </is>
      </c>
      <c r="C39" s="18" t="n"/>
      <c r="D39" s="18" t="inlineStr">
        <is>
          <t>Mw&gt; 500 dalton</t>
        </is>
      </c>
      <c r="E39" s="18" t="inlineStr">
        <is>
          <t>Log P &gt; 10</t>
        </is>
      </c>
      <c r="F39" s="18" t="inlineStr">
        <is>
          <t>อยู่ในรูป unionized เมื่ออยู่ที่ผิวหนัง</t>
        </is>
      </c>
      <c r="G39" s="18" t="inlineStr">
        <is>
          <t>ควรให้ค่า F &lt;1</t>
        </is>
      </c>
      <c r="H39" s="18" t="inlineStr">
        <is>
          <t>เป็น crystalline</t>
        </is>
      </c>
      <c r="I39" s="18" t="n">
        <v>1</v>
      </c>
      <c r="J39" s="18"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ข้อนี้ไม่ใช่คำตอบที่ถูกต้องสำหรับภาวะ Gels เนื่องจากกลไกการออกฤทธิ์, efficacy หรือข้อบ่งใช้ไม่ตรงกับโจทย์ที่กำหนด
• ข้อ ค. (อยู่ในรูป unionized เมื่ออยู่ที่ผิวหนัง): ข้อนี้ไม่ใช่คำตอบที่ถูกต้องสำหรับภาวะ Gels เนื่องจากกลไกการออกฤทธิ์, efficacy หรือข้อบ่งใช้ไม่ตรงกับโจทย์ที่กำหนด
• ข้อ ง. (ควรให้ค่า F &lt;1): ข้อนี้ไม่ใช่คำตอบที่ถูกต้องสำหรับภาวะ Gels เนื่องจากกลไกการออกฤทธิ์, efficacy หรือข้อบ่งใช้ไม่ตรงกับโจทย์ที่กำหนด
• ข้อ จ. (เป็น crystalline):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8" t="n"/>
      <c r="L39" s="18" t="inlineStr">
        <is>
          <t>Gels</t>
        </is>
      </c>
      <c r="M39" s="18" t="inlineStr">
        <is>
          <t>Product</t>
        </is>
      </c>
      <c r="N39" s="18" t="inlineStr">
        <is>
          <t>ข้อ 7 (PLE_CC1_2562_Key.md)</t>
        </is>
      </c>
      <c r="O39" s="18" t="inlineStr">
        <is>
          <t>ข้อสอบจริง</t>
        </is>
      </c>
      <c r="P39" s="18" t="inlineStr">
        <is>
          <t>ปี 2562</t>
        </is>
      </c>
    </row>
    <row r="40">
      <c r="A40" s="18" t="n">
        <v>38</v>
      </c>
      <c r="B40" s="18" t="inlineStr">
        <is>
          <t>ตำรับ metronidazole gel ประกอบด้วย gelling agent, methyl paraben, propyl paraben, propylene glycol, X astw alc . - PEG ~ ethanol, purified water หน้าที่สาร propylene glycol คือ</t>
        </is>
      </c>
      <c r="C40" s="18" t="n"/>
      <c r="D40" s="18" t="inlineStr">
        <is>
          <t>ปรับ pH</t>
        </is>
      </c>
      <c r="E40" s="18" t="inlineStr">
        <is>
          <t>ป้องกันการเสียน้ำในตำรับ</t>
        </is>
      </c>
      <c r="F40" s="18" t="inlineStr">
        <is>
          <t>ทำให้ผิวหนังมันและชุ่มชื้น</t>
        </is>
      </c>
      <c r="G40" s="18" t="inlineStr">
        <is>
          <t>ป้องกันการออกซิเดชันตัวยา</t>
        </is>
      </c>
      <c r="H40" s="18" t="inlineStr">
        <is>
          <t>เป็นสารกันเสีย ป้องกันการก่อเชื้อ</t>
        </is>
      </c>
      <c r="I40" s="18" t="n">
        <v>1</v>
      </c>
      <c r="J40" s="18"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ข้อนี้ไม่ใช่คำตอบที่ถูกต้องสำหรับภาวะ Gels เนื่องจากกลไกการออกฤทธิ์, efficacy หรือข้อบ่งใช้ไม่ตรงกับโจทย์ที่กำหนด
• ข้อ ค. (ทำให้ผิวหนังมันและชุ่มชื้น): ข้อนี้ไม่ใช่คำตอบที่ถูกต้องสำหรับภาวะ Gels เนื่องจากกลไกการออกฤทธิ์, efficacy หรือข้อบ่งใช้ไม่ตรงกับโจทย์ที่กำหนด
• ข้อ ง. (ป้องกันการออกซิเดชันตัวยา): ข้อนี้ไม่ใช่คำตอบที่ถูกต้องสำหรับภาวะ Gels เนื่องจากกลไกการออกฤทธิ์, efficacy หรือข้อบ่งใช้ไม่ตรงกับโจทย์ที่กำหนด
• ข้อ จ. (เป็นสารกันเสีย ป้องกันการก่อเชื้อ):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8" t="n"/>
      <c r="L40" s="18" t="inlineStr">
        <is>
          <t>Gels</t>
        </is>
      </c>
      <c r="M40" s="18" t="inlineStr">
        <is>
          <t>Product</t>
        </is>
      </c>
      <c r="N40" s="18" t="inlineStr">
        <is>
          <t>ข้อ 101 (PLE_CC1_2562_Key.md)</t>
        </is>
      </c>
      <c r="O40" s="18" t="inlineStr">
        <is>
          <t>ข้อสอบจริง</t>
        </is>
      </c>
      <c r="P40" s="18" t="inlineStr">
        <is>
          <t>ปี 2562</t>
        </is>
      </c>
    </row>
    <row r="41">
      <c r="A41" s="18" t="n">
        <v>39</v>
      </c>
      <c r="B41" s="18" t="inlineStr">
        <is>
          <t>สารใดไม!ใชเปEน stiffening agent ของสูตรตำรับยาครีม</t>
        </is>
      </c>
      <c r="C41" s="18" t="n"/>
      <c r="D41" s="18" t="inlineStr">
        <is>
          <t>Beeswax</t>
        </is>
      </c>
      <c r="E41" s="18" t="inlineStr">
        <is>
          <t>PEG-4000</t>
        </is>
      </c>
      <c r="F41" s="18" t="inlineStr">
        <is>
          <t>Paraffin wax</t>
        </is>
      </c>
      <c r="G41" s="18" t="inlineStr">
        <is>
          <t>Isopropyl myristate</t>
        </is>
      </c>
      <c r="H41" s="18" t="inlineStr">
        <is>
          <t>Cytostearyl alcohol Awaiting</t>
        </is>
      </c>
      <c r="I41" s="18" t="n">
        <v>1</v>
      </c>
      <c r="J41" s="18"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ข้อนี้ไม่ใช่คำตอบที่ถูกต้องสำหรับภาวะ Creams &amp; Ointments เนื่องจากกลไกการออกฤทธิ์, efficacy หรือข้อบ่งใช้ไม่ตรงกับโจทย์ที่กำหนด
• ข้อ ค. (Paraffin wax): ข้อนี้ไม่ใช่คำตอบที่ถูกต้องสำหรับภาวะ Creams &amp; Ointments เนื่องจากกลไกการออกฤทธิ์, efficacy หรือข้อบ่งใช้ไม่ตรงกับโจทย์ที่กำหนด
• ข้อ ง. (Isopropyl myristate): ข้อนี้ไม่ใช่คำตอบที่ถูกต้องสำหรับภาวะ Creams &amp; Ointments เนื่องจากกลไกการออกฤทธิ์, efficacy หรือข้อบ่งใช้ไม่ตรงกับโจทย์ที่กำหนด
• ข้อ จ. (Cytostearyl alcohol Awaiting):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8" t="n"/>
      <c r="L41" s="18" t="inlineStr">
        <is>
          <t>Creams &amp; Ointments</t>
        </is>
      </c>
      <c r="M41" s="18" t="inlineStr">
        <is>
          <t>Product</t>
        </is>
      </c>
      <c r="N41" s="18" t="inlineStr">
        <is>
          <t>ข้อ 29 (PLE_CC1_2561_Key.md)</t>
        </is>
      </c>
      <c r="O41" s="18" t="inlineStr">
        <is>
          <t>ข้อสอบจริง</t>
        </is>
      </c>
      <c r="P41" s="18" t="inlineStr">
        <is>
          <t>ปี 2561</t>
        </is>
      </c>
    </row>
    <row r="42">
      <c r="A42" s="18" t="n">
        <v>40</v>
      </c>
      <c r="B42" s="18" t="inlineStr">
        <is>
          <t>จากใบ COA benzoyl peroxide gel นอกจากหัวข้อ identification, pH, assay, microbial limit test ควรทดสอบ หัวข้ออะไรเพิ่มเติม</t>
        </is>
      </c>
      <c r="C42" s="18" t="n"/>
      <c r="D42" s="18" t="inlineStr">
        <is>
          <t>Simple Syrup USP (85% w/v Sucrose)</t>
        </is>
      </c>
      <c r="E42" s="18" t="inlineStr">
        <is>
          <t>Elixir with 10-20% Alcohol cosolvent</t>
        </is>
      </c>
      <c r="F42" s="18" t="inlineStr">
        <is>
          <t>Flocculated Oral Suspension with Xanthan Gum</t>
        </is>
      </c>
      <c r="G42" s="18" t="inlineStr">
        <is>
          <t>Deflocculated Suspension formulation</t>
        </is>
      </c>
      <c r="H42" s="18" t="inlineStr">
        <is>
          <t>O/W Emulsion stabilized by Polysorbate 80 / Span 80</t>
        </is>
      </c>
      <c r="I42" s="18" t="n">
        <v>1</v>
      </c>
      <c r="J42" s="18"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8" t="n"/>
      <c r="L42" s="18" t="inlineStr">
        <is>
          <t>Gels</t>
        </is>
      </c>
      <c r="M42" s="18" t="inlineStr">
        <is>
          <t>Product</t>
        </is>
      </c>
      <c r="N42" s="18" t="inlineStr">
        <is>
          <t>ข้อ 91 (PLE_CC1_2561_Key.md)</t>
        </is>
      </c>
      <c r="O42" s="18" t="inlineStr">
        <is>
          <t>ข้อสอบจริง</t>
        </is>
      </c>
      <c r="P42" s="18" t="inlineStr">
        <is>
          <t>ปี 2561</t>
        </is>
      </c>
    </row>
    <row r="43">
      <c r="A43" s="18" t="n">
        <v>41</v>
      </c>
      <c r="B43" s="18" t="inlineStr">
        <is>
          <t>เภสัชกรได(เตรียมตำรับยาน้ำที่มีส.วนประกอบดังนี้ amlodipine maleate, polysorbate 80 และ vehicle qs to 60 ml ยามีการ สลายตัวแบบใด t</t>
        </is>
      </c>
      <c r="C43" s="18" t="n"/>
      <c r="D43" s="18" t="inlineStr">
        <is>
          <t>Zero order</t>
        </is>
      </c>
      <c r="E43" s="18" t="inlineStr">
        <is>
          <t>First order</t>
        </is>
      </c>
      <c r="F43" s="18" t="inlineStr">
        <is>
          <t>Second order</t>
        </is>
      </c>
      <c r="G43" s="18" t="inlineStr">
        <is>
          <t>Pseudo first order</t>
        </is>
      </c>
      <c r="H43" s="18" t="inlineStr">
        <is>
          <t>Mix type zero + second order</t>
        </is>
      </c>
      <c r="I43" s="18" t="n">
        <v>1</v>
      </c>
      <c r="J43" s="18"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ค. (Second order): ข้อนี้ไม่ใช่คำตอบที่ถูกต้องสำหรับภาวะ Solutions, Syrups &amp; Elixirs เนื่องจากกลไกการออกฤทธิ์, efficacy หรือข้อบ่งใช้ไม่ตรงกับโจทย์ที่กำหนด
• ข้อ ง. (Pseudo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จ. (Mix type zero + second order):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8" t="n"/>
      <c r="L43" s="18" t="inlineStr">
        <is>
          <t>Solutions, Syrups &amp; Elixirs</t>
        </is>
      </c>
      <c r="M43" s="18" t="inlineStr">
        <is>
          <t>Product</t>
        </is>
      </c>
      <c r="N43" s="18" t="inlineStr">
        <is>
          <t>ข้อ 100 (PLE_CC1_2561_Key.md)</t>
        </is>
      </c>
      <c r="O43" s="18" t="inlineStr">
        <is>
          <t>ข้อสอบจริง</t>
        </is>
      </c>
      <c r="P43" s="18" t="inlineStr">
        <is>
          <t>ปี 2561</t>
        </is>
      </c>
    </row>
    <row r="44">
      <c r="A44" s="18" t="n">
        <v>42</v>
      </c>
      <c r="B44" s="18" t="inlineStr">
        <is>
          <t>ยาน้ำลดกรดจัดเป5นยาประเภทใด mmmm</t>
        </is>
      </c>
      <c r="C44" s="18" t="n"/>
      <c r="D44" s="18" t="inlineStr">
        <is>
          <t>ยาชุด</t>
        </is>
      </c>
      <c r="E44" s="18" t="inlineStr">
        <is>
          <t>ยาปลอม</t>
        </is>
      </c>
      <c r="F44" s="18" t="inlineStr">
        <is>
          <t>ยาหมดอายุ</t>
        </is>
      </c>
      <c r="G44" s="18" t="inlineStr">
        <is>
          <t>ยาผิดมาตรฐาน</t>
        </is>
      </c>
      <c r="H44" s="18" t="inlineStr">
        <is>
          <t>ยาเสื่อมคุณภาพ</t>
        </is>
      </c>
      <c r="I44" s="18" t="n">
        <v>1</v>
      </c>
      <c r="J44" s="18"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ข้อนี้ไม่ใช่คำตอบที่ถูกต้องสำหรับภาวะ Solutions, Syrups &amp; Elixirs เนื่องจากกลไกการออกฤทธิ์, efficacy หรือข้อบ่งใช้ไม่ตรงกับโจทย์ที่กำหนด
• ข้อ ค. (ยาหมดอายุ): ข้อนี้ไม่ใช่คำตอบที่ถูกต้องสำหรับภาวะ Solutions, Syrups &amp; Elixirs เนื่องจากกลไกการออกฤทธิ์, efficacy หรือข้อบ่งใช้ไม่ตรงกับโจทย์ที่กำหนด
• ข้อ ง. (ยาผิดมาตรฐาน): ข้อนี้ไม่ใช่คำตอบที่ถูกต้องสำหรับภาวะ Solutions, Syrups &amp; Elixirs เนื่องจากกลไกการออกฤทธิ์, efficacy หรือข้อบ่งใช้ไม่ตรงกับโจทย์ที่กำหนด
• ข้อ จ. (ยาเสื่อมคุณภาพ):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8" t="n"/>
      <c r="L44" s="18" t="inlineStr">
        <is>
          <t>Solutions, Syrups &amp; Elixirs</t>
        </is>
      </c>
      <c r="M44" s="18" t="inlineStr">
        <is>
          <t>Product</t>
        </is>
      </c>
      <c r="N44" s="18" t="inlineStr">
        <is>
          <t>ข้อ 109 (PLE_CC1_2561_Key.md)</t>
        </is>
      </c>
      <c r="O44" s="18" t="inlineStr">
        <is>
          <t>ข้อสอบจริง</t>
        </is>
      </c>
      <c r="P44" s="18" t="inlineStr">
        <is>
          <t>ปี 2561</t>
        </is>
      </c>
    </row>
    <row r="45">
      <c r="A45" s="18" t="n">
        <v>43</v>
      </c>
      <c r="B45" s="18" t="inlineStr">
        <is>
          <t>จากบัญชียาหลักแห่งชาติ ยาสมุนไพรใดสามารถใช้แทน clotrimazole cream ได้</t>
        </is>
      </c>
      <c r="C45" s="18" t="n"/>
      <c r="D45" s="18" t="inlineStr">
        <is>
          <t>ยาครีมบัวบก</t>
        </is>
      </c>
      <c r="E45" s="18" t="inlineStr">
        <is>
          <t>ยาทิงเจอร์ทองพันชั่ง</t>
        </is>
      </c>
      <c r="F45" s="18" t="inlineStr">
        <is>
          <t>ยาโลชั่นไพล</t>
        </is>
      </c>
      <c r="G45" s="18" t="inlineStr">
        <is>
          <t>ยาเปลือกมังคุด</t>
        </is>
      </c>
      <c r="H45" s="18" t="inlineStr">
        <is>
          <t>ยาขี ผึ งเสลดพังพอน</t>
        </is>
      </c>
      <c r="I45" s="18" t="n">
        <v>1</v>
      </c>
      <c r="J45" s="18"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ข้อนี้ไม่ใช่คำตอบที่ถูกต้องสำหรับภาวะ Creams &amp; Ointments เนื่องจากกลไกการออกฤทธิ์, efficacy หรือข้อบ่งใช้ไม่ตรงกับโจทย์ที่กำหนด
• ข้อ ค. (ยาโลชั่นไพล): ข้อนี้ไม่ใช่คำตอบที่ถูกต้องสำหรับภาวะ Creams &amp; Ointments เนื่องจากกลไกการออกฤทธิ์, efficacy หรือข้อบ่งใช้ไม่ตรงกับโจทย์ที่กำหนด
• ข้อ ง. (ยาเปลือกมังคุด): ข้อนี้ไม่ใช่คำตอบที่ถูกต้องสำหรับภาวะ Creams &amp; Ointments เนื่องจากกลไกการออกฤทธิ์, efficacy หรือข้อบ่งใช้ไม่ตรงกับโจทย์ที่กำหนด
• ข้อ จ. (ยาขี ผึ งเสลดพังพอน):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8" t="n"/>
      <c r="L45" s="18" t="inlineStr">
        <is>
          <t>Creams &amp; Ointments</t>
        </is>
      </c>
      <c r="M45" s="18" t="inlineStr">
        <is>
          <t>Product</t>
        </is>
      </c>
      <c r="N45" s="18" t="inlineStr">
        <is>
          <t>ข้อ 8 (PLE_CC1_2560 22 April Set 1.md)</t>
        </is>
      </c>
      <c r="O45" s="18" t="inlineStr">
        <is>
          <t>ข้อสอบจริง</t>
        </is>
      </c>
      <c r="P45" s="18" t="inlineStr">
        <is>
          <t>ปี 2560</t>
        </is>
      </c>
    </row>
    <row r="46">
      <c r="A46" s="18" t="n">
        <v>44</v>
      </c>
      <c r="B46" s="18" t="inlineStr">
        <is>
          <t>ใช้สารใดเพิ่มความหนืดของต้ารับครีม</t>
        </is>
      </c>
      <c r="C46" s="18" t="n"/>
      <c r="D46" s="18" t="inlineStr">
        <is>
          <t>Lanolin</t>
        </is>
      </c>
      <c r="E46" s="18" t="inlineStr">
        <is>
          <t>Cetyl alcohol</t>
        </is>
      </c>
      <c r="F46" s="18" t="inlineStr">
        <is>
          <t>Glycerine</t>
        </is>
      </c>
      <c r="G46" s="18" t="inlineStr">
        <is>
          <t>PEG 6000</t>
        </is>
      </c>
      <c r="H46" s="18" t="inlineStr">
        <is>
          <t>isopropyl mysterate</t>
        </is>
      </c>
      <c r="I46" s="18" t="n">
        <v>1</v>
      </c>
      <c r="J46" s="18"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ข้อนี้ไม่ใช่คำตอบที่ถูกต้องสำหรับภาวะ Creams &amp; Ointments เนื่องจากกลไกการออกฤทธิ์, efficacy หรือข้อบ่งใช้ไม่ตรงกับโจทย์ที่กำหนด
• ข้อ ค. (Glycerine): ข้อนี้ไม่ใช่คำตอบที่ถูกต้องสำหรับภาวะ Creams &amp; Ointments เนื่องจากกลไกการออกฤทธิ์, efficacy หรือข้อบ่งใช้ไม่ตรงกับโจทย์ที่กำหนด
• ข้อ ง. (PEG 6000): ข้อนี้ไม่ใช่คำตอบที่ถูกต้องสำหรับภาวะ Creams &amp; Ointments เนื่องจากกลไกการออกฤทธิ์, efficacy หรือข้อบ่งใช้ไม่ตรงกับโจทย์ที่กำหนด
• ข้อ จ. (isopropyl mysterate):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8" t="n"/>
      <c r="L46" s="18" t="inlineStr">
        <is>
          <t>Creams &amp; Ointments</t>
        </is>
      </c>
      <c r="M46" s="18" t="inlineStr">
        <is>
          <t>Product</t>
        </is>
      </c>
      <c r="N46" s="18" t="inlineStr">
        <is>
          <t>ข้อ 6 (PLE_CC1_2560 22 April Set 1.md)</t>
        </is>
      </c>
      <c r="O46" s="18" t="inlineStr">
        <is>
          <t>ข้อสอบจริง</t>
        </is>
      </c>
      <c r="P46" s="18" t="inlineStr">
        <is>
          <t>ปี 2560</t>
        </is>
      </c>
    </row>
    <row r="47">
      <c r="A47" s="18" t="n">
        <v>45</v>
      </c>
      <c r="B47" s="18" t="inlineStr">
        <is>
          <t>ยาทา Piroxicam cream จะต้องท้า Specific test ใด</t>
        </is>
      </c>
      <c r="C47" s="18" t="n"/>
      <c r="D47" s="18" t="inlineStr">
        <is>
          <t>Microbial limit test</t>
        </is>
      </c>
      <c r="E47" s="18" t="inlineStr">
        <is>
          <t>Impurity</t>
        </is>
      </c>
      <c r="F47" s="18" t="inlineStr">
        <is>
          <t>Identification</t>
        </is>
      </c>
      <c r="G47" s="18" t="inlineStr">
        <is>
          <t>Assay</t>
        </is>
      </c>
      <c r="H47" s="18"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18" t="n">
        <v>1</v>
      </c>
      <c r="J47" s="18"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8" t="n"/>
      <c r="L47" s="18" t="inlineStr">
        <is>
          <t>Creams &amp; Ointments</t>
        </is>
      </c>
      <c r="M47" s="18" t="inlineStr">
        <is>
          <t>Product</t>
        </is>
      </c>
      <c r="N47" s="18" t="inlineStr">
        <is>
          <t>ข้อ 9 (PLE_CC1_2560 22 April Set 1.md)</t>
        </is>
      </c>
      <c r="O47" s="18" t="inlineStr">
        <is>
          <t>ข้อสอบจริง</t>
        </is>
      </c>
      <c r="P47" s="18" t="inlineStr">
        <is>
          <t>ปี 2560</t>
        </is>
      </c>
    </row>
    <row r="48">
      <c r="A48" s="18" t="n">
        <v>46</v>
      </c>
      <c r="B48" s="18"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18" t="n"/>
      <c r="D48" s="18" t="inlineStr">
        <is>
          <t>Absorption Ointment base (Lanolin USP)</t>
        </is>
      </c>
      <c r="E48" s="18" t="inlineStr">
        <is>
          <t>Fatty Suppository base (Hard Fat / Witepsol)</t>
        </is>
      </c>
      <c r="F48" s="18" t="inlineStr">
        <is>
          <t>Simple Syrup USP (85% w/v Sucrose)</t>
        </is>
      </c>
      <c r="G48" s="18" t="inlineStr">
        <is>
          <t>Elixir with 10-20% Alcohol cosolvent</t>
        </is>
      </c>
      <c r="H48" s="18" t="inlineStr">
        <is>
          <t>Flocculated Oral Suspension with Xanthan Gum</t>
        </is>
      </c>
      <c r="I48" s="18" t="n">
        <v>1</v>
      </c>
      <c r="J48" s="1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8" t="n"/>
      <c r="L48" s="18" t="inlineStr">
        <is>
          <t>Creams &amp; Ointments</t>
        </is>
      </c>
      <c r="M48" s="18" t="inlineStr">
        <is>
          <t>Product</t>
        </is>
      </c>
      <c r="N48" s="18" t="inlineStr">
        <is>
          <t>ข้อ 9 (PLE_CC1_2560 22 April Set 2.md)</t>
        </is>
      </c>
      <c r="O48" s="18" t="inlineStr">
        <is>
          <t>ข้อสอบจริง</t>
        </is>
      </c>
      <c r="P48" s="18" t="inlineStr">
        <is>
          <t>ปี 2560</t>
        </is>
      </c>
    </row>
    <row r="49">
      <c r="A49" s="18" t="n">
        <v>47</v>
      </c>
      <c r="B49" s="18"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18" t="n"/>
      <c r="D49" s="18" t="inlineStr">
        <is>
          <t>0.82 g</t>
        </is>
      </c>
      <c r="E49" s="18" t="inlineStr">
        <is>
          <t>1.00 g</t>
        </is>
      </c>
      <c r="F49" s="18" t="inlineStr">
        <is>
          <t>1.21 g</t>
        </is>
      </c>
      <c r="G49" s="18" t="inlineStr">
        <is>
          <t>4.76 g</t>
        </is>
      </c>
      <c r="H49" s="18" t="inlineStr">
        <is>
          <t>3.92 g ห้ามนำไปทำซ้ำทุกกรณี เว้นแต่จะได้รับอนุญาต</t>
        </is>
      </c>
      <c r="I49" s="18" t="n">
        <v>1</v>
      </c>
      <c r="J49" s="18"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ข้อนี้ไม่ใช่คำตอบที่ถูกต้องสำหรับภาวะ Creams &amp; Ointments เนื่องจากกลไกการออกฤทธิ์, efficacy หรือข้อบ่งใช้ไม่ตรงกับโจทย์ที่กำหนด
• ข้อ ค. (1.21 g): ข้อนี้ไม่ใช่คำตอบที่ถูกต้องสำหรับภาวะ Creams &amp; Ointments เนื่องจากกลไกการออกฤทธิ์, efficacy หรือข้อบ่งใช้ไม่ตรงกับโจทย์ที่กำหนด
• ข้อ ง. (4.76 g): ข้อนี้ไม่ใช่คำตอบที่ถูกต้องสำหรับภาวะ Creams &amp; Ointments เนื่องจากกลไกการออกฤทธิ์, efficacy หรือข้อบ่งใช้ไม่ตรงกับโจทย์ที่กำหนด
• ข้อ จ. (3.92 g ห้ามนำไปทำซ้ำทุกกรณี เว้นแต่จะได้รับอนุญาต):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8" t="n"/>
      <c r="L49" s="18" t="inlineStr">
        <is>
          <t>Creams &amp; Ointments</t>
        </is>
      </c>
      <c r="M49" s="18" t="inlineStr">
        <is>
          <t>Product</t>
        </is>
      </c>
      <c r="N49" s="18" t="inlineStr">
        <is>
          <t>ข้อ 67 (PLE_CC1_2559.md)</t>
        </is>
      </c>
      <c r="O49" s="18" t="inlineStr">
        <is>
          <t>ข้อสอบจริง</t>
        </is>
      </c>
      <c r="P49" s="18" t="inlineStr">
        <is>
          <t>ปี 2559</t>
        </is>
      </c>
    </row>
    <row r="50">
      <c r="A50" s="18" t="n">
        <v>48</v>
      </c>
      <c r="B50" s="18" t="inlineStr">
        <is>
          <t>จาก USP 39 กำหนดให้ Prednisolone cream ห้ามมีเชื้อใดในตำรับ</t>
        </is>
      </c>
      <c r="C50" s="18" t="n"/>
      <c r="D50" s="18" t="inlineStr">
        <is>
          <t>Escherichia coli</t>
        </is>
      </c>
      <c r="E50" s="18" t="inlineStr">
        <is>
          <t>Staphylococcus aureus</t>
        </is>
      </c>
      <c r="F50" s="18" t="inlineStr">
        <is>
          <t>Candida albicans</t>
        </is>
      </c>
      <c r="G50" s="18" t="inlineStr">
        <is>
          <t>Pseudomonas aeruginosa</t>
        </is>
      </c>
      <c r="H50" s="18" t="inlineStr">
        <is>
          <t>S. aureus และ P. aeruginosa</t>
        </is>
      </c>
      <c r="I50" s="18" t="n">
        <v>1</v>
      </c>
      <c r="J50" s="18"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ข้อนี้ไม่ใช่คำตอบที่ถูกต้องสำหรับภาวะ Creams &amp; Ointments เนื่องจากกลไกการออกฤทธิ์, efficacy หรือข้อบ่งใช้ไม่ตรงกับโจทย์ที่กำหนด
• ข้อ ค. (Candida albicans): ข้อนี้ไม่ใช่คำตอบที่ถูกต้องสำหรับภาวะ Creams &amp; Ointments เนื่องจากกลไกการออกฤทธิ์, efficacy หรือข้อบ่งใช้ไม่ตรงกับโจทย์ที่กำหนด
• ข้อ ง. (Pseudomonas aeruginosa): ข้อนี้ไม่ใช่คำตอบที่ถูกต้องสำหรับภาวะ Creams &amp; Ointments เนื่องจากกลไกการออกฤทธิ์, efficacy หรือข้อบ่งใช้ไม่ตรงกับโจทย์ที่กำหนด
• ข้อ จ. (S. aureus และ P. aeruginosa):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8" t="n"/>
      <c r="L50" s="18" t="inlineStr">
        <is>
          <t>Creams &amp; Ointments</t>
        </is>
      </c>
      <c r="M50" s="18" t="inlineStr">
        <is>
          <t>Product</t>
        </is>
      </c>
      <c r="N50" s="18" t="inlineStr">
        <is>
          <t>ข้อ 19 (Pharmtutor_2024_Set1.md)</t>
        </is>
      </c>
      <c r="O50" s="18" t="inlineStr">
        <is>
          <t>Mock</t>
        </is>
      </c>
      <c r="P50" s="18" t="inlineStr">
        <is>
          <t>Mock Pharmtutor 2024</t>
        </is>
      </c>
    </row>
    <row r="51">
      <c r="A51" s="18" t="n">
        <v>49</v>
      </c>
      <c r="B51" s="18" t="inlineStr">
        <is>
          <t>จากข้อมูลข้างต้น หากต้องการเตรียมยาน้ำเพื่อจ่ายให้ผู้ป่วยสำหรับเด็กรับประทาน ควรทำใน dosage form ใด</t>
        </is>
      </c>
      <c r="C51" s="18" t="n"/>
      <c r="D51" s="18" t="inlineStr">
        <is>
          <t>Solutions</t>
        </is>
      </c>
      <c r="E51" s="18" t="inlineStr">
        <is>
          <t>Syrups</t>
        </is>
      </c>
      <c r="F51" s="18" t="inlineStr">
        <is>
          <t>Emulsions</t>
        </is>
      </c>
      <c r="G51" s="18" t="inlineStr">
        <is>
          <t>Suspensions</t>
        </is>
      </c>
      <c r="H51" s="18" t="inlineStr">
        <is>
          <t>Elixir</t>
        </is>
      </c>
      <c r="I51" s="18" t="n">
        <v>1</v>
      </c>
      <c r="J51" s="18"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ข้อนี้ไม่ใช่คำตอบที่ถูกต้องสำหรับภาวะ Solutions, Syrups &amp; Elixirs เนื่องจากกลไกการออกฤทธิ์, efficacy หรือข้อบ่งใช้ไม่ตรงกับโจทย์ที่กำหนด
• ข้อ ค. (Emulsions): ข้อนี้ไม่ใช่คำตอบที่ถูกต้องสำหรับภาวะ Solutions, Syrups &amp; Elixirs เนื่องจากกลไกการออกฤทธิ์, efficacy หรือข้อบ่งใช้ไม่ตรงกับโจทย์ที่กำหนด
• ข้อ ง. (Suspensions):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8" t="n"/>
      <c r="L51" s="18" t="inlineStr">
        <is>
          <t>Solutions, Syrups &amp; Elixirs</t>
        </is>
      </c>
      <c r="M51" s="18" t="inlineStr">
        <is>
          <t>Product</t>
        </is>
      </c>
      <c r="N51" s="18" t="inlineStr">
        <is>
          <t>ข้อ 100 (Pharmtutor_2024_Set1.md)</t>
        </is>
      </c>
      <c r="O51" s="18" t="inlineStr">
        <is>
          <t>Mock</t>
        </is>
      </c>
      <c r="P51" s="18" t="inlineStr">
        <is>
          <t>Mock Pharmtutor 2024</t>
        </is>
      </c>
    </row>
    <row r="52">
      <c r="A52" s="18" t="n">
        <v>50</v>
      </c>
      <c r="B52" s="18" t="inlineStr">
        <is>
          <t>ข้อใดต่อไปนี้ กล่าวไม่ถูกต้องเกี่ยวกับ suspensions</t>
        </is>
      </c>
      <c r="C52" s="18" t="n"/>
      <c r="D52" s="18" t="inlineStr">
        <is>
          <t>Suspensions รูปแบบยาฉีดนิยมให้ทาง IM และ SC</t>
        </is>
      </c>
      <c r="E52" s="18" t="inlineStr">
        <is>
          <t>เหมาะกับผู้ป่วยที่ไม่สามารถกลืนยาเม็ด หรือ แคปซูลได้</t>
        </is>
      </c>
      <c r="F52" s="18" t="inlineStr">
        <is>
          <t>นิยมเตรียมในยาที่ไม่ละลายน้ำ</t>
        </is>
      </c>
      <c r="G52" s="18" t="inlineStr">
        <is>
          <t>ใช้เตรียมยาที่มีรสชาติไม่น่ารับประทาน เพื่อกลบรสชาติของตัวยา</t>
        </is>
      </c>
      <c r="H52" s="18" t="inlineStr">
        <is>
          <t>เป็นรูปแบบ liquid-liquid dispersion</t>
        </is>
      </c>
      <c r="I52" s="18" t="n">
        <v>1</v>
      </c>
      <c r="J52" s="18"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ข้อนี้ไม่ใช่คำตอบที่ถูกต้องสำหรับภาวะ Suspensions เนื่องจากกลไกการออกฤทธิ์, efficacy หรือข้อบ่งใช้ไม่ตรงกับโจทย์ที่กำหนด
• ข้อ ค. (นิยมเตรียมในยาที่ไม่ละลายน้ำ): ข้อนี้ไม่ใช่คำตอบที่ถูกต้องสำหรับภาวะ Suspensions เนื่องจากกลไกการออกฤทธิ์, efficacy หรือข้อบ่งใช้ไม่ตรงกับโจทย์ที่กำหนด
• ข้อ ง. (ใช้เตรียมยาที่มีรสชาติไม่น่ารับประทาน เพื่อกลบรสชาติของตัวยา): ข้อนี้ไม่ใช่คำตอบที่ถูกต้องสำหรับภาวะ Suspensions เนื่องจากกลไกการออกฤทธิ์, efficacy หรือข้อบ่งใช้ไม่ตรงกับโจทย์ที่กำหนด
• ข้อ จ. (เป็นรูปแบบ liquid-liquid dispersion):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8" t="n"/>
      <c r="L52" s="18" t="inlineStr">
        <is>
          <t>Suspensions</t>
        </is>
      </c>
      <c r="M52" s="18" t="inlineStr">
        <is>
          <t>Product</t>
        </is>
      </c>
      <c r="N52" s="18" t="inlineStr">
        <is>
          <t>ข้อ 108 (Pharmtutor_2024_Set1.md)</t>
        </is>
      </c>
      <c r="O52" s="18" t="inlineStr">
        <is>
          <t>Mock</t>
        </is>
      </c>
      <c r="P52" s="18" t="inlineStr">
        <is>
          <t>Mock Pharmtutor 2024</t>
        </is>
      </c>
    </row>
    <row r="53">
      <c r="A53" s="18" t="n">
        <v>51</v>
      </c>
      <c r="B53" s="18"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18" t="n"/>
      <c r="D53" s="18" t="inlineStr">
        <is>
          <t>Acne</t>
        </is>
      </c>
      <c r="E53" s="18" t="inlineStr">
        <is>
          <t>Irritant contact dermatitis</t>
        </is>
      </c>
      <c r="F53" s="18" t="inlineStr">
        <is>
          <t>Photosensitivity</t>
        </is>
      </c>
      <c r="G53" s="18" t="inlineStr">
        <is>
          <t>Hyperpigmentation</t>
        </is>
      </c>
      <c r="H53" s="18" t="inlineStr">
        <is>
          <t>Peeling skin</t>
        </is>
      </c>
      <c r="I53" s="18" t="n">
        <v>1</v>
      </c>
      <c r="J53" s="18"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ข้อนี้ไม่ใช่คำตอบที่ถูกต้องสำหรับภาวะ Creams &amp; Ointments เนื่องจากกลไกการออกฤทธิ์, efficacy หรือข้อบ่งใช้ไม่ตรงกับโจทย์ที่กำหนด
• ข้อ ค. (Photosensitivity): ข้อนี้ไม่ใช่คำตอบที่ถูกต้องสำหรับภาวะ Creams &amp; Ointments เนื่องจากกลไกการออกฤทธิ์, efficacy หรือข้อบ่งใช้ไม่ตรงกับโจทย์ที่กำหนด
• ข้อ ง. (Hyperpigmentation): ข้อนี้ไม่ใช่คำตอบที่ถูกต้องสำหรับภาวะ Creams &amp; Ointments เนื่องจากกลไกการออกฤทธิ์, efficacy หรือข้อบ่งใช้ไม่ตรงกับโจทย์ที่กำหนด
• ข้อ จ. (Peeling skin):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8" t="n"/>
      <c r="L53" s="18" t="inlineStr">
        <is>
          <t>Creams &amp; Ointments</t>
        </is>
      </c>
      <c r="M53" s="18" t="inlineStr">
        <is>
          <t>Product</t>
        </is>
      </c>
      <c r="N53" s="18" t="inlineStr">
        <is>
          <t>ข้อ 18 (Pharmtutor_2024_Set2.md)</t>
        </is>
      </c>
      <c r="O53" s="18" t="inlineStr">
        <is>
          <t>Mock</t>
        </is>
      </c>
      <c r="P53" s="18" t="inlineStr">
        <is>
          <t>Mock Pharmtutor 2024</t>
        </is>
      </c>
    </row>
    <row r="54">
      <c r="A54" s="18" t="n">
        <v>52</v>
      </c>
      <c r="B54" s="18"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18" t="n"/>
      <c r="D54" s="18" t="inlineStr">
        <is>
          <t>Carbopol 940 hydrogel neutralized with Triethanolamine</t>
        </is>
      </c>
      <c r="E54" s="18" t="inlineStr">
        <is>
          <t>Oleaginous Ointment base (White Petrolatum)</t>
        </is>
      </c>
      <c r="F54" s="18" t="inlineStr">
        <is>
          <t>Absorption Ointment base (Lanolin USP)</t>
        </is>
      </c>
      <c r="G54" s="18" t="inlineStr">
        <is>
          <t>Fatty Suppository base (Hard Fat / Witepsol)</t>
        </is>
      </c>
      <c r="H54" s="18" t="inlineStr">
        <is>
          <t>Simple Syrup USP (85% w/v Sucrose)</t>
        </is>
      </c>
      <c r="I54" s="18" t="n">
        <v>1</v>
      </c>
      <c r="J54" s="1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8" t="n"/>
      <c r="L54" s="18" t="inlineStr">
        <is>
          <t>Creams &amp; Ointments</t>
        </is>
      </c>
      <c r="M54" s="18" t="inlineStr">
        <is>
          <t>Product</t>
        </is>
      </c>
      <c r="N54" s="18" t="inlineStr">
        <is>
          <t>ข้อ 2 (PLE_CC1_2557.md)</t>
        </is>
      </c>
      <c r="O54" s="18" t="inlineStr">
        <is>
          <t>ข้อสอบจริง</t>
        </is>
      </c>
      <c r="P54" s="18" t="inlineStr">
        <is>
          <t>ปี 2557</t>
        </is>
      </c>
    </row>
    <row r="55">
      <c r="A55" s="18" t="n">
        <v>53</v>
      </c>
      <c r="B55" s="18" t="inlineStr">
        <is>
          <t>หลังทำความสะอาดแผล ผู้ป่วยควรได้รับยาฆ่าเชื%อใด (1) Silver sulfadiazine cream (2) Oxytetracycline ointment (3) Chloramphenicol gel (4) Bacitracin cream (5) Neomycin powder</t>
        </is>
      </c>
      <c r="C55" s="18" t="n"/>
      <c r="D55" s="18" t="inlineStr">
        <is>
          <t>Fatty Suppository base (Hard Fat / Witepsol)</t>
        </is>
      </c>
      <c r="E55" s="18" t="inlineStr">
        <is>
          <t>Simple Syrup USP (85% w/v Sucrose)</t>
        </is>
      </c>
      <c r="F55" s="18" t="inlineStr">
        <is>
          <t>Elixir with 10-20% Alcohol cosolvent</t>
        </is>
      </c>
      <c r="G55" s="18" t="inlineStr">
        <is>
          <t>Flocculated Oral Suspension with Xanthan Gum</t>
        </is>
      </c>
      <c r="H55" s="18" t="inlineStr">
        <is>
          <t>Deflocculated Suspension formulation</t>
        </is>
      </c>
      <c r="I55" s="18" t="n">
        <v>1</v>
      </c>
      <c r="J55" s="1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8" t="n"/>
      <c r="L55" s="18" t="inlineStr">
        <is>
          <t>Gels</t>
        </is>
      </c>
      <c r="M55" s="18" t="inlineStr">
        <is>
          <t>Product</t>
        </is>
      </c>
      <c r="N55" s="18" t="inlineStr">
        <is>
          <t>ข้อ 4 (PLE_CC1_2557.md)</t>
        </is>
      </c>
      <c r="O55" s="18" t="inlineStr">
        <is>
          <t>ข้อสอบจริง</t>
        </is>
      </c>
      <c r="P55" s="18" t="inlineStr">
        <is>
          <t>ปี 2557</t>
        </is>
      </c>
    </row>
    <row r="56">
      <c r="A56" s="18" t="n">
        <v>54</v>
      </c>
      <c r="B56" s="18" t="inlineStr">
        <is>
          <t>การพัฒนายา Insulin ให้อยู่ในรูปสารประกอบเชิงซ้อน สามารถใช้สารใด (1) Protamine sulfate (2) Calcium carbonate (3) Triethanolamine (4) Sodium chloride (5) Dextrose</t>
        </is>
      </c>
      <c r="C56" s="18" t="n"/>
      <c r="D56" s="18" t="inlineStr">
        <is>
          <t>Flocculated Oral Suspension with Xanthan Gum</t>
        </is>
      </c>
      <c r="E56" s="18" t="inlineStr">
        <is>
          <t>Deflocculated Suspension formulation</t>
        </is>
      </c>
      <c r="F56" s="18" t="inlineStr">
        <is>
          <t>O/W Emulsion stabilized by Polysorbate 80 / Span 80</t>
        </is>
      </c>
      <c r="G56" s="18" t="inlineStr">
        <is>
          <t>W/O Emulsion with Sorbitan monooleate</t>
        </is>
      </c>
      <c r="H56" s="18" t="inlineStr">
        <is>
          <t>Carbopol 940 hydrogel neutralized with Triethanolamine</t>
        </is>
      </c>
      <c r="I56" s="18" t="n">
        <v>1</v>
      </c>
      <c r="J56" s="1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8" t="n"/>
      <c r="L56" s="18" t="inlineStr">
        <is>
          <t>Gels</t>
        </is>
      </c>
      <c r="M56" s="18" t="inlineStr">
        <is>
          <t>Product</t>
        </is>
      </c>
      <c r="N56" s="18" t="inlineStr">
        <is>
          <t>ข้อ 13 (PLE_CC1_2557.md)</t>
        </is>
      </c>
      <c r="O56" s="18" t="inlineStr">
        <is>
          <t>ข้อสอบจริง</t>
        </is>
      </c>
      <c r="P56" s="18" t="inlineStr">
        <is>
          <t>ปี 2557</t>
        </is>
      </c>
    </row>
    <row r="57">
      <c r="A57" s="18" t="n">
        <v>55</v>
      </c>
      <c r="B57" s="18"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18" t="n"/>
      <c r="D57" s="18" t="inlineStr">
        <is>
          <t>W/O Emulsion with Sorbitan monooleate</t>
        </is>
      </c>
      <c r="E57" s="18" t="inlineStr">
        <is>
          <t>Carbopol 940 hydrogel neutralized with Triethanolamine</t>
        </is>
      </c>
      <c r="F57" s="18" t="inlineStr">
        <is>
          <t>Oleaginous Ointment base (White Petrolatum)</t>
        </is>
      </c>
      <c r="G57" s="18" t="inlineStr">
        <is>
          <t>Absorption Ointment base (Lanolin USP)</t>
        </is>
      </c>
      <c r="H57" s="18" t="inlineStr">
        <is>
          <t>Fatty Suppository base (Hard Fat / Witepsol)</t>
        </is>
      </c>
      <c r="I57" s="18" t="n">
        <v>1</v>
      </c>
      <c r="J57" s="18"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8" t="n"/>
      <c r="L57" s="18" t="inlineStr">
        <is>
          <t>Gels</t>
        </is>
      </c>
      <c r="M57" s="18" t="inlineStr">
        <is>
          <t>Product</t>
        </is>
      </c>
      <c r="N57" s="18" t="inlineStr">
        <is>
          <t>ข้อ 39 (PLE_CC1_2557.md)</t>
        </is>
      </c>
      <c r="O57" s="18" t="inlineStr">
        <is>
          <t>ข้อสอบจริง</t>
        </is>
      </c>
      <c r="P57" s="18" t="inlineStr">
        <is>
          <t>ปี 2557</t>
        </is>
      </c>
    </row>
    <row r="58">
      <c r="A58" s="18" t="n">
        <v>56</v>
      </c>
      <c r="B58" s="18"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18" t="n"/>
      <c r="D58" s="18" t="inlineStr">
        <is>
          <t>Absorption Ointment base (Lanolin USP)</t>
        </is>
      </c>
      <c r="E58" s="18" t="inlineStr">
        <is>
          <t>Fatty Suppository base (Hard Fat / Witepsol)</t>
        </is>
      </c>
      <c r="F58" s="18" t="inlineStr">
        <is>
          <t>Simple Syrup USP (85% w/v Sucrose)</t>
        </is>
      </c>
      <c r="G58" s="18" t="inlineStr">
        <is>
          <t>Elixir with 10-20% Alcohol cosolvent</t>
        </is>
      </c>
      <c r="H58" s="18" t="inlineStr">
        <is>
          <t>Flocculated Oral Suspension with Xanthan Gum</t>
        </is>
      </c>
      <c r="I58" s="18" t="n">
        <v>1</v>
      </c>
      <c r="J58" s="1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8" t="n"/>
      <c r="L58" s="18" t="inlineStr">
        <is>
          <t>Creams &amp; Ointments</t>
        </is>
      </c>
      <c r="M58" s="18" t="inlineStr">
        <is>
          <t>Product</t>
        </is>
      </c>
      <c r="N58" s="18" t="inlineStr">
        <is>
          <t>ข้อ 44 (PLE_CC1_2557.md)</t>
        </is>
      </c>
      <c r="O58" s="18" t="inlineStr">
        <is>
          <t>ข้อสอบจริง</t>
        </is>
      </c>
      <c r="P58" s="18" t="inlineStr">
        <is>
          <t>ปี 2557</t>
        </is>
      </c>
    </row>
    <row r="59">
      <c r="A59" s="18" t="n">
        <v>57</v>
      </c>
      <c r="B59" s="18"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18" t="n"/>
      <c r="D59" s="18" t="inlineStr">
        <is>
          <t>Elixir with 10-20% Alcohol cosolvent</t>
        </is>
      </c>
      <c r="E59" s="18" t="inlineStr">
        <is>
          <t>Flocculated Oral Suspension with Xanthan Gum</t>
        </is>
      </c>
      <c r="F59" s="18" t="inlineStr">
        <is>
          <t>Deflocculated Suspension formulation</t>
        </is>
      </c>
      <c r="G59" s="18" t="inlineStr">
        <is>
          <t>O/W Emulsion stabilized by Polysorbate 80 / Span 80</t>
        </is>
      </c>
      <c r="H59" s="18" t="inlineStr">
        <is>
          <t>W/O Emulsion with Sorbitan monooleate</t>
        </is>
      </c>
      <c r="I59" s="18" t="n">
        <v>1</v>
      </c>
      <c r="J59" s="1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8" t="n"/>
      <c r="L59" s="18" t="inlineStr">
        <is>
          <t>Creams &amp; Ointments</t>
        </is>
      </c>
      <c r="M59" s="18" t="inlineStr">
        <is>
          <t>Product</t>
        </is>
      </c>
      <c r="N59" s="18" t="inlineStr">
        <is>
          <t>ข้อ 13 (PLE_CC1_2557.md)</t>
        </is>
      </c>
      <c r="O59" s="18" t="inlineStr">
        <is>
          <t>ข้อสอบจริง</t>
        </is>
      </c>
      <c r="P59" s="18" t="inlineStr">
        <is>
          <t>ปี 2557</t>
        </is>
      </c>
    </row>
    <row r="60">
      <c r="A60" s="18" t="n">
        <v>58</v>
      </c>
      <c r="B60" s="18"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18" t="n"/>
      <c r="D60" s="18" t="inlineStr">
        <is>
          <t>O/W Emulsion stabilized by Polysorbate 80 / Span 80</t>
        </is>
      </c>
      <c r="E60" s="18" t="inlineStr">
        <is>
          <t>W/O Emulsion with Sorbitan monooleate</t>
        </is>
      </c>
      <c r="F60" s="18" t="inlineStr">
        <is>
          <t>Carbopol 940 hydrogel neutralized with Triethanolamine</t>
        </is>
      </c>
      <c r="G60" s="18" t="inlineStr">
        <is>
          <t>Oleaginous Ointment base (White Petrolatum)</t>
        </is>
      </c>
      <c r="H60" s="18" t="inlineStr">
        <is>
          <t>Absorption Ointment base (Lanolin USP)</t>
        </is>
      </c>
      <c r="I60" s="18" t="n">
        <v>1</v>
      </c>
      <c r="J60" s="1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8" t="n"/>
      <c r="L60" s="18" t="inlineStr">
        <is>
          <t>Suspensions</t>
        </is>
      </c>
      <c r="M60" s="18" t="inlineStr">
        <is>
          <t>Product</t>
        </is>
      </c>
      <c r="N60" s="18" t="inlineStr">
        <is>
          <t>ข้อ 62 (PLE_CC1_2557.md)</t>
        </is>
      </c>
      <c r="O60" s="18" t="inlineStr">
        <is>
          <t>ข้อสอบจริง</t>
        </is>
      </c>
      <c r="P60" s="18" t="inlineStr">
        <is>
          <t>ปี 2557</t>
        </is>
      </c>
    </row>
    <row r="61">
      <c r="A61" s="18" t="n">
        <v>59</v>
      </c>
      <c r="B61" s="18" t="inlineStr">
        <is>
          <t>สารในข้อใด สามารถทำให้ Kaolin &amp; pectin suspension มีรูปแบบการไหลแบบ thixotropic ได้ (1) SCMC (2) Veegum (3) … จำตัวเลือกไม่ได้ ...</t>
        </is>
      </c>
      <c r="C61" s="18" t="n"/>
      <c r="D61" s="18" t="inlineStr">
        <is>
          <t>Oleaginous Ointment base (White Petrolatum)</t>
        </is>
      </c>
      <c r="E61" s="18" t="inlineStr">
        <is>
          <t>Absorption Ointment base (Lanolin USP)</t>
        </is>
      </c>
      <c r="F61" s="18" t="inlineStr">
        <is>
          <t>Fatty Suppository base (Hard Fat / Witepsol)</t>
        </is>
      </c>
      <c r="G61" s="18" t="inlineStr">
        <is>
          <t>Simple Syrup USP (85% w/v Sucrose)</t>
        </is>
      </c>
      <c r="H61" s="18" t="inlineStr">
        <is>
          <t>Elixir with 10-20% Alcohol cosolvent</t>
        </is>
      </c>
      <c r="I61" s="18" t="n">
        <v>1</v>
      </c>
      <c r="J61" s="1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Suspensions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8" t="n"/>
      <c r="L61" s="18" t="inlineStr">
        <is>
          <t>Suspensions</t>
        </is>
      </c>
      <c r="M61" s="18" t="inlineStr">
        <is>
          <t>Product</t>
        </is>
      </c>
      <c r="N61" s="18" t="inlineStr">
        <is>
          <t>ข้อ 63 (PLE_CC1_2557.md)</t>
        </is>
      </c>
      <c r="O61" s="18" t="inlineStr">
        <is>
          <t>ข้อสอบจริง</t>
        </is>
      </c>
      <c r="P61" s="18" t="inlineStr">
        <is>
          <t>ปี 2557</t>
        </is>
      </c>
    </row>
    <row r="62">
      <c r="A62" s="18" t="n">
        <v>60</v>
      </c>
      <c r="B62" s="18" t="inlineStr">
        <is>
          <t>ยาอันดับแรกที_x001e_ควรได้รับคือข้อใด (1) Topical tretinoin (2) Clindamycin gel (3) Oral doxycycline (4) Oral isotretinoin (5) Combination contraceptive pills</t>
        </is>
      </c>
      <c r="C62" s="18" t="n"/>
      <c r="D62" s="18" t="inlineStr">
        <is>
          <t>Simple Syrup USP (85% w/v Sucrose)</t>
        </is>
      </c>
      <c r="E62" s="18" t="inlineStr">
        <is>
          <t>Elixir with 10-20% Alcohol cosolvent</t>
        </is>
      </c>
      <c r="F62" s="18" t="inlineStr">
        <is>
          <t>Flocculated Oral Suspension with Xanthan Gum</t>
        </is>
      </c>
      <c r="G62" s="18" t="inlineStr">
        <is>
          <t>Deflocculated Suspension formulation</t>
        </is>
      </c>
      <c r="H62" s="18" t="inlineStr">
        <is>
          <t>O/W Emulsion stabilized by Polysorbate 80 / Span 80</t>
        </is>
      </c>
      <c r="I62" s="18" t="n">
        <v>1</v>
      </c>
      <c r="J62" s="1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8" t="n"/>
      <c r="L62" s="18" t="inlineStr">
        <is>
          <t>Gels</t>
        </is>
      </c>
      <c r="M62" s="18" t="inlineStr">
        <is>
          <t>Product</t>
        </is>
      </c>
      <c r="N62" s="18" t="inlineStr">
        <is>
          <t>ข้อ 67 (PLE_CC1_2557.md)</t>
        </is>
      </c>
      <c r="O62" s="18" t="inlineStr">
        <is>
          <t>ข้อสอบจริง</t>
        </is>
      </c>
      <c r="P62" s="18" t="inlineStr">
        <is>
          <t>ปี 2557</t>
        </is>
      </c>
    </row>
    <row r="63">
      <c r="A63" s="18" t="n">
        <v>61</v>
      </c>
      <c r="B63" s="18"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18" t="n"/>
      <c r="D63" s="18" t="inlineStr">
        <is>
          <t>Deflocculated Suspension formulation</t>
        </is>
      </c>
      <c r="E63" s="18" t="inlineStr">
        <is>
          <t>O/W Emulsion stabilized by Polysorbate 80 / Span 80</t>
        </is>
      </c>
      <c r="F63" s="18" t="inlineStr">
        <is>
          <t>W/O Emulsion with Sorbitan monooleate</t>
        </is>
      </c>
      <c r="G63" s="18" t="inlineStr">
        <is>
          <t>Carbopol 940 hydrogel neutralized with Triethanolamine</t>
        </is>
      </c>
      <c r="H63" s="18" t="inlineStr">
        <is>
          <t>Oleaginous Ointment base (White Petrolatum)</t>
        </is>
      </c>
      <c r="I63" s="18" t="n">
        <v>1</v>
      </c>
      <c r="J63" s="1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8" t="n"/>
      <c r="L63" s="18" t="inlineStr">
        <is>
          <t>Gels</t>
        </is>
      </c>
      <c r="M63" s="18" t="inlineStr">
        <is>
          <t>Product</t>
        </is>
      </c>
      <c r="N63" s="18" t="inlineStr">
        <is>
          <t>ข้อ 74 (PLE_CC1_2557.md)</t>
        </is>
      </c>
      <c r="O63" s="18" t="inlineStr">
        <is>
          <t>ข้อสอบจริง</t>
        </is>
      </c>
      <c r="P63" s="18" t="inlineStr">
        <is>
          <t>ปี 2557</t>
        </is>
      </c>
    </row>
    <row r="64">
      <c r="A64" s="18" t="n">
        <v>62</v>
      </c>
      <c r="B64" s="18" t="inlineStr">
        <is>
          <t>Dexamethasone cream</t>
        </is>
      </c>
      <c r="C64" s="18" t="n"/>
      <c r="D64" s="18" t="inlineStr">
        <is>
          <t>Carbopol 940 hydrogel neutralized with Triethanolamine</t>
        </is>
      </c>
      <c r="E64" s="18" t="inlineStr">
        <is>
          <t>Oleaginous Ointment base (White Petrolatum)</t>
        </is>
      </c>
      <c r="F64" s="18" t="inlineStr">
        <is>
          <t>Absorption Ointment base (Lanolin USP)</t>
        </is>
      </c>
      <c r="G64" s="18" t="inlineStr">
        <is>
          <t>Fatty Suppository base (Hard Fat / Witepsol)</t>
        </is>
      </c>
      <c r="H64" s="18" t="inlineStr">
        <is>
          <t>Simple Syrup USP (85% w/v Sucrose)</t>
        </is>
      </c>
      <c r="I64" s="18" t="n">
        <v>1</v>
      </c>
      <c r="J64" s="1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8" t="n"/>
      <c r="L64" s="18" t="inlineStr">
        <is>
          <t>Creams &amp; Ointments</t>
        </is>
      </c>
      <c r="M64" s="18" t="inlineStr">
        <is>
          <t>Product</t>
        </is>
      </c>
      <c r="N64" s="18" t="inlineStr">
        <is>
          <t>ข้อ 4 (PLE_CC1_2556.md)</t>
        </is>
      </c>
      <c r="O64" s="18" t="inlineStr">
        <is>
          <t>ข้อสอบจริง</t>
        </is>
      </c>
      <c r="P64" s="18" t="inlineStr">
        <is>
          <t>ปี 2556</t>
        </is>
      </c>
    </row>
    <row r="65">
      <c r="A65" s="18" t="n">
        <v>63</v>
      </c>
      <c r="B65" s="18"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18" t="n"/>
      <c r="D65" s="18" t="inlineStr">
        <is>
          <t>Immediate type</t>
        </is>
      </c>
      <c r="E65" s="18" t="inlineStr">
        <is>
          <t>Immune complex</t>
        </is>
      </c>
      <c r="F65" s="18" t="inlineStr">
        <is>
          <t>Antibody-dependent cytotoxic</t>
        </is>
      </c>
      <c r="G65" s="18" t="inlineStr">
        <is>
          <t>Delayed type</t>
        </is>
      </c>
      <c r="H65" s="18" t="inlineStr">
        <is>
          <t>Anaphylactic reaction</t>
        </is>
      </c>
      <c r="I65" s="18" t="n">
        <v>1</v>
      </c>
      <c r="J65" s="18"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ข้อนี้ไม่ใช่คำตอบที่ถูกต้องสำหรับภาวะ Gels เนื่องจากกลไกการออกฤทธิ์, efficacy หรือข้อบ่งใช้ไม่ตรงกับโจทย์ที่กำหนด
• ข้อ ค. (Antibody-dependent cytotoxic): ข้อนี้ไม่ใช่คำตอบที่ถูกต้องสำหรับภาวะ Gels เนื่องจากกลไกการออกฤทธิ์, efficacy หรือข้อบ่งใช้ไม่ตรงกับโจทย์ที่กำหนด
• ข้อ ง. (Delayed type): ข้อนี้ไม่ใช่คำตอบที่ถูกต้องสำหรับภาวะ Gels เนื่องจากกลไกการออกฤทธิ์, efficacy หรือข้อบ่งใช้ไม่ตรงกับโจทย์ที่กำหนด
• ข้อ จ. (Anaphylactic reaction):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8" t="n"/>
      <c r="L65" s="18" t="inlineStr">
        <is>
          <t>Gels</t>
        </is>
      </c>
      <c r="M65" s="18" t="inlineStr">
        <is>
          <t>Product</t>
        </is>
      </c>
      <c r="N65" s="18" t="inlineStr">
        <is>
          <t>ข้อ 102 (PLE_CC1_2555 Day 1.md)</t>
        </is>
      </c>
      <c r="O65" s="18" t="inlineStr">
        <is>
          <t>ข้อสอบจริง</t>
        </is>
      </c>
      <c r="P65" s="18" t="inlineStr">
        <is>
          <t>ปี 2555</t>
        </is>
      </c>
    </row>
    <row r="66">
      <c r="A66" s="18" t="n">
        <v>64</v>
      </c>
      <c r="B66" s="18"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18" t="n"/>
      <c r="D66" s="18" t="inlineStr">
        <is>
          <t>Flocculated Oral Suspension with Xanthan Gum</t>
        </is>
      </c>
      <c r="E66" s="18" t="inlineStr">
        <is>
          <t>Deflocculated Suspension formulation</t>
        </is>
      </c>
      <c r="F66" s="18" t="inlineStr">
        <is>
          <t>O/W Emulsion stabilized by Polysorbate 80 / Span 80</t>
        </is>
      </c>
      <c r="G66" s="18" t="inlineStr">
        <is>
          <t>W/O Emulsion with Sorbitan monooleate</t>
        </is>
      </c>
      <c r="H66" s="18" t="inlineStr">
        <is>
          <t>Carbopol 940 hydrogel neutralized with Triethanolamine</t>
        </is>
      </c>
      <c r="I66" s="18" t="n">
        <v>1</v>
      </c>
      <c r="J66" s="1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8" t="n"/>
      <c r="L66" s="18" t="inlineStr">
        <is>
          <t>Suspensions</t>
        </is>
      </c>
      <c r="M66" s="18" t="inlineStr">
        <is>
          <t>Product</t>
        </is>
      </c>
      <c r="N66" s="18" t="inlineStr">
        <is>
          <t>ข้อ 7 (PLE_CC1_2555 Day 2.md)</t>
        </is>
      </c>
      <c r="O66" s="18" t="inlineStr">
        <is>
          <t>ข้อสอบจริง</t>
        </is>
      </c>
      <c r="P66" s="18" t="inlineStr">
        <is>
          <t>ปี 2555</t>
        </is>
      </c>
    </row>
    <row r="67">
      <c r="A67" s="18" t="n">
        <v>65</v>
      </c>
      <c r="B67" s="18" t="inlineStr">
        <is>
          <t>MC suspension ทำให้หนืดเมื่อตั้งทิ้งไว้ ไหลได้เมื่อเขย่า เป็นการไหลแบบใด</t>
        </is>
      </c>
      <c r="C67" s="18" t="n"/>
      <c r="D67" s="18" t="inlineStr">
        <is>
          <t>W/O Emulsion with Sorbitan monooleate</t>
        </is>
      </c>
      <c r="E67" s="18" t="inlineStr">
        <is>
          <t>Carbopol 940 hydrogel neutralized with Triethanolamine</t>
        </is>
      </c>
      <c r="F67" s="18" t="inlineStr">
        <is>
          <t>Oleaginous Ointment base (White Petrolatum)</t>
        </is>
      </c>
      <c r="G67" s="18" t="inlineStr">
        <is>
          <t>Absorption Ointment base (Lanolin USP)</t>
        </is>
      </c>
      <c r="H67" s="18" t="inlineStr">
        <is>
          <t>Fatty Suppository base (Hard Fat / Witepsol)</t>
        </is>
      </c>
      <c r="I67" s="18" t="n">
        <v>1</v>
      </c>
      <c r="J67" s="1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8" t="n"/>
      <c r="L67" s="18" t="inlineStr">
        <is>
          <t>Suspensions</t>
        </is>
      </c>
      <c r="M67" s="18" t="inlineStr">
        <is>
          <t>Product</t>
        </is>
      </c>
      <c r="N67" s="18" t="inlineStr">
        <is>
          <t>ข้อ 8 (PLE_CC1_2555 Day 2.md)</t>
        </is>
      </c>
      <c r="O67" s="18" t="inlineStr">
        <is>
          <t>ข้อสอบจริง</t>
        </is>
      </c>
      <c r="P67" s="18" t="inlineStr">
        <is>
          <t>ปี 2555</t>
        </is>
      </c>
    </row>
    <row r="68">
      <c r="A68" s="18" t="n">
        <v>66</v>
      </c>
      <c r="B68" s="18" t="inlineStr">
        <is>
          <t>Antihistamine cream</t>
        </is>
      </c>
      <c r="C68" s="18" t="n"/>
      <c r="D68" s="18" t="inlineStr">
        <is>
          <t>Absorption Ointment base (Lanolin USP)</t>
        </is>
      </c>
      <c r="E68" s="18" t="inlineStr">
        <is>
          <t>Fatty Suppository base (Hard Fat / Witepsol)</t>
        </is>
      </c>
      <c r="F68" s="18" t="inlineStr">
        <is>
          <t>Simple Syrup USP (85% w/v Sucrose)</t>
        </is>
      </c>
      <c r="G68" s="18" t="inlineStr">
        <is>
          <t>Elixir with 10-20% Alcohol cosolvent</t>
        </is>
      </c>
      <c r="H68" s="18" t="inlineStr">
        <is>
          <t>Flocculated Oral Suspension with Xanthan Gum</t>
        </is>
      </c>
      <c r="I68" s="18" t="n">
        <v>1</v>
      </c>
      <c r="J68" s="1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8" t="n"/>
      <c r="L68" s="18" t="inlineStr">
        <is>
          <t>Creams &amp; Ointments</t>
        </is>
      </c>
      <c r="M68" s="18" t="inlineStr">
        <is>
          <t>Product</t>
        </is>
      </c>
      <c r="N68" s="18" t="inlineStr">
        <is>
          <t>ข้อ 1 (PLE_CC1_2555 Day 2.md)</t>
        </is>
      </c>
      <c r="O68" s="18" t="inlineStr">
        <is>
          <t>ข้อสอบจริง</t>
        </is>
      </c>
      <c r="P68" s="18" t="inlineStr">
        <is>
          <t>ปี 2555</t>
        </is>
      </c>
    </row>
    <row r="69">
      <c r="A69" s="18" t="n">
        <v>67</v>
      </c>
      <c r="B69" s="18" t="inlineStr">
        <is>
          <t>Steroid cream MCQ 1/2555 by CURx69 page 15</t>
        </is>
      </c>
      <c r="C69" s="18" t="n"/>
      <c r="D69" s="18" t="inlineStr">
        <is>
          <t>Elixir with 10-20% Alcohol cosolvent</t>
        </is>
      </c>
      <c r="E69" s="18" t="inlineStr">
        <is>
          <t>Flocculated Oral Suspension with Xanthan Gum</t>
        </is>
      </c>
      <c r="F69" s="18" t="inlineStr">
        <is>
          <t>Deflocculated Suspension formulation</t>
        </is>
      </c>
      <c r="G69" s="18" t="inlineStr">
        <is>
          <t>O/W Emulsion stabilized by Polysorbate 80 / Span 80</t>
        </is>
      </c>
      <c r="H69" s="18" t="inlineStr">
        <is>
          <t>W/O Emulsion with Sorbitan monooleate</t>
        </is>
      </c>
      <c r="I69" s="18" t="n">
        <v>1</v>
      </c>
      <c r="J69" s="1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8" t="n"/>
      <c r="L69" s="18" t="inlineStr">
        <is>
          <t>Creams &amp; Ointments</t>
        </is>
      </c>
      <c r="M69" s="18" t="inlineStr">
        <is>
          <t>Product</t>
        </is>
      </c>
      <c r="N69" s="18" t="inlineStr">
        <is>
          <t>ข้อ 4 (PLE_CC1_2555 Day 2.md)</t>
        </is>
      </c>
      <c r="O69" s="18" t="inlineStr">
        <is>
          <t>ข้อสอบจริง</t>
        </is>
      </c>
      <c r="P69" s="18" t="inlineStr">
        <is>
          <t>ปี 2555</t>
        </is>
      </c>
    </row>
    <row r="70">
      <c r="A70" s="18" t="n">
        <v>68</v>
      </c>
      <c r="B70" s="18" t="inlineStr">
        <is>
          <t>หากต้องการ Ointment ที่ล้างออกง่ายควรใช้เบสลักษณะใด</t>
        </is>
      </c>
      <c r="C70" s="18" t="n"/>
      <c r="D70" s="18" t="inlineStr">
        <is>
          <t>O/W Emulsion stabilized by Polysorbate 80 / Span 80</t>
        </is>
      </c>
      <c r="E70" s="18" t="inlineStr">
        <is>
          <t>W/O Emulsion with Sorbitan monooleate</t>
        </is>
      </c>
      <c r="F70" s="18" t="inlineStr">
        <is>
          <t>Carbopol 940 hydrogel neutralized with Triethanolamine</t>
        </is>
      </c>
      <c r="G70" s="18" t="inlineStr">
        <is>
          <t>Oleaginous Ointment base (White Petrolatum)</t>
        </is>
      </c>
      <c r="H70" s="18" t="inlineStr">
        <is>
          <t>Absorption Ointment base (Lanolin USP)</t>
        </is>
      </c>
      <c r="I70" s="18" t="n">
        <v>1</v>
      </c>
      <c r="J70" s="1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8" t="n"/>
      <c r="L70" s="18" t="inlineStr">
        <is>
          <t>Creams &amp; Ointments</t>
        </is>
      </c>
      <c r="M70" s="18" t="inlineStr">
        <is>
          <t>Product</t>
        </is>
      </c>
      <c r="N70" s="18" t="inlineStr">
        <is>
          <t>ข้อ 4 (PLE_CC1_2555 Day 2.md)</t>
        </is>
      </c>
      <c r="O70" s="18" t="inlineStr">
        <is>
          <t>ข้อสอบจริง</t>
        </is>
      </c>
      <c r="P70" s="18" t="inlineStr">
        <is>
          <t>ปี 2555</t>
        </is>
      </c>
    </row>
    <row r="71">
      <c r="A71" s="18" t="n">
        <v>69</v>
      </c>
      <c r="B71" s="18"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18" t="n"/>
      <c r="D71" s="18" t="inlineStr">
        <is>
          <t>Oleaginous Ointment base (White Petrolatum)</t>
        </is>
      </c>
      <c r="E71" s="18" t="inlineStr">
        <is>
          <t>Absorption Ointment base (Lanolin USP)</t>
        </is>
      </c>
      <c r="F71" s="18" t="inlineStr">
        <is>
          <t>Fatty Suppository base (Hard Fat / Witepsol)</t>
        </is>
      </c>
      <c r="G71" s="18" t="inlineStr">
        <is>
          <t>Simple Syrup USP (85% w/v Sucrose)</t>
        </is>
      </c>
      <c r="H71" s="18" t="inlineStr">
        <is>
          <t>Elixir with 10-20% Alcohol cosolvent</t>
        </is>
      </c>
      <c r="I71" s="18" t="n">
        <v>1</v>
      </c>
      <c r="J71" s="1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8" t="n"/>
      <c r="L71" s="18" t="inlineStr">
        <is>
          <t>Gels</t>
        </is>
      </c>
      <c r="M71" s="18" t="inlineStr">
        <is>
          <t>Product</t>
        </is>
      </c>
      <c r="N71" s="18" t="inlineStr">
        <is>
          <t>ข้อ 2 (PLE_CC1_2555 Day 2.md)</t>
        </is>
      </c>
      <c r="O71" s="18" t="inlineStr">
        <is>
          <t>ข้อสอบจริง</t>
        </is>
      </c>
      <c r="P71" s="18" t="inlineStr">
        <is>
          <t>ปี 2555</t>
        </is>
      </c>
    </row>
    <row r="72">
      <c r="A72" s="18" t="n">
        <v>70</v>
      </c>
      <c r="B72" s="18" t="inlineStr">
        <is>
          <t>สูตรตำรับFeSO4 12.5 mg, Citric acid ...., Paraben 0.1 mg, Syrup to 100 ml ข้อใดถูกต้อง</t>
        </is>
      </c>
      <c r="C72" s="18" t="n"/>
      <c r="D72" s="18" t="inlineStr">
        <is>
          <t>ไม่มีสารแต่งรส</t>
        </is>
      </c>
      <c r="E72" s="18" t="inlineStr">
        <is>
          <t>เก็บในขวดใส</t>
        </is>
      </c>
      <c r="F72" s="18" t="inlineStr">
        <is>
          <t>เก็บในตู้เย็น</t>
        </is>
      </c>
      <c r="G72" s="18" t="inlineStr">
        <is>
          <t>ไม่มี stabilizer</t>
        </is>
      </c>
      <c r="H72" s="18" t="inlineStr">
        <is>
          <t>ปัญหาการละลาย paraben ส่วน FeSO4 ละลายได้ดีในนํ้า</t>
        </is>
      </c>
      <c r="I72" s="18" t="n">
        <v>3</v>
      </c>
      <c r="J72" s="18"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ข้อนี้ไม่ใช่คำตอบที่ถูกต้องสำหรับภาวะ Solutions, Syrups &amp; Elixirs เนื่องจากกลไกการออกฤทธิ์, efficacy หรือข้อบ่งใช้ไม่ตรงกับโจทย์ที่กำหนด
• ข้อ ข. (เก็บในขวดใส): ข้อนี้ไม่ใช่คำตอบที่ถูกต้องสำหรับภาวะ Solutions, Syrups &amp; Elixirs เนื่องจากกลไกการออกฤทธิ์, efficacy หรือข้อบ่งใช้ไม่ตรงกับโจทย์ที่กำหนด
• ข้อ ง. (ไม่มี stabilizer): ข้อนี้ไม่ใช่คำตอบที่ถูกต้องสำหรับภาวะ Solutions, Syrups &amp; Elixirs เนื่องจากกลไกการออกฤทธิ์, efficacy หรือข้อบ่งใช้ไม่ตรงกับโจทย์ที่กำหนด
• ข้อ จ. (ปัญหาการละลาย paraben ส่วน FeSO4 ละลายได้ดีในนํ้า):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8" t="n"/>
      <c r="L72" s="18" t="inlineStr">
        <is>
          <t>Solutions, Syrups &amp; Elixirs</t>
        </is>
      </c>
      <c r="M72" s="18" t="inlineStr">
        <is>
          <t>Product</t>
        </is>
      </c>
      <c r="N72" s="18" t="inlineStr">
        <is>
          <t>ข้อ 5 (PLE_CC1_2554 SET2.md)</t>
        </is>
      </c>
      <c r="O72" s="18" t="inlineStr">
        <is>
          <t>ข้อสอบจริง</t>
        </is>
      </c>
      <c r="P72" s="18" t="inlineStr">
        <is>
          <t>ปี 2554</t>
        </is>
      </c>
    </row>
    <row r="73">
      <c r="A73" s="18" t="n">
        <v>71</v>
      </c>
      <c r="B73" s="18"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18" t="n"/>
      <c r="D73" s="18" t="inlineStr">
        <is>
          <t>Deflocculated Suspension formulation</t>
        </is>
      </c>
      <c r="E73" s="18" t="inlineStr">
        <is>
          <t>O/W Emulsion stabilized by Polysorbate 80 / Span 80</t>
        </is>
      </c>
      <c r="F73" s="18" t="inlineStr">
        <is>
          <t>W/O Emulsion with Sorbitan monooleate</t>
        </is>
      </c>
      <c r="G73" s="18" t="inlineStr">
        <is>
          <t>Carbopol 940 hydrogel neutralized with Triethanolamine</t>
        </is>
      </c>
      <c r="H73" s="18" t="inlineStr">
        <is>
          <t>Oleaginous Ointment base (White Petrolatum)</t>
        </is>
      </c>
      <c r="I73" s="18" t="n">
        <v>1</v>
      </c>
      <c r="J73" s="1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8" t="n"/>
      <c r="L73" s="18" t="inlineStr">
        <is>
          <t>Gels</t>
        </is>
      </c>
      <c r="M73" s="18" t="inlineStr">
        <is>
          <t>Product</t>
        </is>
      </c>
      <c r="N73" s="18" t="inlineStr">
        <is>
          <t>ข้อ 4 (PLE_CC1_2554 SET2.md)</t>
        </is>
      </c>
      <c r="O73" s="18" t="inlineStr">
        <is>
          <t>ข้อสอบจริง</t>
        </is>
      </c>
      <c r="P73" s="18" t="inlineStr">
        <is>
          <t>ปี 2554</t>
        </is>
      </c>
    </row>
    <row r="74">
      <c r="A74" s="18" t="n">
        <v>72</v>
      </c>
      <c r="B74" s="18"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18" t="n"/>
      <c r="D74" s="18" t="inlineStr">
        <is>
          <t>Carbopol 940 hydrogel neutralized with Triethanolamine</t>
        </is>
      </c>
      <c r="E74" s="18" t="inlineStr">
        <is>
          <t>Oleaginous Ointment base (White Petrolatum)</t>
        </is>
      </c>
      <c r="F74" s="18" t="inlineStr">
        <is>
          <t>Absorption Ointment base (Lanolin USP)</t>
        </is>
      </c>
      <c r="G74" s="18" t="inlineStr">
        <is>
          <t>Fatty Suppository base (Hard Fat / Witepsol)</t>
        </is>
      </c>
      <c r="H74" s="18" t="inlineStr">
        <is>
          <t>Simple Syrup USP (85% w/v Sucrose)</t>
        </is>
      </c>
      <c r="I74" s="18" t="n">
        <v>3</v>
      </c>
      <c r="J74" s="18"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8" t="n"/>
      <c r="L74" s="18" t="inlineStr">
        <is>
          <t>Suspensions</t>
        </is>
      </c>
      <c r="M74" s="18" t="inlineStr">
        <is>
          <t>Product</t>
        </is>
      </c>
      <c r="N74" s="18" t="inlineStr">
        <is>
          <t>ข้อ 6 (PLE_CC1_2554 SET2.md)</t>
        </is>
      </c>
      <c r="O74" s="18" t="inlineStr">
        <is>
          <t>ข้อสอบจริง</t>
        </is>
      </c>
      <c r="P74" s="18" t="inlineStr">
        <is>
          <t>ปี 2554</t>
        </is>
      </c>
    </row>
    <row r="75">
      <c r="A75" s="18" t="n">
        <v>73</v>
      </c>
      <c r="B75" s="18"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18" t="n"/>
      <c r="D75" s="18" t="inlineStr">
        <is>
          <t>Fatty Suppository base (Hard Fat / Witepsol)</t>
        </is>
      </c>
      <c r="E75" s="18" t="inlineStr">
        <is>
          <t>Simple Syrup USP (85% w/v Sucrose)</t>
        </is>
      </c>
      <c r="F75" s="18" t="inlineStr">
        <is>
          <t>Elixir with 10-20% Alcohol cosolvent</t>
        </is>
      </c>
      <c r="G75" s="18" t="inlineStr">
        <is>
          <t>Flocculated Oral Suspension with Xanthan Gum</t>
        </is>
      </c>
      <c r="H75" s="18" t="inlineStr">
        <is>
          <t>Deflocculated Suspension formulation</t>
        </is>
      </c>
      <c r="I75" s="18" t="n">
        <v>1</v>
      </c>
      <c r="J75" s="1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8" t="n"/>
      <c r="L75" s="18" t="inlineStr">
        <is>
          <t>Gels</t>
        </is>
      </c>
      <c r="M75" s="18" t="inlineStr">
        <is>
          <t>Product</t>
        </is>
      </c>
      <c r="N75" s="18" t="inlineStr">
        <is>
          <t>ข้อ 2 (PLE_CC1_2533.md)</t>
        </is>
      </c>
      <c r="O75" s="18" t="inlineStr">
        <is>
          <t>ข้อสอบจริง</t>
        </is>
      </c>
      <c r="P75" s="18" t="inlineStr">
        <is>
          <t>ปี 2533</t>
        </is>
      </c>
    </row>
    <row r="76">
      <c r="A76" s="18" t="n">
        <v>74</v>
      </c>
      <c r="B76" s="18" t="inlineStr">
        <is>
          <t>vitamin E , D , K ในตำรับ emulsion</t>
        </is>
      </c>
      <c r="C76" s="18" t="n"/>
      <c r="D76" s="18" t="inlineStr">
        <is>
          <t>Flocculated Oral Suspension with Xanthan Gum</t>
        </is>
      </c>
      <c r="E76" s="18" t="inlineStr">
        <is>
          <t>Deflocculated Suspension formulation</t>
        </is>
      </c>
      <c r="F76" s="18" t="inlineStr">
        <is>
          <t>O/W Emulsion stabilized by Polysorbate 80 / Span 80</t>
        </is>
      </c>
      <c r="G76" s="18" t="inlineStr">
        <is>
          <t>W/O Emulsion with Sorbitan monooleate</t>
        </is>
      </c>
      <c r="H76" s="18" t="inlineStr">
        <is>
          <t>Carbopol 940 hydrogel neutralized with Triethanolamine</t>
        </is>
      </c>
      <c r="I76" s="18" t="n">
        <v>1</v>
      </c>
      <c r="J76" s="1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8" t="n"/>
      <c r="L76" s="18" t="inlineStr">
        <is>
          <t>Emulsions</t>
        </is>
      </c>
      <c r="M76" s="18" t="inlineStr">
        <is>
          <t>Product</t>
        </is>
      </c>
      <c r="N76" s="18" t="inlineStr">
        <is>
          <t>ข้อ 1 (PLE_CC1_2533.md)</t>
        </is>
      </c>
      <c r="O76" s="18" t="inlineStr">
        <is>
          <t>ข้อสอบจริง</t>
        </is>
      </c>
      <c r="P76" s="18" t="inlineStr">
        <is>
          <t>ปี 2533</t>
        </is>
      </c>
    </row>
    <row r="77">
      <c r="A77" s="18" t="n">
        <v>75</v>
      </c>
      <c r="B77" s="18"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18" t="n"/>
      <c r="D77" s="18" t="inlineStr">
        <is>
          <t>W/O Emulsion with Sorbitan monooleate</t>
        </is>
      </c>
      <c r="E77" s="18" t="inlineStr">
        <is>
          <t>Carbopol 940 hydrogel neutralized with Triethanolamine</t>
        </is>
      </c>
      <c r="F77" s="18" t="inlineStr">
        <is>
          <t>Oleaginous Ointment base (White Petrolatum)</t>
        </is>
      </c>
      <c r="G77" s="18" t="inlineStr">
        <is>
          <t>Absorption Ointment base (Lanolin USP)</t>
        </is>
      </c>
      <c r="H77" s="18" t="inlineStr">
        <is>
          <t>Fatty Suppository base (Hard Fat / Witepsol)</t>
        </is>
      </c>
      <c r="I77" s="18" t="n">
        <v>1</v>
      </c>
      <c r="J77" s="1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8" t="n"/>
      <c r="L77" s="18" t="inlineStr">
        <is>
          <t>Suspensions</t>
        </is>
      </c>
      <c r="M77" s="18" t="inlineStr">
        <is>
          <t>Product</t>
        </is>
      </c>
      <c r="N77" s="18" t="inlineStr">
        <is>
          <t>ข้อ 5 (PLE_CC1_2533.md)</t>
        </is>
      </c>
      <c r="O77" s="18" t="inlineStr">
        <is>
          <t>ข้อสอบจริง</t>
        </is>
      </c>
      <c r="P77" s="18" t="inlineStr">
        <is>
          <t>ปี 2533</t>
        </is>
      </c>
    </row>
    <row r="78">
      <c r="A78" s="18" t="n">
        <v>76</v>
      </c>
      <c r="B78" s="18"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18" t="n"/>
      <c r="D78" s="18" t="inlineStr">
        <is>
          <t>ไม่เหมาะสม เนื่องจากยา clindamycin ต้องใช้รักษาสิววันละครั้ง ก่อนนอนเท่านั้น</t>
        </is>
      </c>
      <c r="E78" s="18" t="inlineStr">
        <is>
          <t>ไม่เหมาะสม เนื่องจากการใช้ยา clindamycin เป็นยาเดี่ยวจะทำให้ดื้อยาได้ ต้องใช้คู่กับ antibiotic แบบรับประทานด้วย</t>
        </is>
      </c>
      <c r="F78" s="18" t="inlineStr">
        <is>
          <t>ไม่เหมาะสม เนื่องจากการใช้ยา clindamycin เป็นยาเดี่ยวจะทำให้ดื้อยาได้ ต้องใช้คู่กับ benzoyl peroxide</t>
        </is>
      </c>
      <c r="G78" s="18"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18" t="inlineStr">
        <is>
          <t>เหมาะสม เนื่องจากการใช้ clindamycin gel จะทำป้องกันการกลับมาเป็นสิวซ้ำได้ ถ้าใช้เป็นระยะ เวลานาน</t>
        </is>
      </c>
      <c r="I78" s="18" t="n">
        <v>1</v>
      </c>
      <c r="J78" s="18"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ข้อนี้ไม่ใช่คำตอบที่ถูกต้องสำหรับภาวะ Gels เนื่องจากกลไกการออกฤทธิ์, efficacy หรือข้อบ่งใช้ไม่ตรงกับโจทย์ที่กำหนด
• ข้อ ค. (ไม่เหมาะสม เนื่องจากการใช้ยา clindamycin เป็นยาเดี่ยวจะทำให้ดื้อยาได้ ต้องใช้คู่กับ benzoyl peroxide): ข้อนี้ไม่ใช่คำตอบที่ถูกต้องสำหรับภาวะ Gels เนื่องจากกลไกการออกฤทธิ์, efficacy หรือข้อบ่งใช้ไม่ตรงกับโจทย์ที่กำหนด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ข้อนี้ไม่ใช่คำตอบที่ถูกต้องสำหรับภาวะ Gels เนื่องจากกลไกการออกฤทธิ์, efficacy หรือข้อบ่งใช้ไม่ตรงกับโจทย์ที่กำหนด
• ข้อ จ. (เหมาะสม เนื่องจากการใช้ clindamycin gel จะทำป้องกันการกลับมาเป็นสิวซ้ำได้ ถ้าใช้เป็นระยะ เวลานาน):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8" t="n"/>
      <c r="L78" s="18" t="inlineStr">
        <is>
          <t>Gels</t>
        </is>
      </c>
      <c r="M78" s="18" t="inlineStr">
        <is>
          <t>Product</t>
        </is>
      </c>
      <c r="N78" s="18" t="inlineStr">
        <is>
          <t>ข้อ 5 (PLE_CC1_Practice_Exam.md)</t>
        </is>
      </c>
      <c r="O78" s="18" t="inlineStr">
        <is>
          <t>Mock</t>
        </is>
      </c>
      <c r="P78" s="18" t="inlineStr">
        <is>
          <t>Mock สภาเภสัชฯ Practice</t>
        </is>
      </c>
    </row>
    <row r="79">
      <c r="A79" s="18" t="n">
        <v>77</v>
      </c>
      <c r="B79" s="18"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18" t="n"/>
      <c r="D79" s="18" t="inlineStr">
        <is>
          <t>B&gt;C&gt;D&gt;A</t>
        </is>
      </c>
      <c r="E79" s="18" t="inlineStr">
        <is>
          <t>D&gt;B&gt;C&gt;A</t>
        </is>
      </c>
      <c r="F79" s="18" t="inlineStr">
        <is>
          <t>C&gt;D&gt;B&gt;A</t>
        </is>
      </c>
      <c r="G79" s="18" t="inlineStr">
        <is>
          <t>C&gt;B&gt;D&gt;A</t>
        </is>
      </c>
      <c r="H79" s="18" t="inlineStr">
        <is>
          <t>D&gt;C&gt;B&gt;A</t>
        </is>
      </c>
      <c r="I79" s="18" t="n">
        <v>1</v>
      </c>
      <c r="J79" s="18"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ข้อนี้ไม่ใช่คำตอบที่ถูกต้องสำหรับภาวะ Creams &amp; Ointments เนื่องจากกลไกการออกฤทธิ์, efficacy หรือข้อบ่งใช้ไม่ตรงกับโจทย์ที่กำหนด
• ข้อ ค. (C&gt;D&gt;B&gt;A): ข้อนี้ไม่ใช่คำตอบที่ถูกต้องสำหรับภาวะ Creams &amp; Ointments เนื่องจากกลไกการออกฤทธิ์, efficacy หรือข้อบ่งใช้ไม่ตรงกับโจทย์ที่กำหนด
• ข้อ ง. (C&gt;B&gt;D&gt;A): ข้อนี้ไม่ใช่คำตอบที่ถูกต้องสำหรับภาวะ Creams &amp; Ointments เนื่องจากกลไกการออกฤทธิ์, efficacy หรือข้อบ่งใช้ไม่ตรงกับโจทย์ที่กำหนด
• ข้อ จ. (D&gt;C&gt;B&gt;A):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8" t="n"/>
      <c r="L79" s="18" t="inlineStr">
        <is>
          <t>Creams &amp; Ointments</t>
        </is>
      </c>
      <c r="M79" s="18" t="inlineStr">
        <is>
          <t>Product</t>
        </is>
      </c>
      <c r="N79" s="18" t="inlineStr">
        <is>
          <t>ข้อ 31 (PLE_CC1_Practice_Exam.md)</t>
        </is>
      </c>
      <c r="O79" s="18" t="inlineStr">
        <is>
          <t>Mock</t>
        </is>
      </c>
      <c r="P79" s="18" t="inlineStr">
        <is>
          <t>Mock สภาเภสัชฯ Practice</t>
        </is>
      </c>
    </row>
    <row r="80">
      <c r="A80" s="18" t="n">
        <v>78</v>
      </c>
      <c r="B80" s="18"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18" t="n"/>
      <c r="D80" s="18" t="inlineStr">
        <is>
          <t>Glycerin</t>
        </is>
      </c>
      <c r="E80" s="18" t="inlineStr">
        <is>
          <t>Silicones</t>
        </is>
      </c>
      <c r="F80" s="18" t="inlineStr">
        <is>
          <t>Propylene glycol</t>
        </is>
      </c>
      <c r="G80" s="18" t="inlineStr">
        <is>
          <t>Mineral oil</t>
        </is>
      </c>
      <c r="H80" s="18" t="inlineStr">
        <is>
          <t>Soft soap containing alcohol</t>
        </is>
      </c>
      <c r="I80" s="18" t="n">
        <v>1</v>
      </c>
      <c r="J80" s="18"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ข้อนี้ไม่ใช่คำตอบที่ถูกต้องสำหรับภาวะ Gels เนื่องจากกลไกการออกฤทธิ์, efficacy หรือข้อบ่งใช้ไม่ตรงกับโจทย์ที่กำหนด
• ข้อ ค. (Propylene glycol): ข้อนี้ไม่ใช่คำตอบที่ถูกต้องสำหรับภาวะ Gels เนื่องจากกลไกการออกฤทธิ์, efficacy หรือข้อบ่งใช้ไม่ตรงกับโจทย์ที่กำหนด
• ข้อ ง. (Mineral oil): ข้อนี้ไม่ใช่คำตอบที่ถูกต้องสำหรับภาวะ Gels เนื่องจากกลไกการออกฤทธิ์, efficacy หรือข้อบ่งใช้ไม่ตรงกับโจทย์ที่กำหนด
• ข้อ จ. (Soft soap containing alcohol):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8" t="n"/>
      <c r="L80" s="18" t="inlineStr">
        <is>
          <t>Gels</t>
        </is>
      </c>
      <c r="M80" s="18" t="inlineStr">
        <is>
          <t>Product</t>
        </is>
      </c>
      <c r="N80" s="18" t="inlineStr">
        <is>
          <t>ข้อ 24 (PLE_CC1_Practice_Exam.md)</t>
        </is>
      </c>
      <c r="O80" s="18" t="inlineStr">
        <is>
          <t>Mock</t>
        </is>
      </c>
      <c r="P80" s="18" t="inlineStr">
        <is>
          <t>Mock สภาเภสัชฯ Practice</t>
        </is>
      </c>
    </row>
    <row r="81">
      <c r="A81" s="18" t="n">
        <v>79</v>
      </c>
      <c r="B81" s="18" t="inlineStr">
        <is>
          <t>เภสัชภัณฑ์รูปแบบของเหลว (Liquid dosage form) โดย ฝ่ายวิชาการ สโมสรนักศึกษาคณะเภสัชศาสตร์ มหาวิทยาลัยพายัพ - ยาน้ำใส</t>
        </is>
      </c>
      <c r="C81" s="18" t="n"/>
      <c r="D81" s="18" t="inlineStr">
        <is>
          <t>Oleaginous Ointment base (White Petrolatum)</t>
        </is>
      </c>
      <c r="E81" s="18" t="inlineStr">
        <is>
          <t>Absorption Ointment base (Lanolin USP)</t>
        </is>
      </c>
      <c r="F81" s="18" t="inlineStr">
        <is>
          <t>Fatty Suppository base (Hard Fat / Witepsol)</t>
        </is>
      </c>
      <c r="G81" s="18" t="inlineStr">
        <is>
          <t>Simple Syrup USP (85% w/v Sucrose)</t>
        </is>
      </c>
      <c r="H81" s="18" t="inlineStr">
        <is>
          <t>Elixir with 10-20% Alcohol cosolvent</t>
        </is>
      </c>
      <c r="I81" s="18" t="n">
        <v>1</v>
      </c>
      <c r="J81" s="1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8" t="n"/>
      <c r="L81" s="18" t="inlineStr">
        <is>
          <t>Solutions, Syrups &amp; Elixirs</t>
        </is>
      </c>
      <c r="M81" s="18" t="inlineStr">
        <is>
          <t>Product</t>
        </is>
      </c>
      <c r="N81" s="18" t="inlineStr">
        <is>
          <t>ข้อ 14 (PLE_CC1_Practice_Exam.md)</t>
        </is>
      </c>
      <c r="O81" s="18" t="inlineStr">
        <is>
          <t>Mock</t>
        </is>
      </c>
      <c r="P81" s="18" t="inlineStr">
        <is>
          <t>Mock สภาเภสัชฯ Practice</t>
        </is>
      </c>
    </row>
    <row r="82">
      <c r="A82" s="18" t="n">
        <v>80</v>
      </c>
      <c r="B82" s="18"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18" t="n"/>
      <c r="D82" s="18" t="inlineStr">
        <is>
          <t>Simple Syrup USP (85% w/v Sucrose)</t>
        </is>
      </c>
      <c r="E82" s="18" t="inlineStr">
        <is>
          <t>Elixir with 10-20% Alcohol cosolvent</t>
        </is>
      </c>
      <c r="F82" s="18" t="inlineStr">
        <is>
          <t>Flocculated Oral Suspension with Xanthan Gum</t>
        </is>
      </c>
      <c r="G82" s="18" t="inlineStr">
        <is>
          <t>Deflocculated Suspension formulation</t>
        </is>
      </c>
      <c r="H82" s="18" t="inlineStr">
        <is>
          <t>O/W Emulsion stabilized by Polysorbate 80 / Span 80</t>
        </is>
      </c>
      <c r="I82" s="18" t="n">
        <v>1</v>
      </c>
      <c r="J82" s="1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8" t="n"/>
      <c r="L82" s="18" t="inlineStr">
        <is>
          <t>Emulsions</t>
        </is>
      </c>
      <c r="M82" s="18" t="inlineStr">
        <is>
          <t>Product</t>
        </is>
      </c>
      <c r="N82" s="18" t="inlineStr">
        <is>
          <t>ข้อ 1 (PLE_CC1_Practice_Exam.md)</t>
        </is>
      </c>
      <c r="O82" s="18" t="inlineStr">
        <is>
          <t>Mock</t>
        </is>
      </c>
      <c r="P82" s="18" t="inlineStr">
        <is>
          <t>Mock สภาเภสัชฯ Practice</t>
        </is>
      </c>
    </row>
    <row r="83">
      <c r="A83" s="18" t="n">
        <v>81</v>
      </c>
      <c r="B83" s="18" t="inlineStr">
        <is>
          <t>Zinc Cream BP Rx Zinc Oxide, Finely sifted 320 g Calcium Hydroxide 0.45 g Oleic acid 5 ml Arachis oil 320 ml Wool Fat 80 g Purified water q.s. 100 ml จากสูตรตำรับข้างต้นข้อความใดต่อไปนี้ถูกต้อง</t>
        </is>
      </c>
      <c r="C83" s="18" t="n"/>
      <c r="D83" s="18" t="inlineStr">
        <is>
          <t>Deflocculated Suspension formulation</t>
        </is>
      </c>
      <c r="E83" s="18" t="inlineStr">
        <is>
          <t>O/W Emulsion stabilized by Polysorbate 80 / Span 80</t>
        </is>
      </c>
      <c r="F83" s="18" t="inlineStr">
        <is>
          <t>W/O Emulsion with Sorbitan monooleate</t>
        </is>
      </c>
      <c r="G83" s="18" t="inlineStr">
        <is>
          <t>Carbopol 940 hydrogel neutralized with Triethanolamine</t>
        </is>
      </c>
      <c r="H83" s="18" t="inlineStr">
        <is>
          <t>Oleaginous Ointment base (White Petrolatum)</t>
        </is>
      </c>
      <c r="I83" s="18" t="n">
        <v>1</v>
      </c>
      <c r="J83" s="1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8" t="n"/>
      <c r="L83" s="18" t="inlineStr">
        <is>
          <t>Creams &amp; Ointments</t>
        </is>
      </c>
      <c r="M83" s="18" t="inlineStr">
        <is>
          <t>Product</t>
        </is>
      </c>
      <c r="N83" s="18" t="inlineStr">
        <is>
          <t>ข้อ 4 (PLE_CC1_Practice_Exam.md)</t>
        </is>
      </c>
      <c r="O83" s="18" t="inlineStr">
        <is>
          <t>Mock</t>
        </is>
      </c>
      <c r="P83" s="18" t="inlineStr">
        <is>
          <t>Mock สภาเภสัชฯ Practice</t>
        </is>
      </c>
    </row>
    <row r="84">
      <c r="A84" s="18" t="n">
        <v>82</v>
      </c>
      <c r="B84" s="18" t="inlineStr">
        <is>
          <t>สูตรตำรับข้างต้นเป็นครีมชนิดน้ำในน้ำมัน</t>
        </is>
      </c>
      <c r="C84" s="18" t="n"/>
      <c r="D84" s="18" t="inlineStr">
        <is>
          <t>Carbopol 940 hydrogel neutralized with Triethanolamine</t>
        </is>
      </c>
      <c r="E84" s="18" t="inlineStr">
        <is>
          <t>Oleaginous Ointment base (White Petrolatum)</t>
        </is>
      </c>
      <c r="F84" s="18" t="inlineStr">
        <is>
          <t>Absorption Ointment base (Lanolin USP)</t>
        </is>
      </c>
      <c r="G84" s="18" t="inlineStr">
        <is>
          <t>Fatty Suppository base (Hard Fat / Witepsol)</t>
        </is>
      </c>
      <c r="H84" s="18" t="inlineStr">
        <is>
          <t>Simple Syrup USP (85% w/v Sucrose)</t>
        </is>
      </c>
      <c r="I84" s="18" t="n">
        <v>1</v>
      </c>
      <c r="J84" s="1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8" t="n"/>
      <c r="L84" s="18" t="inlineStr">
        <is>
          <t>Creams &amp; Ointments</t>
        </is>
      </c>
      <c r="M84" s="18" t="inlineStr">
        <is>
          <t>Product</t>
        </is>
      </c>
      <c r="N84" s="18" t="inlineStr">
        <is>
          <t>ข้อ 2 (PLE_CC1_Practice_Exam.md)</t>
        </is>
      </c>
      <c r="O84" s="18" t="inlineStr">
        <is>
          <t>Mock</t>
        </is>
      </c>
      <c r="P84" s="18" t="inlineStr">
        <is>
          <t>Mock สภาเภสัชฯ Practice</t>
        </is>
      </c>
    </row>
    <row r="85">
      <c r="A85" s="18" t="n">
        <v>83</v>
      </c>
      <c r="B85" s="18" t="inlineStr">
        <is>
          <t>จากสูตรตำรับข้างต้นเป็นการใช้ยาพื้นขี้ผึ้ง (Ointment base) แบบใด</t>
        </is>
      </c>
      <c r="C85" s="18" t="n"/>
      <c r="D85" s="18" t="inlineStr">
        <is>
          <t>ยาพื้นชนิดเป็นมัน</t>
        </is>
      </c>
      <c r="E85" s="18" t="inlineStr">
        <is>
          <t>ยาพื้นชนิดดูดน้ำได้</t>
        </is>
      </c>
      <c r="F85" s="18" t="inlineStr">
        <is>
          <t>ยาพื้นอิมัลชันชนิด w/o</t>
        </is>
      </c>
      <c r="G85" s="18" t="inlineStr">
        <is>
          <t>ยาพื้นอิมัลชันชนิด o/w</t>
        </is>
      </c>
      <c r="H85" s="18" t="inlineStr">
        <is>
          <t>ยาพื้นชนิดละลายน้ำได้ 27.ข้อใดเป็นยาพื้นขี้ผึ้งชนิด Absorption base</t>
        </is>
      </c>
      <c r="I85" s="18" t="n">
        <v>1</v>
      </c>
      <c r="J85" s="18"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ข้อนี้ไม่ใช่คำตอบที่ถูกต้องสำหรับภาวะ Creams &amp; Ointments เนื่องจากกลไกการออกฤทธิ์, efficacy หรือข้อบ่งใช้ไม่ตรงกับโจทย์ที่กำหนด
• ข้อ ค. (ยาพื้นอิมัลชันชนิด w/o): ข้อนี้ไม่ใช่คำตอบที่ถูกต้องสำหรับภาวะ Creams &amp; Ointments เนื่องจากกลไกการออกฤทธิ์, efficacy หรือข้อบ่งใช้ไม่ตรงกับโจทย์ที่กำหนด
• ข้อ ง. (ยาพื้นอิมัลชันชนิด o/w): ข้อนี้ไม่ใช่คำตอบที่ถูกต้องสำหรับภาวะ Creams &amp; Ointments เนื่องจากกลไกการออกฤทธิ์, efficacy หรือข้อบ่งใช้ไม่ตรงกับโจทย์ที่กำหนด
• ข้อ จ. (ยาพื้นชนิดละลายน้ำได้ 27.ข้อใดเป็นยาพื้นขี้ผึ้งชนิด Absorption base):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8" t="n"/>
      <c r="L85" s="18" t="inlineStr">
        <is>
          <t>Creams &amp; Ointments</t>
        </is>
      </c>
      <c r="M85" s="18" t="inlineStr">
        <is>
          <t>Product</t>
        </is>
      </c>
      <c r="N85" s="18" t="inlineStr">
        <is>
          <t>ข้อ 26 (PLE_CC1_Practice_Exam.md)</t>
        </is>
      </c>
      <c r="O85" s="18" t="inlineStr">
        <is>
          <t>Mock</t>
        </is>
      </c>
      <c r="P85" s="18" t="inlineStr">
        <is>
          <t>Mock สภาเภสัชฯ Practice</t>
        </is>
      </c>
    </row>
    <row r="86">
      <c r="A86" s="18" t="n">
        <v>84</v>
      </c>
      <c r="B86" s="18" t="inlineStr">
        <is>
          <t>ยาเพสต์มีตัวยาที่เป็นของแข็งมากกว่า และมีเนื้อหยาบกว่ายาขี้ผึ้ง</t>
        </is>
      </c>
      <c r="C86" s="18" t="n"/>
      <c r="D86" s="18" t="inlineStr">
        <is>
          <t>Flocculated Oral Suspension with Xanthan Gum</t>
        </is>
      </c>
      <c r="E86" s="18" t="inlineStr">
        <is>
          <t>Deflocculated Suspension formulation</t>
        </is>
      </c>
      <c r="F86" s="18" t="inlineStr">
        <is>
          <t>O/W Emulsion stabilized by Polysorbate 80 / Span 80</t>
        </is>
      </c>
      <c r="G86" s="18" t="inlineStr">
        <is>
          <t>W/O Emulsion with Sorbitan monooleate</t>
        </is>
      </c>
      <c r="H86" s="18" t="inlineStr">
        <is>
          <t>Carbopol 940 hydrogel neutralized with Triethanolamine</t>
        </is>
      </c>
      <c r="I86" s="18" t="n">
        <v>1</v>
      </c>
      <c r="J86" s="1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8" t="n"/>
      <c r="L86" s="18" t="inlineStr">
        <is>
          <t>Creams &amp; Ointments</t>
        </is>
      </c>
      <c r="M86" s="18" t="inlineStr">
        <is>
          <t>Product</t>
        </is>
      </c>
      <c r="N86" s="18" t="inlineStr">
        <is>
          <t>ข้อ 1 (PLE_CC1_Practice_Exam.md)</t>
        </is>
      </c>
      <c r="O86" s="18" t="inlineStr">
        <is>
          <t>Mock</t>
        </is>
      </c>
      <c r="P86" s="18" t="inlineStr">
        <is>
          <t>Mock สภาเภสัชฯ Practice</t>
        </is>
      </c>
    </row>
    <row r="87">
      <c r="A87" s="18" t="n">
        <v>85</v>
      </c>
      <c r="B87" s="18" t="inlineStr">
        <is>
          <t>ยาเพสต์มีความมันมากกว่ายาขี้ผึ้ง เพราะมีปริมาณ base มากกว่า</t>
        </is>
      </c>
      <c r="C87" s="18" t="n"/>
      <c r="D87" s="18" t="inlineStr">
        <is>
          <t>ข้อ 1, 2 ถูก</t>
        </is>
      </c>
      <c r="E87" s="18" t="inlineStr">
        <is>
          <t>ข้อ 1, 3 ถูก</t>
        </is>
      </c>
      <c r="F87" s="18" t="inlineStr">
        <is>
          <t>ข้อ 1, 3, 4 ถูก</t>
        </is>
      </c>
      <c r="G87" s="18" t="inlineStr">
        <is>
          <t>ข้อ 2, 3, 5 ถูก</t>
        </is>
      </c>
      <c r="H87" s="18" t="inlineStr">
        <is>
          <t>ไม่มีข้อใดผิด ยาขี้ผึ้งโดยยานั้นเป็นขี้ผึ้งชนิดใด</t>
        </is>
      </c>
      <c r="I87" s="18" t="n">
        <v>1</v>
      </c>
      <c r="J87" s="18"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ข้อนี้ไม่ใช่คำตอบที่ถูกต้องสำหรับภาวะ Creams &amp; Ointments เนื่องจากกลไกการออกฤทธิ์, efficacy หรือข้อบ่งใช้ไม่ตรงกับโจทย์ที่กำหนด
• ข้อ ค. (ข้อ 1, 3, 4 ถูก): ข้อนี้ไม่ใช่คำตอบที่ถูกต้องสำหรับภาวะ Creams &amp; Ointments เนื่องจากกลไกการออกฤทธิ์, efficacy หรือข้อบ่งใช้ไม่ตรงกับโจทย์ที่กำหนด
• ข้อ ง. (ข้อ 2, 3, 5 ถูก): ข้อนี้ไม่ใช่คำตอบที่ถูกต้องสำหรับภาวะ Creams &amp; Ointments เนื่องจากกลไกการออกฤทธิ์, efficacy หรือข้อบ่งใช้ไม่ตรงกับโจทย์ที่กำหนด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8" t="n"/>
      <c r="L87" s="18" t="inlineStr">
        <is>
          <t>Creams &amp; Ointments</t>
        </is>
      </c>
      <c r="M87" s="18" t="inlineStr">
        <is>
          <t>Product</t>
        </is>
      </c>
      <c r="N87" s="18" t="inlineStr">
        <is>
          <t>ข้อ 5 (PLE_CC1_Practice_Exam.md)</t>
        </is>
      </c>
      <c r="O87" s="18" t="inlineStr">
        <is>
          <t>Mock</t>
        </is>
      </c>
      <c r="P87" s="18" t="inlineStr">
        <is>
          <t>Mock สภาเภสัชฯ Practice</t>
        </is>
      </c>
    </row>
    <row r="88">
      <c r="A88" s="18" t="n">
        <v>86</v>
      </c>
      <c r="B88" s="18"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18" t="n"/>
      <c r="D88" s="18" t="inlineStr">
        <is>
          <t>ผิดเนื่องจาก ยาเพสต์ไม่เหมาะกับผิวหนังที่มีผม หรือขนมากๆ เนื่องจากล้างออกยาก</t>
        </is>
      </c>
      <c r="E88" s="18"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18" t="inlineStr">
        <is>
          <t>ตำรับยาเพสต์ เหมาะกับแผลที่มีน้ำเหลือง เนื่องจากผงยาจำนวนมากสามารถดูดซับของเหลวออกจากแผล ได้ดี</t>
        </is>
      </c>
      <c r="G88" s="18"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18"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18" t="n">
        <v>1</v>
      </c>
      <c r="J88" s="18"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ข้อนี้ไม่ใช่คำตอบที่ถูกต้องสำหรับภาวะ Emulsions เนื่องจากกลไกการออกฤทธิ์, efficacy หรือข้อบ่งใช้ไม่ตรงกับโจทย์ที่กำหนด
• ข้อ ค. (ตำรับยาเพสต์ เหมาะกับแผลที่มีน้ำเหลือง เนื่องจากผงยาจำนวนมากสามารถดูดซับของเหลวออกจากแผล ได้ดี): ข้อนี้ไม่ใช่คำตอบที่ถูกต้องสำหรับภาวะ Emulsions เนื่องจากกลไกการออกฤทธิ์, efficacy หรือข้อบ่งใช้ไม่ตรงกับโจทย์ที่กำหนด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ข้อนี้ไม่ใช่คำตอบที่ถูกต้องสำหรับภาวะ Emulsions เนื่องจากกลไกการออกฤทธิ์, efficacy หรือข้อบ่งใช้ไม่ตรงกับโจทย์ที่กำหนด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8" t="n"/>
      <c r="L88" s="18" t="inlineStr">
        <is>
          <t>Emulsions</t>
        </is>
      </c>
      <c r="M88" s="18" t="inlineStr">
        <is>
          <t>Product</t>
        </is>
      </c>
      <c r="N88" s="18" t="inlineStr">
        <is>
          <t>ข้อ 1 (PLE_CC1_Practice_Exam.md)</t>
        </is>
      </c>
      <c r="O88" s="18" t="inlineStr">
        <is>
          <t>Mock</t>
        </is>
      </c>
      <c r="P88" s="18" t="inlineStr">
        <is>
          <t>Mock สภาเภสัชฯ Practice</t>
        </is>
      </c>
    </row>
    <row r="89">
      <c r="A89" s="18" t="n">
        <v>87</v>
      </c>
      <c r="B89" s="18" t="inlineStr">
        <is>
          <t>Aristocortห (0.02% Triamcinolone acetonide cream) เภสัชกรร้านยาสามารถจ่ายโดยไม่มีใบสั่งยา ได้หรือไม่</t>
        </is>
      </c>
      <c r="C89" s="18" t="n"/>
      <c r="D89" s="18" t="inlineStr">
        <is>
          <t>ไม่ได้ เนื่องจากเป็นยาควบคุมพิเศษ</t>
        </is>
      </c>
      <c r="E89" s="18" t="inlineStr">
        <is>
          <t>ไม่ได้ เนื่องจากเป็นยาจำหน่ายเฉพาะในโรงพยาบาล</t>
        </is>
      </c>
      <c r="F89" s="18" t="inlineStr">
        <is>
          <t>ได้ เนื่องจากเป็นยาแผนปัจจุบันชนิดใช้เฉพาะที่</t>
        </is>
      </c>
      <c r="G89" s="18" t="inlineStr">
        <is>
          <t>ได้ เนื่องจากเป็นยาทาที่ไม่เป็นอันตราย</t>
        </is>
      </c>
      <c r="H89" s="18"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18" t="n">
        <v>1</v>
      </c>
      <c r="J89" s="18"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ข้อนี้ไม่ใช่คำตอบที่ถูกต้องสำหรับภาวะ Creams &amp; Ointments เนื่องจากกลไกการออกฤทธิ์, efficacy หรือข้อบ่งใช้ไม่ตรงกับโจทย์ที่กำหนด
• ข้อ ค. (ได้ เนื่องจากเป็นยาแผนปัจจุบันชนิดใช้เฉพาะที่): ข้อนี้ไม่ใช่คำตอบที่ถูกต้องสำหรับภาวะ Creams &amp; Ointments เนื่องจากกลไกการออกฤทธิ์, efficacy หรือข้อบ่งใช้ไม่ตรงกับโจทย์ที่กำหนด
• ข้อ ง. (ได้ เนื่องจากเป็นยาทาที่ไม่เป็นอันตราย): ข้อนี้ไม่ใช่คำตอบที่ถูกต้องสำหรับภาวะ Creams &amp; Ointments เนื่องจากกลไกการออกฤทธิ์, efficacy หรือข้อบ่งใช้ไม่ตรงกับโจทย์ที่กำหนด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8" t="n"/>
      <c r="L89" s="18" t="inlineStr">
        <is>
          <t>Creams &amp; Ointments</t>
        </is>
      </c>
      <c r="M89" s="18" t="inlineStr">
        <is>
          <t>Product</t>
        </is>
      </c>
      <c r="N89" s="18" t="inlineStr">
        <is>
          <t>ข้อ 36 (PLE_CC1_Practice_Exam.md)</t>
        </is>
      </c>
      <c r="O89" s="18" t="inlineStr">
        <is>
          <t>Mock</t>
        </is>
      </c>
      <c r="P89" s="18" t="inlineStr">
        <is>
          <t>Mock สภาเภสัชฯ Practice</t>
        </is>
      </c>
    </row>
    <row r="90">
      <c r="A90" s="18" t="n">
        <v>88</v>
      </c>
      <c r="B90" s="18"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18" t="n"/>
      <c r="D90" s="18" t="inlineStr">
        <is>
          <t>O/W Emulsion stabilized by Polysorbate 80 / Span 80</t>
        </is>
      </c>
      <c r="E90" s="18" t="inlineStr">
        <is>
          <t>W/O Emulsion with Sorbitan monooleate</t>
        </is>
      </c>
      <c r="F90" s="18" t="inlineStr">
        <is>
          <t>Carbopol 940 hydrogel neutralized with Triethanolamine</t>
        </is>
      </c>
      <c r="G90" s="18" t="inlineStr">
        <is>
          <t>Oleaginous Ointment base (White Petrolatum)</t>
        </is>
      </c>
      <c r="H90" s="18" t="inlineStr">
        <is>
          <t>Absorption Ointment base (Lanolin USP)</t>
        </is>
      </c>
      <c r="I90" s="18" t="n">
        <v>1</v>
      </c>
      <c r="J90" s="1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8" t="n"/>
      <c r="L90" s="18" t="inlineStr">
        <is>
          <t>Emulsions</t>
        </is>
      </c>
      <c r="M90" s="18" t="inlineStr">
        <is>
          <t>Product</t>
        </is>
      </c>
      <c r="N90" s="18" t="inlineStr">
        <is>
          <t>ข้อ 60 (PLE_CC1_Key_Rx20_UBU.md)</t>
        </is>
      </c>
      <c r="O90" s="18" t="inlineStr">
        <is>
          <t>Mock</t>
        </is>
      </c>
      <c r="P90" s="18" t="inlineStr">
        <is>
          <t>Mock Rx20 UBU</t>
        </is>
      </c>
    </row>
    <row r="91">
      <c r="A91" s="18" t="n">
        <v>89</v>
      </c>
      <c r="B91" s="18"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18" t="n"/>
      <c r="D91" s="18" t="inlineStr">
        <is>
          <t>Oleaginous Ointment base (White Petrolatum)</t>
        </is>
      </c>
      <c r="E91" s="18" t="inlineStr">
        <is>
          <t>Absorption Ointment base (Lanolin USP)</t>
        </is>
      </c>
      <c r="F91" s="18" t="inlineStr">
        <is>
          <t>Fatty Suppository base (Hard Fat / Witepsol)</t>
        </is>
      </c>
      <c r="G91" s="18" t="inlineStr">
        <is>
          <t>Simple Syrup USP (85% w/v Sucrose)</t>
        </is>
      </c>
      <c r="H91" s="18" t="inlineStr">
        <is>
          <t>Elixir with 10-20% Alcohol cosolvent</t>
        </is>
      </c>
      <c r="I91" s="18" t="n">
        <v>5</v>
      </c>
      <c r="J91" s="18"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8" t="n"/>
      <c r="L91" s="18" t="inlineStr">
        <is>
          <t>Emulsions</t>
        </is>
      </c>
      <c r="M91" s="18" t="inlineStr">
        <is>
          <t>Product</t>
        </is>
      </c>
      <c r="N91" s="18" t="inlineStr">
        <is>
          <t>ข้อ 5 (PLE_CC1_Key_Rx20_UBU.md)</t>
        </is>
      </c>
      <c r="O91" s="18" t="inlineStr">
        <is>
          <t>Mock</t>
        </is>
      </c>
      <c r="P91" s="18" t="inlineStr">
        <is>
          <t>Mock Rx20 UBU</t>
        </is>
      </c>
    </row>
    <row r="92">
      <c r="A92" s="18" t="n">
        <v>90</v>
      </c>
      <c r="B92" s="18" t="inlineStr">
        <is>
          <t>Triethanolamine ทำหน้าที่เป็น Preservative</t>
        </is>
      </c>
      <c r="C92" s="18" t="n"/>
      <c r="D92" s="18" t="inlineStr">
        <is>
          <t>Simple Syrup USP (85% w/v Sucrose)</t>
        </is>
      </c>
      <c r="E92" s="18" t="inlineStr">
        <is>
          <t>Elixir with 10-20% Alcohol cosolvent</t>
        </is>
      </c>
      <c r="F92" s="18" t="inlineStr">
        <is>
          <t>Flocculated Oral Suspension with Xanthan Gum</t>
        </is>
      </c>
      <c r="G92" s="18" t="inlineStr">
        <is>
          <t>Deflocculated Suspension formulation</t>
        </is>
      </c>
      <c r="H92" s="18" t="inlineStr">
        <is>
          <t>O/W Emulsion stabilized by Polysorbate 80 / Span 80</t>
        </is>
      </c>
      <c r="I92" s="18" t="n">
        <v>1</v>
      </c>
      <c r="J92" s="1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8" t="n"/>
      <c r="L92" s="18" t="inlineStr">
        <is>
          <t>Gels</t>
        </is>
      </c>
      <c r="M92" s="18" t="inlineStr">
        <is>
          <t>Product</t>
        </is>
      </c>
      <c r="N92" s="18" t="inlineStr">
        <is>
          <t>ข้อ 4 (PLE_CC1_Key_Rx20_UBU.md)</t>
        </is>
      </c>
      <c r="O92" s="18" t="inlineStr">
        <is>
          <t>Mock</t>
        </is>
      </c>
      <c r="P92" s="18" t="inlineStr">
        <is>
          <t>Mock Rx20 UBU</t>
        </is>
      </c>
    </row>
    <row r="93">
      <c r="A93" s="18" t="n">
        <v>91</v>
      </c>
      <c r="B93" s="18" t="inlineStr">
        <is>
          <t>มี gelatin เป็นส่วนประกอบ</t>
        </is>
      </c>
      <c r="C93" s="18" t="n"/>
      <c r="D93" s="18" t="inlineStr">
        <is>
          <t>Deflocculated Suspension formulation</t>
        </is>
      </c>
      <c r="E93" s="18" t="inlineStr">
        <is>
          <t>O/W Emulsion stabilized by Polysorbate 80 / Span 80</t>
        </is>
      </c>
      <c r="F93" s="18" t="inlineStr">
        <is>
          <t>W/O Emulsion with Sorbitan monooleate</t>
        </is>
      </c>
      <c r="G93" s="18" t="inlineStr">
        <is>
          <t>Carbopol 940 hydrogel neutralized with Triethanolamine</t>
        </is>
      </c>
      <c r="H93" s="18" t="inlineStr">
        <is>
          <t>Oleaginous Ointment base (White Petrolatum)</t>
        </is>
      </c>
      <c r="I93" s="18" t="n">
        <v>1</v>
      </c>
      <c r="J93" s="1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8" t="n"/>
      <c r="L93" s="18" t="inlineStr">
        <is>
          <t>Gels</t>
        </is>
      </c>
      <c r="M93" s="18" t="inlineStr">
        <is>
          <t>Product</t>
        </is>
      </c>
      <c r="N93" s="18" t="inlineStr">
        <is>
          <t>ข้อ 1 (PLE_CC1_Key_Rx20_UBU.md)</t>
        </is>
      </c>
      <c r="O93" s="18" t="inlineStr">
        <is>
          <t>Mock</t>
        </is>
      </c>
      <c r="P93" s="18" t="inlineStr">
        <is>
          <t>Mock Rx20 UBU</t>
        </is>
      </c>
    </row>
    <row r="94">
      <c r="A94" s="18" t="n">
        <v>92</v>
      </c>
      <c r="B94" s="18" t="inlineStr">
        <is>
          <t>Whitfield’s Ointment</t>
        </is>
      </c>
      <c r="C94" s="18" t="n"/>
      <c r="D94" s="18" t="inlineStr">
        <is>
          <t>Carbopol 940 hydrogel neutralized with Triethanolamine</t>
        </is>
      </c>
      <c r="E94" s="18" t="inlineStr">
        <is>
          <t>Oleaginous Ointment base (White Petrolatum)</t>
        </is>
      </c>
      <c r="F94" s="18" t="inlineStr">
        <is>
          <t>Absorption Ointment base (Lanolin USP)</t>
        </is>
      </c>
      <c r="G94" s="18" t="inlineStr">
        <is>
          <t>Fatty Suppository base (Hard Fat / Witepsol)</t>
        </is>
      </c>
      <c r="H94" s="18" t="inlineStr">
        <is>
          <t>Simple Syrup USP (85% w/v Sucrose)</t>
        </is>
      </c>
      <c r="I94" s="18" t="n">
        <v>1</v>
      </c>
      <c r="J94" s="1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8" t="n"/>
      <c r="L94" s="18" t="inlineStr">
        <is>
          <t>Creams &amp; Ointments</t>
        </is>
      </c>
      <c r="M94" s="18" t="inlineStr">
        <is>
          <t>Product</t>
        </is>
      </c>
      <c r="N94" s="18" t="inlineStr">
        <is>
          <t>ข้อ 3 (PLE_CC1_Key_Rx20_UBU.md)</t>
        </is>
      </c>
      <c r="O94" s="18" t="inlineStr">
        <is>
          <t>Mock</t>
        </is>
      </c>
      <c r="P94" s="18" t="inlineStr">
        <is>
          <t>Mock Rx20 UBU</t>
        </is>
      </c>
    </row>
    <row r="95">
      <c r="A95" s="18" t="n">
        <v>93</v>
      </c>
      <c r="B95" s="18" t="inlineStr">
        <is>
          <t>หากต้องการ Ointment ที่ล้างออกง่ายควรใช้เบสลักษณะใด</t>
        </is>
      </c>
      <c r="C95" s="18" t="n"/>
      <c r="D95" s="18" t="inlineStr">
        <is>
          <t>Fatty Suppository base (Hard Fat / Witepsol)</t>
        </is>
      </c>
      <c r="E95" s="18" t="inlineStr">
        <is>
          <t>Simple Syrup USP (85% w/v Sucrose)</t>
        </is>
      </c>
      <c r="F95" s="18" t="inlineStr">
        <is>
          <t>Elixir with 10-20% Alcohol cosolvent</t>
        </is>
      </c>
      <c r="G95" s="18" t="inlineStr">
        <is>
          <t>Flocculated Oral Suspension with Xanthan Gum</t>
        </is>
      </c>
      <c r="H95" s="18" t="inlineStr">
        <is>
          <t>Deflocculated Suspension formulation</t>
        </is>
      </c>
      <c r="I95" s="18" t="n">
        <v>1</v>
      </c>
      <c r="J95" s="1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8" t="n"/>
      <c r="L95" s="18" t="inlineStr">
        <is>
          <t>Creams &amp; Ointments</t>
        </is>
      </c>
      <c r="M95" s="18" t="inlineStr">
        <is>
          <t>Product</t>
        </is>
      </c>
      <c r="N95" s="18" t="inlineStr">
        <is>
          <t>ข้อ 4 (PLE_CC1_Key_Rx20_UBU.md)</t>
        </is>
      </c>
      <c r="O95" s="18" t="inlineStr">
        <is>
          <t>Mock</t>
        </is>
      </c>
      <c r="P95" s="18" t="inlineStr">
        <is>
          <t>Mock Rx20 UBU</t>
        </is>
      </c>
    </row>
    <row r="96">
      <c r="A96" s="18" t="n">
        <v>94</v>
      </c>
      <c r="B96" s="18"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18" t="n"/>
      <c r="D96" s="18" t="inlineStr">
        <is>
          <t>Flocculated Oral Suspension with Xanthan Gum</t>
        </is>
      </c>
      <c r="E96" s="18" t="inlineStr">
        <is>
          <t>Deflocculated Suspension formulation</t>
        </is>
      </c>
      <c r="F96" s="18" t="inlineStr">
        <is>
          <t>O/W Emulsion stabilized by Polysorbate 80 / Span 80</t>
        </is>
      </c>
      <c r="G96" s="18" t="inlineStr">
        <is>
          <t>W/O Emulsion with Sorbitan monooleate</t>
        </is>
      </c>
      <c r="H96" s="18" t="inlineStr">
        <is>
          <t>Carbopol 940 hydrogel neutralized with Triethanolamine</t>
        </is>
      </c>
      <c r="I96" s="18" t="n">
        <v>1</v>
      </c>
      <c r="J96" s="1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8" t="n"/>
      <c r="L96" s="18" t="inlineStr">
        <is>
          <t>Gels</t>
        </is>
      </c>
      <c r="M96" s="18" t="inlineStr">
        <is>
          <t>Product</t>
        </is>
      </c>
      <c r="N96" s="18" t="inlineStr">
        <is>
          <t>ข้อ 2 (PLE_CC1_Key_Rx20_UBU.md)</t>
        </is>
      </c>
      <c r="O96" s="18" t="inlineStr">
        <is>
          <t>Mock</t>
        </is>
      </c>
      <c r="P96" s="18" t="inlineStr">
        <is>
          <t>Mock Rx20 UBU</t>
        </is>
      </c>
    </row>
    <row r="97">
      <c r="A97" s="18" t="n">
        <v>95</v>
      </c>
      <c r="B97" s="18" t="inlineStr">
        <is>
          <t>เปลี่ยนเป็นยาครีม</t>
        </is>
      </c>
      <c r="C97" s="18" t="n"/>
      <c r="D97" s="18" t="inlineStr">
        <is>
          <t>W/O Emulsion with Sorbitan monooleate</t>
        </is>
      </c>
      <c r="E97" s="18" t="inlineStr">
        <is>
          <t>Carbopol 940 hydrogel neutralized with Triethanolamine</t>
        </is>
      </c>
      <c r="F97" s="18" t="inlineStr">
        <is>
          <t>Oleaginous Ointment base (White Petrolatum)</t>
        </is>
      </c>
      <c r="G97" s="18" t="inlineStr">
        <is>
          <t>Absorption Ointment base (Lanolin USP)</t>
        </is>
      </c>
      <c r="H97" s="18" t="inlineStr">
        <is>
          <t>Fatty Suppository base (Hard Fat / Witepsol)</t>
        </is>
      </c>
      <c r="I97" s="18" t="n">
        <v>1</v>
      </c>
      <c r="J97" s="1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8" t="n"/>
      <c r="L97" s="18" t="inlineStr">
        <is>
          <t>Creams &amp; Ointments</t>
        </is>
      </c>
      <c r="M97" s="18" t="inlineStr">
        <is>
          <t>Product</t>
        </is>
      </c>
      <c r="N97" s="18" t="inlineStr">
        <is>
          <t>ข้อ 3 (PLE_CC1_Key_Rx20_UBU.md)</t>
        </is>
      </c>
      <c r="O97" s="18" t="inlineStr">
        <is>
          <t>Mock</t>
        </is>
      </c>
      <c r="P97" s="18" t="inlineStr">
        <is>
          <t>Mock Rx20 UBU</t>
        </is>
      </c>
    </row>
    <row r="98">
      <c r="A98" s="18" t="n">
        <v>96</v>
      </c>
      <c r="B98" s="18"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18" t="n"/>
      <c r="D98" s="18" t="inlineStr">
        <is>
          <t>Absorption Ointment base (Lanolin USP)</t>
        </is>
      </c>
      <c r="E98" s="18" t="inlineStr">
        <is>
          <t>Fatty Suppository base (Hard Fat / Witepsol)</t>
        </is>
      </c>
      <c r="F98" s="18" t="inlineStr">
        <is>
          <t>Simple Syrup USP (85% w/v Sucrose)</t>
        </is>
      </c>
      <c r="G98" s="18" t="inlineStr">
        <is>
          <t>Elixir with 10-20% Alcohol cosolvent</t>
        </is>
      </c>
      <c r="H98" s="18" t="inlineStr">
        <is>
          <t>Flocculated Oral Suspension with Xanthan Gum</t>
        </is>
      </c>
      <c r="I98" s="18" t="n">
        <v>1</v>
      </c>
      <c r="J98" s="1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ค. (Simple Syrup USP (85% w/v Sucrose)): ข้อนี้ไม่ใช่คำตอบที่ถูกต้องสำหรับภาวะ Gels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8" t="n"/>
      <c r="L98" s="18" t="inlineStr">
        <is>
          <t>Gels</t>
        </is>
      </c>
      <c r="M98" s="18" t="inlineStr">
        <is>
          <t>Product</t>
        </is>
      </c>
      <c r="N98" s="18" t="inlineStr">
        <is>
          <t>ข้อ 89 (PLE_CC1_Key_Rx20_UBU.md)</t>
        </is>
      </c>
      <c r="O98" s="18" t="inlineStr">
        <is>
          <t>Mock</t>
        </is>
      </c>
      <c r="P98" s="18" t="inlineStr">
        <is>
          <t>Mock Rx20 UBU</t>
        </is>
      </c>
    </row>
    <row r="99">
      <c r="A99" s="18" t="n">
        <v>97</v>
      </c>
      <c r="B99" s="18" t="inlineStr">
        <is>
          <t>การเติมสาร antioxidant เพื่อเพิ่มความคงตัวของตัวยาของตำรับ gel vaginal ที่มี carbopol ในส่วนของ aqueous phase system ควรเลือกสารในข้อใด</t>
        </is>
      </c>
      <c r="C99" s="18" t="n"/>
      <c r="D99" s="18" t="inlineStr">
        <is>
          <t>BHP</t>
        </is>
      </c>
      <c r="E99" s="18" t="inlineStr">
        <is>
          <t>BHP + Citric acid</t>
        </is>
      </c>
      <c r="F99" s="18" t="inlineStr">
        <is>
          <t>BHP + Sodium metabisulfite</t>
        </is>
      </c>
      <c r="G99" s="18" t="inlineStr">
        <is>
          <t>O/W Emulsion stabilized by Polysorbate 80 / Span 80</t>
        </is>
      </c>
      <c r="H99" s="18" t="inlineStr">
        <is>
          <t>W/O Emulsion with Sorbitan monooleate</t>
        </is>
      </c>
      <c r="I99" s="18" t="n">
        <v>1</v>
      </c>
      <c r="J99" s="18"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ข้อนี้ไม่ใช่คำตอบที่ถูกต้องสำหรับภาวะ Gels เนื่องจากกลไกการออกฤทธิ์, efficacy หรือข้อบ่งใช้ไม่ตรงกับโจทย์ที่กำหนด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8" t="n"/>
      <c r="L99" s="18" t="inlineStr">
        <is>
          <t>Gels</t>
        </is>
      </c>
      <c r="M99" s="18" t="inlineStr">
        <is>
          <t>Product</t>
        </is>
      </c>
      <c r="N99" s="18" t="inlineStr">
        <is>
          <t>ข้อ 90 (PLE_CC1_Key_Rx20_UBU.md)</t>
        </is>
      </c>
      <c r="O99" s="18" t="inlineStr">
        <is>
          <t>Mock</t>
        </is>
      </c>
      <c r="P99" s="18" t="inlineStr">
        <is>
          <t>Mock Rx20 UBU</t>
        </is>
      </c>
    </row>
    <row r="100">
      <c r="A100" s="18" t="n">
        <v>98</v>
      </c>
      <c r="B100" s="18" t="inlineStr">
        <is>
          <t>Ascorbic acid + Ascorbate palmitate ตัวนี้ไ่ม่เกิดการทำปฏิกิริยากับสารก่อ gel คือ Carbopol</t>
        </is>
      </c>
      <c r="C100" s="18" t="n"/>
      <c r="D100" s="18" t="inlineStr">
        <is>
          <t>O/W Emulsion stabilized by Polysorbate 80 / Span 80</t>
        </is>
      </c>
      <c r="E100" s="18" t="inlineStr">
        <is>
          <t>W/O Emulsion with Sorbitan monooleate</t>
        </is>
      </c>
      <c r="F100" s="18" t="inlineStr">
        <is>
          <t>Carbopol 940 hydrogel neutralized with Triethanolamine</t>
        </is>
      </c>
      <c r="G100" s="18" t="inlineStr">
        <is>
          <t>Oleaginous Ointment base (White Petrolatum)</t>
        </is>
      </c>
      <c r="H100" s="18" t="inlineStr">
        <is>
          <t>Absorption Ointment base (Lanolin USP)</t>
        </is>
      </c>
      <c r="I100" s="18" t="n">
        <v>4</v>
      </c>
      <c r="J100" s="18"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8" t="n"/>
      <c r="L100" s="18" t="inlineStr">
        <is>
          <t>Gels</t>
        </is>
      </c>
      <c r="M100" s="18" t="inlineStr">
        <is>
          <t>Product</t>
        </is>
      </c>
      <c r="N100" s="18" t="inlineStr">
        <is>
          <t>ข้อ 5 (PLE_CC1_Key_Rx20_UBU.md)</t>
        </is>
      </c>
      <c r="O100" s="18" t="inlineStr">
        <is>
          <t>Mock</t>
        </is>
      </c>
      <c r="P100" s="18" t="inlineStr">
        <is>
          <t>Mock Rx20 UBU</t>
        </is>
      </c>
    </row>
    <row r="101">
      <c r="A101" s="18" t="n">
        <v>99</v>
      </c>
      <c r="B101" s="18" t="inlineStr">
        <is>
          <t>Ketoconazole cream</t>
        </is>
      </c>
      <c r="C101" s="18" t="n"/>
      <c r="D101" s="18" t="inlineStr">
        <is>
          <t>Oleaginous Ointment base (White Petrolatum)</t>
        </is>
      </c>
      <c r="E101" s="18" t="inlineStr">
        <is>
          <t>Absorption Ointment base (Lanolin USP)</t>
        </is>
      </c>
      <c r="F101" s="18" t="inlineStr">
        <is>
          <t>Fatty Suppository base (Hard Fat / Witepsol)</t>
        </is>
      </c>
      <c r="G101" s="18" t="inlineStr">
        <is>
          <t>Simple Syrup USP (85% w/v Sucrose)</t>
        </is>
      </c>
      <c r="H101" s="18" t="inlineStr">
        <is>
          <t>Elixir with 10-20% Alcohol cosolvent</t>
        </is>
      </c>
      <c r="I101" s="18" t="n">
        <v>1</v>
      </c>
      <c r="J101" s="1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ง.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8" t="n"/>
      <c r="L101" s="18" t="inlineStr">
        <is>
          <t>Creams &amp; Ointments</t>
        </is>
      </c>
      <c r="M101" s="18" t="inlineStr">
        <is>
          <t>Product</t>
        </is>
      </c>
      <c r="N101" s="18" t="inlineStr">
        <is>
          <t>ข้อ 1 (PLE_CC1_Key_Rx20_UBU.md)</t>
        </is>
      </c>
      <c r="O101" s="18" t="inlineStr">
        <is>
          <t>Mock</t>
        </is>
      </c>
      <c r="P101" s="18" t="inlineStr">
        <is>
          <t>Mock Rx20 UBU</t>
        </is>
      </c>
    </row>
    <row r="102">
      <c r="A102" s="18" t="n">
        <v>100</v>
      </c>
      <c r="B102" s="18" t="inlineStr">
        <is>
          <t>tretinoic acid cream</t>
        </is>
      </c>
      <c r="C102" s="18" t="n"/>
      <c r="D102" s="18" t="inlineStr">
        <is>
          <t>Simple Syrup USP (85% w/v Sucrose)</t>
        </is>
      </c>
      <c r="E102" s="18" t="inlineStr">
        <is>
          <t>Elixir with 10-20% Alcohol cosolvent</t>
        </is>
      </c>
      <c r="F102" s="18" t="inlineStr">
        <is>
          <t>Flocculated Oral Suspension with Xanthan Gum</t>
        </is>
      </c>
      <c r="G102" s="18" t="inlineStr">
        <is>
          <t>Deflocculated Suspension formulation</t>
        </is>
      </c>
      <c r="H102" s="18" t="inlineStr">
        <is>
          <t>O/W Emulsion stabilized by Polysorbate 80 / Span 80</t>
        </is>
      </c>
      <c r="I102" s="18" t="n">
        <v>1</v>
      </c>
      <c r="J102" s="1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8" t="n"/>
      <c r="L102" s="18" t="inlineStr">
        <is>
          <t>Creams &amp; Ointments</t>
        </is>
      </c>
      <c r="M102" s="18" t="inlineStr">
        <is>
          <t>Product</t>
        </is>
      </c>
      <c r="N102" s="18" t="inlineStr">
        <is>
          <t>ข้อ 4 (PLE_CC1_Key_Rx20_UBU.md)</t>
        </is>
      </c>
      <c r="O102" s="18" t="inlineStr">
        <is>
          <t>Mock</t>
        </is>
      </c>
      <c r="P102" s="18" t="inlineStr">
        <is>
          <t>Mock Rx20 UBU</t>
        </is>
      </c>
    </row>
    <row r="103">
      <c r="A103" s="18" t="n">
        <v>101</v>
      </c>
      <c r="B103" s="18" t="inlineStr">
        <is>
          <t>Betamethasone dipropionate cream</t>
        </is>
      </c>
      <c r="C103" s="18" t="n"/>
      <c r="D103" s="18" t="inlineStr">
        <is>
          <t>Acetretin = x</t>
        </is>
      </c>
      <c r="E103" s="18" t="inlineStr">
        <is>
          <t>MTX = x</t>
        </is>
      </c>
      <c r="F103" s="18" t="inlineStr">
        <is>
          <t>W/O Emulsion with Sorbitan monooleate</t>
        </is>
      </c>
      <c r="G103" s="18" t="inlineStr">
        <is>
          <t>Carbopol 940 hydrogel neutralized with Triethanolamine</t>
        </is>
      </c>
      <c r="H103" s="18" t="inlineStr">
        <is>
          <t>Oleaginous Ointment base (White Petrolatum)</t>
        </is>
      </c>
      <c r="I103" s="18" t="n">
        <v>2</v>
      </c>
      <c r="J103" s="18"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ข้อนี้ไม่ใช่คำตอบที่ถูกต้องสำหรับภาวะ Creams &amp; Ointments เนื่องจากกลไกการออกฤทธิ์, efficacy หรือข้อบ่งใช้ไม่ตรงกับโจทย์ที่กำหนด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8" t="n"/>
      <c r="L103" s="18" t="inlineStr">
        <is>
          <t>Creams &amp; Ointments</t>
        </is>
      </c>
      <c r="M103" s="18" t="inlineStr">
        <is>
          <t>Product</t>
        </is>
      </c>
      <c r="N103" s="18" t="inlineStr">
        <is>
          <t>ข้อ 5 (PLE_CC1_Key_Rx20_UBU.md)</t>
        </is>
      </c>
      <c r="O103" s="18" t="inlineStr">
        <is>
          <t>Mock</t>
        </is>
      </c>
      <c r="P103" s="18" t="inlineStr">
        <is>
          <t>Mock Rx20 UBU</t>
        </is>
      </c>
    </row>
    <row r="104">
      <c r="A104" s="18" t="n">
        <v>102</v>
      </c>
      <c r="B104" s="18" t="inlineStr">
        <is>
          <t>tretinoic acid cream = x</t>
        </is>
      </c>
      <c r="C104" s="18" t="n"/>
      <c r="D104" s="18" t="inlineStr">
        <is>
          <t>Carbopol 940 hydrogel neutralized with Triethanolamine</t>
        </is>
      </c>
      <c r="E104" s="18" t="inlineStr">
        <is>
          <t>Oleaginous Ointment base (White Petrolatum)</t>
        </is>
      </c>
      <c r="F104" s="18" t="inlineStr">
        <is>
          <t>Absorption Ointment base (Lanolin USP)</t>
        </is>
      </c>
      <c r="G104" s="18" t="inlineStr">
        <is>
          <t>Fatty Suppository base (Hard Fat / Witepsol)</t>
        </is>
      </c>
      <c r="H104" s="18" t="inlineStr">
        <is>
          <t>Simple Syrup USP (85% w/v Sucrose)</t>
        </is>
      </c>
      <c r="I104" s="18" t="n">
        <v>1</v>
      </c>
      <c r="J104" s="1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8" t="n"/>
      <c r="L104" s="18" t="inlineStr">
        <is>
          <t>Creams &amp; Ointments</t>
        </is>
      </c>
      <c r="M104" s="18" t="inlineStr">
        <is>
          <t>Product</t>
        </is>
      </c>
      <c r="N104" s="18" t="inlineStr">
        <is>
          <t>ข้อ 4 (PLE_CC1_Key_Rx20_UBU.md)</t>
        </is>
      </c>
      <c r="O104" s="18" t="inlineStr">
        <is>
          <t>Mock</t>
        </is>
      </c>
      <c r="P104" s="18" t="inlineStr">
        <is>
          <t>Mock Rx20 UBU</t>
        </is>
      </c>
    </row>
    <row r="105">
      <c r="A105" s="18" t="n">
        <v>103</v>
      </c>
      <c r="B105" s="18" t="inlineStr">
        <is>
          <t>Betamethasone dipropionate cream = C</t>
        </is>
      </c>
      <c r="C105" s="18" t="n"/>
      <c r="D105" s="18" t="inlineStr">
        <is>
          <t>Fatty Suppository base (Hard Fat / Witepsol)</t>
        </is>
      </c>
      <c r="E105" s="18" t="inlineStr">
        <is>
          <t>Simple Syrup USP (85% w/v Sucrose)</t>
        </is>
      </c>
      <c r="F105" s="18" t="inlineStr">
        <is>
          <t>Elixir with 10-20% Alcohol cosolvent</t>
        </is>
      </c>
      <c r="G105" s="18" t="inlineStr">
        <is>
          <t>Flocculated Oral Suspension with Xanthan Gum</t>
        </is>
      </c>
      <c r="H105" s="18" t="inlineStr">
        <is>
          <t>Deflocculated Suspension formulation</t>
        </is>
      </c>
      <c r="I105" s="18" t="n">
        <v>1</v>
      </c>
      <c r="J105" s="1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8" t="n"/>
      <c r="L105" s="18" t="inlineStr">
        <is>
          <t>Creams &amp; Ointments</t>
        </is>
      </c>
      <c r="M105" s="18" t="inlineStr">
        <is>
          <t>Product</t>
        </is>
      </c>
      <c r="N105" s="18" t="inlineStr">
        <is>
          <t>ข้อ 5 (PLE_CC1_Key_Rx20_UBU.md)</t>
        </is>
      </c>
      <c r="O105" s="18" t="inlineStr">
        <is>
          <t>Mock</t>
        </is>
      </c>
      <c r="P105" s="18" t="inlineStr">
        <is>
          <t>Mock Rx20 UBU</t>
        </is>
      </c>
    </row>
    <row r="106">
      <c r="A106" s="18" t="n">
        <v>104</v>
      </c>
      <c r="B106" s="18"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18" t="n"/>
      <c r="D106" s="18" t="inlineStr">
        <is>
          <t>Flocculated Oral Suspension with Xanthan Gum</t>
        </is>
      </c>
      <c r="E106" s="18" t="inlineStr">
        <is>
          <t>Deflocculated Suspension formulation</t>
        </is>
      </c>
      <c r="F106" s="18" t="inlineStr">
        <is>
          <t>O/W Emulsion stabilized by Polysorbate 80 / Span 80</t>
        </is>
      </c>
      <c r="G106" s="18" t="inlineStr">
        <is>
          <t>W/O Emulsion with Sorbitan monooleate</t>
        </is>
      </c>
      <c r="H106" s="18" t="inlineStr">
        <is>
          <t>Carbopol 940 hydrogel neutralized with Triethanolamine</t>
        </is>
      </c>
      <c r="I106" s="18" t="n">
        <v>2</v>
      </c>
      <c r="J106" s="18"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8" t="n"/>
      <c r="L106" s="18" t="inlineStr">
        <is>
          <t>Emulsions</t>
        </is>
      </c>
      <c r="M106" s="18" t="inlineStr">
        <is>
          <t>Product</t>
        </is>
      </c>
      <c r="N106" s="18" t="inlineStr">
        <is>
          <t>ข้อ 5 (PLE_CC1_Key_Rx20_UBU.md)</t>
        </is>
      </c>
      <c r="O106" s="18" t="inlineStr">
        <is>
          <t>Mock</t>
        </is>
      </c>
      <c r="P106" s="18" t="inlineStr">
        <is>
          <t>Mock Rx20 UBU</t>
        </is>
      </c>
    </row>
    <row r="107">
      <c r="A107" s="18" t="n">
        <v>105</v>
      </c>
      <c r="B107" s="18" t="inlineStr">
        <is>
          <t>Tween 80 เท่ากับ 56 % และ Span 80 เท่ากับ 44 %</t>
        </is>
      </c>
      <c r="C107" s="18" t="n"/>
      <c r="D107" s="18" t="inlineStr">
        <is>
          <t>W/O Emulsion with Sorbitan monooleate</t>
        </is>
      </c>
      <c r="E107" s="18" t="inlineStr">
        <is>
          <t>Carbopol 940 hydrogel neutralized with Triethanolamine</t>
        </is>
      </c>
      <c r="F107" s="18" t="inlineStr">
        <is>
          <t>Oleaginous Ointment base (White Petrolatum)</t>
        </is>
      </c>
      <c r="G107" s="18" t="inlineStr">
        <is>
          <t>Absorption Ointment base (Lanolin USP)</t>
        </is>
      </c>
      <c r="H107" s="18" t="inlineStr">
        <is>
          <t>Fatty Suppository base (Hard Fat / Witepsol)</t>
        </is>
      </c>
      <c r="I107" s="18" t="n">
        <v>1</v>
      </c>
      <c r="J107" s="1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8" t="n"/>
      <c r="L107" s="18" t="inlineStr">
        <is>
          <t>Emulsions</t>
        </is>
      </c>
      <c r="M107" s="18" t="inlineStr">
        <is>
          <t>Product</t>
        </is>
      </c>
      <c r="N107" s="18" t="inlineStr">
        <is>
          <t>ข้อ 1 (PLE_CC1_Key_Rx20_UBU.md)</t>
        </is>
      </c>
      <c r="O107" s="18" t="inlineStr">
        <is>
          <t>Mock</t>
        </is>
      </c>
      <c r="P107" s="18" t="inlineStr">
        <is>
          <t>Mock Rx20 UBU</t>
        </is>
      </c>
    </row>
    <row r="108">
      <c r="A108" s="18" t="n">
        <v>106</v>
      </c>
      <c r="B108" s="18" t="inlineStr">
        <is>
          <t>Tween 80 เท่ากับ 7 % และ Span 80 เท่ากับ 5 %</t>
        </is>
      </c>
      <c r="C108" s="18" t="n"/>
      <c r="D108" s="18" t="inlineStr">
        <is>
          <t>Absorption Ointment base (Lanolin USP)</t>
        </is>
      </c>
      <c r="E108" s="18" t="inlineStr">
        <is>
          <t>Fatty Suppository base (Hard Fat / Witepsol)</t>
        </is>
      </c>
      <c r="F108" s="18" t="inlineStr">
        <is>
          <t>Simple Syrup USP (85% w/v Sucrose)</t>
        </is>
      </c>
      <c r="G108" s="18" t="inlineStr">
        <is>
          <t>Elixir with 10-20% Alcohol cosolvent</t>
        </is>
      </c>
      <c r="H108" s="18" t="inlineStr">
        <is>
          <t>Flocculated Oral Suspension with Xanthan Gum</t>
        </is>
      </c>
      <c r="I108" s="18" t="n">
        <v>1</v>
      </c>
      <c r="J108" s="1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8" t="n"/>
      <c r="L108" s="18" t="inlineStr">
        <is>
          <t>Emulsions</t>
        </is>
      </c>
      <c r="M108" s="18" t="inlineStr">
        <is>
          <t>Product</t>
        </is>
      </c>
      <c r="N108" s="18" t="inlineStr">
        <is>
          <t>ข้อ 2 (PLE_CC1_Key_Rx20_UBU.md)</t>
        </is>
      </c>
      <c r="O108" s="18" t="inlineStr">
        <is>
          <t>Mock</t>
        </is>
      </c>
      <c r="P108" s="18" t="inlineStr">
        <is>
          <t>Mock Rx20 UBU</t>
        </is>
      </c>
    </row>
    <row r="109">
      <c r="A109" s="18" t="n">
        <v>107</v>
      </c>
      <c r="B109" s="18" t="inlineStr">
        <is>
          <t>Tween 80 เท่ากับ 5.6 % และ Span 80 เท่ากับ 4.4 %</t>
        </is>
      </c>
      <c r="C109" s="18" t="n"/>
      <c r="D109" s="18" t="inlineStr">
        <is>
          <t>Elixir with 10-20% Alcohol cosolvent</t>
        </is>
      </c>
      <c r="E109" s="18" t="inlineStr">
        <is>
          <t>Flocculated Oral Suspension with Xanthan Gum</t>
        </is>
      </c>
      <c r="F109" s="18" t="inlineStr">
        <is>
          <t>Deflocculated Suspension formulation</t>
        </is>
      </c>
      <c r="G109" s="18" t="inlineStr">
        <is>
          <t>O/W Emulsion stabilized by Polysorbate 80 / Span 80</t>
        </is>
      </c>
      <c r="H109" s="18" t="inlineStr">
        <is>
          <t>W/O Emulsion with Sorbitan monooleate</t>
        </is>
      </c>
      <c r="I109" s="18" t="n">
        <v>1</v>
      </c>
      <c r="J109" s="1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8" t="n"/>
      <c r="L109" s="18" t="inlineStr">
        <is>
          <t>Emulsions</t>
        </is>
      </c>
      <c r="M109" s="18" t="inlineStr">
        <is>
          <t>Product</t>
        </is>
      </c>
      <c r="N109" s="18" t="inlineStr">
        <is>
          <t>ข้อ 3 (PLE_CC1_Key_Rx20_UBU.md)</t>
        </is>
      </c>
      <c r="O109" s="18" t="inlineStr">
        <is>
          <t>Mock</t>
        </is>
      </c>
      <c r="P109" s="18" t="inlineStr">
        <is>
          <t>Mock Rx20 UBU</t>
        </is>
      </c>
    </row>
    <row r="110">
      <c r="A110" s="18" t="n">
        <v>108</v>
      </c>
      <c r="B110" s="18" t="inlineStr">
        <is>
          <t>Tween 80 เท่ากับ 5.8 % และ Span 80 เท่ากับ 4.2 %</t>
        </is>
      </c>
      <c r="C110" s="18" t="n"/>
      <c r="D110" s="18" t="inlineStr">
        <is>
          <t>O/W Emulsion stabilized by Polysorbate 80 / Span 80</t>
        </is>
      </c>
      <c r="E110" s="18" t="inlineStr">
        <is>
          <t>W/O Emulsion with Sorbitan monooleate</t>
        </is>
      </c>
      <c r="F110" s="18" t="inlineStr">
        <is>
          <t>Carbopol 940 hydrogel neutralized with Triethanolamine</t>
        </is>
      </c>
      <c r="G110" s="18" t="inlineStr">
        <is>
          <t>Oleaginous Ointment base (White Petrolatum)</t>
        </is>
      </c>
      <c r="H110" s="18" t="inlineStr">
        <is>
          <t>Absorption Ointment base (Lanolin USP)</t>
        </is>
      </c>
      <c r="I110" s="18" t="n">
        <v>1</v>
      </c>
      <c r="J110" s="1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8" t="n"/>
      <c r="L110" s="18" t="inlineStr">
        <is>
          <t>Emulsions</t>
        </is>
      </c>
      <c r="M110" s="18" t="inlineStr">
        <is>
          <t>Product</t>
        </is>
      </c>
      <c r="N110" s="18" t="inlineStr">
        <is>
          <t>ข้อ 4 (PLE_CC1_Key_Rx20_UBU.md)</t>
        </is>
      </c>
      <c r="O110" s="18" t="inlineStr">
        <is>
          <t>Mock</t>
        </is>
      </c>
      <c r="P110" s="18" t="inlineStr">
        <is>
          <t>Mock Rx20 UBU</t>
        </is>
      </c>
    </row>
    <row r="111">
      <c r="A111" s="18" t="n">
        <v>109</v>
      </c>
      <c r="B111" s="18" t="inlineStr">
        <is>
          <t>Tween 80 เท่ากับ 4.2 % และ Span 80 เท่ากับ 5.8 % &amp; Tweer 1 / -1 / Span 3 - - ิ → เหง้าSpr alliqout technique Tween80 = 7/12 x 10 = 5.83 % Span = 5/12 x 10 = 4.17 %</t>
        </is>
      </c>
      <c r="C111" s="18" t="n"/>
      <c r="D111" s="18" t="inlineStr">
        <is>
          <t>Oleaginous Ointment base (White Petrolatum)</t>
        </is>
      </c>
      <c r="E111" s="18" t="inlineStr">
        <is>
          <t>Absorption Ointment base (Lanolin USP)</t>
        </is>
      </c>
      <c r="F111" s="18" t="inlineStr">
        <is>
          <t>Fatty Suppository base (Hard Fat / Witepsol)</t>
        </is>
      </c>
      <c r="G111" s="18" t="inlineStr">
        <is>
          <t>Simple Syrup USP (85% w/v Sucrose)</t>
        </is>
      </c>
      <c r="H111" s="18" t="inlineStr">
        <is>
          <t>Elixir with 10-20% Alcohol cosolvent</t>
        </is>
      </c>
      <c r="I111" s="18" t="n">
        <v>5</v>
      </c>
      <c r="J111" s="18"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8" t="n"/>
      <c r="L111" s="18" t="inlineStr">
        <is>
          <t>Emulsions</t>
        </is>
      </c>
      <c r="M111" s="18" t="inlineStr">
        <is>
          <t>Product</t>
        </is>
      </c>
      <c r="N111" s="18" t="inlineStr">
        <is>
          <t>ข้อ 5 (PLE_CC1_Key_Rx20_UBU.md)</t>
        </is>
      </c>
      <c r="O111" s="18" t="inlineStr">
        <is>
          <t>Mock</t>
        </is>
      </c>
      <c r="P111" s="18" t="inlineStr">
        <is>
          <t>Mock Rx20 UBU</t>
        </is>
      </c>
    </row>
    <row r="112">
      <c r="A112" s="18" t="n">
        <v>110</v>
      </c>
      <c r="B112" s="18" t="inlineStr">
        <is>
          <t>O/W เนื่องจากตำรับดังกล่าวมีส่วนของวัฏภาคน้ำสูงกว่าวัฏภาคน้ำมัน และมีค่า HLB ของ Emulsifier ที่สูง</t>
        </is>
      </c>
      <c r="C112" s="18" t="n"/>
      <c r="D112" s="18" t="inlineStr">
        <is>
          <t>Simple Syrup USP (85% w/v Sucrose)</t>
        </is>
      </c>
      <c r="E112" s="18" t="inlineStr">
        <is>
          <t>Elixir with 10-20% Alcohol cosolvent</t>
        </is>
      </c>
      <c r="F112" s="18" t="inlineStr">
        <is>
          <t>Flocculated Oral Suspension with Xanthan Gum</t>
        </is>
      </c>
      <c r="G112" s="18" t="inlineStr">
        <is>
          <t>Deflocculated Suspension formulation</t>
        </is>
      </c>
      <c r="H112" s="18" t="inlineStr">
        <is>
          <t>O/W Emulsion stabilized by Polysorbate 80 / Span 80</t>
        </is>
      </c>
      <c r="I112" s="18" t="n">
        <v>1</v>
      </c>
      <c r="J112" s="1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8" t="n"/>
      <c r="L112" s="18" t="inlineStr">
        <is>
          <t>Emulsions</t>
        </is>
      </c>
      <c r="M112" s="18" t="inlineStr">
        <is>
          <t>Product</t>
        </is>
      </c>
      <c r="N112" s="18" t="inlineStr">
        <is>
          <t>ข้อ 1 (PLE_CC1_Key_Rx20_UBU.md)</t>
        </is>
      </c>
      <c r="O112" s="18" t="inlineStr">
        <is>
          <t>Mock</t>
        </is>
      </c>
      <c r="P112" s="18" t="inlineStr">
        <is>
          <t>Mock Rx20 UBU</t>
        </is>
      </c>
    </row>
    <row r="113">
      <c r="A113" s="18" t="n">
        <v>111</v>
      </c>
      <c r="B113" s="18" t="inlineStr">
        <is>
          <t>W/O เนื่องจากตำรับดังกล่าวมีส่วนของวัฏภาคน้ำมันสูงกว่าวัฏภาคน้ำ และมีค่า HLB ของ Emulsifier ที่สูง</t>
        </is>
      </c>
      <c r="C113" s="18" t="n"/>
      <c r="D113" s="18" t="inlineStr">
        <is>
          <t>Deflocculated Suspension formulation</t>
        </is>
      </c>
      <c r="E113" s="18" t="inlineStr">
        <is>
          <t>O/W Emulsion stabilized by Polysorbate 80 / Span 80</t>
        </is>
      </c>
      <c r="F113" s="18" t="inlineStr">
        <is>
          <t>W/O Emulsion with Sorbitan monooleate</t>
        </is>
      </c>
      <c r="G113" s="18" t="inlineStr">
        <is>
          <t>Carbopol 940 hydrogel neutralized with Triethanolamine</t>
        </is>
      </c>
      <c r="H113" s="18" t="inlineStr">
        <is>
          <t>Oleaginous Ointment base (White Petrolatum)</t>
        </is>
      </c>
      <c r="I113" s="18" t="n">
        <v>1</v>
      </c>
      <c r="J113" s="1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8" t="n"/>
      <c r="L113" s="18" t="inlineStr">
        <is>
          <t>Emulsions</t>
        </is>
      </c>
      <c r="M113" s="18" t="inlineStr">
        <is>
          <t>Product</t>
        </is>
      </c>
      <c r="N113" s="18" t="inlineStr">
        <is>
          <t>ข้อ 3 (PLE_CC1_Key_Rx20_UBU.md)</t>
        </is>
      </c>
      <c r="O113" s="18" t="inlineStr">
        <is>
          <t>Mock</t>
        </is>
      </c>
      <c r="P113" s="18" t="inlineStr">
        <is>
          <t>Mock Rx20 UBU</t>
        </is>
      </c>
    </row>
    <row r="114">
      <c r="A114" s="18" t="n">
        <v>112</v>
      </c>
      <c r="B114" s="18" t="inlineStr">
        <is>
          <t>เนื่องจากตำรับดังกล่าวมีการใช้ Tween และ Span ซึ่งเป็น Emulsifier ชนิด Non-ionic surfactant Emulsifier ที่สูง</t>
        </is>
      </c>
      <c r="C114" s="18" t="n"/>
      <c r="D114" s="18" t="inlineStr">
        <is>
          <t>Carbopol 940 hydrogel neutralized with Triethanolamine</t>
        </is>
      </c>
      <c r="E114" s="18" t="inlineStr">
        <is>
          <t>Oleaginous Ointment base (White Petrolatum)</t>
        </is>
      </c>
      <c r="F114" s="18" t="inlineStr">
        <is>
          <t>Absorption Ointment base (Lanolin USP)</t>
        </is>
      </c>
      <c r="G114" s="18" t="inlineStr">
        <is>
          <t>Fatty Suppository base (Hard Fat / Witepsol)</t>
        </is>
      </c>
      <c r="H114" s="18" t="inlineStr">
        <is>
          <t>Simple Syrup USP (85% w/v Sucrose)</t>
        </is>
      </c>
      <c r="I114" s="18" t="n">
        <v>4</v>
      </c>
      <c r="J114" s="18"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8" t="n"/>
      <c r="L114" s="18" t="inlineStr">
        <is>
          <t>Emulsions</t>
        </is>
      </c>
      <c r="M114" s="18" t="inlineStr">
        <is>
          <t>Product</t>
        </is>
      </c>
      <c r="N114" s="18" t="inlineStr">
        <is>
          <t>ข้อ 5 (PLE_CC1_Key_Rx20_UBU.md)</t>
        </is>
      </c>
      <c r="O114" s="18" t="inlineStr">
        <is>
          <t>Mock</t>
        </is>
      </c>
      <c r="P114" s="18" t="inlineStr">
        <is>
          <t>Mock Rx20 UBU</t>
        </is>
      </c>
    </row>
    <row r="115">
      <c r="A115" s="18" t="n">
        <v>113</v>
      </c>
      <c r="B115" s="18" t="inlineStr">
        <is>
          <t>ยาครีมอิมัลชันที่แยกชั้นออกจากกัน</t>
        </is>
      </c>
      <c r="C115" s="18" t="n"/>
      <c r="D115" s="18" t="inlineStr">
        <is>
          <t>Fatty Suppository base (Hard Fat / Witepsol)</t>
        </is>
      </c>
      <c r="E115" s="18" t="inlineStr">
        <is>
          <t>Simple Syrup USP (85% w/v Sucrose)</t>
        </is>
      </c>
      <c r="F115" s="18" t="inlineStr">
        <is>
          <t>Elixir with 10-20% Alcohol cosolvent</t>
        </is>
      </c>
      <c r="G115" s="18" t="inlineStr">
        <is>
          <t>Flocculated Oral Suspension with Xanthan Gum</t>
        </is>
      </c>
      <c r="H115" s="18" t="inlineStr">
        <is>
          <t>Deflocculated Suspension formulation</t>
        </is>
      </c>
      <c r="I115" s="18" t="n">
        <v>1</v>
      </c>
      <c r="J115" s="1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8" t="n"/>
      <c r="L115" s="18" t="inlineStr">
        <is>
          <t>Creams &amp; Ointments</t>
        </is>
      </c>
      <c r="M115" s="18" t="inlineStr">
        <is>
          <t>Product</t>
        </is>
      </c>
      <c r="N115" s="18" t="inlineStr">
        <is>
          <t>ข้อ 1 (PLE_CC1_Key_Rx20_UBU.md)</t>
        </is>
      </c>
      <c r="O115" s="18" t="inlineStr">
        <is>
          <t>Mock</t>
        </is>
      </c>
      <c r="P115" s="18" t="inlineStr">
        <is>
          <t>Mock Rx20 UBU</t>
        </is>
      </c>
    </row>
    <row r="116">
      <c r="A116" s="18" t="n">
        <v>114</v>
      </c>
      <c r="B116" s="18"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18" t="n"/>
      <c r="D116" s="18" t="inlineStr">
        <is>
          <t>Flocculated Oral Suspension with Xanthan Gum</t>
        </is>
      </c>
      <c r="E116" s="18" t="inlineStr">
        <is>
          <t>Deflocculated Suspension formulation</t>
        </is>
      </c>
      <c r="F116" s="18" t="inlineStr">
        <is>
          <t>O/W Emulsion stabilized by Polysorbate 80 / Span 80</t>
        </is>
      </c>
      <c r="G116" s="18" t="inlineStr">
        <is>
          <t>W/O Emulsion with Sorbitan monooleate</t>
        </is>
      </c>
      <c r="H116" s="18" t="inlineStr">
        <is>
          <t>Carbopol 940 hydrogel neutralized with Triethanolamine</t>
        </is>
      </c>
      <c r="I116" s="18" t="n">
        <v>1</v>
      </c>
      <c r="J116" s="1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8" t="n"/>
      <c r="L116" s="18" t="inlineStr">
        <is>
          <t>Creams &amp; Ointments</t>
        </is>
      </c>
      <c r="M116" s="18" t="inlineStr">
        <is>
          <t>Product</t>
        </is>
      </c>
      <c r="N116" s="18" t="inlineStr">
        <is>
          <t>ข้อ 4 (PLE_CC1_Key_Rx20_UBU.md)</t>
        </is>
      </c>
      <c r="O116" s="18" t="inlineStr">
        <is>
          <t>Mock</t>
        </is>
      </c>
      <c r="P116" s="18" t="inlineStr">
        <is>
          <t>Mock Rx20 UBU</t>
        </is>
      </c>
    </row>
    <row r="117">
      <c r="A117" s="18" t="n">
        <v>115</v>
      </c>
      <c r="B117" s="18" t="inlineStr">
        <is>
          <t>Reducing sugar Mayer’s test ให้ผลเป็นสีครีม และ Dragendorff’s test ได้เป็นตะกอนสีส้ม คือผลการทดสอบสารกลุ่ม Alkaloids</t>
        </is>
      </c>
      <c r="C117" s="18" t="n"/>
      <c r="D117" s="18" t="inlineStr">
        <is>
          <t>W/O Emulsion with Sorbitan monooleate</t>
        </is>
      </c>
      <c r="E117" s="18" t="inlineStr">
        <is>
          <t>Carbopol 940 hydrogel neutralized with Triethanolamine</t>
        </is>
      </c>
      <c r="F117" s="18" t="inlineStr">
        <is>
          <t>Oleaginous Ointment base (White Petrolatum)</t>
        </is>
      </c>
      <c r="G117" s="18" t="inlineStr">
        <is>
          <t>Absorption Ointment base (Lanolin USP)</t>
        </is>
      </c>
      <c r="H117" s="18" t="inlineStr">
        <is>
          <t>Fatty Suppository base (Hard Fat / Witepsol)</t>
        </is>
      </c>
      <c r="I117" s="18" t="n">
        <v>1</v>
      </c>
      <c r="J117" s="1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8" t="n"/>
      <c r="L117" s="18" t="inlineStr">
        <is>
          <t>Creams &amp; Ointments</t>
        </is>
      </c>
      <c r="M117" s="18" t="inlineStr">
        <is>
          <t>Product</t>
        </is>
      </c>
      <c r="N117" s="18" t="inlineStr">
        <is>
          <t>ข้อ 5 (PLE_CC1_Key_Rx20_UBU.md)</t>
        </is>
      </c>
      <c r="O117" s="18" t="inlineStr">
        <is>
          <t>Mock</t>
        </is>
      </c>
      <c r="P117" s="18" t="inlineStr">
        <is>
          <t>Mock Rx20 UBU</t>
        </is>
      </c>
    </row>
    <row r="118">
      <c r="A118" s="18" t="n">
        <v>116</v>
      </c>
      <c r="B118" s="18" t="inlineStr">
        <is>
          <t>เป็น noninonic surfactant เพื่อเลียนแบบสภาวะในกระเพาะอาหาร</t>
        </is>
      </c>
      <c r="C118" s="18" t="n"/>
      <c r="D118" s="18" t="inlineStr">
        <is>
          <t>Absorption Ointment base (Lanolin USP)</t>
        </is>
      </c>
      <c r="E118" s="18" t="inlineStr">
        <is>
          <t>Fatty Suppository base (Hard Fat / Witepsol)</t>
        </is>
      </c>
      <c r="F118" s="18" t="inlineStr">
        <is>
          <t>Simple Syrup USP (85% w/v Sucrose)</t>
        </is>
      </c>
      <c r="G118" s="18" t="inlineStr">
        <is>
          <t>Elixir with 10-20% Alcohol cosolvent</t>
        </is>
      </c>
      <c r="H118" s="18" t="inlineStr">
        <is>
          <t>Flocculated Oral Suspension with Xanthan Gum</t>
        </is>
      </c>
      <c r="I118" s="18" t="n">
        <v>1</v>
      </c>
      <c r="J118" s="1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8" t="n"/>
      <c r="L118" s="18" t="inlineStr">
        <is>
          <t>Emulsions</t>
        </is>
      </c>
      <c r="M118" s="18" t="inlineStr">
        <is>
          <t>Product</t>
        </is>
      </c>
      <c r="N118" s="18" t="inlineStr">
        <is>
          <t>ข้อ 1 (PLE_CC1_Key_Rx20_UBU.md)</t>
        </is>
      </c>
      <c r="O118" s="18" t="inlineStr">
        <is>
          <t>Mock</t>
        </is>
      </c>
      <c r="P118" s="18" t="inlineStr">
        <is>
          <t>Mock Rx20 UBU</t>
        </is>
      </c>
    </row>
    <row r="119">
      <c r="A119" s="18" t="n">
        <v>117</v>
      </c>
      <c r="B119" s="18"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18" t="n"/>
      <c r="D119" s="18" t="inlineStr">
        <is>
          <t>Elixir with 10-20% Alcohol cosolvent</t>
        </is>
      </c>
      <c r="E119" s="18" t="inlineStr">
        <is>
          <t>Flocculated Oral Suspension with Xanthan Gum</t>
        </is>
      </c>
      <c r="F119" s="18" t="inlineStr">
        <is>
          <t>Deflocculated Suspension formulation</t>
        </is>
      </c>
      <c r="G119" s="18" t="inlineStr">
        <is>
          <t>O/W Emulsion stabilized by Polysorbate 80 / Span 80</t>
        </is>
      </c>
      <c r="H119" s="18" t="inlineStr">
        <is>
          <t>W/O Emulsion with Sorbitan monooleate</t>
        </is>
      </c>
      <c r="I119" s="18" t="n">
        <v>1</v>
      </c>
      <c r="J119" s="18"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8" t="n"/>
      <c r="L119" s="18" t="inlineStr">
        <is>
          <t>Solutions, Syrups &amp; Elixirs</t>
        </is>
      </c>
      <c r="M119" s="18" t="inlineStr">
        <is>
          <t>Product</t>
        </is>
      </c>
      <c r="N119" s="18" t="inlineStr">
        <is>
          <t>ข้อ 73 (PLE_CC1_Key_Rx20_UBU.md)</t>
        </is>
      </c>
      <c r="O119" s="18" t="inlineStr">
        <is>
          <t>Mock</t>
        </is>
      </c>
      <c r="P119" s="18" t="inlineStr">
        <is>
          <t>Mock Rx20 UBU</t>
        </is>
      </c>
    </row>
    <row r="120">
      <c r="A120" s="18" t="n">
        <v>118</v>
      </c>
      <c r="B120" s="18"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18" t="n"/>
      <c r="D120" s="18" t="inlineStr">
        <is>
          <t>O/W Emulsion stabilized by Polysorbate 80 / Span 80</t>
        </is>
      </c>
      <c r="E120" s="18" t="inlineStr">
        <is>
          <t>W/O Emulsion with Sorbitan monooleate</t>
        </is>
      </c>
      <c r="F120" s="18" t="inlineStr">
        <is>
          <t>Carbopol 940 hydrogel neutralized with Triethanolamine</t>
        </is>
      </c>
      <c r="G120" s="18" t="inlineStr">
        <is>
          <t>Oleaginous Ointment base (White Petrolatum)</t>
        </is>
      </c>
      <c r="H120" s="18" t="inlineStr">
        <is>
          <t>Absorption Ointment base (Lanolin USP)</t>
        </is>
      </c>
      <c r="I120" s="18" t="n">
        <v>1</v>
      </c>
      <c r="J120" s="1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8" t="n"/>
      <c r="L120" s="18" t="inlineStr">
        <is>
          <t>Emulsions</t>
        </is>
      </c>
      <c r="M120" s="18" t="inlineStr">
        <is>
          <t>Product</t>
        </is>
      </c>
      <c r="N120" s="18" t="inlineStr">
        <is>
          <t>ข้อ 1 (PLE_CC1_Key_Rx20_UBU.md)</t>
        </is>
      </c>
      <c r="O120" s="18" t="inlineStr">
        <is>
          <t>Mock</t>
        </is>
      </c>
      <c r="P120" s="18" t="inlineStr">
        <is>
          <t>Mock Rx20 UBU</t>
        </is>
      </c>
    </row>
    <row r="121">
      <c r="A121" s="18" t="n">
        <v>119</v>
      </c>
      <c r="B121" s="18" t="inlineStr">
        <is>
          <t>Hydrophilic colloids: acacia, tragacanth, pectic, sodium alginate, gelatin, Cellulose derivative( Methylcellulose, sodium carboxy methylcellulose, ethylcellulose</t>
        </is>
      </c>
      <c r="C121" s="18" t="n"/>
      <c r="D121" s="18" t="inlineStr">
        <is>
          <t>Oleaginous Ointment base (White Petrolatum)</t>
        </is>
      </c>
      <c r="E121" s="18" t="inlineStr">
        <is>
          <t>Absorption Ointment base (Lanolin USP)</t>
        </is>
      </c>
      <c r="F121" s="18" t="inlineStr">
        <is>
          <t>Fatty Suppository base (Hard Fat / Witepsol)</t>
        </is>
      </c>
      <c r="G121" s="18" t="inlineStr">
        <is>
          <t>Simple Syrup USP (85% w/v Sucrose)</t>
        </is>
      </c>
      <c r="H121" s="18" t="inlineStr">
        <is>
          <t>Elixir with 10-20% Alcohol cosolvent</t>
        </is>
      </c>
      <c r="I121" s="18" t="n">
        <v>1</v>
      </c>
      <c r="J121" s="1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8" t="n"/>
      <c r="L121" s="18" t="inlineStr">
        <is>
          <t>Gels</t>
        </is>
      </c>
      <c r="M121" s="18" t="inlineStr">
        <is>
          <t>Product</t>
        </is>
      </c>
      <c r="N121" s="18" t="inlineStr">
        <is>
          <t>ข้อ 2 (PLE_CC1_Key_Rx20_UBU.md)</t>
        </is>
      </c>
      <c r="O121" s="18" t="inlineStr">
        <is>
          <t>Mock</t>
        </is>
      </c>
      <c r="P121" s="18" t="inlineStr">
        <is>
          <t>Mock Rx20 UBU</t>
        </is>
      </c>
    </row>
    <row r="122">
      <c r="A122" s="18" t="n">
        <v>120</v>
      </c>
      <c r="B122" s="18"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18" t="n"/>
      <c r="D122" s="18" t="inlineStr">
        <is>
          <t>Simple Syrup USP (85% w/v Sucrose)</t>
        </is>
      </c>
      <c r="E122" s="18" t="inlineStr">
        <is>
          <t>Elixir with 10-20% Alcohol cosolvent</t>
        </is>
      </c>
      <c r="F122" s="18" t="inlineStr">
        <is>
          <t>Flocculated Oral Suspension with Xanthan Gum</t>
        </is>
      </c>
      <c r="G122" s="18" t="inlineStr">
        <is>
          <t>Deflocculated Suspension formulation</t>
        </is>
      </c>
      <c r="H122" s="18" t="inlineStr">
        <is>
          <t>O/W Emulsion stabilized by Polysorbate 80 / Span 80</t>
        </is>
      </c>
      <c r="I122" s="18" t="n">
        <v>3</v>
      </c>
      <c r="J122" s="18"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8" t="n"/>
      <c r="L122" s="18" t="inlineStr">
        <is>
          <t>Creams &amp; Ointments</t>
        </is>
      </c>
      <c r="M122" s="18" t="inlineStr">
        <is>
          <t>Product</t>
        </is>
      </c>
      <c r="N122" s="18" t="inlineStr">
        <is>
          <t>ข้อ 44 (PLE_CC1_Key_Rx20_UBU.md)</t>
        </is>
      </c>
      <c r="O122" s="18" t="inlineStr">
        <is>
          <t>Mock</t>
        </is>
      </c>
      <c r="P122" s="18" t="inlineStr">
        <is>
          <t>Mock Rx20 UBU</t>
        </is>
      </c>
    </row>
    <row r="123">
      <c r="A123" s="18" t="n">
        <v>121</v>
      </c>
      <c r="B123" s="18" t="inlineStr">
        <is>
          <t>วิทยุโฆษณาชุมชน โฆษณาวGา .” รักษาสิว นึกถึง clindamycin gel” ทำได$หรือไมG</t>
        </is>
      </c>
      <c r="C123" s="18" t="n"/>
      <c r="D123" s="18" t="inlineStr">
        <is>
          <t>Deflocculated Suspension formulation</t>
        </is>
      </c>
      <c r="E123" s="18" t="inlineStr">
        <is>
          <t>O/W Emulsion stabilized by Polysorbate 80 / Span 80</t>
        </is>
      </c>
      <c r="F123" s="18" t="inlineStr">
        <is>
          <t>W/O Emulsion with Sorbitan monooleate</t>
        </is>
      </c>
      <c r="G123" s="18" t="inlineStr">
        <is>
          <t>Carbopol 940 hydrogel neutralized with Triethanolamine</t>
        </is>
      </c>
      <c r="H123" s="18" t="inlineStr">
        <is>
          <t>Oleaginous Ointment base (White Petrolatum)</t>
        </is>
      </c>
      <c r="I123" s="18" t="n">
        <v>1</v>
      </c>
      <c r="J123" s="1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8" t="n"/>
      <c r="L123" s="18" t="inlineStr">
        <is>
          <t>Gels</t>
        </is>
      </c>
      <c r="M123" s="18" t="inlineStr">
        <is>
          <t>Product</t>
        </is>
      </c>
      <c r="N123" s="18" t="inlineStr">
        <is>
          <t>ข้อ 9 (PLE_CC1_Key_Rx20_UBU.md)</t>
        </is>
      </c>
      <c r="O123" s="18" t="inlineStr">
        <is>
          <t>Mock</t>
        </is>
      </c>
      <c r="P123" s="18" t="inlineStr">
        <is>
          <t>Mock Rx20 UBU</t>
        </is>
      </c>
    </row>
    <row r="124">
      <c r="A124" s="18" t="n">
        <v>122</v>
      </c>
      <c r="B124" s="18"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18" t="n"/>
      <c r="D124" s="18" t="inlineStr">
        <is>
          <t>Carbopol 940 hydrogel neutralized with Triethanolamine</t>
        </is>
      </c>
      <c r="E124" s="18" t="inlineStr">
        <is>
          <t>Oleaginous Ointment base (White Petrolatum)</t>
        </is>
      </c>
      <c r="F124" s="18" t="inlineStr">
        <is>
          <t>Absorption Ointment base (Lanolin USP)</t>
        </is>
      </c>
      <c r="G124" s="18" t="inlineStr">
        <is>
          <t>Fatty Suppository base (Hard Fat / Witepsol)</t>
        </is>
      </c>
      <c r="H124" s="18" t="inlineStr">
        <is>
          <t>Simple Syrup USP (85% w/v Sucrose)</t>
        </is>
      </c>
      <c r="I124" s="18" t="n">
        <v>2</v>
      </c>
      <c r="J124" s="18"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8" t="n"/>
      <c r="L124" s="18" t="inlineStr">
        <is>
          <t>Creams &amp; Ointments</t>
        </is>
      </c>
      <c r="M124" s="18" t="inlineStr">
        <is>
          <t>Product</t>
        </is>
      </c>
      <c r="N124" s="18" t="inlineStr">
        <is>
          <t>ข้อ 5 (PLE_CC1_Key_Rx20_UBU.md)</t>
        </is>
      </c>
      <c r="O124" s="18" t="inlineStr">
        <is>
          <t>Mock</t>
        </is>
      </c>
      <c r="P124" s="18" t="inlineStr">
        <is>
          <t>Mock Rx20 UBU</t>
        </is>
      </c>
    </row>
    <row r="125">
      <c r="A125" s="18" t="n">
        <v>123</v>
      </c>
      <c r="B125" s="18" t="inlineStr">
        <is>
          <t>Chloramphenicol eye drop + Oxytetracycline ophthalmic ointment</t>
        </is>
      </c>
      <c r="C125" s="18" t="n"/>
      <c r="D125" s="18" t="inlineStr">
        <is>
          <t>Fatty Suppository base (Hard Fat / Witepsol)</t>
        </is>
      </c>
      <c r="E125" s="18" t="inlineStr">
        <is>
          <t>Simple Syrup USP (85% w/v Sucrose)</t>
        </is>
      </c>
      <c r="F125" s="18" t="inlineStr">
        <is>
          <t>Elixir with 10-20% Alcohol cosolvent</t>
        </is>
      </c>
      <c r="G125" s="18" t="inlineStr">
        <is>
          <t>Flocculated Oral Suspension with Xanthan Gum</t>
        </is>
      </c>
      <c r="H125" s="18" t="inlineStr">
        <is>
          <t>Deflocculated Suspension formulation</t>
        </is>
      </c>
      <c r="I125" s="18" t="n">
        <v>1</v>
      </c>
      <c r="J125" s="1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8" t="n"/>
      <c r="L125" s="18" t="inlineStr">
        <is>
          <t>Creams &amp; Ointments</t>
        </is>
      </c>
      <c r="M125" s="18" t="inlineStr">
        <is>
          <t>Product</t>
        </is>
      </c>
      <c r="N125" s="18" t="inlineStr">
        <is>
          <t>ข้อ 3 (PLE_CC1_Key_Rx20_UBU.md)</t>
        </is>
      </c>
      <c r="O125" s="18" t="inlineStr">
        <is>
          <t>Mock</t>
        </is>
      </c>
      <c r="P125" s="18" t="inlineStr">
        <is>
          <t>Mock Rx20 UBU</t>
        </is>
      </c>
    </row>
    <row r="126">
      <c r="A126" s="18" t="n">
        <v>124</v>
      </c>
      <c r="B126" s="18" t="inlineStr">
        <is>
          <t>Oxytetracycline ophthalmic ointment + Gentamicin eye drop</t>
        </is>
      </c>
      <c r="C126" s="18" t="n"/>
      <c r="D126" s="18" t="inlineStr">
        <is>
          <t>Flocculated Oral Suspension with Xanthan Gum</t>
        </is>
      </c>
      <c r="E126" s="18" t="inlineStr">
        <is>
          <t>Deflocculated Suspension formulation</t>
        </is>
      </c>
      <c r="F126" s="18" t="inlineStr">
        <is>
          <t>O/W Emulsion stabilized by Polysorbate 80 / Span 80</t>
        </is>
      </c>
      <c r="G126" s="18" t="inlineStr">
        <is>
          <t>W/O Emulsion with Sorbitan monooleate</t>
        </is>
      </c>
      <c r="H126" s="18" t="inlineStr">
        <is>
          <t>Carbopol 940 hydrogel neutralized with Triethanolamine</t>
        </is>
      </c>
      <c r="I126" s="18" t="n">
        <v>1</v>
      </c>
      <c r="J126" s="1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8" t="n"/>
      <c r="L126" s="18" t="inlineStr">
        <is>
          <t>Creams &amp; Ointments</t>
        </is>
      </c>
      <c r="M126" s="18" t="inlineStr">
        <is>
          <t>Product</t>
        </is>
      </c>
      <c r="N126" s="18" t="inlineStr">
        <is>
          <t>ข้อ 4 (PLE_CC1_Key_Rx20_UBU.md)</t>
        </is>
      </c>
      <c r="O126" s="18" t="inlineStr">
        <is>
          <t>Mock</t>
        </is>
      </c>
      <c r="P126" s="18" t="inlineStr">
        <is>
          <t>Mock Rx20 UBU</t>
        </is>
      </c>
    </row>
    <row r="127">
      <c r="A127" s="18" t="n">
        <v>125</v>
      </c>
      <c r="B127" s="18" t="inlineStr">
        <is>
          <t>Polymixin B + Neomycin ointment</t>
        </is>
      </c>
      <c r="C127" s="18" t="n"/>
      <c r="D127" s="18" t="inlineStr">
        <is>
          <t>W/O Emulsion with Sorbitan monooleate</t>
        </is>
      </c>
      <c r="E127" s="18" t="inlineStr">
        <is>
          <t>Carbopol 940 hydrogel neutralized with Triethanolamine</t>
        </is>
      </c>
      <c r="F127" s="18" t="inlineStr">
        <is>
          <t>Oleaginous Ointment base (White Petrolatum)</t>
        </is>
      </c>
      <c r="G127" s="18" t="inlineStr">
        <is>
          <t>Absorption Ointment base (Lanolin USP)</t>
        </is>
      </c>
      <c r="H127" s="18" t="inlineStr">
        <is>
          <t>Fatty Suppository base (Hard Fat / Witepsol)</t>
        </is>
      </c>
      <c r="I127" s="18" t="n">
        <v>1</v>
      </c>
      <c r="J127" s="1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8" t="n"/>
      <c r="L127" s="18" t="inlineStr">
        <is>
          <t>Creams &amp; Ointments</t>
        </is>
      </c>
      <c r="M127" s="18" t="inlineStr">
        <is>
          <t>Product</t>
        </is>
      </c>
      <c r="N127" s="18" t="inlineStr">
        <is>
          <t>ข้อ 2 (PLE_CC1_Key_Rx20_UBU.md)</t>
        </is>
      </c>
      <c r="O127" s="18" t="inlineStr">
        <is>
          <t>Mock</t>
        </is>
      </c>
      <c r="P127" s="18" t="inlineStr">
        <is>
          <t>Mock Rx20 UBU</t>
        </is>
      </c>
    </row>
    <row r="128">
      <c r="A128" s="18" t="n">
        <v>126</v>
      </c>
      <c r="B128" s="18" t="inlineStr">
        <is>
          <t>16 ไม่มีคำตอบ คิดได้ 11.97 Liquid parafin 30% 33.5% 30/33.5 x 12 = 10.75 HLB 11.97 Wool fat 2% 2/33.5 x 10 = 0.597 Stearyl alcohol 1.5%</t>
        </is>
      </c>
      <c r="C128" s="18" t="n"/>
      <c r="D128" s="18" t="inlineStr">
        <is>
          <t>5/33.5 x 14 = 0.627</t>
        </is>
      </c>
      <c r="E128" s="18" t="inlineStr">
        <is>
          <t>Fatty Suppository base (Hard Fat / Witepsol)</t>
        </is>
      </c>
      <c r="F128" s="18" t="inlineStr">
        <is>
          <t>Simple Syrup USP (85% w/v Sucrose)</t>
        </is>
      </c>
      <c r="G128" s="18" t="inlineStr">
        <is>
          <t>Elixir with 10-20% Alcohol cosolvent</t>
        </is>
      </c>
      <c r="H128" s="18" t="inlineStr">
        <is>
          <t>Flocculated Oral Suspension with Xanthan Gum</t>
        </is>
      </c>
      <c r="I128" s="18" t="n">
        <v>1</v>
      </c>
      <c r="J128" s="18"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8" t="n"/>
      <c r="L128" s="18" t="inlineStr">
        <is>
          <t>Emulsions</t>
        </is>
      </c>
      <c r="M128" s="18" t="inlineStr">
        <is>
          <t>Product</t>
        </is>
      </c>
      <c r="N128" s="18" t="inlineStr">
        <is>
          <t>ข้อ 4 (PLE_CC1_Key_Rx20_UBU.md)</t>
        </is>
      </c>
      <c r="O128" s="18" t="inlineStr">
        <is>
          <t>Mock</t>
        </is>
      </c>
      <c r="P128" s="18" t="inlineStr">
        <is>
          <t>Mock Rx20 UBU</t>
        </is>
      </c>
    </row>
    <row r="129">
      <c r="A129" s="18" t="n">
        <v>127</v>
      </c>
      <c r="B129" s="18" t="inlineStr">
        <is>
          <t>หากจะเปลี่ยนจากยา Clotrimazole cream เป็นยารูปแบบรับประทาน ควรใช้ยาใด</t>
        </is>
      </c>
      <c r="C129" s="18" t="n"/>
      <c r="D129" s="18" t="inlineStr">
        <is>
          <t>Ketoconazole</t>
        </is>
      </c>
      <c r="E129" s="18" t="inlineStr">
        <is>
          <t>Posaconazole</t>
        </is>
      </c>
      <c r="F129" s="18" t="inlineStr">
        <is>
          <t>Miconazole</t>
        </is>
      </c>
      <c r="G129" s="18" t="inlineStr">
        <is>
          <t>Fluconazole</t>
        </is>
      </c>
      <c r="H129" s="18" t="inlineStr">
        <is>
          <t>Griseofulvin หลังจากนั้นสักพักผู้ป่วยอาการไม่ดีขึ้น เมื่อไปพบแพทย์ แพทย์จ่ายยา Itraconazole มาให้รับประทาน</t>
        </is>
      </c>
      <c r="I129" s="18" t="n">
        <v>4</v>
      </c>
      <c r="J129" s="18"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ข้อนี้ไม่ใช่คำตอบที่ถูกต้องสำหรับภาวะ Creams &amp; Ointments เนื่องจากกลไกการออกฤทธิ์, efficacy หรือข้อบ่งใช้ไม่ตรงกับโจทย์ที่กำหนด
• ข้อ ข. (Posaconazole): ข้อนี้ไม่ใช่คำตอบที่ถูกต้องสำหรับภาวะ Creams &amp; Ointments เนื่องจากกลไกการออกฤทธิ์, efficacy หรือข้อบ่งใช้ไม่ตรงกับโจทย์ที่กำหนด
• ข้อ ค. (Miconazole): ข้อนี้ไม่ใช่คำตอบที่ถูกต้องสำหรับภาวะ Creams &amp; Ointments เนื่องจากกลไกการออกฤทธิ์, efficacy หรือข้อบ่งใช้ไม่ตรงกับโจทย์ที่กำหนด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8" t="n"/>
      <c r="L129" s="18" t="inlineStr">
        <is>
          <t>Creams &amp; Ointments</t>
        </is>
      </c>
      <c r="M129" s="18" t="inlineStr">
        <is>
          <t>Product</t>
        </is>
      </c>
      <c r="N129" s="18" t="inlineStr">
        <is>
          <t>ข้อ 13 (PLE_CC1_Key_Rx20_UBU.md)</t>
        </is>
      </c>
      <c r="O129" s="18" t="inlineStr">
        <is>
          <t>Mock</t>
        </is>
      </c>
      <c r="P129" s="18" t="inlineStr">
        <is>
          <t>Mock Rx20 UBU</t>
        </is>
      </c>
    </row>
    <row r="130">
      <c r="A130" s="18" t="n">
        <v>128</v>
      </c>
      <c r="B130" s="18" t="inlineStr">
        <is>
          <t>ยาทา Piroxicam cream จะต้องทำ Specific test ในหัวข้อใด</t>
        </is>
      </c>
      <c r="C130" s="18" t="n"/>
      <c r="D130" s="18" t="inlineStr">
        <is>
          <t>Microbial limit test</t>
        </is>
      </c>
      <c r="E130" s="18" t="inlineStr">
        <is>
          <t>Impurity</t>
        </is>
      </c>
      <c r="F130" s="18" t="inlineStr">
        <is>
          <t>Identification</t>
        </is>
      </c>
      <c r="G130" s="18" t="inlineStr">
        <is>
          <t>Assay</t>
        </is>
      </c>
      <c r="H130" s="18"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18" t="n">
        <v>2</v>
      </c>
      <c r="J130" s="18"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8" t="n"/>
      <c r="L130" s="18" t="inlineStr">
        <is>
          <t>Creams &amp; Ointments</t>
        </is>
      </c>
      <c r="M130" s="18" t="inlineStr">
        <is>
          <t>Product</t>
        </is>
      </c>
      <c r="N130" s="18" t="inlineStr">
        <is>
          <t>ข้อ 107 (PLE_CC1_Key_Rx20_UBU.md)</t>
        </is>
      </c>
      <c r="O130" s="18" t="inlineStr">
        <is>
          <t>Mock</t>
        </is>
      </c>
      <c r="P130" s="18" t="inlineStr">
        <is>
          <t>Mock Rx20 UBU</t>
        </is>
      </c>
    </row>
    <row r="131">
      <c r="A131" s="18" t="n">
        <v>129</v>
      </c>
      <c r="B131" s="18"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18" t="n"/>
      <c r="D131" s="18" t="inlineStr">
        <is>
          <t>Oleaginous Ointment base (White Petrolatum)</t>
        </is>
      </c>
      <c r="E131" s="18" t="inlineStr">
        <is>
          <t>Absorption Ointment base (Lanolin USP)</t>
        </is>
      </c>
      <c r="F131" s="18" t="inlineStr">
        <is>
          <t>Fatty Suppository base (Hard Fat / Witepsol)</t>
        </is>
      </c>
      <c r="G131" s="18" t="inlineStr">
        <is>
          <t>Simple Syrup USP (85% w/v Sucrose)</t>
        </is>
      </c>
      <c r="H131" s="18" t="inlineStr">
        <is>
          <t>Elixir with 10-20% Alcohol cosolvent</t>
        </is>
      </c>
      <c r="I131" s="18" t="n">
        <v>1</v>
      </c>
      <c r="J131" s="1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8" t="n"/>
      <c r="L131" s="18" t="inlineStr">
        <is>
          <t>Solutions, Syrups &amp; Elixirs</t>
        </is>
      </c>
      <c r="M131" s="18" t="inlineStr">
        <is>
          <t>Product</t>
        </is>
      </c>
      <c r="N131" s="18" t="inlineStr">
        <is>
          <t>ข้อ ๑ (PLE_CC1_Key_Rx20_UBU.md)</t>
        </is>
      </c>
      <c r="O131" s="18" t="inlineStr">
        <is>
          <t>Mock</t>
        </is>
      </c>
      <c r="P131" s="18" t="inlineStr">
        <is>
          <t>Mock Rx20 UBU</t>
        </is>
      </c>
    </row>
    <row r="132">
      <c r="A132" s="18" t="n">
        <v>130</v>
      </c>
      <c r="B132" s="18" t="inlineStr">
        <is>
          <t>ผลิตภัณฑ์ยาน้ำข้างต้นไม่สามารถขายได้ในสถานที่ใด</t>
        </is>
      </c>
      <c r="C132" s="18" t="n"/>
      <c r="D132" s="18" t="inlineStr">
        <is>
          <t>ร้านขายสมุนไพร</t>
        </is>
      </c>
      <c r="E132" s="18" t="inlineStr">
        <is>
          <t>ร้านขายยาแผนปัจจุบัน</t>
        </is>
      </c>
      <c r="F132" s="18" t="inlineStr">
        <is>
          <t>ร้านขายยาส่งแผนปัจจุบัน</t>
        </is>
      </c>
      <c r="G132" s="18" t="inlineStr">
        <is>
          <t>ร้าน ขย.2</t>
        </is>
      </c>
      <c r="H132" s="18"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18" t="n">
        <v>1</v>
      </c>
      <c r="J132" s="18"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ง. (ร้าน ขย.2): ข้อนี้ไม่ใช่คำตอบที่ถูกต้องสำหรับภาวะ Solutions, Syrups &amp; Elixirs เนื่องจากกลไกการออกฤทธิ์, efficacy หรือข้อบ่งใช้ไม่ตรงกับโจทย์ที่กำหนด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8" t="n"/>
      <c r="L132" s="18" t="inlineStr">
        <is>
          <t>Solutions, Syrups &amp; Elixirs</t>
        </is>
      </c>
      <c r="M132" s="18" t="inlineStr">
        <is>
          <t>Product</t>
        </is>
      </c>
      <c r="N132" s="18" t="inlineStr">
        <is>
          <t>ข้อ 115 (PLE_CC1_Key_Rx20_UBU.md)</t>
        </is>
      </c>
      <c r="O132" s="18" t="inlineStr">
        <is>
          <t>Mock</t>
        </is>
      </c>
      <c r="P132" s="18" t="inlineStr">
        <is>
          <t>Mock Rx20 UBU</t>
        </is>
      </c>
    </row>
    <row r="133">
      <c r="A133" s="18" t="n">
        <v>131</v>
      </c>
      <c r="B133" s="18" t="inlineStr">
        <is>
          <t>ปัจจัยใดไม่ส่งผลต่อชนิดของครีม</t>
        </is>
      </c>
      <c r="C133" s="18" t="n"/>
      <c r="D133" s="18" t="inlineStr">
        <is>
          <t>ลำดับการผสม</t>
        </is>
      </c>
      <c r="E133" s="18" t="inlineStr">
        <is>
          <t>ชนิดของสารก่ออิมัลชั่น</t>
        </is>
      </c>
      <c r="F133" s="18" t="inlineStr">
        <is>
          <t>ปริมาณรวมของสารก่ออิมัลชั่น</t>
        </is>
      </c>
      <c r="G133" s="18" t="inlineStr">
        <is>
          <t>สัดส่วนของสารก่ออิมัลชั่น</t>
        </is>
      </c>
      <c r="H133" s="18" t="inlineStr">
        <is>
          <t>สัดส่วนของน้ำมันต่อน้ำ</t>
        </is>
      </c>
      <c r="I133" s="18" t="n">
        <v>1</v>
      </c>
      <c r="J133" s="18"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ค. (ปริมาณรวมของสารก่ออิมัลชั่น):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ง. (สัดส่วนของสารก่ออิมัลชั่น):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จ. (สัดส่วนของน้ำมันต่อน้ำ):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8" t="n"/>
      <c r="L133" s="18" t="inlineStr">
        <is>
          <t>Creams &amp; Ointments</t>
        </is>
      </c>
      <c r="M133" s="18" t="inlineStr">
        <is>
          <t>Product</t>
        </is>
      </c>
      <c r="N133" s="18" t="inlineStr">
        <is>
          <t>ข้อ 8 (PLE_CC1_Key_Rx20_UBU.md)</t>
        </is>
      </c>
      <c r="O133" s="18" t="inlineStr">
        <is>
          <t>Mock</t>
        </is>
      </c>
      <c r="P133" s="18" t="inlineStr">
        <is>
          <t>Mock Rx20 UBU</t>
        </is>
      </c>
    </row>
    <row r="134">
      <c r="A134" s="18" t="n">
        <v>132</v>
      </c>
      <c r="B134" s="18"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18" t="n"/>
      <c r="D134" s="18" t="inlineStr">
        <is>
          <t>10:1</t>
        </is>
      </c>
      <c r="E134" s="18" t="inlineStr">
        <is>
          <t>1:1</t>
        </is>
      </c>
      <c r="F134" s="38" t="n">
        <v>0.04861111111111111</v>
      </c>
      <c r="G134" s="38" t="n">
        <v>0.0625</v>
      </c>
      <c r="H134" s="38" t="n">
        <v>0.1111111111111111</v>
      </c>
      <c r="I134" s="18" t="n">
        <v>1</v>
      </c>
      <c r="J134" s="18"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ข้อนี้ไม่ใช่คำตอบที่ถูกต้องสำหรับภาวะ Solutions, Syrups &amp; Elixirs เนื่องจากกลไกการออกฤทธิ์, efficacy หรือข้อบ่งใช้ไม่ตรงกับโจทย์ที่กำหนด
• ข้อ ค. (1:10): ข้อนี้ไม่ใช่คำตอบที่ถูกต้องสำหรับภาวะ Solutions, Syrups &amp; Elixirs เนื่องจากกลไกการออกฤทธิ์, efficacy หรือข้อบ่งใช้ไม่ตรงกับโจทย์ที่กำหนด
• ข้อ ง. (1:30): ข้อนี้ไม่ใช่คำตอบที่ถูกต้องสำหรับภาวะ Solutions, Syrups &amp; Elixirs เนื่องจากกลไกการออกฤทธิ์, efficacy หรือข้อบ่งใช้ไม่ตรงกับโจทย์ที่กำหนด
• ข้อ จ. (1:100):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8" t="n"/>
      <c r="L134" s="18" t="inlineStr">
        <is>
          <t>Solutions, Syrups &amp; Elixirs</t>
        </is>
      </c>
      <c r="M134" s="18" t="inlineStr">
        <is>
          <t>Product</t>
        </is>
      </c>
      <c r="N134" s="18" t="inlineStr">
        <is>
          <t>ข้อ 107 (PLE_CC1_Key_Rx20_UBU.md)</t>
        </is>
      </c>
      <c r="O134" s="18" t="inlineStr">
        <is>
          <t>Mock</t>
        </is>
      </c>
      <c r="P134" s="18" t="inlineStr">
        <is>
          <t>Mock Rx20 UBU</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P43"/>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18" t="inlineStr">
        <is>
          <t>ประเภทข้อสอบ</t>
        </is>
      </c>
      <c r="P2" s="18" t="inlineStr">
        <is>
          <t>ปี / เลขชุด</t>
        </is>
      </c>
    </row>
    <row r="3">
      <c r="A3" s="15" t="inlineStr">
        <is>
          <t>2</t>
        </is>
      </c>
      <c r="B3" s="18" t="inlineStr">
        <is>
          <t>ให้ข้อมูลการทำdissolution test มีacid stage กับbuffer stage ถามเกี่ยวกับยาที่ใช้การทดสอบแบบนี้ ตัวเลือก</t>
        </is>
      </c>
      <c r="C3" s="18" t="inlineStr"/>
      <c r="D3" s="18" t="inlineStr">
        <is>
          <t>Biopharmaceutics &amp; Dissolution</t>
        </is>
      </c>
      <c r="E3" s="18" t="inlineStr">
        <is>
          <t>In Vitro Dissolution Apparatus 1 (Basket, 100 rpm)</t>
        </is>
      </c>
      <c r="F3" s="18" t="inlineStr">
        <is>
          <t>In Vitro Dissolution Apparatus 2 (Paddle, 50 rpm)</t>
        </is>
      </c>
      <c r="G3" s="18" t="inlineStr">
        <is>
          <t>Higuchi Matrix Release Kinetic model</t>
        </is>
      </c>
      <c r="H3" s="18" t="inlineStr">
        <is>
          <t>First-Order Drug Release Kinetics</t>
        </is>
      </c>
      <c r="I3" s="15" t="inlineStr">
        <is>
          <t>1</t>
        </is>
      </c>
      <c r="J3" s="18"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8" t="inlineStr"/>
      <c r="L3" s="18" t="inlineStr">
        <is>
          <t>Dissolution testing</t>
        </is>
      </c>
      <c r="M3" s="18" t="inlineStr">
        <is>
          <t>Biopharmaceutics &amp; Dissolution</t>
        </is>
      </c>
      <c r="N3" s="18" t="inlineStr">
        <is>
          <t>PLE-CC1 ปี 2566 Day 1 ข้อ 25</t>
        </is>
      </c>
      <c r="O3" s="18" t="inlineStr">
        <is>
          <t>ข้อสอบจริง</t>
        </is>
      </c>
      <c r="P3" s="18" t="inlineStr">
        <is>
          <t>ปี 2566</t>
        </is>
      </c>
    </row>
    <row r="4">
      <c r="A4" s="15" t="inlineStr">
        <is>
          <t>3</t>
        </is>
      </c>
      <c r="B4" s="18" t="inlineStr">
        <is>
          <t>ให้โครงสร้าง furosemide มา ถามว่าเติมสารอะไรช่วยเพิ่มการละลายของยา</t>
        </is>
      </c>
      <c r="C4" s="18" t="inlineStr"/>
      <c r="D4" s="18" t="inlineStr">
        <is>
          <t>Biopharmaceutics &amp; Dissolution</t>
        </is>
      </c>
      <c r="E4" s="18" t="inlineStr">
        <is>
          <t>NaHCO3</t>
        </is>
      </c>
      <c r="F4" s="18" t="inlineStr">
        <is>
          <t>HCl</t>
        </is>
      </c>
      <c r="G4" s="18" t="inlineStr">
        <is>
          <t>NaCl</t>
        </is>
      </c>
      <c r="H4" s="18" t="inlineStr">
        <is>
          <t>สารชื่อยาวหน่อย bu สักอย่าง มั้ง</t>
        </is>
      </c>
      <c r="I4" s="15" t="inlineStr">
        <is>
          <t>1</t>
        </is>
      </c>
      <c r="J4" s="18"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ข้อนี้ไม่ใช่คำตอบที่ถูกต้องสำหรับภาวะ Dissolution testing เนื่องจากกลไกการออกฤทธิ์, efficacy หรือข้อบ่งใช้ไม่ตรงกับโจทย์ที่กำหนด
• ข้อ ค. (HCl): ข้อนี้ไม่ใช่คำตอบที่ถูกต้องสำหรับภาวะ Dissolution testing เนื่องจากกลไกการออกฤทธิ์, efficacy หรือข้อบ่งใช้ไม่ตรงกับโจทย์ที่กำหนด
• ข้อ ง. (NaCl): ข้อนี้ไม่ใช่คำตอบที่ถูกต้องสำหรับภาวะ Dissolution testing เนื่องจากกลไกการออกฤทธิ์, efficacy หรือข้อบ่งใช้ไม่ตรงกับโจทย์ที่กำหนด
• ข้อ จ. (สารชื่อยาวหน่อย bu สักอย่าง มั้ง):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18" t="inlineStr"/>
      <c r="L4" s="18" t="inlineStr">
        <is>
          <t>Dissolution testing</t>
        </is>
      </c>
      <c r="M4" s="18" t="inlineStr">
        <is>
          <t>Biopharmaceutics &amp; Dissolution</t>
        </is>
      </c>
      <c r="N4" s="18" t="inlineStr">
        <is>
          <t>PLE_CC1_2564_All_Key ข้อ 20</t>
        </is>
      </c>
      <c r="O4" s="18" t="inlineStr">
        <is>
          <t>ข้อสอบจริง</t>
        </is>
      </c>
      <c r="P4" s="18" t="inlineStr">
        <is>
          <t>ปี 2564</t>
        </is>
      </c>
    </row>
    <row r="5">
      <c r="A5" s="15" t="inlineStr">
        <is>
          <t>4</t>
        </is>
      </c>
      <c r="B5" s="18"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18" t="inlineStr"/>
      <c r="D5" s="18" t="inlineStr">
        <is>
          <t>Biopharmaceutics &amp; Dissolution</t>
        </is>
      </c>
      <c r="E5" s="18"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18" t="inlineStr">
        <is>
          <t>BCS Class II (Low Solubility, High Permeability)</t>
        </is>
      </c>
      <c r="G5" s="18" t="inlineStr">
        <is>
          <t>BCS Class III (High Solubility, Low Permeability)</t>
        </is>
      </c>
      <c r="H5" s="18" t="inlineStr">
        <is>
          <t>BCS Class IV (Low Solubility, Low Permeability)</t>
        </is>
      </c>
      <c r="I5" s="15" t="inlineStr">
        <is>
          <t>1</t>
        </is>
      </c>
      <c r="J5" s="18"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18" t="inlineStr"/>
      <c r="L5" s="18" t="inlineStr">
        <is>
          <t>Diffusion &amp; Fick's laws</t>
        </is>
      </c>
      <c r="M5" s="18" t="inlineStr">
        <is>
          <t>Biopharmaceutics &amp; Dissolution</t>
        </is>
      </c>
      <c r="N5" s="18" t="inlineStr">
        <is>
          <t>PLE_CC1_2564_All_Key ข้อ 36</t>
        </is>
      </c>
      <c r="O5" s="18" t="inlineStr">
        <is>
          <t>ข้อสอบจริง</t>
        </is>
      </c>
      <c r="P5" s="18" t="inlineStr">
        <is>
          <t>ปี 2564</t>
        </is>
      </c>
    </row>
    <row r="6">
      <c r="A6" s="18" t="n">
        <v>4</v>
      </c>
      <c r="B6" s="18" t="inlineStr">
        <is>
          <t>ยา simvastatin มีค่าการละลายต่ำต้องเติมส่วนประกอบใดในตำรับ X ↳monss Monitorsionin finis e eein</t>
        </is>
      </c>
      <c r="C6" s="18" t="n"/>
      <c r="D6" s="18" t="inlineStr">
        <is>
          <t>Croscamellose sodium</t>
        </is>
      </c>
      <c r="E6" s="18" t="inlineStr">
        <is>
          <t>Colloidal silicon dioxide</t>
        </is>
      </c>
      <c r="F6" s="18" t="inlineStr">
        <is>
          <t>Sodium luaryl sulfate</t>
        </is>
      </c>
      <c r="G6" s="18" t="inlineStr">
        <is>
          <t>Microcrystalline cellulose</t>
        </is>
      </c>
      <c r="H6" s="18"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18" t="n">
        <v>1</v>
      </c>
      <c r="J6" s="18"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ข้อนี้ไม่ใช่คำตอบที่ถูกต้องสำหรับภาวะ Dissolution testing เนื่องจากกลไกการออกฤทธิ์, efficacy หรือข้อบ่งใช้ไม่ตรงกับโจทย์ที่กำหนด
• ข้อ ค. (Sodium luaryl sulfate): ข้อนี้ไม่ใช่คำตอบที่ถูกต้องสำหรับภาวะ Dissolution testing เนื่องจากกลไกการออกฤทธิ์, efficacy หรือข้อบ่งใช้ไม่ตรงกับโจทย์ที่กำหนด
• ข้อ ง. (Microcrystalline cellulose): ข้อนี้ไม่ใช่คำตอบที่ถูกต้องสำหรับภาวะ Dissolution testing เนื่องจากกลไกการออกฤทธิ์, efficacy หรือข้อบ่งใช้ไม่ตรงกับโจทย์ที่กำหนด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8" t="n"/>
      <c r="L6" s="18" t="inlineStr">
        <is>
          <t>Dissolution testing</t>
        </is>
      </c>
      <c r="M6" s="18" t="inlineStr">
        <is>
          <t>Product</t>
        </is>
      </c>
      <c r="N6" s="18" t="inlineStr">
        <is>
          <t>ข้อ 77 (PLE_CC1_2562_Key.md)</t>
        </is>
      </c>
      <c r="O6" s="18" t="inlineStr">
        <is>
          <t>ข้อสอบจริง</t>
        </is>
      </c>
      <c r="P6" s="18" t="inlineStr">
        <is>
          <t>ปี 2562</t>
        </is>
      </c>
    </row>
    <row r="7">
      <c r="A7" s="18" t="n">
        <v>5</v>
      </c>
      <c r="B7" s="18"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18" t="n"/>
      <c r="D7" s="18" t="inlineStr">
        <is>
          <t>800 mg/d</t>
        </is>
      </c>
      <c r="E7" s="18" t="inlineStr">
        <is>
          <t>1000 mg/d</t>
        </is>
      </c>
      <c r="F7" s="18" t="inlineStr">
        <is>
          <t>1024 mg/d</t>
        </is>
      </c>
      <c r="G7" s="18" t="inlineStr">
        <is>
          <t>1280 mg/d</t>
        </is>
      </c>
      <c r="H7" s="18" t="inlineStr">
        <is>
          <t>1400 mg/d</t>
        </is>
      </c>
      <c r="I7" s="18" t="n">
        <v>1</v>
      </c>
      <c r="J7" s="18"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ข้อนี้ไม่ใช่คำตอบที่ถูกต้องสำหรับภาวะ Dissolution testing เนื่องจากกลไกการออกฤทธิ์, efficacy หรือข้อบ่งใช้ไม่ตรงกับโจทย์ที่กำหนด
• ข้อ ค. (1024 mg/d): ข้อนี้ไม่ใช่คำตอบที่ถูกต้องสำหรับภาวะ Dissolution testing เนื่องจากกลไกการออกฤทธิ์, efficacy หรือข้อบ่งใช้ไม่ตรงกับโจทย์ที่กำหนด
• ข้อ ง. (1280 mg/d): ข้อนี้ไม่ใช่คำตอบที่ถูกต้องสำหรับภาวะ Dissolution testing เนื่องจากกลไกการออกฤทธิ์, efficacy หรือข้อบ่งใช้ไม่ตรงกับโจทย์ที่กำหนด
• ข้อ จ. (1400 mg/d):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8" t="n"/>
      <c r="L7" s="18" t="inlineStr">
        <is>
          <t>Dissolution testing</t>
        </is>
      </c>
      <c r="M7" s="18" t="inlineStr">
        <is>
          <t>Product</t>
        </is>
      </c>
      <c r="N7" s="18" t="inlineStr">
        <is>
          <t>ข้อ 102 (PLE_CC1_2562_Key.md)</t>
        </is>
      </c>
      <c r="O7" s="18" t="inlineStr">
        <is>
          <t>ข้อสอบจริง</t>
        </is>
      </c>
      <c r="P7" s="18" t="inlineStr">
        <is>
          <t>ปี 2562</t>
        </is>
      </c>
    </row>
    <row r="8">
      <c r="A8" s="18" t="n">
        <v>6</v>
      </c>
      <c r="B8" s="18"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18" t="n"/>
      <c r="D8" s="18" t="n">
        <v>7.5</v>
      </c>
      <c r="E8" s="18" t="n">
        <v>75</v>
      </c>
      <c r="F8" s="18" t="n">
        <v>60</v>
      </c>
      <c r="G8" s="18" t="n">
        <v>52.5</v>
      </c>
      <c r="H8" s="18" t="n">
        <v>20</v>
      </c>
      <c r="I8" s="18" t="n">
        <v>1</v>
      </c>
      <c r="J8" s="18"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ข้อนี้ไม่ใช่คำตอบที่ถูกต้องสำหรับภาวะ Dissolution testing เนื่องจากกลไกการออกฤทธิ์, efficacy หรือข้อบ่งใช้ไม่ตรงกับโจทย์ที่กำหนด
• ข้อ ค. (60): ข้อนี้ไม่ใช่คำตอบที่ถูกต้องสำหรับภาวะ Dissolution testing เนื่องจากกลไกการออกฤทธิ์, efficacy หรือข้อบ่งใช้ไม่ตรงกับโจทย์ที่กำหนด
• ข้อ ง. (52.5): ข้อนี้ไม่ใช่คำตอบที่ถูกต้องสำหรับภาวะ Dissolution testing เนื่องจากกลไกการออกฤทธิ์, efficacy หรือข้อบ่งใช้ไม่ตรงกับโจทย์ที่กำหนด
• ข้อ จ. (20):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8" t="n"/>
      <c r="L8" s="18" t="inlineStr">
        <is>
          <t>Dissolution testing</t>
        </is>
      </c>
      <c r="M8" s="18" t="inlineStr">
        <is>
          <t>Product</t>
        </is>
      </c>
      <c r="N8" s="18" t="inlineStr">
        <is>
          <t>ข้อ 99 (PLE_CC1_2562_Key.md)</t>
        </is>
      </c>
      <c r="O8" s="18" t="inlineStr">
        <is>
          <t>ข้อสอบจริง</t>
        </is>
      </c>
      <c r="P8" s="18" t="inlineStr">
        <is>
          <t>ปี 2562</t>
        </is>
      </c>
    </row>
    <row r="9">
      <c r="A9" s="18" t="n">
        <v>7</v>
      </c>
      <c r="B9" s="18" t="inlineStr">
        <is>
          <t>จาก monograph ของยา carvedilol ขอใดคือเครื่องมือที่ใชในการ ทดสอบหัวขอการละลาย</t>
        </is>
      </c>
      <c r="C9" s="18" t="n"/>
      <c r="D9" s="18" t="inlineStr">
        <is>
          <t>Reciprocating cylinder</t>
        </is>
      </c>
      <c r="E9" s="18" t="inlineStr">
        <is>
          <t>Paddle apparatus</t>
        </is>
      </c>
      <c r="F9" s="18" t="inlineStr">
        <is>
          <t>Basket apparatus</t>
        </is>
      </c>
      <c r="G9" s="18" t="inlineStr">
        <is>
          <t>Flow-through cell</t>
        </is>
      </c>
      <c r="H9" s="18" t="inlineStr">
        <is>
          <t>Cell cylinder apparatus</t>
        </is>
      </c>
      <c r="I9" s="18" t="n">
        <v>1</v>
      </c>
      <c r="J9" s="18"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ข้อนี้ไม่ใช่คำตอบที่ถูกต้องสำหรับภาวะ Dissolution testing เนื่องจากกลไกการออกฤทธิ์, efficacy หรือข้อบ่งใช้ไม่ตรงกับโจทย์ที่กำหนด
• ข้อ ค. (Basket apparatus): ข้อนี้ไม่ใช่คำตอบที่ถูกต้องสำหรับภาวะ Dissolution testing เนื่องจากกลไกการออกฤทธิ์, efficacy หรือข้อบ่งใช้ไม่ตรงกับโจทย์ที่กำหนด
• ข้อ ง. (Flow-through cell): ข้อนี้ไม่ใช่คำตอบที่ถูกต้องสำหรับภาวะ Dissolution testing เนื่องจากกลไกการออกฤทธิ์, efficacy หรือข้อบ่งใช้ไม่ตรงกับโจทย์ที่กำหนด
• ข้อ จ. (Cell cylinder apparatus):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8" t="n"/>
      <c r="L9" s="18" t="inlineStr">
        <is>
          <t>Dissolution testing</t>
        </is>
      </c>
      <c r="M9" s="18" t="inlineStr">
        <is>
          <t>Product</t>
        </is>
      </c>
      <c r="N9" s="18" t="inlineStr">
        <is>
          <t>ข้อ 9 (PLE_CC1_2561_Key.md)</t>
        </is>
      </c>
      <c r="O9" s="18" t="inlineStr">
        <is>
          <t>ข้อสอบจริง</t>
        </is>
      </c>
      <c r="P9" s="18" t="inlineStr">
        <is>
          <t>ปี 2561</t>
        </is>
      </c>
    </row>
    <row r="10">
      <c r="A10" s="18" t="n">
        <v>8</v>
      </c>
      <c r="B10" s="18" t="inlineStr">
        <is>
          <t>จากขอ 9 dissolution medium ควรจะมีอุณหภูมิเท!าใด</t>
        </is>
      </c>
      <c r="C10" s="18" t="n"/>
      <c r="D10" s="18" t="inlineStr">
        <is>
          <t>20oC ± 0.5</t>
        </is>
      </c>
      <c r="E10" s="18" t="inlineStr">
        <is>
          <t>20oC ± 2.0</t>
        </is>
      </c>
      <c r="F10" s="18" t="inlineStr">
        <is>
          <t>25oC ± 0.5</t>
        </is>
      </c>
      <c r="G10" s="18" t="inlineStr">
        <is>
          <t>25oC ± 2.0</t>
        </is>
      </c>
      <c r="H10" s="18" t="inlineStr">
        <is>
          <t>37oC ± 0.5 e</t>
        </is>
      </c>
      <c r="I10" s="18" t="n">
        <v>1</v>
      </c>
      <c r="J10" s="18"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ข้อนี้ไม่ใช่คำตอบที่ถูกต้องสำหรับภาวะ Dissolution testing เนื่องจากกลไกการออกฤทธิ์, efficacy หรือข้อบ่งใช้ไม่ตรงกับโจทย์ที่กำหนด
• ข้อ ค. (25oC ± 0.5): ข้อนี้ไม่ใช่คำตอบที่ถูกต้องสำหรับภาวะ Dissolution testing เนื่องจากกลไกการออกฤทธิ์, efficacy หรือข้อบ่งใช้ไม่ตรงกับโจทย์ที่กำหนด
• ข้อ ง. (25oC ± 2.0): ข้อนี้ไม่ใช่คำตอบที่ถูกต้องสำหรับภาวะ Dissolution testing เนื่องจากกลไกการออกฤทธิ์, efficacy หรือข้อบ่งใช้ไม่ตรงกับโจทย์ที่กำหนด
• ข้อ จ. (37oC ± 0.5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8" t="n"/>
      <c r="L10" s="18" t="inlineStr">
        <is>
          <t>Dissolution testing</t>
        </is>
      </c>
      <c r="M10" s="18" t="inlineStr">
        <is>
          <t>Product</t>
        </is>
      </c>
      <c r="N10" s="18" t="inlineStr">
        <is>
          <t>ข้อ 10 (PLE_CC1_2561_Key.md)</t>
        </is>
      </c>
      <c r="O10" s="18" t="inlineStr">
        <is>
          <t>ข้อสอบจริง</t>
        </is>
      </c>
      <c r="P10" s="18" t="inlineStr">
        <is>
          <t>ปี 2561</t>
        </is>
      </c>
    </row>
    <row r="11">
      <c r="A11" s="18" t="n">
        <v>9</v>
      </c>
      <c r="B11" s="18" t="inlineStr">
        <is>
          <t>ให(ข้อมูลการละลายยา มาถามว.าควรทำตำหรับรูปแบบใด</t>
        </is>
      </c>
      <c r="C11" s="18" t="n"/>
      <c r="D11" s="18" t="inlineStr">
        <is>
          <t>Elixir</t>
        </is>
      </c>
      <c r="E11" s="18" t="inlineStr">
        <is>
          <t>Solution</t>
        </is>
      </c>
      <c r="F11" s="18" t="inlineStr">
        <is>
          <t>Tablets</t>
        </is>
      </c>
      <c r="G11" s="18" t="inlineStr">
        <is>
          <t>Capsule</t>
        </is>
      </c>
      <c r="H11" s="18" t="inlineStr">
        <is>
          <t>Suspension</t>
        </is>
      </c>
      <c r="I11" s="18" t="n">
        <v>1</v>
      </c>
      <c r="J11" s="18"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ข้อนี้ไม่ใช่คำตอบที่ถูกต้องสำหรับภาวะ Dissolution testing เนื่องจากกลไกการออกฤทธิ์, efficacy หรือข้อบ่งใช้ไม่ตรงกับโจทย์ที่กำหนด
• ข้อ ค. (Tablets): ข้อนี้ไม่ใช่คำตอบที่ถูกต้องสำหรับภาวะ Dissolution testing เนื่องจากกลไกการออกฤทธิ์, efficacy หรือข้อบ่งใช้ไม่ตรงกับโจทย์ที่กำหนด
• ข้อ ง. (Capsule): ข้อนี้ไม่ใช่คำตอบที่ถูกต้องสำหรับภาวะ Dissolution testing เนื่องจากกลไกการออกฤทธิ์, efficacy หรือข้อบ่งใช้ไม่ตรงกับโจทย์ที่กำหนด
• ข้อ จ. (Suspension):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8" t="n"/>
      <c r="L11" s="18" t="inlineStr">
        <is>
          <t>Dissolution testing</t>
        </is>
      </c>
      <c r="M11" s="18" t="inlineStr">
        <is>
          <t>Product</t>
        </is>
      </c>
      <c r="N11" s="18" t="inlineStr">
        <is>
          <t>ข้อ 63 (PLE_CC1_2561_Key.md)</t>
        </is>
      </c>
      <c r="O11" s="18" t="inlineStr">
        <is>
          <t>ข้อสอบจริง</t>
        </is>
      </c>
      <c r="P11" s="18" t="inlineStr">
        <is>
          <t>ปี 2561</t>
        </is>
      </c>
    </row>
    <row r="12">
      <c r="A12" s="18" t="n">
        <v>10</v>
      </c>
      <c r="B12" s="18" t="inlineStr">
        <is>
          <t>หากต(องการเปÅดหนังสือเพื่อค(นคว(า เรื่อง bioequivalence</t>
        </is>
      </c>
      <c r="C12" s="18" t="n"/>
      <c r="D12" s="18" t="inlineStr">
        <is>
          <t>Pharmacotherapy</t>
        </is>
      </c>
      <c r="E12" s="18" t="inlineStr">
        <is>
          <t>Drug interaction fact</t>
        </is>
      </c>
      <c r="F12" s="18" t="inlineStr">
        <is>
          <t>Drug fact and comparison</t>
        </is>
      </c>
      <c r="G12" s="18" t="inlineStr">
        <is>
          <t>Drug information handbook</t>
        </is>
      </c>
      <c r="H12" s="18" t="inlineStr">
        <is>
          <t>United states pharmacopeia</t>
        </is>
      </c>
      <c r="I12" s="18" t="n">
        <v>1</v>
      </c>
      <c r="J12" s="18"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ข้อนี้ไม่ใช่คำตอบที่ถูกต้องสำหรับภาวะ Dissolution testing เนื่องจากกลไกการออกฤทธิ์, efficacy หรือข้อบ่งใช้ไม่ตรงกับโจทย์ที่กำหนด
• ข้อ ค. (Drug fact and comparison): ข้อนี้ไม่ใช่คำตอบที่ถูกต้องสำหรับภาวะ Dissolution testing เนื่องจากกลไกการออกฤทธิ์, efficacy หรือข้อบ่งใช้ไม่ตรงกับโจทย์ที่กำหนด
• ข้อ ง. (Drug information handbook): ข้อนี้ไม่ใช่คำตอบที่ถูกต้องสำหรับภาวะ Dissolution testing เนื่องจากกลไกการออกฤทธิ์, efficacy หรือข้อบ่งใช้ไม่ตรงกับโจทย์ที่กำหนด
• ข้อ จ. (United states pharmacopeia):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8" t="n"/>
      <c r="L12" s="18" t="inlineStr">
        <is>
          <t>Dissolution testing</t>
        </is>
      </c>
      <c r="M12" s="18" t="inlineStr">
        <is>
          <t>Product</t>
        </is>
      </c>
      <c r="N12" s="18" t="inlineStr">
        <is>
          <t>ข้อ 68 (PLE_CC1_2561_Key.md)</t>
        </is>
      </c>
      <c r="O12" s="18" t="inlineStr">
        <is>
          <t>ข้อสอบจริง</t>
        </is>
      </c>
      <c r="P12" s="18" t="inlineStr">
        <is>
          <t>ปี 2561</t>
        </is>
      </c>
    </row>
    <row r="13">
      <c r="A13" s="18" t="n">
        <v>11</v>
      </c>
      <c r="B13" s="18"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18" t="n"/>
      <c r="D13" s="18" t="inlineStr">
        <is>
          <t>Apparatus ใช้ Basket</t>
        </is>
      </c>
      <c r="E13" s="18" t="inlineStr">
        <is>
          <t>ใช้ Phosphate buffe pH 5.8 ± 2.0</t>
        </is>
      </c>
      <c r="F13" s="18" t="inlineStr">
        <is>
          <t>ละลายให้เสร็จภายใน 60 นาที</t>
        </is>
      </c>
      <c r="G13" s="18" t="inlineStr">
        <is>
          <t>ใช้ Liquid chromatography ในการวิเคราะห์</t>
        </is>
      </c>
      <c r="H13" s="18"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18" t="n">
        <v>1</v>
      </c>
      <c r="J13" s="18"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 ว่าผ่าน รวมโดย Phongsathorn Phlaisaithong Rx 9 UP 9 | P a g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8" t="n"/>
      <c r="L13" s="18" t="inlineStr">
        <is>
          <t>Dissolution testing</t>
        </is>
      </c>
      <c r="M13" s="18" t="inlineStr">
        <is>
          <t>Product</t>
        </is>
      </c>
      <c r="N13" s="18" t="inlineStr">
        <is>
          <t>ข้อ 8 (PLE_CC1_2560 22 April Set 1.md)</t>
        </is>
      </c>
      <c r="O13" s="18" t="inlineStr">
        <is>
          <t>ข้อสอบจริง</t>
        </is>
      </c>
      <c r="P13" s="18" t="inlineStr">
        <is>
          <t>ปี 2560</t>
        </is>
      </c>
    </row>
    <row r="14">
      <c r="A14" s="18" t="n">
        <v>12</v>
      </c>
      <c r="B14" s="18"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18" t="n"/>
      <c r="D14" s="18" t="inlineStr">
        <is>
          <t>Apparatus ใช้ Basket</t>
        </is>
      </c>
      <c r="E14" s="18" t="inlineStr">
        <is>
          <t>ใช้ Phosphate buffer pH 5.8 ± 2.0</t>
        </is>
      </c>
      <c r="F14" s="18" t="inlineStr">
        <is>
          <t>ละลายให้เสร็จภายใน 60 นาที</t>
        </is>
      </c>
      <c r="G14" s="18" t="inlineStr">
        <is>
          <t>ใช้ Liquid chromatography ในการวิเคราะห์</t>
        </is>
      </c>
      <c r="H14" s="18" t="inlineStr">
        <is>
          <t>ผลวิเคราะห์ได้ว่ายา 6 เม็ด แตกตัวภายใน 15 นาที โดยมีตัวยามากกว่า 425 mg ทุกเม็ด แสดงว่าผ่าน</t>
        </is>
      </c>
      <c r="I14" s="18" t="n">
        <v>1</v>
      </c>
      <c r="J14" s="18"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แสดงว่าผ่าน):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8" t="n"/>
      <c r="L14" s="18" t="inlineStr">
        <is>
          <t>Dissolution testing</t>
        </is>
      </c>
      <c r="M14" s="18" t="inlineStr">
        <is>
          <t>Product</t>
        </is>
      </c>
      <c r="N14" s="18" t="inlineStr">
        <is>
          <t>ข้อ 8 (PLE_CC1_2560 22 April Set 2.md)</t>
        </is>
      </c>
      <c r="O14" s="18" t="inlineStr">
        <is>
          <t>ข้อสอบจริง</t>
        </is>
      </c>
      <c r="P14" s="18" t="inlineStr">
        <is>
          <t>ปี 2560</t>
        </is>
      </c>
    </row>
    <row r="15">
      <c r="A15" s="18" t="n">
        <v>13</v>
      </c>
      <c r="B15" s="18" t="inlineStr">
        <is>
          <t>เทคนิคใดเป็นการเปลี่ยนแปลงคุณสมบัติทางกายภาพของยา เพื่อเพิ่มคุณสมบัติการละลายน้ำ</t>
        </is>
      </c>
      <c r="C15" s="18" t="n"/>
      <c r="D15" s="18" t="inlineStr">
        <is>
          <t>การลดขนาดอนุภาค (Particle size reduction)</t>
        </is>
      </c>
      <c r="E15" s="18" t="inlineStr">
        <is>
          <t>การปรับเปลี่ยนรูปผลึกยา (Modification of the crystal)</t>
        </is>
      </c>
      <c r="F15" s="18" t="inlineStr">
        <is>
          <t>การกระจายยาในตัวพา (Drug dispersion in carriers)</t>
        </is>
      </c>
      <c r="G15" s="18" t="inlineStr">
        <is>
          <t>การทำสารประกอบเชิงซ้อน (Complexation)</t>
        </is>
      </c>
      <c r="H15" s="18" t="inlineStr">
        <is>
          <t>ถูกทุกข้อ</t>
        </is>
      </c>
      <c r="I15" s="18" t="n">
        <v>1</v>
      </c>
      <c r="J15" s="18"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ข้อนี้ไม่ใช่คำตอบที่ถูกต้องสำหรับภาวะ Dissolution testing เนื่องจากกลไกการออกฤทธิ์, efficacy หรือข้อบ่งใช้ไม่ตรงกับโจทย์ที่กำหนด
• ข้อ ค. (การกระจายยาในตัวพา (Drug dispersion in carriers)): ข้อนี้ไม่ใช่คำตอบที่ถูกต้องสำหรับภาวะ Dissolution testing เนื่องจากกลไกการออกฤทธิ์, efficacy หรือข้อบ่งใช้ไม่ตรงกับโจทย์ที่กำหนด
• ข้อ ง. (การทำสารประกอบเชิงซ้อน (Complexation)): ข้อนี้ไม่ใช่คำตอบที่ถูกต้องสำหรับภาวะ Dissolution testing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8" t="n"/>
      <c r="L15" s="18" t="inlineStr">
        <is>
          <t>Dissolution testing</t>
        </is>
      </c>
      <c r="M15" s="18" t="inlineStr">
        <is>
          <t>Product</t>
        </is>
      </c>
      <c r="N15" s="18" t="inlineStr">
        <is>
          <t>ข้อ 95 (Pharmtutor_2024_Set2.md)</t>
        </is>
      </c>
      <c r="O15" s="18" t="inlineStr">
        <is>
          <t>Mock</t>
        </is>
      </c>
      <c r="P15" s="18" t="inlineStr">
        <is>
          <t>Mock Pharmtutor 2024</t>
        </is>
      </c>
    </row>
    <row r="16">
      <c r="A16" s="18" t="n">
        <v>14</v>
      </c>
      <c r="B16" s="18"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18" t="n"/>
      <c r="D16" s="18" t="inlineStr">
        <is>
          <t>BCS Class III (High Solubility, Low Permeability)</t>
        </is>
      </c>
      <c r="E16" s="18" t="inlineStr">
        <is>
          <t>BCS Class IV (Low Solubility, Low Permeability)</t>
        </is>
      </c>
      <c r="F16" s="18" t="inlineStr">
        <is>
          <t>In Vitro Dissolution Apparatus 1 (Basket, 100 rpm)</t>
        </is>
      </c>
      <c r="G16" s="18" t="inlineStr">
        <is>
          <t>In Vitro Dissolution Apparatus 2 (Paddle, 50 rpm)</t>
        </is>
      </c>
      <c r="H16" s="18" t="inlineStr">
        <is>
          <t>Higuchi Matrix Release Kinetic model</t>
        </is>
      </c>
      <c r="I16" s="18" t="n">
        <v>1</v>
      </c>
      <c r="J16" s="18"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8" t="n"/>
      <c r="L16" s="18" t="inlineStr">
        <is>
          <t>Dissolution testing</t>
        </is>
      </c>
      <c r="M16" s="18" t="inlineStr">
        <is>
          <t>Product</t>
        </is>
      </c>
      <c r="N16" s="18" t="inlineStr">
        <is>
          <t>ข้อ 51 (PLE_CC1_2557.md)</t>
        </is>
      </c>
      <c r="O16" s="18" t="inlineStr">
        <is>
          <t>ข้อสอบจริง</t>
        </is>
      </c>
      <c r="P16" s="18" t="inlineStr">
        <is>
          <t>ปี 2557</t>
        </is>
      </c>
    </row>
    <row r="17">
      <c r="A17" s="18" t="n">
        <v>15</v>
      </c>
      <c r="B17" s="18"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18" t="n"/>
      <c r="D17" s="18" t="inlineStr">
        <is>
          <t>In Vitro Dissolution Apparatus 2 (Paddle, 50 rpm)</t>
        </is>
      </c>
      <c r="E17" s="18" t="inlineStr">
        <is>
          <t>Higuchi Matrix Release Kinetic model</t>
        </is>
      </c>
      <c r="F17" s="18" t="inlineStr">
        <is>
          <t>First-Order Drug Release Kinetics</t>
        </is>
      </c>
      <c r="G17" s="18" t="inlineStr">
        <is>
          <t>Zero-Order Sustained Release Kinetics</t>
        </is>
      </c>
      <c r="H17" s="18" t="inlineStr">
        <is>
          <t>Fickian Diffusion Concentration Gradient</t>
        </is>
      </c>
      <c r="I17" s="18" t="n">
        <v>1</v>
      </c>
      <c r="J17" s="18"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8" t="n"/>
      <c r="L17" s="18" t="inlineStr">
        <is>
          <t>Dissolution testing</t>
        </is>
      </c>
      <c r="M17" s="18" t="inlineStr">
        <is>
          <t>Product</t>
        </is>
      </c>
      <c r="N17" s="18" t="inlineStr">
        <is>
          <t>ข้อ 91 (PLE_CC1_2557.md)</t>
        </is>
      </c>
      <c r="O17" s="18" t="inlineStr">
        <is>
          <t>ข้อสอบจริง</t>
        </is>
      </c>
      <c r="P17" s="18" t="inlineStr">
        <is>
          <t>ปี 2557</t>
        </is>
      </c>
    </row>
    <row r="18">
      <c r="A18" s="18" t="n">
        <v>16</v>
      </c>
      <c r="B18" s="18" t="inlineStr">
        <is>
          <t>มีการละลายน ้าสูง มี permeability สูง</t>
        </is>
      </c>
      <c r="C18" s="18" t="n"/>
      <c r="D18" s="18" t="inlineStr">
        <is>
          <t>Zero-Order Sustained Release Kinetics</t>
        </is>
      </c>
      <c r="E18" s="18" t="inlineStr">
        <is>
          <t>Fickian Diffusion Concentration Gradient</t>
        </is>
      </c>
      <c r="F18" s="18" t="inlineStr">
        <is>
          <t>BCS Class I (High Solubility, High Permeability)</t>
        </is>
      </c>
      <c r="G18" s="18" t="inlineStr">
        <is>
          <t>BCS Class II (Low Solubility, High Permeability)</t>
        </is>
      </c>
      <c r="H18" s="18" t="inlineStr">
        <is>
          <t>BCS Class III (High Solubility, Low Permeability)</t>
        </is>
      </c>
      <c r="I18" s="18" t="n">
        <v>1</v>
      </c>
      <c r="J18" s="18"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8" t="n"/>
      <c r="L18" s="18" t="inlineStr">
        <is>
          <t>BCS Classification</t>
        </is>
      </c>
      <c r="M18" s="18" t="inlineStr">
        <is>
          <t>Product</t>
        </is>
      </c>
      <c r="N18" s="18" t="inlineStr">
        <is>
          <t>ข้อ 1 (PLE_CC1_2556.md)</t>
        </is>
      </c>
      <c r="O18" s="18" t="inlineStr">
        <is>
          <t>ข้อสอบจริง</t>
        </is>
      </c>
      <c r="P18" s="18" t="inlineStr">
        <is>
          <t>ปี 2556</t>
        </is>
      </c>
    </row>
    <row r="19">
      <c r="A19" s="18" t="n">
        <v>17</v>
      </c>
      <c r="B19" s="18" t="inlineStr">
        <is>
          <t>มีการละลายน ้าสูง มี permeability ต ่า</t>
        </is>
      </c>
      <c r="C19" s="18" t="n"/>
      <c r="D19" s="18" t="inlineStr">
        <is>
          <t>BCS Class II (Low Solubility, High Permeability)</t>
        </is>
      </c>
      <c r="E19" s="18" t="inlineStr">
        <is>
          <t>BCS Class III (High Solubility, Low Permeability)</t>
        </is>
      </c>
      <c r="F19" s="18" t="inlineStr">
        <is>
          <t>BCS Class IV (Low Solubility, Low Permeability)</t>
        </is>
      </c>
      <c r="G19" s="18" t="inlineStr">
        <is>
          <t>In Vitro Dissolution Apparatus 1 (Basket, 100 rpm)</t>
        </is>
      </c>
      <c r="H19" s="18" t="inlineStr">
        <is>
          <t>In Vitro Dissolution Apparatus 2 (Paddle, 50 rpm)</t>
        </is>
      </c>
      <c r="I19" s="18" t="n">
        <v>1</v>
      </c>
      <c r="J19" s="18"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BCS Classification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8" t="n"/>
      <c r="L19" s="18" t="inlineStr">
        <is>
          <t>BCS Classification</t>
        </is>
      </c>
      <c r="M19" s="18" t="inlineStr">
        <is>
          <t>Product</t>
        </is>
      </c>
      <c r="N19" s="18" t="inlineStr">
        <is>
          <t>ข้อ 2 (PLE_CC1_2556.md)</t>
        </is>
      </c>
      <c r="O19" s="18" t="inlineStr">
        <is>
          <t>ข้อสอบจริง</t>
        </is>
      </c>
      <c r="P19" s="18" t="inlineStr">
        <is>
          <t>ปี 2556</t>
        </is>
      </c>
    </row>
    <row r="20">
      <c r="A20" s="18" t="n">
        <v>18</v>
      </c>
      <c r="B20" s="18" t="inlineStr">
        <is>
          <t>มีการละลายน ้าต ่า มี permeability สูง</t>
        </is>
      </c>
      <c r="C20" s="18" t="n"/>
      <c r="D20" s="18" t="inlineStr">
        <is>
          <t>In Vitro Dissolution Apparatus 1 (Basket, 100 rpm)</t>
        </is>
      </c>
      <c r="E20" s="18" t="inlineStr">
        <is>
          <t>In Vitro Dissolution Apparatus 2 (Paddle, 50 rpm)</t>
        </is>
      </c>
      <c r="F20" s="18" t="inlineStr">
        <is>
          <t>Higuchi Matrix Release Kinetic model</t>
        </is>
      </c>
      <c r="G20" s="18" t="inlineStr">
        <is>
          <t>First-Order Drug Release Kinetics</t>
        </is>
      </c>
      <c r="H20" s="18" t="inlineStr">
        <is>
          <t>Zero-Order Sustained Release Kinetics</t>
        </is>
      </c>
      <c r="I20" s="18" t="n">
        <v>1</v>
      </c>
      <c r="J20" s="18"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BCS Classification เนื่องจากกลไกการออกฤทธิ์, efficacy หรือข้อบ่งใช้ไม่ตรงกับโจทย์ที่กำหนด
• ข้อ ง.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8" t="n"/>
      <c r="L20" s="18" t="inlineStr">
        <is>
          <t>BCS Classification</t>
        </is>
      </c>
      <c r="M20" s="18" t="inlineStr">
        <is>
          <t>Product</t>
        </is>
      </c>
      <c r="N20" s="18" t="inlineStr">
        <is>
          <t>ข้อ 3 (PLE_CC1_2556.md)</t>
        </is>
      </c>
      <c r="O20" s="18" t="inlineStr">
        <is>
          <t>ข้อสอบจริง</t>
        </is>
      </c>
      <c r="P20" s="18" t="inlineStr">
        <is>
          <t>ปี 2556</t>
        </is>
      </c>
    </row>
    <row r="21">
      <c r="A21" s="18" t="n">
        <v>19</v>
      </c>
      <c r="B21" s="18" t="inlineStr">
        <is>
          <t>มีการละลายน ้าต ่า มี permeability ต ่า</t>
        </is>
      </c>
      <c r="C21" s="18" t="n"/>
      <c r="D21" s="18" t="inlineStr">
        <is>
          <t>First-Order Drug Release Kinetics</t>
        </is>
      </c>
      <c r="E21" s="18" t="inlineStr">
        <is>
          <t>Zero-Order Sustained Release Kinetics</t>
        </is>
      </c>
      <c r="F21" s="18" t="inlineStr">
        <is>
          <t>Fickian Diffusion Concentration Gradient</t>
        </is>
      </c>
      <c r="G21" s="18" t="inlineStr">
        <is>
          <t>BCS Class I (High Solubility, High Permeability)</t>
        </is>
      </c>
      <c r="H21" s="18" t="inlineStr">
        <is>
          <t>BCS Class II (Low Solubility, High Permeability)</t>
        </is>
      </c>
      <c r="I21" s="18" t="n">
        <v>1</v>
      </c>
      <c r="J21" s="18"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8" t="n"/>
      <c r="L21" s="18" t="inlineStr">
        <is>
          <t>BCS Classification</t>
        </is>
      </c>
      <c r="M21" s="18" t="inlineStr">
        <is>
          <t>Product</t>
        </is>
      </c>
      <c r="N21" s="18" t="inlineStr">
        <is>
          <t>ข้อ 4 (PLE_CC1_2556.md)</t>
        </is>
      </c>
      <c r="O21" s="18" t="inlineStr">
        <is>
          <t>ข้อสอบจริง</t>
        </is>
      </c>
      <c r="P21" s="18" t="inlineStr">
        <is>
          <t>ปี 2556</t>
        </is>
      </c>
    </row>
    <row r="22">
      <c r="A22" s="18" t="n">
        <v>20</v>
      </c>
      <c r="B22" s="18" t="inlineStr">
        <is>
          <t>ยา A ละลายดีกว่ายา B เพราะสูตรที่มี Mg stearate มากกว่า ช่วยให้การละลายดีขึ้น</t>
        </is>
      </c>
      <c r="C22" s="18" t="n"/>
      <c r="D22" s="18" t="inlineStr">
        <is>
          <t>BCS Class I (High Solubility, High Permeability)</t>
        </is>
      </c>
      <c r="E22" s="18" t="inlineStr">
        <is>
          <t>BCS Class II (Low Solubility, High Permeability)</t>
        </is>
      </c>
      <c r="F22" s="18" t="inlineStr">
        <is>
          <t>BCS Class III (High Solubility, Low Permeability)</t>
        </is>
      </c>
      <c r="G22" s="18" t="inlineStr">
        <is>
          <t>BCS Class IV (Low Solubility, Low Permeability)</t>
        </is>
      </c>
      <c r="H22" s="18" t="inlineStr">
        <is>
          <t>In Vitro Dissolution Apparatus 1 (Basket, 100 rpm)</t>
        </is>
      </c>
      <c r="I22" s="18" t="n">
        <v>1</v>
      </c>
      <c r="J22" s="18"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8" t="n"/>
      <c r="L22" s="18" t="inlineStr">
        <is>
          <t>Dissolution testing</t>
        </is>
      </c>
      <c r="M22" s="18" t="inlineStr">
        <is>
          <t>Product</t>
        </is>
      </c>
      <c r="N22" s="18" t="inlineStr">
        <is>
          <t>ข้อ 3 (PLE_CC1_2555 Day 2.md)</t>
        </is>
      </c>
      <c r="O22" s="18" t="inlineStr">
        <is>
          <t>ข้อสอบจริง</t>
        </is>
      </c>
      <c r="P22" s="18" t="inlineStr">
        <is>
          <t>ปี 2555</t>
        </is>
      </c>
    </row>
    <row r="23">
      <c r="A23" s="18" t="n">
        <v>21</v>
      </c>
      <c r="B23" s="18"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18" t="n"/>
      <c r="D23" s="18" t="inlineStr">
        <is>
          <t>ผู้ป่วยเป็นโรคอะไร</t>
        </is>
      </c>
      <c r="E23" s="18" t="inlineStr">
        <is>
          <t>In Vitro Dissolution Apparatus 1 (Basket, 100 rpm)</t>
        </is>
      </c>
      <c r="F23" s="18" t="inlineStr">
        <is>
          <t>In Vitro Dissolution Apparatus 2 (Paddle, 50 rpm)</t>
        </is>
      </c>
      <c r="G23" s="18" t="inlineStr">
        <is>
          <t>Higuchi Matrix Release Kinetic model</t>
        </is>
      </c>
      <c r="H23" s="18" t="inlineStr">
        <is>
          <t>First-Order Drug Release Kinetics</t>
        </is>
      </c>
      <c r="I23" s="18" t="n">
        <v>1</v>
      </c>
      <c r="J23" s="18"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8" t="n"/>
      <c r="L23" s="18" t="inlineStr">
        <is>
          <t>Dissolution testing</t>
        </is>
      </c>
      <c r="M23" s="18" t="inlineStr">
        <is>
          <t>Product</t>
        </is>
      </c>
      <c r="N23" s="18" t="inlineStr">
        <is>
          <t>ข้อ 5 (PLE_CC1_2555 Day 2.md)</t>
        </is>
      </c>
      <c r="O23" s="18" t="inlineStr">
        <is>
          <t>ข้อสอบจริง</t>
        </is>
      </c>
      <c r="P23" s="18" t="inlineStr">
        <is>
          <t>ปี 2555</t>
        </is>
      </c>
    </row>
    <row r="24">
      <c r="A24" s="18" t="n">
        <v>22</v>
      </c>
      <c r="B24" s="18" t="inlineStr">
        <is>
          <t>เพิ่มการละลายน ้า</t>
        </is>
      </c>
      <c r="C24" s="18" t="n"/>
      <c r="D24" s="18" t="inlineStr">
        <is>
          <t>Higuchi Matrix Release Kinetic model</t>
        </is>
      </c>
      <c r="E24" s="18" t="inlineStr">
        <is>
          <t>First-Order Drug Release Kinetics</t>
        </is>
      </c>
      <c r="F24" s="18" t="inlineStr">
        <is>
          <t>Zero-Order Sustained Release Kinetics</t>
        </is>
      </c>
      <c r="G24" s="18" t="inlineStr">
        <is>
          <t>Fickian Diffusion Concentration Gradient</t>
        </is>
      </c>
      <c r="H24" s="18" t="inlineStr">
        <is>
          <t>BCS Class I (High Solubility, High Permeability)</t>
        </is>
      </c>
      <c r="I24" s="18" t="n">
        <v>1</v>
      </c>
      <c r="J24" s="18"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8" t="n"/>
      <c r="L24" s="18" t="inlineStr">
        <is>
          <t>Dissolution testing</t>
        </is>
      </c>
      <c r="M24" s="18" t="inlineStr">
        <is>
          <t>Product</t>
        </is>
      </c>
      <c r="N24" s="18" t="inlineStr">
        <is>
          <t>ข้อ 3 (PLE_CC1_2555 Day 2.md)</t>
        </is>
      </c>
      <c r="O24" s="18" t="inlineStr">
        <is>
          <t>ข้อสอบจริง</t>
        </is>
      </c>
      <c r="P24" s="18" t="inlineStr">
        <is>
          <t>ปี 2555</t>
        </is>
      </c>
    </row>
    <row r="25">
      <c r="A25" s="18" t="n">
        <v>23</v>
      </c>
      <c r="B25" s="18"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18" t="n"/>
      <c r="D25" s="18" t="inlineStr">
        <is>
          <t>ผ่าน S1</t>
        </is>
      </c>
      <c r="E25" s="18" t="inlineStr">
        <is>
          <t>ผ่าน S2</t>
        </is>
      </c>
      <c r="F25" s="18" t="inlineStr">
        <is>
          <t>ผ่าน S3</t>
        </is>
      </c>
      <c r="G25" s="18" t="inlineStr">
        <is>
          <t>ผ่าน S1 แต่ไม่ผ่าน S2</t>
        </is>
      </c>
      <c r="H25" s="18" t="inlineStr">
        <is>
          <t>ไม่ผ่าน S2 แต่ผ่าน S3 70.ยาในข้อใดต่อไปนี้ที่ไม่สามารถเบิกได้ด้วยสิทธิข้าราชการ</t>
        </is>
      </c>
      <c r="I25" s="18" t="n">
        <v>1</v>
      </c>
      <c r="J25" s="18"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ข้อนี้ไม่ใช่คำตอบที่ถูกต้องสำหรับภาวะ Dissolution testing เนื่องจากกลไกการออกฤทธิ์, efficacy หรือข้อบ่งใช้ไม่ตรงกับโจทย์ที่กำหนด
• ข้อ ค. (ผ่าน S3): ข้อนี้ไม่ใช่คำตอบที่ถูกต้องสำหรับภาวะ Dissolution testing เนื่องจากกลไกการออกฤทธิ์, efficacy หรือข้อบ่งใช้ไม่ตรงกับโจทย์ที่กำหนด
• ข้อ ง. (ผ่าน S1 แต่ไม่ผ่าน S2): ข้อนี้ไม่ใช่คำตอบที่ถูกต้องสำหรับภาวะ Dissolution testing เนื่องจากกลไกการออกฤทธิ์, efficacy หรือข้อบ่งใช้ไม่ตรงกับโจทย์ที่กำหนด
• ข้อ จ. (ไม่ผ่าน S2 แต่ผ่าน S3 70.ยาในข้อใดต่อไปนี้ที่ไม่สามารถเบิกได้ด้วยสิทธิข้าราชการ):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8" t="n"/>
      <c r="L25" s="18" t="inlineStr">
        <is>
          <t>Dissolution testing</t>
        </is>
      </c>
      <c r="M25" s="18" t="inlineStr">
        <is>
          <t>Product</t>
        </is>
      </c>
      <c r="N25" s="18" t="inlineStr">
        <is>
          <t>ข้อ 69 (PLE_CC1_2554 SET1.md)</t>
        </is>
      </c>
      <c r="O25" s="18" t="inlineStr">
        <is>
          <t>ข้อสอบจริง</t>
        </is>
      </c>
      <c r="P25" s="18" t="inlineStr">
        <is>
          <t>ปี 2554</t>
        </is>
      </c>
    </row>
    <row r="26">
      <c r="A26" s="18" t="n">
        <v>24</v>
      </c>
      <c r="B26" s="18"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18" t="n"/>
      <c r="D26" s="18" t="inlineStr">
        <is>
          <t>BCS Class III (High Solubility, Low Permeability)</t>
        </is>
      </c>
      <c r="E26" s="18" t="inlineStr">
        <is>
          <t>BCS Class IV (Low Solubility, Low Permeability)</t>
        </is>
      </c>
      <c r="F26" s="18" t="inlineStr">
        <is>
          <t>In Vitro Dissolution Apparatus 1 (Basket, 100 rpm)</t>
        </is>
      </c>
      <c r="G26" s="18" t="inlineStr">
        <is>
          <t>In Vitro Dissolution Apparatus 2 (Paddle, 50 rpm)</t>
        </is>
      </c>
      <c r="H26" s="18" t="inlineStr">
        <is>
          <t>Higuchi Matrix Release Kinetic model</t>
        </is>
      </c>
      <c r="I26" s="18" t="n">
        <v>1</v>
      </c>
      <c r="J26" s="18"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8" t="n"/>
      <c r="L26" s="18" t="inlineStr">
        <is>
          <t>Dissolution testing</t>
        </is>
      </c>
      <c r="M26" s="18" t="inlineStr">
        <is>
          <t>Product</t>
        </is>
      </c>
      <c r="N26" s="18" t="inlineStr">
        <is>
          <t>ข้อ 4 (PLE_CC1_2554 SET2.md)</t>
        </is>
      </c>
      <c r="O26" s="18" t="inlineStr">
        <is>
          <t>ข้อสอบจริง</t>
        </is>
      </c>
      <c r="P26" s="18" t="inlineStr">
        <is>
          <t>ปี 2554</t>
        </is>
      </c>
    </row>
    <row r="27">
      <c r="A27" s="18" t="n">
        <v>25</v>
      </c>
      <c r="B27" s="18"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18" t="n"/>
      <c r="D27" s="18" t="inlineStr">
        <is>
          <t>In Vitro Dissolution Apparatus 2 (Paddle, 50 rpm)</t>
        </is>
      </c>
      <c r="E27" s="18" t="inlineStr">
        <is>
          <t>Higuchi Matrix Release Kinetic model</t>
        </is>
      </c>
      <c r="F27" s="18" t="inlineStr">
        <is>
          <t>First-Order Drug Release Kinetics</t>
        </is>
      </c>
      <c r="G27" s="18" t="inlineStr">
        <is>
          <t>Zero-Order Sustained Release Kinetics</t>
        </is>
      </c>
      <c r="H27" s="18" t="inlineStr">
        <is>
          <t>Fickian Diffusion Concentration Gradient</t>
        </is>
      </c>
      <c r="I27" s="18" t="n">
        <v>4</v>
      </c>
      <c r="J27" s="18"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8" t="n"/>
      <c r="L27" s="18" t="inlineStr">
        <is>
          <t>Dissolution testing</t>
        </is>
      </c>
      <c r="M27" s="18" t="inlineStr">
        <is>
          <t>Product</t>
        </is>
      </c>
      <c r="N27" s="18" t="inlineStr">
        <is>
          <t>ข้อ 8 (PLE_CC1_2554 SET2.md)</t>
        </is>
      </c>
      <c r="O27" s="18" t="inlineStr">
        <is>
          <t>ข้อสอบจริง</t>
        </is>
      </c>
      <c r="P27" s="18" t="inlineStr">
        <is>
          <t>ปี 2554</t>
        </is>
      </c>
    </row>
    <row r="28">
      <c r="A28" s="18" t="n">
        <v>26</v>
      </c>
      <c r="B28" s="18" t="inlineStr">
        <is>
          <t>มีระยะเวลาที่ยาเริ่มออกฤทธิ์ช้าเนื่องจากโครงสร้างมีขนาดใหญุใช้ เวลานานในการละลาย(ก)</t>
        </is>
      </c>
      <c r="C28" s="18" t="n"/>
      <c r="D28" s="18" t="inlineStr">
        <is>
          <t>Zero-Order Sustained Release Kinetics</t>
        </is>
      </c>
      <c r="E28" s="18" t="inlineStr">
        <is>
          <t>Fickian Diffusion Concentration Gradient</t>
        </is>
      </c>
      <c r="F28" s="18" t="inlineStr">
        <is>
          <t>BCS Class I (High Solubility, High Permeability)</t>
        </is>
      </c>
      <c r="G28" s="18" t="inlineStr">
        <is>
          <t>BCS Class II (Low Solubility, High Permeability)</t>
        </is>
      </c>
      <c r="H28" s="18" t="inlineStr">
        <is>
          <t>BCS Class III (High Solubility, Low Permeability)</t>
        </is>
      </c>
      <c r="I28" s="18" t="n">
        <v>1</v>
      </c>
      <c r="J28" s="18"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8" t="n"/>
      <c r="L28" s="18" t="inlineStr">
        <is>
          <t>Dissolution testing</t>
        </is>
      </c>
      <c r="M28" s="18" t="inlineStr">
        <is>
          <t>Product</t>
        </is>
      </c>
      <c r="N28" s="18" t="inlineStr">
        <is>
          <t>ข้อ 5 (PLE_CC1_2547.md)</t>
        </is>
      </c>
      <c r="O28" s="18" t="inlineStr">
        <is>
          <t>ข้อสอบจริง</t>
        </is>
      </c>
      <c r="P28" s="18" t="inlineStr">
        <is>
          <t>ปี 2547</t>
        </is>
      </c>
    </row>
    <row r="29">
      <c r="A29" s="18" t="n">
        <v>27</v>
      </c>
      <c r="B29" s="18"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18" t="n"/>
      <c r="D29" s="18" t="inlineStr">
        <is>
          <t>BCS Class II (Low Solubility, High Permeability)</t>
        </is>
      </c>
      <c r="E29" s="18" t="inlineStr">
        <is>
          <t>BCS Class III (High Solubility, Low Permeability)</t>
        </is>
      </c>
      <c r="F29" s="18" t="inlineStr">
        <is>
          <t>BCS Class IV (Low Solubility, Low Permeability)</t>
        </is>
      </c>
      <c r="G29" s="18" t="inlineStr">
        <is>
          <t>In Vitro Dissolution Apparatus 1 (Basket, 100 rpm)</t>
        </is>
      </c>
      <c r="H29" s="18" t="inlineStr">
        <is>
          <t>In Vitro Dissolution Apparatus 2 (Paddle, 50 rpm)</t>
        </is>
      </c>
      <c r="I29" s="18" t="n">
        <v>1</v>
      </c>
      <c r="J29" s="18"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8" t="n"/>
      <c r="L29" s="18" t="inlineStr">
        <is>
          <t>Dissolution testing</t>
        </is>
      </c>
      <c r="M29" s="18" t="inlineStr">
        <is>
          <t>Product</t>
        </is>
      </c>
      <c r="N29" s="18" t="inlineStr">
        <is>
          <t>ข้อ 2 (PLE_CC1_2533.md)</t>
        </is>
      </c>
      <c r="O29" s="18" t="inlineStr">
        <is>
          <t>ข้อสอบจริง</t>
        </is>
      </c>
      <c r="P29" s="18" t="inlineStr">
        <is>
          <t>ปี 2533</t>
        </is>
      </c>
    </row>
    <row r="30">
      <c r="A30" s="18" t="n">
        <v>28</v>
      </c>
      <c r="B30" s="18"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18" t="n"/>
      <c r="D30" s="18" t="inlineStr">
        <is>
          <t>In Vitro Dissolution Apparatus 1 (Basket, 100 rpm)</t>
        </is>
      </c>
      <c r="E30" s="18" t="inlineStr">
        <is>
          <t>In Vitro Dissolution Apparatus 2 (Paddle, 50 rpm)</t>
        </is>
      </c>
      <c r="F30" s="18" t="inlineStr">
        <is>
          <t>Higuchi Matrix Release Kinetic model</t>
        </is>
      </c>
      <c r="G30" s="18" t="inlineStr">
        <is>
          <t>First-Order Drug Release Kinetics</t>
        </is>
      </c>
      <c r="H30" s="18" t="inlineStr">
        <is>
          <t>Zero-Order Sustained Release Kinetics</t>
        </is>
      </c>
      <c r="I30" s="18" t="n">
        <v>1</v>
      </c>
      <c r="J30" s="18"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8" t="n"/>
      <c r="L30" s="18" t="inlineStr">
        <is>
          <t>Diffusion &amp; Fick's laws</t>
        </is>
      </c>
      <c r="M30" s="18" t="inlineStr">
        <is>
          <t>Product</t>
        </is>
      </c>
      <c r="N30" s="18" t="inlineStr">
        <is>
          <t>ข้อ 5 (PLE_CC1_2533.md)</t>
        </is>
      </c>
      <c r="O30" s="18" t="inlineStr">
        <is>
          <t>ข้อสอบจริง</t>
        </is>
      </c>
      <c r="P30" s="18" t="inlineStr">
        <is>
          <t>ปี 2533</t>
        </is>
      </c>
    </row>
    <row r="31">
      <c r="A31" s="18" t="n">
        <v>29</v>
      </c>
      <c r="B31" s="18"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18" t="n"/>
      <c r="D31" s="18" t="inlineStr">
        <is>
          <t>First-Order Drug Release Kinetics</t>
        </is>
      </c>
      <c r="E31" s="18" t="inlineStr">
        <is>
          <t>Zero-Order Sustained Release Kinetics</t>
        </is>
      </c>
      <c r="F31" s="18" t="inlineStr">
        <is>
          <t>Fickian Diffusion Concentration Gradient</t>
        </is>
      </c>
      <c r="G31" s="18" t="inlineStr">
        <is>
          <t>BCS Class I (High Solubility, High Permeability)</t>
        </is>
      </c>
      <c r="H31" s="18" t="inlineStr">
        <is>
          <t>BCS Class II (Low Solubility, High Permeability)</t>
        </is>
      </c>
      <c r="I31" s="18" t="n">
        <v>2</v>
      </c>
      <c r="J31" s="18"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8" t="n"/>
      <c r="L31" s="18" t="inlineStr">
        <is>
          <t>BCS Classification</t>
        </is>
      </c>
      <c r="M31" s="18" t="inlineStr">
        <is>
          <t>Product</t>
        </is>
      </c>
      <c r="N31" s="18" t="inlineStr">
        <is>
          <t>ข้อ 14 (PLE_CC1_Practice_Exam.md)</t>
        </is>
      </c>
      <c r="O31" s="18" t="inlineStr">
        <is>
          <t>Mock</t>
        </is>
      </c>
      <c r="P31" s="18" t="inlineStr">
        <is>
          <t>Mock สภาเภสัชฯ Practice</t>
        </is>
      </c>
    </row>
    <row r="32">
      <c r="A32" s="18" t="n">
        <v>30</v>
      </c>
      <c r="B32" s="18"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18" t="n"/>
      <c r="D32" s="18" t="inlineStr">
        <is>
          <t>BCS Class I (High Solubility, High Permeability)</t>
        </is>
      </c>
      <c r="E32" s="18" t="inlineStr">
        <is>
          <t>BCS Class II (Low Solubility, High Permeability)</t>
        </is>
      </c>
      <c r="F32" s="18" t="inlineStr">
        <is>
          <t>BCS Class III (High Solubility, Low Permeability)</t>
        </is>
      </c>
      <c r="G32" s="18" t="inlineStr">
        <is>
          <t>BCS Class IV (Low Solubility, Low Permeability)</t>
        </is>
      </c>
      <c r="H32" s="18" t="inlineStr">
        <is>
          <t>In Vitro Dissolution Apparatus 1 (Basket, 100 rpm)</t>
        </is>
      </c>
      <c r="I32" s="18" t="n">
        <v>1</v>
      </c>
      <c r="J32" s="18"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8" t="n"/>
      <c r="L32" s="18" t="inlineStr">
        <is>
          <t>Diffusion &amp; Fick's laws</t>
        </is>
      </c>
      <c r="M32" s="18" t="inlineStr">
        <is>
          <t>Product</t>
        </is>
      </c>
      <c r="N32" s="18" t="inlineStr">
        <is>
          <t>ข้อ 2 (PLE_CC1_Practice_Exam.md)</t>
        </is>
      </c>
      <c r="O32" s="18" t="inlineStr">
        <is>
          <t>Mock</t>
        </is>
      </c>
      <c r="P32" s="18" t="inlineStr">
        <is>
          <t>Mock สภาเภสัชฯ Practice</t>
        </is>
      </c>
    </row>
    <row r="33">
      <c r="A33" s="18" t="n">
        <v>31</v>
      </c>
      <c r="B33" s="18" t="inlineStr">
        <is>
          <t>Bioavailability</t>
        </is>
      </c>
      <c r="C33" s="18" t="n"/>
      <c r="D33" s="18" t="inlineStr">
        <is>
          <t>BCS Class IV (Low Solubility, Low Permeability)</t>
        </is>
      </c>
      <c r="E33" s="18" t="inlineStr">
        <is>
          <t>In Vitro Dissolution Apparatus 1 (Basket, 100 rpm)</t>
        </is>
      </c>
      <c r="F33" s="18" t="inlineStr">
        <is>
          <t>In Vitro Dissolution Apparatus 2 (Paddle, 50 rpm)</t>
        </is>
      </c>
      <c r="G33" s="18" t="inlineStr">
        <is>
          <t>Higuchi Matrix Release Kinetic model</t>
        </is>
      </c>
      <c r="H33" s="18" t="inlineStr">
        <is>
          <t>First-Order Drug Release Kinetics</t>
        </is>
      </c>
      <c r="I33" s="18" t="n">
        <v>1</v>
      </c>
      <c r="J33" s="18"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8" t="n"/>
      <c r="L33" s="18" t="inlineStr">
        <is>
          <t>Dissolution testing</t>
        </is>
      </c>
      <c r="M33" s="18" t="inlineStr">
        <is>
          <t>Product</t>
        </is>
      </c>
      <c r="N33" s="18" t="inlineStr">
        <is>
          <t>ข้อ 3 (PLE_CC1_Key_Rx20_UBU.md)</t>
        </is>
      </c>
      <c r="O33" s="18" t="inlineStr">
        <is>
          <t>Mock</t>
        </is>
      </c>
      <c r="P33" s="18" t="inlineStr">
        <is>
          <t>Mock Rx20 UBU</t>
        </is>
      </c>
    </row>
    <row r="34">
      <c r="A34" s="18" t="n">
        <v>32</v>
      </c>
      <c r="B34" s="18"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18" t="n"/>
      <c r="D34" s="18" t="inlineStr">
        <is>
          <t>Higuchi Matrix Release Kinetic model</t>
        </is>
      </c>
      <c r="E34" s="18" t="inlineStr">
        <is>
          <t>First-Order Drug Release Kinetics</t>
        </is>
      </c>
      <c r="F34" s="18" t="inlineStr">
        <is>
          <t>Zero-Order Sustained Release Kinetics</t>
        </is>
      </c>
      <c r="G34" s="18" t="inlineStr">
        <is>
          <t>Fickian Diffusion Concentration Gradient</t>
        </is>
      </c>
      <c r="H34" s="18" t="inlineStr">
        <is>
          <t>BCS Class I (High Solubility, High Permeability)</t>
        </is>
      </c>
      <c r="I34" s="18" t="n">
        <v>1</v>
      </c>
      <c r="J34" s="18"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8" t="n"/>
      <c r="L34" s="18" t="inlineStr">
        <is>
          <t>BCS Classification</t>
        </is>
      </c>
      <c r="M34" s="18" t="inlineStr">
        <is>
          <t>Product</t>
        </is>
      </c>
      <c r="N34" s="18" t="inlineStr">
        <is>
          <t>ข้อ 2 (PLE_CC1_Key_Rx20_UBU.md)</t>
        </is>
      </c>
      <c r="O34" s="18" t="inlineStr">
        <is>
          <t>Mock</t>
        </is>
      </c>
      <c r="P34" s="18" t="inlineStr">
        <is>
          <t>Mock Rx20 UBU</t>
        </is>
      </c>
    </row>
    <row r="35">
      <c r="A35" s="18" t="n">
        <v>33</v>
      </c>
      <c r="B35" s="18" t="inlineStr">
        <is>
          <t>เพิ่มการละลายน้ำ</t>
        </is>
      </c>
      <c r="C35" s="18" t="n"/>
      <c r="D35" s="18" t="inlineStr">
        <is>
          <t>Fickian Diffusion Concentration Gradient</t>
        </is>
      </c>
      <c r="E35" s="18" t="inlineStr">
        <is>
          <t>BCS Class I (High Solubility, High Permeability)</t>
        </is>
      </c>
      <c r="F35" s="18" t="inlineStr">
        <is>
          <t>BCS Class II (Low Solubility, High Permeability)</t>
        </is>
      </c>
      <c r="G35" s="18" t="inlineStr">
        <is>
          <t>BCS Class III (High Solubility, Low Permeability)</t>
        </is>
      </c>
      <c r="H35" s="18" t="inlineStr">
        <is>
          <t>BCS Class IV (Low Solubility, Low Permeability)</t>
        </is>
      </c>
      <c r="I35" s="18" t="n">
        <v>1</v>
      </c>
      <c r="J35" s="18"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8" t="n"/>
      <c r="L35" s="18" t="inlineStr">
        <is>
          <t>Dissolution testing</t>
        </is>
      </c>
      <c r="M35" s="18" t="inlineStr">
        <is>
          <t>Product</t>
        </is>
      </c>
      <c r="N35" s="18" t="inlineStr">
        <is>
          <t>ข้อ 3 (PLE_CC1_Key_Rx20_UBU.md)</t>
        </is>
      </c>
      <c r="O35" s="18" t="inlineStr">
        <is>
          <t>Mock</t>
        </is>
      </c>
      <c r="P35" s="18" t="inlineStr">
        <is>
          <t>Mock Rx20 UBU</t>
        </is>
      </c>
    </row>
    <row r="36">
      <c r="A36" s="18" t="n">
        <v>34</v>
      </c>
      <c r="B36" s="18" t="inlineStr">
        <is>
          <t>เพิ่มการละลายใน medium</t>
        </is>
      </c>
      <c r="C36" s="18" t="n"/>
      <c r="D36" s="18" t="inlineStr">
        <is>
          <t>BCS Class III (High Solubility, Low Permeability)</t>
        </is>
      </c>
      <c r="E36" s="18" t="inlineStr">
        <is>
          <t>BCS Class IV (Low Solubility, Low Permeability)</t>
        </is>
      </c>
      <c r="F36" s="18" t="inlineStr">
        <is>
          <t>In Vitro Dissolution Apparatus 1 (Basket, 100 rpm)</t>
        </is>
      </c>
      <c r="G36" s="18" t="inlineStr">
        <is>
          <t>In Vitro Dissolution Apparatus 2 (Paddle, 50 rpm)</t>
        </is>
      </c>
      <c r="H36" s="18" t="inlineStr">
        <is>
          <t>Higuchi Matrix Release Kinetic model</t>
        </is>
      </c>
      <c r="I36" s="18" t="n">
        <v>1</v>
      </c>
      <c r="J36" s="18"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8" t="n"/>
      <c r="L36" s="18" t="inlineStr">
        <is>
          <t>Dissolution testing</t>
        </is>
      </c>
      <c r="M36" s="18" t="inlineStr">
        <is>
          <t>Product</t>
        </is>
      </c>
      <c r="N36" s="18" t="inlineStr">
        <is>
          <t>ข้อ 2 (PLE_CC1_Key_Rx20_UBU.md)</t>
        </is>
      </c>
      <c r="O36" s="18" t="inlineStr">
        <is>
          <t>Mock</t>
        </is>
      </c>
      <c r="P36" s="18" t="inlineStr">
        <is>
          <t>Mock Rx20 UBU</t>
        </is>
      </c>
    </row>
    <row r="37">
      <c r="A37" s="18" t="n">
        <v>35</v>
      </c>
      <c r="B37" s="18"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18" t="n"/>
      <c r="D37" s="18" t="inlineStr">
        <is>
          <t>In Vitro Dissolution Apparatus 2 (Paddle, 50 rpm)</t>
        </is>
      </c>
      <c r="E37" s="18" t="inlineStr">
        <is>
          <t>Higuchi Matrix Release Kinetic model</t>
        </is>
      </c>
      <c r="F37" s="18" t="inlineStr">
        <is>
          <t>First-Order Drug Release Kinetics</t>
        </is>
      </c>
      <c r="G37" s="18" t="inlineStr">
        <is>
          <t>Zero-Order Sustained Release Kinetics</t>
        </is>
      </c>
      <c r="H37" s="18" t="inlineStr">
        <is>
          <t>Fickian Diffusion Concentration Gradient</t>
        </is>
      </c>
      <c r="I37" s="18" t="n">
        <v>1</v>
      </c>
      <c r="J37" s="18"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8" t="n"/>
      <c r="L37" s="18" t="inlineStr">
        <is>
          <t>Dissolution testing</t>
        </is>
      </c>
      <c r="M37" s="18" t="inlineStr">
        <is>
          <t>Product</t>
        </is>
      </c>
      <c r="N37" s="18" t="inlineStr">
        <is>
          <t>ข้อ 51 (PLE_CC1_Key_Rx20_UBU.md)</t>
        </is>
      </c>
      <c r="O37" s="18" t="inlineStr">
        <is>
          <t>Mock</t>
        </is>
      </c>
      <c r="P37" s="18" t="inlineStr">
        <is>
          <t>Mock Rx20 UBU</t>
        </is>
      </c>
    </row>
    <row r="38">
      <c r="A38" s="18" t="n">
        <v>36</v>
      </c>
      <c r="B38" s="18" t="inlineStr">
        <is>
          <t>ยา pyrazinamide มีการละลายต่ำควรเติมสารใดเพิ่มในตำรับเพื่อแก$ไขป[ญหานี้</t>
        </is>
      </c>
      <c r="C38" s="18" t="n"/>
      <c r="D38" s="18" t="inlineStr">
        <is>
          <t>Lactose</t>
        </is>
      </c>
      <c r="E38" s="18" t="inlineStr">
        <is>
          <t>SLS</t>
        </is>
      </c>
      <c r="F38" s="18" t="inlineStr">
        <is>
          <t>Sodium starch glycolate</t>
        </is>
      </c>
      <c r="G38" s="18" t="inlineStr">
        <is>
          <t>Magnesium stearate</t>
        </is>
      </c>
      <c r="H38" s="18" t="inlineStr">
        <is>
          <t>Calcium dihydrogen phosphate</t>
        </is>
      </c>
      <c r="I38" s="18" t="n">
        <v>2</v>
      </c>
      <c r="J38" s="18"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8" t="n"/>
      <c r="L38" s="18" t="inlineStr">
        <is>
          <t>Dissolution testing</t>
        </is>
      </c>
      <c r="M38" s="18" t="inlineStr">
        <is>
          <t>Product</t>
        </is>
      </c>
      <c r="N38" s="18" t="inlineStr">
        <is>
          <t>ข้อ 17 (PLE_CC1_Key_Rx20_UBU.md)</t>
        </is>
      </c>
      <c r="O38" s="18" t="inlineStr">
        <is>
          <t>Mock</t>
        </is>
      </c>
      <c r="P38" s="18" t="inlineStr">
        <is>
          <t>Mock Rx20 UBU</t>
        </is>
      </c>
    </row>
    <row r="39">
      <c r="A39" s="18" t="n">
        <v>37</v>
      </c>
      <c r="B39" s="18" t="inlineStr">
        <is>
          <t>การละลายและการดูดซึมมีผลตGอการระยะเวลาการออกฤทธิ์ที่นานขึ้นของตัวยา</t>
        </is>
      </c>
      <c r="C39" s="18" t="n"/>
      <c r="D39" s="18" t="inlineStr">
        <is>
          <t>BCS Class II (Low Solubility, High Permeability)</t>
        </is>
      </c>
      <c r="E39" s="18" t="inlineStr">
        <is>
          <t>BCS Class III (High Solubility, Low Permeability)</t>
        </is>
      </c>
      <c r="F39" s="18" t="inlineStr">
        <is>
          <t>BCS Class IV (Low Solubility, Low Permeability)</t>
        </is>
      </c>
      <c r="G39" s="18" t="inlineStr">
        <is>
          <t>In Vitro Dissolution Apparatus 1 (Basket, 100 rpm)</t>
        </is>
      </c>
      <c r="H39" s="18" t="inlineStr">
        <is>
          <t>In Vitro Dissolution Apparatus 2 (Paddle, 50 rpm)</t>
        </is>
      </c>
      <c r="I39" s="18" t="n">
        <v>1</v>
      </c>
      <c r="J39" s="18"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8" t="n"/>
      <c r="L39" s="18" t="inlineStr">
        <is>
          <t>Dissolution testing</t>
        </is>
      </c>
      <c r="M39" s="18" t="inlineStr">
        <is>
          <t>Product</t>
        </is>
      </c>
      <c r="N39" s="18" t="inlineStr">
        <is>
          <t>ข้อ 4 (PLE_CC1_Key_Rx20_UBU.md)</t>
        </is>
      </c>
      <c r="O39" s="18" t="inlineStr">
        <is>
          <t>Mock</t>
        </is>
      </c>
      <c r="P39" s="18" t="inlineStr">
        <is>
          <t>Mock Rx20 UBU</t>
        </is>
      </c>
    </row>
    <row r="40">
      <c r="A40" s="18" t="n">
        <v>38</v>
      </c>
      <c r="B40" s="18" t="inlineStr">
        <is>
          <t>passive diffusion</t>
        </is>
      </c>
      <c r="C40" s="18" t="n"/>
      <c r="D40" s="18" t="inlineStr">
        <is>
          <t>In Vitro Dissolution Apparatus 1 (Basket, 100 rpm)</t>
        </is>
      </c>
      <c r="E40" s="18" t="inlineStr">
        <is>
          <t>In Vitro Dissolution Apparatus 2 (Paddle, 50 rpm)</t>
        </is>
      </c>
      <c r="F40" s="18" t="inlineStr">
        <is>
          <t>Higuchi Matrix Release Kinetic model</t>
        </is>
      </c>
      <c r="G40" s="18" t="inlineStr">
        <is>
          <t>First-Order Drug Release Kinetics</t>
        </is>
      </c>
      <c r="H40" s="18" t="inlineStr">
        <is>
          <t>Zero-Order Sustained Release Kinetics</t>
        </is>
      </c>
      <c r="I40" s="18" t="n">
        <v>1</v>
      </c>
      <c r="J40" s="18"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8" t="n"/>
      <c r="L40" s="18" t="inlineStr">
        <is>
          <t>Diffusion &amp; Fick's laws</t>
        </is>
      </c>
      <c r="M40" s="18" t="inlineStr">
        <is>
          <t>Product</t>
        </is>
      </c>
      <c r="N40" s="18" t="inlineStr">
        <is>
          <t>ข้อ 2 (PLE_CC1_Key_Rx20_UBU.md)</t>
        </is>
      </c>
      <c r="O40" s="18" t="inlineStr">
        <is>
          <t>Mock</t>
        </is>
      </c>
      <c r="P40" s="18" t="inlineStr">
        <is>
          <t>Mock Rx20 UBU</t>
        </is>
      </c>
    </row>
    <row r="41">
      <c r="A41" s="18" t="n">
        <v>39</v>
      </c>
      <c r="B41" s="18" t="inlineStr">
        <is>
          <t>ผ่าน Dissolution</t>
        </is>
      </c>
      <c r="C41" s="18" t="n"/>
      <c r="D41" s="18" t="inlineStr">
        <is>
          <t>First-Order Drug Release Kinetics</t>
        </is>
      </c>
      <c r="E41" s="18" t="inlineStr">
        <is>
          <t>Zero-Order Sustained Release Kinetics</t>
        </is>
      </c>
      <c r="F41" s="18" t="inlineStr">
        <is>
          <t>Fickian Diffusion Concentration Gradient</t>
        </is>
      </c>
      <c r="G41" s="18" t="inlineStr">
        <is>
          <t>BCS Class I (High Solubility, High Permeability)</t>
        </is>
      </c>
      <c r="H41" s="18" t="inlineStr">
        <is>
          <t>BCS Class II (Low Solubility, High Permeability)</t>
        </is>
      </c>
      <c r="I41" s="18" t="n">
        <v>1</v>
      </c>
      <c r="J41" s="18"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8" t="n"/>
      <c r="L41" s="18" t="inlineStr">
        <is>
          <t>Dissolution testing</t>
        </is>
      </c>
      <c r="M41" s="18" t="inlineStr">
        <is>
          <t>Product</t>
        </is>
      </c>
      <c r="N41" s="18" t="inlineStr">
        <is>
          <t>ข้อ 1 (PLE_CC1_Key_Rx20_UBU.md)</t>
        </is>
      </c>
      <c r="O41" s="18" t="inlineStr">
        <is>
          <t>Mock</t>
        </is>
      </c>
      <c r="P41" s="18" t="inlineStr">
        <is>
          <t>Mock Rx20 UBU</t>
        </is>
      </c>
    </row>
    <row r="42">
      <c r="A42" s="18" t="n">
        <v>40</v>
      </c>
      <c r="B42" s="18"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18" t="n"/>
      <c r="D42" s="18" t="inlineStr">
        <is>
          <t>BCS Class I (High Solubility, High Permeability)</t>
        </is>
      </c>
      <c r="E42" s="18" t="inlineStr">
        <is>
          <t>BCS Class II (Low Solubility, High Permeability)</t>
        </is>
      </c>
      <c r="F42" s="18" t="inlineStr">
        <is>
          <t>BCS Class III (High Solubility, Low Permeability)</t>
        </is>
      </c>
      <c r="G42" s="18" t="inlineStr">
        <is>
          <t>BCS Class IV (Low Solubility, Low Permeability)</t>
        </is>
      </c>
      <c r="H42" s="18" t="inlineStr">
        <is>
          <t>In Vitro Dissolution Apparatus 1 (Basket, 100 rpm)</t>
        </is>
      </c>
      <c r="I42" s="18" t="n">
        <v>1</v>
      </c>
      <c r="J42" s="18"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8" t="n"/>
      <c r="L42" s="18" t="inlineStr">
        <is>
          <t>Dissolution testing</t>
        </is>
      </c>
      <c r="M42" s="18" t="inlineStr">
        <is>
          <t>Product</t>
        </is>
      </c>
      <c r="N42" s="18" t="inlineStr">
        <is>
          <t>ข้อ 2 (PLE_CC1_Key_Rx20_UBU.md)</t>
        </is>
      </c>
      <c r="O42" s="18" t="inlineStr">
        <is>
          <t>Mock</t>
        </is>
      </c>
      <c r="P42" s="18" t="inlineStr">
        <is>
          <t>Mock Rx20 UBU</t>
        </is>
      </c>
    </row>
    <row r="43">
      <c r="A43" s="18" t="n">
        <v>41</v>
      </c>
      <c r="B43" s="18" t="inlineStr">
        <is>
          <t>จาก USP (การทำ Dissolution test ของ Paracetamol) ข้อใดถูกต้อง</t>
        </is>
      </c>
      <c r="C43" s="18" t="n"/>
      <c r="D43" s="18" t="inlineStr">
        <is>
          <t>Apparatus ใช้ Basket</t>
        </is>
      </c>
      <c r="E43" s="18" t="inlineStr">
        <is>
          <t>ใช้ Phosphate buffer pH 5.8 ± 2.0</t>
        </is>
      </c>
      <c r="F43" s="18" t="inlineStr">
        <is>
          <t>ยาจะละลายเสร็จภายใน 60 นาที</t>
        </is>
      </c>
      <c r="G43" s="18" t="inlineStr">
        <is>
          <t>ใช้ Liquid chromatography ในการวิเคราะห์</t>
        </is>
      </c>
      <c r="H43" s="18" t="inlineStr">
        <is>
          <t>หากผลการวิเคราะห์พบว่า ยา 6 เม็ด แตกตัวภายใน 15 นาที โดยมีตัวยามากกว่า 425 mg ทุกเม็ดแสดงว่าผ่านการวิเคราะห์</t>
        </is>
      </c>
      <c r="I43" s="18" t="n">
        <v>2</v>
      </c>
      <c r="J43" s="18"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ข้อนี้ไม่ใช่คำตอบที่ถูกต้องสำหรับภาวะ Dissolution testing เนื่องจากกลไกการออกฤทธิ์, efficacy หรือข้อบ่งใช้ไม่ตรงกับโจทย์ที่กำหนด
• ข้อ ค. (ยาจะละลายเสร็จภายใน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(หากผลการวิเคราะห์พบว่า ยา 6 เม็ด แตกตัวภายใน 15 นาที โดยมีตัวยามากกว่า 425 mg ทุกเม็ดแสดงว่าผ่านการวิเคราะห์):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8" t="n"/>
      <c r="L43" s="18" t="inlineStr">
        <is>
          <t>Dissolution testing</t>
        </is>
      </c>
      <c r="M43" s="18" t="inlineStr">
        <is>
          <t>Product</t>
        </is>
      </c>
      <c r="N43" s="18" t="inlineStr">
        <is>
          <t>ข้อ 35 (PLE_CC1_Key_Rx20_UBU.md)</t>
        </is>
      </c>
      <c r="O43" s="18" t="inlineStr">
        <is>
          <t>Mock</t>
        </is>
      </c>
      <c r="P43" s="18" t="inlineStr">
        <is>
          <t>Mock Rx20 UBU</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51"/>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18" t="inlineStr">
        <is>
          <t>ประเภทข้อสอบ</t>
        </is>
      </c>
      <c r="P2" s="18" t="inlineStr">
        <is>
          <t>ปี / เลขชุด</t>
        </is>
      </c>
    </row>
    <row r="3">
      <c r="A3" s="15" t="inlineStr">
        <is>
          <t>2</t>
        </is>
      </c>
      <c r="B3" s="18" t="inlineStr">
        <is>
          <t>กระบวนการ sterilization ที่เหมาะสมกับผลิตภัณฑ์สำเร็จรูป insulin injection ได้แก่ข้อใด</t>
        </is>
      </c>
      <c r="C3" s="18" t="inlineStr"/>
      <c r="D3" s="18" t="inlineStr">
        <is>
          <t>Dry heat sterilization</t>
        </is>
      </c>
      <c r="E3" s="18" t="inlineStr">
        <is>
          <t>Sterile filtration</t>
        </is>
      </c>
      <c r="F3" s="18" t="inlineStr">
        <is>
          <t>Steam sterilization</t>
        </is>
      </c>
      <c r="G3" s="18" t="inlineStr">
        <is>
          <t>Ethylene oxide gas sterilization</t>
        </is>
      </c>
      <c r="H3" s="18" t="inlineStr">
        <is>
          <t>Gamma radiation sterilization</t>
        </is>
      </c>
      <c r="I3" s="15" t="inlineStr">
        <is>
          <t>1</t>
        </is>
      </c>
      <c r="J3" s="18"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ค. (Sterile filtration): ข้อนี้ไม่ใช่คำตอบที่ถูกต้องสำหรับภาวะ Autoclave &amp; Sterilization เนื่องจากกลไกการออกฤทธิ์, efficacy หรือข้อบ่งใช้ไม่ตรงกับโจทย์ที่กำหนด
• ข้อ ง. (Steam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จ. (Ethylene oxide gas sterilization):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18" t="inlineStr"/>
      <c r="L3" s="18" t="inlineStr">
        <is>
          <t>Autoclave &amp; Sterilization</t>
        </is>
      </c>
      <c r="M3" s="18" t="inlineStr">
        <is>
          <t>Sterile Products</t>
        </is>
      </c>
      <c r="N3" s="18" t="inlineStr">
        <is>
          <t>Mock PLE-CC 1 ข้อ 32</t>
        </is>
      </c>
      <c r="O3" s="18" t="inlineStr">
        <is>
          <t>Mock</t>
        </is>
      </c>
      <c r="P3" s="18" t="inlineStr">
        <is>
          <t>Mock RxCU83</t>
        </is>
      </c>
      <c r="Q3" s="18" t="inlineStr"/>
    </row>
    <row r="4">
      <c r="A4" s="15" t="inlineStr">
        <is>
          <t>3</t>
        </is>
      </c>
      <c r="B4" s="18" t="inlineStr">
        <is>
          <t>COA ของ insulin biosimilar glargine อะไรไม่จำเป็นต้องมี</t>
        </is>
      </c>
      <c r="C4" s="18" t="inlineStr"/>
      <c r="D4" s="18" t="inlineStr">
        <is>
          <t>Assay</t>
        </is>
      </c>
      <c r="E4" s="18" t="inlineStr">
        <is>
          <t>Identification</t>
        </is>
      </c>
      <c r="F4" s="18" t="inlineStr">
        <is>
          <t>Bacterial endotoxin</t>
        </is>
      </c>
      <c r="G4" s="18" t="inlineStr">
        <is>
          <t>Impurity</t>
        </is>
      </c>
      <c r="H4" s="18" t="inlineStr">
        <is>
          <t>Dissolution</t>
        </is>
      </c>
      <c r="I4" s="15" t="inlineStr">
        <is>
          <t>1</t>
        </is>
      </c>
      <c r="J4" s="18"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ข้อนี้ไม่ใช่คำตอบที่ถูกต้องสำหรับภาวะ Parenterals &amp; Ophthalmic เนื่องจากกลไกการออกฤทธิ์, efficacy หรือข้อบ่งใช้ไม่ตรงกับโจทย์ที่กำหนด
• ข้อ ค. (Identification): ข้อนี้ไม่ใช่คำตอบที่ถูกต้องสำหรับภาวะ Parenterals &amp; Ophthalmic เนื่องจากกลไกการออกฤทธิ์, efficacy หรือข้อบ่งใช้ไม่ตรงกับโจทย์ที่กำหนด
• ข้อ ง.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จ. (Impurity):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18" t="inlineStr"/>
      <c r="L4" s="18" t="inlineStr">
        <is>
          <t>Parenterals &amp; Ophthalmic</t>
        </is>
      </c>
      <c r="M4" s="18" t="inlineStr">
        <is>
          <t>Sterile Products</t>
        </is>
      </c>
      <c r="N4" s="18" t="inlineStr">
        <is>
          <t>Mock PLE-CC 1 ข้อ 34</t>
        </is>
      </c>
      <c r="O4" s="18" t="inlineStr">
        <is>
          <t>Mock</t>
        </is>
      </c>
      <c r="P4" s="18" t="inlineStr">
        <is>
          <t>Mock RxCU83</t>
        </is>
      </c>
      <c r="Q4" s="18" t="inlineStr"/>
    </row>
    <row r="5">
      <c r="A5" s="15" t="inlineStr">
        <is>
          <t>4</t>
        </is>
      </c>
      <c r="B5" s="18" t="inlineStr">
        <is>
          <t>เหตุผลหลักในการตรวจ Bacterial endotoxin ใน Paclitaxel injection</t>
        </is>
      </c>
      <c r="C5" s="18" t="inlineStr"/>
      <c r="D5" s="18" t="inlineStr">
        <is>
          <t>เพื่อให้มั่นใจว่าไม่มีเชื้อราเจริญเติบโตในยา</t>
        </is>
      </c>
      <c r="E5" s="18" t="inlineStr">
        <is>
          <t>เพื่อป้องกันการเกิด Pyrogenic reaction</t>
        </is>
      </c>
      <c r="F5" s="18" t="inlineStr">
        <is>
          <t>เพื่อวัดความเข้มข้นของสารกันเสีย</t>
        </is>
      </c>
      <c r="G5" s="18" t="inlineStr">
        <is>
          <t>เพื่อประเมินความคงตัวของยาที่อุณหภูมิสูง</t>
        </is>
      </c>
      <c r="H5" s="18" t="inlineStr">
        <is>
          <t>เพื่อวัดความแรงในการออกฤทธิ์ต้านมะเร็ง</t>
        </is>
      </c>
      <c r="I5" s="15" t="inlineStr">
        <is>
          <t>1</t>
        </is>
      </c>
      <c r="J5" s="18"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ข้อนี้ไม่ใช่คำตอบที่ถูกต้องสำหรับภาวะ Sterility &amp; Pyrogen testing เนื่องจากกลไกการออกฤทธิ์, efficacy หรือข้อบ่งใช้ไม่ตรงกับโจทย์ที่กำหนด
• ข้อ ค. (เพื่อป้องกันการเกิด Pyrogenic reaction): ข้อนี้ไม่ใช่คำตอบที่ถูกต้องสำหรับภาวะ Sterility &amp; Pyrogen testing เนื่องจากกลไกการออกฤทธิ์, efficacy หรือข้อบ่งใช้ไม่ตรงกับโจทย์ที่กำหนด
• ข้อ ง. (เพื่อวัดความเข้มข้นของสารกันเสีย): ข้อนี้ไม่ใช่คำตอบที่ถูกต้องสำหรับภาวะ Sterility &amp; Pyrogen testing เนื่องจากกลไกการออกฤทธิ์, efficacy หรือข้อบ่งใช้ไม่ตรงกับโจทย์ที่กำหนด
• ข้อ จ. (เพื่อประเมินความคงตัวของยาที่อุณหภูมิสูง):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18" t="inlineStr"/>
      <c r="L5" s="18" t="inlineStr">
        <is>
          <t>Sterility &amp; Pyrogen testing</t>
        </is>
      </c>
      <c r="M5" s="18" t="inlineStr">
        <is>
          <t>Sterile Products</t>
        </is>
      </c>
      <c r="N5" s="18" t="inlineStr">
        <is>
          <t>Mock PLE-CC 1 ข้อ 75</t>
        </is>
      </c>
      <c r="O5" s="18" t="inlineStr">
        <is>
          <t>Mock</t>
        </is>
      </c>
      <c r="P5" s="18" t="inlineStr">
        <is>
          <t>Mock RxCU83</t>
        </is>
      </c>
      <c r="Q5" s="18" t="inlineStr"/>
    </row>
    <row r="6">
      <c r="A6" s="15" t="inlineStr">
        <is>
          <t>5</t>
        </is>
      </c>
      <c r="B6" s="18" t="inlineStr">
        <is>
          <t>ในการผลิต mAB ใน bioreactor ปัจจัยใดที่ต้องควบคุมเพื่อให้เซลล์เจริญเติบโตได้ดี
และมีการสร้างโปรตีนอย่างมีประสิทธิภาพ</t>
        </is>
      </c>
      <c r="C6" s="18" t="inlineStr"/>
      <c r="D6" s="18" t="inlineStr">
        <is>
          <t>ควบคุม pH อุณหภูมิ และระดับ O2</t>
        </is>
      </c>
      <c r="E6" s="18" t="inlineStr">
        <is>
          <t>ใส่ตัวทำละลายอินทรีย์ เพื่อเร่งให้โปรตีนเกิดการพับตัว</t>
        </is>
      </c>
      <c r="F6" s="18" t="inlineStr">
        <is>
          <t>ใส่ reducing agent เพื่อป้องกันการเกิด disulfide bond formation</t>
        </is>
      </c>
      <c r="G6" s="18" t="inlineStr">
        <is>
          <t>Sterile ด้วยไรสักอย่างเพื่อไม่ให้เกิดการปนเปื้อน</t>
        </is>
      </c>
      <c r="H6" s="18" t="inlineStr">
        <is>
          <t>ใส่ protease เพื่อเร่งให้เกิดการเสื่อมสลายของโปรตีนที่ไม่ได้เกิดการพับ</t>
        </is>
      </c>
      <c r="I6" s="15" t="inlineStr">
        <is>
          <t>1</t>
        </is>
      </c>
      <c r="J6" s="18"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ข้อนี้ไม่ใช่คำตอบที่ถูกต้องสำหรับภาวะ Parenterals &amp; Ophthalmic เนื่องจากกลไกการออกฤทธิ์, efficacy หรือข้อบ่งใช้ไม่ตรงกับโจทย์ที่กำหนด
• ข้อ ค. (ใส่ตัวทำละลายอินทรีย์ เพื่อเร่งให้โปรตีนเกิดการพับตัว): ข้อนี้ไม่ใช่คำตอบที่ถูกต้องสำหรับภาวะ Parenterals &amp; Ophthalmic เนื่องจากกลไกการออกฤทธิ์, efficacy หรือข้อบ่งใช้ไม่ตรงกับโจทย์ที่กำหนด
• ข้อ ง. (ใส่ reducing agent เพื่อป้องกันการเกิด disulfide bond formation):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ด้วยไรสักอย่างเพื่อไม่ให้เกิดการปนเปื้อน):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8" t="inlineStr"/>
      <c r="L6" s="18" t="inlineStr">
        <is>
          <t>Parenterals &amp; Ophthalmic</t>
        </is>
      </c>
      <c r="M6" s="18" t="inlineStr">
        <is>
          <t>Sterile Products</t>
        </is>
      </c>
      <c r="N6" s="18" t="inlineStr">
        <is>
          <t>Mock PLE-CC 1 ข้อ 79</t>
        </is>
      </c>
      <c r="O6" s="18" t="inlineStr">
        <is>
          <t>Mock</t>
        </is>
      </c>
      <c r="P6" s="18" t="inlineStr">
        <is>
          <t>Mock RxCU83</t>
        </is>
      </c>
      <c r="Q6" s="18" t="inlineStr"/>
    </row>
    <row r="7">
      <c r="A7" s="15" t="inlineStr">
        <is>
          <t>6</t>
        </is>
      </c>
      <c r="B7" s="18"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18" t="inlineStr"/>
      <c r="D7" s="18" t="inlineStr">
        <is>
          <t>ผ่าน เพราะต ่ากว่า limit</t>
        </is>
      </c>
      <c r="E7" s="18" t="inlineStr">
        <is>
          <t>ไม่ผ่าน เพราะเกิน limit</t>
        </is>
      </c>
      <c r="F7" s="18" t="inlineStr">
        <is>
          <t>ผ่านได้ถ้าเจือจางเพิ่ม</t>
        </is>
      </c>
      <c r="G7" s="18" t="inlineStr">
        <is>
          <t>ไม่ผ่าน ต้องมีการทดสอบ sterility test ใหม่</t>
        </is>
      </c>
      <c r="H7" s="18" t="inlineStr">
        <is>
          <t>ไม่ผ่านซักขวด</t>
        </is>
      </c>
      <c r="I7" s="15" t="inlineStr">
        <is>
          <t>1</t>
        </is>
      </c>
      <c r="J7" s="18"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ข้อนี้ไม่ใช่คำตอบที่ถูกต้องสำหรับภาวะ Sterility &amp; Pyrogen testing เนื่องจากกลไกการออกฤทธิ์, efficacy หรือข้อบ่งใช้ไม่ตรงกับโจทย์ที่กำหนด
• ข้อ ค. (ไม่ผ่าน เพราะเกิน limit): ข้อนี้ไม่ใช่คำตอบที่ถูกต้องสำหรับภาวะ Sterility &amp; Pyrogen testing เนื่องจากกลไกการออกฤทธิ์, efficacy หรือข้อบ่งใช้ไม่ตรงกับโจทย์ที่กำหนด
• ข้อ ง. (ผ่านได้ถ้าเจือจางเพิ่ม): ข้อนี้ไม่ใช่คำตอบที่ถูกต้องสำหรับภาวะ Sterility &amp; Pyrogen testing เนื่องจากกลไกการออกฤทธิ์, efficacy หรือข้อบ่งใช้ไม่ตรงกับโจทย์ที่กำหนด
• ข้อ จ. (ไม่ผ่าน ต้องมีการทดสอบ sterility test ใหม่):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18" t="inlineStr"/>
      <c r="L7" s="18" t="inlineStr">
        <is>
          <t>Sterility &amp; Pyrogen testing</t>
        </is>
      </c>
      <c r="M7" s="18" t="inlineStr">
        <is>
          <t>Sterile Products</t>
        </is>
      </c>
      <c r="N7" s="18" t="inlineStr">
        <is>
          <t>Mock PLE-CC 1 ข้อ 105</t>
        </is>
      </c>
      <c r="O7" s="18" t="inlineStr">
        <is>
          <t>Mock</t>
        </is>
      </c>
      <c r="P7" s="18" t="inlineStr">
        <is>
          <t>Mock RxCU83</t>
        </is>
      </c>
      <c r="Q7" s="18" t="inlineStr"/>
    </row>
    <row r="8">
      <c r="A8" s="15" t="inlineStr">
        <is>
          <t>7</t>
        </is>
      </c>
      <c r="B8" s="18" t="inlineStr">
        <is>
          <t>ผลิตภัณฑ์ยาหยอดตาที่มีการทำ filtration sterilization ข้อใดไม่ถูกต้อง</t>
        </is>
      </c>
      <c r="C8" s="18" t="inlineStr"/>
      <c r="D8" s="18" t="inlineStr">
        <is>
          <t>ต้องทำใน clean room และใช้ aseptic techniques</t>
        </is>
      </c>
      <c r="E8" s="18" t="inlineStr">
        <is>
          <t>เป็น terminal (finish) process</t>
        </is>
      </c>
      <c r="F8" s="18" t="inlineStr">
        <is>
          <t>ใช้ 0.22 ไมครอน ในการกรองจุลินทรีย์</t>
        </is>
      </c>
      <c r="G8" s="18" t="inlineStr">
        <is>
          <t>ยาที่กรองแล้วต้องใส่ภาชนะที่ทำ sterilization แล้ว</t>
        </is>
      </c>
      <c r="H8" s="18"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15" t="inlineStr">
        <is>
          <t>1</t>
        </is>
      </c>
      <c r="J8" s="18"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ข้อนี้ไม่ใช่คำตอบที่ถูกต้องสำหรับภาวะ Autoclave &amp; Sterilization เนื่องจากกลไกการออกฤทธิ์, efficacy หรือข้อบ่งใช้ไม่ตรงกับโจทย์ที่กำหนด
• ข้อ ค. (เป็น terminal (finish) process): ข้อนี้ไม่ใช่คำตอบที่ถูกต้องสำหรับภาวะ Autoclave &amp; Sterilization เนื่องจากกลไกการออกฤทธิ์, efficacy หรือข้อบ่งใช้ไม่ตรงกับโจทย์ที่กำหนด
• ข้อ ง. (ใช้ 0.22 ไมครอน ในการกรองจุลินทรีย์): ข้อนี้ไม่ใช่คำตอบที่ถูกต้องสำหรับภาวะ Autoclave &amp; Sterilization เนื่องจากกลไกการออกฤทธิ์, efficacy หรือข้อบ่งใช้ไม่ตรงกับโจทย์ที่กำหนด
• ข้อ จ. (ยาที่กรองแล้วต้องใส่ภาชนะที่ทำ sterilization แล้ว):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18" t="inlineStr"/>
      <c r="L8" s="18" t="inlineStr">
        <is>
          <t>Autoclave &amp; Sterilization</t>
        </is>
      </c>
      <c r="M8" s="18" t="inlineStr">
        <is>
          <t>Sterile Products</t>
        </is>
      </c>
      <c r="N8" s="18" t="inlineStr">
        <is>
          <t>PLE_CC1_2567_Key ข้อ 17</t>
        </is>
      </c>
      <c r="O8" s="18" t="inlineStr">
        <is>
          <t>ข้อสอบจริง</t>
        </is>
      </c>
      <c r="P8" s="18" t="inlineStr">
        <is>
          <t>ปี 2567</t>
        </is>
      </c>
      <c r="Q8" s="18" t="inlineStr"/>
    </row>
    <row r="9">
      <c r="A9" s="15" t="inlineStr">
        <is>
          <t>8</t>
        </is>
      </c>
      <c r="B9" s="18" t="inlineStr">
        <is>
          <t>อะไรใน sterile IV mixture set ที่เกิดปกญหามากที่สุดกับ nitroglycerin</t>
        </is>
      </c>
      <c r="C9" s="18" t="inlineStr"/>
      <c r="D9" s="18" t="inlineStr">
        <is>
          <t>Polyethylene</t>
        </is>
      </c>
      <c r="E9" s="18" t="inlineStr">
        <is>
          <t>Polypropylene</t>
        </is>
      </c>
      <c r="F9" s="18" t="inlineStr">
        <is>
          <t>Teflon</t>
        </is>
      </c>
      <c r="G9" s="18" t="inlineStr">
        <is>
          <t>PVC</t>
        </is>
      </c>
      <c r="H9" s="18"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15" t="inlineStr">
        <is>
          <t>1</t>
        </is>
      </c>
      <c r="J9" s="18"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ข้อนี้ไม่ใช่คำตอบที่ถูกต้องสำหรับภาวะ Parenterals &amp; Ophthalmic เนื่องจากกลไกการออกฤทธิ์, efficacy หรือข้อบ่งใช้ไม่ตรงกับโจทย์ที่กำหนด
• ข้อ ค. (Polypropylene): ข้อนี้ไม่ใช่คำตอบที่ถูกต้องสำหรับภาวะ Parenterals &amp; Ophthalmic เนื่องจากกลไกการออกฤทธิ์, efficacy หรือข้อบ่งใช้ไม่ตรงกับโจทย์ที่กำหนด
• ข้อ ง. (Teflon): ข้อนี้ไม่ใช่คำตอบที่ถูกต้องสำหรับภาวะ Parenterals &amp; Ophthalmic เนื่องจากกลไกการออกฤทธิ์, efficacy หรือข้อบ่งใช้ไม่ตรงกับโจทย์ที่กำหนด
• ข้อ จ. (PVC):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18" t="inlineStr"/>
      <c r="L9" s="18" t="inlineStr">
        <is>
          <t>Parenterals &amp; Ophthalmic</t>
        </is>
      </c>
      <c r="M9" s="18" t="inlineStr">
        <is>
          <t>Sterile Products</t>
        </is>
      </c>
      <c r="N9" s="18" t="inlineStr">
        <is>
          <t>PLE_CC1_2565_Day2_Key ข้อ 27</t>
        </is>
      </c>
      <c r="O9" s="18" t="inlineStr">
        <is>
          <t>ข้อสอบจริง</t>
        </is>
      </c>
      <c r="P9" s="18" t="inlineStr">
        <is>
          <t>ปี 2565</t>
        </is>
      </c>
      <c r="Q9" s="18" t="inlineStr"/>
    </row>
    <row r="10">
      <c r="A10" s="15" t="inlineStr">
        <is>
          <t>9</t>
        </is>
      </c>
      <c r="B10" s="18"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18" t="inlineStr"/>
      <c r="D10" s="18" t="inlineStr">
        <is>
          <t>Buffering agent</t>
        </is>
      </c>
      <c r="E10" s="18" t="inlineStr">
        <is>
          <t>Viscosity enhancer</t>
        </is>
      </c>
      <c r="F10" s="18" t="inlineStr">
        <is>
          <t>surface active agent</t>
        </is>
      </c>
      <c r="G10" s="18" t="inlineStr">
        <is>
          <t>isotonic agent</t>
        </is>
      </c>
      <c r="H10" s="18"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15" t="inlineStr">
        <is>
          <t>1</t>
        </is>
      </c>
      <c r="J10" s="18"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ข้อนี้ไม่ใช่คำตอบที่ถูกต้องสำหรับภาวะ Parenterals &amp; Ophthalmic เนื่องจากกลไกการออกฤทธิ์, efficacy หรือข้อบ่งใช้ไม่ตรงกับโจทย์ที่กำหนด
• ข้อ ค. (Viscosity enhancer): ข้อนี้ไม่ใช่คำตอบที่ถูกต้องสำหรับภาวะ Parenterals &amp; Ophthalmic เนื่องจากกลไกการออกฤทธิ์, efficacy หรือข้อบ่งใช้ไม่ตรงกับโจทย์ที่กำหนด
• ข้อ ง. (surface active agent): ข้อนี้ไม่ใช่คำตอบที่ถูกต้องสำหรับภาวะ Parenterals &amp; Ophthalmic เนื่องจากกลไกการออกฤทธิ์, efficacy หรือข้อบ่งใช้ไม่ตรงกับโจทย์ที่กำหนด
• ข้อ จ. (isotonic agent):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18" t="inlineStr"/>
      <c r="L10" s="18" t="inlineStr">
        <is>
          <t>Parenterals &amp; Ophthalmic</t>
        </is>
      </c>
      <c r="M10" s="18" t="inlineStr">
        <is>
          <t>Sterile Products</t>
        </is>
      </c>
      <c r="N10" s="18" t="inlineStr">
        <is>
          <t>PLE_CC1_2565_Day2_Key ข้อ 43</t>
        </is>
      </c>
      <c r="O10" s="18" t="inlineStr">
        <is>
          <t>ข้อสอบจริง</t>
        </is>
      </c>
      <c r="P10" s="18" t="inlineStr">
        <is>
          <t>ปี 2565</t>
        </is>
      </c>
      <c r="Q10" s="18" t="inlineStr"/>
    </row>
    <row r="11">
      <c r="A11" s="18" t="n">
        <v>9</v>
      </c>
      <c r="B11" s="18" t="inlineStr">
        <is>
          <t>ข้อใดถูกต้องเกี่ยวกับยา steroid ฉีดเข้าข้อ X &amp;o preservative&amp;</t>
        </is>
      </c>
      <c r="C11" s="18" t="n"/>
      <c r="D11" s="18" t="inlineStr">
        <is>
          <t>ห้ามใส่สารกันเสีย</t>
        </is>
      </c>
      <c r="E11" s="18" t="inlineStr">
        <is>
          <t>ฉีดเข้าข้อเท่านั้น ห้ามฉีดเข้ากล้ามเนื้อ</t>
        </is>
      </c>
      <c r="F11" s="18" t="inlineStr">
        <is>
          <t>ฉีดเข้าข้อได้มากกว่า 100 มิลลิลิตร</t>
        </is>
      </c>
      <c r="G11" s="18" t="inlineStr">
        <is>
          <t>ทำเป็นยารูปแบบแขวนตะกอนได้</t>
        </is>
      </c>
      <c r="H11" s="18" t="inlineStr">
        <is>
          <t>Sterile ด้วย autoclave</t>
        </is>
      </c>
      <c r="I11" s="18" t="n">
        <v>1</v>
      </c>
      <c r="J11" s="18"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ข้อนี้ไม่ใช่คำตอบที่ถูกต้องสำหรับภาวะ Parenterals &amp; Ophthalmic เนื่องจากกลไกการออกฤทธิ์, efficacy หรือข้อบ่งใช้ไม่ตรงกับโจทย์ที่กำหนด
• ข้อ ค. (ฉีดเข้าข้อได้มากกว่า 100 มิลลิลิตร): ข้อนี้ไม่ใช่คำตอบที่ถูกต้องสำหรับภาวะ Parenterals &amp; Ophthalmic เนื่องจากกลไกการออกฤทธิ์, efficacy หรือข้อบ่งใช้ไม่ตรงกับโจทย์ที่กำหนด
• ข้อ ง. (ทำเป็นยารูปแบบแขวนตะกอนได้):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 autoclave):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8" t="n"/>
      <c r="L11" s="18" t="inlineStr">
        <is>
          <t>Parenterals &amp; Ophthalmic</t>
        </is>
      </c>
      <c r="M11" s="18" t="inlineStr">
        <is>
          <t>Product</t>
        </is>
      </c>
      <c r="N11" s="18" t="inlineStr">
        <is>
          <t>ข้อ 30 (PLE_CC1_2562_Key.md)</t>
        </is>
      </c>
      <c r="O11" s="18" t="inlineStr">
        <is>
          <t>ข้อสอบจริง</t>
        </is>
      </c>
      <c r="P11" s="18" t="inlineStr">
        <is>
          <t>ปี 2562</t>
        </is>
      </c>
    </row>
    <row r="12">
      <c r="A12" s="18" t="n">
        <v>10</v>
      </c>
      <c r="B12" s="18" t="inlineStr">
        <is>
          <t>หลังเกิด hepatitis จากยา IRZE ยาใดเหมาะสมที่สุดในการให้แทนยา 1st line X ิ areisinterna nurser. hepatitis an IRZO "EOS</t>
        </is>
      </c>
      <c r="C12" s="18" t="n"/>
      <c r="D12" s="18" t="inlineStr">
        <is>
          <t>PAS</t>
        </is>
      </c>
      <c r="E12" s="18" t="inlineStr">
        <is>
          <t>Streptomycin</t>
        </is>
      </c>
      <c r="F12" s="18" t="inlineStr">
        <is>
          <t>Thalidomide</t>
        </is>
      </c>
      <c r="G12" s="18" t="inlineStr">
        <is>
          <t>Ethioamide</t>
        </is>
      </c>
      <c r="H12" s="18" t="inlineStr">
        <is>
          <t>Linezolid</t>
        </is>
      </c>
      <c r="I12" s="18" t="n">
        <v>1</v>
      </c>
      <c r="J12" s="18"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ข้อนี้ไม่ใช่คำตอบที่ถูกต้องสำหรับภาวะ Sterile Cleanroom specs เนื่องจากกลไกการออกฤทธิ์, efficacy หรือข้อบ่งใช้ไม่ตรงกับโจทย์ที่กำหนด
• ข้อ ค. (Thalidomide): ข้อนี้ไม่ใช่คำตอบที่ถูกต้องสำหรับภาวะ Sterile Cleanroom specs เนื่องจากกลไกการออกฤทธิ์, efficacy หรือข้อบ่งใช้ไม่ตรงกับโจทย์ที่กำหนด
• ข้อ ง. (Ethioamide): ข้อนี้ไม่ใช่คำตอบที่ถูกต้องสำหรับภาวะ Sterile Cleanroom specs เนื่องจากกลไกการออกฤทธิ์, efficacy หรือข้อบ่งใช้ไม่ตรงกับโจทย์ที่กำหนด
• ข้อ จ. (Linezolid):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8" t="n"/>
      <c r="L12" s="18" t="inlineStr">
        <is>
          <t>Sterile Cleanroom specs</t>
        </is>
      </c>
      <c r="M12" s="18" t="inlineStr">
        <is>
          <t>Product</t>
        </is>
      </c>
      <c r="N12" s="18" t="inlineStr">
        <is>
          <t>ข้อ 12 (PLE_CC1_2562_Key.md)</t>
        </is>
      </c>
      <c r="O12" s="18" t="inlineStr">
        <is>
          <t>ข้อสอบจริง</t>
        </is>
      </c>
      <c r="P12" s="18" t="inlineStr">
        <is>
          <t>ปี 2562</t>
        </is>
      </c>
    </row>
    <row r="13">
      <c r="A13" s="18" t="n">
        <v>11</v>
      </c>
      <c r="B13" s="18" t="inlineStr">
        <is>
          <t>ข้อใดไม.ใช.การทดสอบเพื่อควบคุมคุณภาพยาฉีด</t>
        </is>
      </c>
      <c r="C13" s="18" t="n"/>
      <c r="D13" s="18" t="inlineStr">
        <is>
          <t>Safety test</t>
        </is>
      </c>
      <c r="E13" s="18" t="inlineStr">
        <is>
          <t>Sterility test</t>
        </is>
      </c>
      <c r="F13" s="18" t="inlineStr">
        <is>
          <t>Pyrogen test</t>
        </is>
      </c>
      <c r="G13" s="18" t="inlineStr">
        <is>
          <t>Particulate matter test</t>
        </is>
      </c>
      <c r="H13" s="18" t="inlineStr">
        <is>
          <t>Microbial test</t>
        </is>
      </c>
      <c r="I13" s="18" t="n">
        <v>1</v>
      </c>
      <c r="J13" s="18"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ง. (Particulate matter test): ข้อนี้ไม่ใช่คำตอบที่ถูกต้องสำหรับภาวะ Parenterals &amp; Ophthalmic เนื่องจากกลไกการออกฤทธิ์, efficacy หรือข้อบ่งใช้ไม่ตรงกับโจทย์ที่กำหนด
• ข้อ จ. (Microbial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8" t="n"/>
      <c r="L13" s="18" t="inlineStr">
        <is>
          <t>Parenterals &amp; Ophthalmic</t>
        </is>
      </c>
      <c r="M13" s="18" t="inlineStr">
        <is>
          <t>Product</t>
        </is>
      </c>
      <c r="N13" s="18" t="inlineStr">
        <is>
          <t>ข้อ 124 (PLE_CC1_2561_Key.md)</t>
        </is>
      </c>
      <c r="O13" s="18" t="inlineStr">
        <is>
          <t>ข้อสอบจริง</t>
        </is>
      </c>
      <c r="P13" s="18" t="inlineStr">
        <is>
          <t>ปี 2561</t>
        </is>
      </c>
    </row>
    <row r="14">
      <c r="A14" s="18" t="n">
        <v>12</v>
      </c>
      <c r="B14" s="18" t="inlineStr">
        <is>
          <t>วิธีการทำปราศจากเชื้อวัคซีน</t>
        </is>
      </c>
      <c r="C14" s="18" t="n"/>
      <c r="D14" s="18" t="inlineStr">
        <is>
          <t>Aseptic technique</t>
        </is>
      </c>
      <c r="E14" s="18" t="inlineStr">
        <is>
          <t>Autoclave</t>
        </is>
      </c>
      <c r="F14" s="18" t="inlineStr">
        <is>
          <t>Hot air oven</t>
        </is>
      </c>
      <c r="G14" s="18" t="inlineStr">
        <is>
          <t>Gamma radiation</t>
        </is>
      </c>
      <c r="H14" s="18" t="inlineStr">
        <is>
          <t>Ethylene oxide</t>
        </is>
      </c>
      <c r="I14" s="18" t="n">
        <v>1</v>
      </c>
      <c r="J14" s="18"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ข้อนี้ไม่ใช่คำตอบที่ถูกต้องสำหรับภาวะ Parenterals &amp; Ophthalmic เนื่องจากกลไกการออกฤทธิ์, efficacy หรือข้อบ่งใช้ไม่ตรงกับโจทย์ที่กำหนด
• ข้อ ค. (Hot air oven): ข้อนี้ไม่ใช่คำตอบที่ถูกต้องสำหรับภาวะ Parenterals &amp; Ophthalmic เนื่องจากกลไกการออกฤทธิ์, efficacy หรือข้อบ่งใช้ไม่ตรงกับโจทย์ที่กำหนด
• ข้อ ง. (Gamma radiation):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8" t="n"/>
      <c r="L14" s="18" t="inlineStr">
        <is>
          <t>Parenterals &amp; Ophthalmic</t>
        </is>
      </c>
      <c r="M14" s="18" t="inlineStr">
        <is>
          <t>Product</t>
        </is>
      </c>
      <c r="N14" s="18" t="inlineStr">
        <is>
          <t>ข้อ 40 (PLE_CC1_2558_Key.md)</t>
        </is>
      </c>
      <c r="O14" s="18" t="inlineStr">
        <is>
          <t>ข้อสอบจริง</t>
        </is>
      </c>
      <c r="P14" s="18" t="inlineStr">
        <is>
          <t>ปี 2558</t>
        </is>
      </c>
    </row>
    <row r="15">
      <c r="A15" s="18" t="n">
        <v>13</v>
      </c>
      <c r="B15" s="18" t="inlineStr">
        <is>
          <t>ผู้ป่วยได้รับการวินิจฉัยว่ามีภาวะ hepatic encephalopathy ยาในข้อใดที_x001e_ผู้ป่วยรายนี%ไม่ควรได้รับ (1) Lorazepam (2) Flumazenil (3) Zinc sulfate (4) Lactulose (5) Rifaximin</t>
        </is>
      </c>
      <c r="C15" s="18" t="n"/>
      <c r="D15" s="18" t="inlineStr">
        <is>
          <t>Isotonic Sodium Chloride 0.9% Osmotic Adjustment</t>
        </is>
      </c>
      <c r="E15" s="18" t="inlineStr">
        <is>
          <t>Moist Heat Steam Sterilization (Autoclave 121 C, 15 psi, 15 min)</t>
        </is>
      </c>
      <c r="F15" s="18" t="inlineStr">
        <is>
          <t>Dry Heat Sterilization (Hot Air Oven 160-170 C, 2 hours)</t>
        </is>
      </c>
      <c r="G15" s="18" t="inlineStr">
        <is>
          <t>Membrane Filtration Sterilization (0.22 micron pore size)</t>
        </is>
      </c>
      <c r="H15" s="18" t="inlineStr">
        <is>
          <t>Ethylene Oxide Gas Sterilization (ETO)</t>
        </is>
      </c>
      <c r="I15" s="18" t="n">
        <v>1</v>
      </c>
      <c r="J15" s="18"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8" t="n"/>
      <c r="L15" s="18" t="inlineStr">
        <is>
          <t>Sterile Cleanroom specs</t>
        </is>
      </c>
      <c r="M15" s="18" t="inlineStr">
        <is>
          <t>Product</t>
        </is>
      </c>
      <c r="N15" s="18" t="inlineStr">
        <is>
          <t>ข้อ 57 (PLE_CC1_2557.md)</t>
        </is>
      </c>
      <c r="O15" s="18" t="inlineStr">
        <is>
          <t>ข้อสอบจริง</t>
        </is>
      </c>
      <c r="P15" s="18" t="inlineStr">
        <is>
          <t>ปี 2557</t>
        </is>
      </c>
    </row>
    <row r="16">
      <c r="A16" s="18" t="n">
        <v>14</v>
      </c>
      <c r="B16" s="18"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18" t="n"/>
      <c r="D16" s="18" t="inlineStr">
        <is>
          <t>Membrane Filtration Sterilization (0.22 micron pore size)</t>
        </is>
      </c>
      <c r="E16" s="18" t="inlineStr">
        <is>
          <t>Ethylene Oxide Gas Sterilization (ETO)</t>
        </is>
      </c>
      <c r="F16" s="18" t="inlineStr">
        <is>
          <t>LAL Test (Limulus Amebocyte Lysate Bacterial Endotoxin)</t>
        </is>
      </c>
      <c r="G16" s="18" t="inlineStr">
        <is>
          <t>Rabbit Pyrogen Test in vivo</t>
        </is>
      </c>
      <c r="H16" s="18" t="inlineStr">
        <is>
          <t>ISO Class 5 (Grade A) Laminar Airflow Workstation</t>
        </is>
      </c>
      <c r="I16" s="18" t="n">
        <v>1</v>
      </c>
      <c r="J16" s="18"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ข้อนี้ไม่ใช่คำตอบที่ถูกต้องสำหรับภาวะ Sterility &amp; Pyrogen testing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Sterility &amp; Pyrogen testing เนื่องจากกลไกการออกฤทธิ์, efficacy หรือข้อบ่งใช้ไม่ตรงกับโจทย์ที่กำหนด
• ข้อ ง. (Rabbit Pyrogen Test in vivo): ข้อนี้ไม่ใช่คำตอบที่ถูกต้องสำหรับภาวะ Sterility &amp; Pyrogen testing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8" t="n"/>
      <c r="L16" s="18" t="inlineStr">
        <is>
          <t>Sterility &amp; Pyrogen testing</t>
        </is>
      </c>
      <c r="M16" s="18" t="inlineStr">
        <is>
          <t>Product</t>
        </is>
      </c>
      <c r="N16" s="18" t="inlineStr">
        <is>
          <t>ข้อ 80 (PLE_CC1_2557.md)</t>
        </is>
      </c>
      <c r="O16" s="18" t="inlineStr">
        <is>
          <t>ข้อสอบจริง</t>
        </is>
      </c>
      <c r="P16" s="18" t="inlineStr">
        <is>
          <t>ปี 2557</t>
        </is>
      </c>
    </row>
    <row r="17">
      <c r="A17" s="18" t="n">
        <v>15</v>
      </c>
      <c r="B17" s="18" t="inlineStr">
        <is>
          <t>การทดสอบโดยการฉีดเข้าไปในหูกระต่ายแล้ววัดอุณหภูมิของกระต่ายที่สูงขึ้น เป็นการทดสอบอะไร</t>
        </is>
      </c>
      <c r="C17" s="18" t="n"/>
      <c r="D17" s="18" t="inlineStr">
        <is>
          <t>Clarity test</t>
        </is>
      </c>
      <c r="E17" s="18" t="inlineStr">
        <is>
          <t>Sterility test</t>
        </is>
      </c>
      <c r="F17" s="18" t="inlineStr">
        <is>
          <t>Purity test</t>
        </is>
      </c>
      <c r="G17" s="18" t="inlineStr">
        <is>
          <t>Pyrogen test</t>
        </is>
      </c>
      <c r="H17" s="18" t="inlineStr">
        <is>
          <t>Toxicity test</t>
        </is>
      </c>
      <c r="I17" s="18" t="n">
        <v>1</v>
      </c>
      <c r="J17" s="18"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(Purity test): ข้อนี้ไม่ใช่คำตอบที่ถูกต้องสำหรับภาวะ Parenterals &amp; Ophthalmic เนื่องจากกลไกการออกฤทธิ์, efficacy หรือข้อบ่งใช้ไม่ตรงกับโจทย์ที่กำหนด
• ข้อ ง.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จ. (Toxicity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8" t="n"/>
      <c r="L17" s="18" t="inlineStr">
        <is>
          <t>Parenterals &amp; Ophthalmic</t>
        </is>
      </c>
      <c r="M17" s="18" t="inlineStr">
        <is>
          <t>Product</t>
        </is>
      </c>
      <c r="N17" s="18" t="inlineStr">
        <is>
          <t>ข้อ 18 (PLE_CC1_2555 Day 1.md)</t>
        </is>
      </c>
      <c r="O17" s="18" t="inlineStr">
        <is>
          <t>ข้อสอบจริง</t>
        </is>
      </c>
      <c r="P17" s="18" t="inlineStr">
        <is>
          <t>ปี 2555</t>
        </is>
      </c>
    </row>
    <row r="18">
      <c r="A18" s="18" t="n">
        <v>16</v>
      </c>
      <c r="B18" s="18" t="inlineStr">
        <is>
          <t>Cholestasis hepatitis</t>
        </is>
      </c>
      <c r="C18" s="18" t="n"/>
      <c r="D18" s="18" t="inlineStr">
        <is>
          <t>Dry Powder Inhaler (DPI) with Carrier Lactose</t>
        </is>
      </c>
      <c r="E18" s="18" t="inlineStr">
        <is>
          <t>Isotonic Sodium Chloride 0.9% Osmotic Adjustment</t>
        </is>
      </c>
      <c r="F18" s="18" t="inlineStr">
        <is>
          <t>Moist Heat Steam Sterilization (Autoclave 121 C, 15 psi, 15 min)</t>
        </is>
      </c>
      <c r="G18" s="18" t="inlineStr">
        <is>
          <t>Dry Heat Sterilization (Hot Air Oven 160-170 C, 2 hours)</t>
        </is>
      </c>
      <c r="H18" s="18" t="inlineStr">
        <is>
          <t>Membrane Filtration Sterilization (0.22 micron pore size)</t>
        </is>
      </c>
      <c r="I18" s="18" t="n">
        <v>1</v>
      </c>
      <c r="J18" s="18"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8" t="n"/>
      <c r="L18" s="18" t="inlineStr">
        <is>
          <t>Sterile Cleanroom specs</t>
        </is>
      </c>
      <c r="M18" s="18" t="inlineStr">
        <is>
          <t>Product</t>
        </is>
      </c>
      <c r="N18" s="18" t="inlineStr">
        <is>
          <t>ข้อ 1 (PLE_CC1_2555 Day 2.md)</t>
        </is>
      </c>
      <c r="O18" s="18" t="inlineStr">
        <is>
          <t>ข้อสอบจริง</t>
        </is>
      </c>
      <c r="P18" s="18" t="inlineStr">
        <is>
          <t>ปี 2555</t>
        </is>
      </c>
    </row>
    <row r="19">
      <c r="A19" s="18" t="n">
        <v>17</v>
      </c>
      <c r="B19" s="18" t="inlineStr">
        <is>
          <t>Hepatitic fibrosis</t>
        </is>
      </c>
      <c r="C19" s="18" t="n"/>
      <c r="D19" s="18" t="inlineStr">
        <is>
          <t>Dry Heat Sterilization (Hot Air Oven 160-170 C, 2 hours)</t>
        </is>
      </c>
      <c r="E19" s="18" t="inlineStr">
        <is>
          <t>Membrane Filtration Sterilization (0.22 micron pore size)</t>
        </is>
      </c>
      <c r="F19" s="18" t="inlineStr">
        <is>
          <t>Ethylene Oxide Gas Sterilization (ETO)</t>
        </is>
      </c>
      <c r="G19" s="18" t="inlineStr">
        <is>
          <t>LAL Test (Limulus Amebocyte Lysate Bacterial Endotoxin)</t>
        </is>
      </c>
      <c r="H19" s="18" t="inlineStr">
        <is>
          <t>Rabbit Pyrogen Test in vivo</t>
        </is>
      </c>
      <c r="I19" s="18" t="n">
        <v>1</v>
      </c>
      <c r="J19" s="18"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8" t="n"/>
      <c r="L19" s="18" t="inlineStr">
        <is>
          <t>Sterile Cleanroom specs</t>
        </is>
      </c>
      <c r="M19" s="18" t="inlineStr">
        <is>
          <t>Product</t>
        </is>
      </c>
      <c r="N19" s="18" t="inlineStr">
        <is>
          <t>ข้อ 2 (PLE_CC1_2555 Day 2.md)</t>
        </is>
      </c>
      <c r="O19" s="18" t="inlineStr">
        <is>
          <t>ข้อสอบจริง</t>
        </is>
      </c>
      <c r="P19" s="18" t="inlineStr">
        <is>
          <t>ปี 2555</t>
        </is>
      </c>
    </row>
    <row r="20">
      <c r="A20" s="18" t="n">
        <v>18</v>
      </c>
      <c r="B20" s="18" t="inlineStr">
        <is>
          <t>Hepatocellular hepatitis</t>
        </is>
      </c>
      <c r="C20" s="18" t="n"/>
      <c r="D20" s="18" t="inlineStr">
        <is>
          <t>LAL Test (Limulus Amebocyte Lysate Bacterial Endotoxin)</t>
        </is>
      </c>
      <c r="E20" s="18" t="inlineStr">
        <is>
          <t>Rabbit Pyrogen Test in vivo</t>
        </is>
      </c>
      <c r="F20" s="18" t="inlineStr">
        <is>
          <t>ISO Class 5 (Grade A) Laminar Airflow Workstation</t>
        </is>
      </c>
      <c r="G20" s="18" t="inlineStr">
        <is>
          <t>Metered Dose Inhaler (MDI) with HFA propellant</t>
        </is>
      </c>
      <c r="H20" s="18" t="inlineStr">
        <is>
          <t>Dry Powder Inhaler (DPI) with Carrier Lactose</t>
        </is>
      </c>
      <c r="I20" s="18" t="n">
        <v>1</v>
      </c>
      <c r="J20" s="18"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8" t="n"/>
      <c r="L20" s="18" t="inlineStr">
        <is>
          <t>Sterile Cleanroom specs</t>
        </is>
      </c>
      <c r="M20" s="18" t="inlineStr">
        <is>
          <t>Product</t>
        </is>
      </c>
      <c r="N20" s="18" t="inlineStr">
        <is>
          <t>ข้อ 3 (PLE_CC1_2555 Day 2.md)</t>
        </is>
      </c>
      <c r="O20" s="18" t="inlineStr">
        <is>
          <t>ข้อสอบจริง</t>
        </is>
      </c>
      <c r="P20" s="18" t="inlineStr">
        <is>
          <t>ปี 2555</t>
        </is>
      </c>
    </row>
    <row r="21">
      <c r="A21" s="18" t="n">
        <v>19</v>
      </c>
      <c r="B21" s="18" t="inlineStr">
        <is>
          <t>Granulomatous hepatitis</t>
        </is>
      </c>
      <c r="C21" s="18" t="n"/>
      <c r="D21" s="18" t="inlineStr">
        <is>
          <t>Metered Dose Inhaler (MDI) with HFA propellant</t>
        </is>
      </c>
      <c r="E21" s="18" t="inlineStr">
        <is>
          <t>Dry Powder Inhaler (DPI) with Carrier Lactose</t>
        </is>
      </c>
      <c r="F21" s="18" t="inlineStr">
        <is>
          <t>Isotonic Sodium Chloride 0.9% Osmotic Adjustment</t>
        </is>
      </c>
      <c r="G21" s="18" t="inlineStr">
        <is>
          <t>Moist Heat Steam Sterilization (Autoclave 121 C, 15 psi, 15 min)</t>
        </is>
      </c>
      <c r="H21" s="18" t="inlineStr">
        <is>
          <t>Dry Heat Sterilization (Hot Air Oven 160-170 C, 2 hours)</t>
        </is>
      </c>
      <c r="I21" s="18" t="n">
        <v>1</v>
      </c>
      <c r="J21" s="18"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8" t="n"/>
      <c r="L21" s="18" t="inlineStr">
        <is>
          <t>Sterile Cleanroom specs</t>
        </is>
      </c>
      <c r="M21" s="18" t="inlineStr">
        <is>
          <t>Product</t>
        </is>
      </c>
      <c r="N21" s="18" t="inlineStr">
        <is>
          <t>ข้อ 4 (PLE_CC1_2555 Day 2.md)</t>
        </is>
      </c>
      <c r="O21" s="18" t="inlineStr">
        <is>
          <t>ข้อสอบจริง</t>
        </is>
      </c>
      <c r="P21" s="18" t="inlineStr">
        <is>
          <t>ปี 2555</t>
        </is>
      </c>
    </row>
    <row r="22">
      <c r="A22" s="18" t="n">
        <v>20</v>
      </c>
      <c r="B22" s="18" t="inlineStr">
        <is>
          <t>Elevated hepatic transaminase</t>
        </is>
      </c>
      <c r="C22" s="18" t="n"/>
      <c r="D22" s="18" t="inlineStr">
        <is>
          <t>Moist Heat Steam Sterilization (Autoclave 121 C, 15 psi, 15 min)</t>
        </is>
      </c>
      <c r="E22" s="18" t="inlineStr">
        <is>
          <t>Dry Heat Sterilization (Hot Air Oven 160-170 C, 2 hours)</t>
        </is>
      </c>
      <c r="F22" s="18" t="inlineStr">
        <is>
          <t>Membrane Filtration Sterilization (0.22 micron pore size)</t>
        </is>
      </c>
      <c r="G22" s="18" t="inlineStr">
        <is>
          <t>Ethylene Oxide Gas Sterilization (ETO)</t>
        </is>
      </c>
      <c r="H22" s="18" t="inlineStr">
        <is>
          <t>LAL Test (Limulus Amebocyte Lysate Bacterial Endotoxin)</t>
        </is>
      </c>
      <c r="I22" s="18" t="n">
        <v>1</v>
      </c>
      <c r="J22" s="18"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8" t="n"/>
      <c r="L22" s="18" t="inlineStr">
        <is>
          <t>Sterile Cleanroom specs</t>
        </is>
      </c>
      <c r="M22" s="18" t="inlineStr">
        <is>
          <t>Product</t>
        </is>
      </c>
      <c r="N22" s="18" t="inlineStr">
        <is>
          <t>ข้อ 1 (PLE_CC1_2554 SET2.md)</t>
        </is>
      </c>
      <c r="O22" s="18" t="inlineStr">
        <is>
          <t>ข้อสอบจริง</t>
        </is>
      </c>
      <c r="P22" s="18" t="inlineStr">
        <is>
          <t>ปี 2554</t>
        </is>
      </c>
    </row>
    <row r="23">
      <c r="A23" s="18" t="n">
        <v>21</v>
      </c>
      <c r="B23" s="18" t="inlineStr">
        <is>
          <t>อะไรคือสิ่งที่สำคัญที่สุดในการทำยาหยอดตา</t>
        </is>
      </c>
      <c r="C23" s="18" t="n"/>
      <c r="D23" s="18" t="inlineStr">
        <is>
          <t>Tonicity</t>
        </is>
      </c>
      <c r="E23" s="18" t="inlineStr">
        <is>
          <t>Preservatives</t>
        </is>
      </c>
      <c r="F23" s="18" t="inlineStr">
        <is>
          <t>Sterity</t>
        </is>
      </c>
      <c r="G23" s="18" t="inlineStr">
        <is>
          <t>Volume</t>
        </is>
      </c>
      <c r="H23" s="18" t="inlineStr">
        <is>
          <t>pH</t>
        </is>
      </c>
      <c r="I23" s="18" t="n">
        <v>2</v>
      </c>
      <c r="J23" s="18"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ข้อนี้ไม่ใช่คำตอบที่ถูกต้องสำหรับภาวะ Parenterals &amp; Ophthalmic เนื่องจากกลไกการออกฤทธิ์, efficacy หรือข้อบ่งใช้ไม่ตรงกับโจทย์ที่กำหนด
• ข้อ ค. (Sterity): ข้อนี้ไม่ใช่คำตอบที่ถูกต้องสำหรับภาวะ Parenterals &amp; Ophthalmic เนื่องจากกลไกการออกฤทธิ์, efficacy หรือข้อบ่งใช้ไม่ตรงกับโจทย์ที่กำหนด
• ข้อ ง. (Volume): ข้อนี้ไม่ใช่คำตอบที่ถูกต้องสำหรับภาวะ Parenterals &amp; Ophthalmic เนื่องจากกลไกการออกฤทธิ์, efficacy หรือข้อบ่งใช้ไม่ตรงกับโจทย์ที่กำหนด
• ข้อ จ. (pH):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8" t="n"/>
      <c r="L23" s="18" t="inlineStr">
        <is>
          <t>Parenterals &amp; Ophthalmic</t>
        </is>
      </c>
      <c r="M23" s="18" t="inlineStr">
        <is>
          <t>Product</t>
        </is>
      </c>
      <c r="N23" s="18" t="inlineStr">
        <is>
          <t>ข้อ 7 (PLE_CC1_2554 SET2.md)</t>
        </is>
      </c>
      <c r="O23" s="18" t="inlineStr">
        <is>
          <t>ข้อสอบจริง</t>
        </is>
      </c>
      <c r="P23" s="18" t="inlineStr">
        <is>
          <t>ปี 2554</t>
        </is>
      </c>
    </row>
    <row r="24">
      <c r="A24" s="18" t="n">
        <v>22</v>
      </c>
      <c r="B24" s="18"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18" t="n"/>
      <c r="D24" s="18" t="inlineStr">
        <is>
          <t>ISO Class 5 (Grade A) Laminar Airflow Workstation</t>
        </is>
      </c>
      <c r="E24" s="18" t="inlineStr">
        <is>
          <t>Metered Dose Inhaler (MDI) with HFA propellant</t>
        </is>
      </c>
      <c r="F24" s="18" t="inlineStr">
        <is>
          <t>Dry Powder Inhaler (DPI) with Carrier Lactose</t>
        </is>
      </c>
      <c r="G24" s="18" t="inlineStr">
        <is>
          <t>Isotonic Sodium Chloride 0.9% Osmotic Adjustment</t>
        </is>
      </c>
      <c r="H24" s="18" t="inlineStr">
        <is>
          <t>Moist Heat Steam Sterilization (Autoclave 121 C, 15 psi, 15 min)</t>
        </is>
      </c>
      <c r="I24" s="18" t="n">
        <v>1</v>
      </c>
      <c r="J24" s="18"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8" t="n"/>
      <c r="L24" s="18" t="inlineStr">
        <is>
          <t>Sterile Cleanroom specs</t>
        </is>
      </c>
      <c r="M24" s="18" t="inlineStr">
        <is>
          <t>Product</t>
        </is>
      </c>
      <c r="N24" s="18" t="inlineStr">
        <is>
          <t>ข้อ 2 (PLE_CC1_2533.md)</t>
        </is>
      </c>
      <c r="O24" s="18" t="inlineStr">
        <is>
          <t>ข้อสอบจริง</t>
        </is>
      </c>
      <c r="P24" s="18" t="inlineStr">
        <is>
          <t>ปี 2533</t>
        </is>
      </c>
    </row>
    <row r="25">
      <c r="A25" s="18" t="n">
        <v>23</v>
      </c>
      <c r="B25" s="18" t="inlineStr">
        <is>
          <t>หากท่านต้องการเตรียมการผลิต แบ่งบรรจุยาเคมีบำบัด ควรเตรียมยาในห้องที่มีสภาวะแบบใด</t>
        </is>
      </c>
      <c r="C25" s="18" t="n"/>
      <c r="D25" s="18" t="inlineStr">
        <is>
          <t>Isotonic Sodium Chloride 0.9% Osmotic Adjustment</t>
        </is>
      </c>
      <c r="E25" s="18" t="inlineStr">
        <is>
          <t>Moist Heat Steam Sterilization (Autoclave 121 C, 15 psi, 15 min)</t>
        </is>
      </c>
      <c r="F25" s="18" t="inlineStr">
        <is>
          <t>Dry Heat Sterilization (Hot Air Oven 160-170 C, 2 hours)</t>
        </is>
      </c>
      <c r="G25" s="18" t="inlineStr">
        <is>
          <t>Membrane Filtration Sterilization (0.22 micron pore size)</t>
        </is>
      </c>
      <c r="H25" s="18" t="inlineStr">
        <is>
          <t>Ethylene Oxide Gas Sterilization (ETO)</t>
        </is>
      </c>
      <c r="I25" s="18" t="n">
        <v>1</v>
      </c>
      <c r="J25" s="18"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ข้อนี้ไม่ใช่คำตอบที่ถูกต้องสำหรับภาวะ Parenterals &amp; Ophthalmic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Parenterals &amp; Ophthalmic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8" t="n"/>
      <c r="L25" s="18" t="inlineStr">
        <is>
          <t>Parenterals &amp; Ophthalmic</t>
        </is>
      </c>
      <c r="M25" s="18" t="inlineStr">
        <is>
          <t>Product</t>
        </is>
      </c>
      <c r="N25" s="18" t="inlineStr">
        <is>
          <t>ข้อ 8 (PLE_CC1_2533.md)</t>
        </is>
      </c>
      <c r="O25" s="18" t="inlineStr">
        <is>
          <t>ข้อสอบจริง</t>
        </is>
      </c>
      <c r="P25" s="18" t="inlineStr">
        <is>
          <t>ปี 2533</t>
        </is>
      </c>
    </row>
    <row r="26">
      <c r="A26" s="18" t="n">
        <v>24</v>
      </c>
      <c r="B26" s="18"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18" t="n"/>
      <c r="D26" s="18" t="inlineStr">
        <is>
          <t>ควรเลือก Unfractionated Heparin (UFH) เนื่องจากเกิด thrombocytopenia ต่ำ</t>
        </is>
      </c>
      <c r="E26" s="18" t="inlineStr">
        <is>
          <t>ควรเลือก Unfractionated Heparin (UFH) เนื่องจากปรับขนาดยาง่าย</t>
        </is>
      </c>
      <c r="F26" s="18" t="inlineStr">
        <is>
          <t>ควรเลือก Unfractionated Heparin (UFH) เนื่องจากมี specificity สูง</t>
        </is>
      </c>
      <c r="G26" s="18" t="inlineStr">
        <is>
          <t>ควรเลือก Low molecular weight heparin (LMWH) เนื่องจากบริหารยาง่าย</t>
        </is>
      </c>
      <c r="H26" s="18" t="inlineStr">
        <is>
          <t>ควรเลือก Low molecular weight heparin (LMWH) เนื่องจากไม่ต้องปรับขนาดยาในคนไข้โรค ไต</t>
        </is>
      </c>
      <c r="I26" s="18" t="n">
        <v>1</v>
      </c>
      <c r="J26" s="18"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8" t="n"/>
      <c r="L26" s="18" t="inlineStr">
        <is>
          <t>Sterile Cleanroom specs</t>
        </is>
      </c>
      <c r="M26" s="18" t="inlineStr">
        <is>
          <t>Product</t>
        </is>
      </c>
      <c r="N26" s="18" t="inlineStr">
        <is>
          <t>ข้อ 7 (PLE_CC1_Practice_Exam.md)</t>
        </is>
      </c>
      <c r="O26" s="18" t="inlineStr">
        <is>
          <t>Mock</t>
        </is>
      </c>
      <c r="P26" s="18" t="inlineStr">
        <is>
          <t>Mock สภาเภสัชฯ Practice</t>
        </is>
      </c>
    </row>
    <row r="27">
      <c r="A27" s="18" t="n">
        <v>25</v>
      </c>
      <c r="B27" s="18" t="inlineStr">
        <is>
          <t>เภสัชกรพิจารณาจ่ายยา Chloramphenicol eye drop เภสัชกรควรให้คำแนะนำในการหยอดตาอย่างไร</t>
        </is>
      </c>
      <c r="C27" s="18" t="n"/>
      <c r="D27" s="18" t="inlineStr">
        <is>
          <t>หลังเปิดใช้งานแล้วเก็บยาที่อุณหภูมิห้องหรือภายในตู้เย็น โดยยามีอายุ 14 วันหลังเปิดใช้งาน</t>
        </is>
      </c>
      <c r="E27" s="18" t="inlineStr">
        <is>
          <t>หากผู้ป่วยจำเป็นต้องใช้ยาป้ายตา ointment ร่วมด้วยควรใช้ยาป้ายตาก่อนหยอดตา Chloramphenicol eye drop</t>
        </is>
      </c>
      <c r="F27" s="18" t="inlineStr">
        <is>
          <t>การกดหัวตาเบาๆ อาจช่วยลดความรู้สึกขมคอภายหลังหยอดตาได้</t>
        </is>
      </c>
      <c r="G27" s="18"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18" t="inlineStr">
        <is>
          <t>ล้างมือให้สะอาด เปิดฝาครอบขวดยาออก คว่ำฝาชวดยาลงบนพื้น</t>
        </is>
      </c>
      <c r="I27" s="18" t="n">
        <v>1</v>
      </c>
      <c r="J27" s="18"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ข้อนี้ไม่ใช่คำตอบที่ถูกต้องสำหรับภาวะ Parenterals &amp; Ophthalmic เนื่องจากกลไกการออกฤทธิ์, efficacy หรือข้อบ่งใช้ไม่ตรงกับโจทย์ที่กำหนด
• ข้อ ค. (การกดหัวตาเบาๆ อาจช่วยลดความรู้สึกขมคอภายหลังหยอดตาได้): ข้อนี้ไม่ใช่คำตอบที่ถูกต้องสำหรับภาวะ Parenterals &amp; Ophthalmic เนื่องจากกลไกการออกฤทธิ์, efficacy หรือข้อบ่งใช้ไม่ตรงกับโจทย์ที่กำหนด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ข้อนี้ไม่ใช่คำตอบที่ถูกต้องสำหรับภาวะ Parenterals &amp; Ophthalmic เนื่องจากกลไกการออกฤทธิ์, efficacy หรือข้อบ่งใช้ไม่ตรงกับโจทย์ที่กำหนด
• ข้อ จ. (ล้างมือให้สะอาด เปิดฝาครอบขวดยาออก คว่ำฝาชวดยาลงบนพื้น):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8" t="n"/>
      <c r="L27" s="18" t="inlineStr">
        <is>
          <t>Parenterals &amp; Ophthalmic</t>
        </is>
      </c>
      <c r="M27" s="18" t="inlineStr">
        <is>
          <t>Product</t>
        </is>
      </c>
      <c r="N27" s="18" t="inlineStr">
        <is>
          <t>ข้อ 25 (PLE_CC1_Practice_Exam.md)</t>
        </is>
      </c>
      <c r="O27" s="18" t="inlineStr">
        <is>
          <t>Mock</t>
        </is>
      </c>
      <c r="P27" s="18" t="inlineStr">
        <is>
          <t>Mock สภาเภสัชฯ Practice</t>
        </is>
      </c>
    </row>
    <row r="28">
      <c r="A28" s="18" t="n">
        <v>26</v>
      </c>
      <c r="B28" s="18"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18" t="n"/>
      <c r="D28" s="18" t="inlineStr">
        <is>
          <t>Metformin (มีผลข้างเคียงทำให้น้ำหนักลด) ง. Chlorpropamide จ. Sitagliptin</t>
        </is>
      </c>
      <c r="E28" s="18" t="inlineStr">
        <is>
          <t>Isotonic Sodium Chloride 0.9% Osmotic Adjustment</t>
        </is>
      </c>
      <c r="F28" s="18" t="inlineStr">
        <is>
          <t>Moist Heat Steam Sterilization (Autoclave 121 C, 15 psi, 15 min)</t>
        </is>
      </c>
      <c r="G28" s="18" t="inlineStr">
        <is>
          <t>Dry Heat Sterilization (Hot Air Oven 160-170 C, 2 hours)</t>
        </is>
      </c>
      <c r="H28" s="18" t="inlineStr">
        <is>
          <t>Membrane Filtration Sterilization (0.22 micron pore size)</t>
        </is>
      </c>
      <c r="I28" s="18" t="n">
        <v>1</v>
      </c>
      <c r="J28" s="18"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8" t="n"/>
      <c r="L28" s="18" t="inlineStr">
        <is>
          <t>Sterile Cleanroom specs</t>
        </is>
      </c>
      <c r="M28" s="18" t="inlineStr">
        <is>
          <t>Product</t>
        </is>
      </c>
      <c r="N28" s="18" t="inlineStr">
        <is>
          <t>ข้อ 6 (PLE_CC1_Practice_Exam.md)</t>
        </is>
      </c>
      <c r="O28" s="18" t="inlineStr">
        <is>
          <t>Mock</t>
        </is>
      </c>
      <c r="P28" s="18" t="inlineStr">
        <is>
          <t>Mock สภาเภสัชฯ Practice</t>
        </is>
      </c>
    </row>
    <row r="29">
      <c r="A29" s="18" t="n">
        <v>27</v>
      </c>
      <c r="B29" s="18"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18" t="n"/>
      <c r="D29" s="18" t="inlineStr">
        <is>
          <t>Dry Heat Sterilization (Hot Air Oven 160-170 C, 2 hours)</t>
        </is>
      </c>
      <c r="E29" s="18" t="inlineStr">
        <is>
          <t>Membrane Filtration Sterilization (0.22 micron pore size)</t>
        </is>
      </c>
      <c r="F29" s="18" t="inlineStr">
        <is>
          <t>Ethylene Oxide Gas Sterilization (ETO)</t>
        </is>
      </c>
      <c r="G29" s="18" t="inlineStr">
        <is>
          <t>LAL Test (Limulus Amebocyte Lysate Bacterial Endotoxin)</t>
        </is>
      </c>
      <c r="H29" s="18" t="inlineStr">
        <is>
          <t>Rabbit Pyrogen Test in vivo</t>
        </is>
      </c>
      <c r="I29" s="18" t="n">
        <v>1</v>
      </c>
      <c r="J29" s="18"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8" t="n"/>
      <c r="L29" s="18" t="inlineStr">
        <is>
          <t>Sterile Cleanroom specs</t>
        </is>
      </c>
      <c r="M29" s="18" t="inlineStr">
        <is>
          <t>Product</t>
        </is>
      </c>
      <c r="N29" s="18" t="inlineStr">
        <is>
          <t>ข้อ 8 (PLE_CC1_Practice_Exam.md)</t>
        </is>
      </c>
      <c r="O29" s="18" t="inlineStr">
        <is>
          <t>Mock</t>
        </is>
      </c>
      <c r="P29" s="18" t="inlineStr">
        <is>
          <t>Mock สภาเภสัชฯ Practice</t>
        </is>
      </c>
    </row>
    <row r="30">
      <c r="A30" s="18" t="n">
        <v>28</v>
      </c>
      <c r="B30" s="18"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18" t="n"/>
      <c r="D30" s="18" t="inlineStr">
        <is>
          <t>LAL Test (Limulus Amebocyte Lysate Bacterial Endotoxin)</t>
        </is>
      </c>
      <c r="E30" s="18" t="inlineStr">
        <is>
          <t>Rabbit Pyrogen Test in vivo</t>
        </is>
      </c>
      <c r="F30" s="18" t="inlineStr">
        <is>
          <t>ISO Class 5 (Grade A) Laminar Airflow Workstation</t>
        </is>
      </c>
      <c r="G30" s="18" t="inlineStr">
        <is>
          <t>Metered Dose Inhaler (MDI) with HFA propellant</t>
        </is>
      </c>
      <c r="H30" s="18" t="inlineStr">
        <is>
          <t>Dry Powder Inhaler (DPI) with Carrier Lactose</t>
        </is>
      </c>
      <c r="I30" s="18" t="n">
        <v>1</v>
      </c>
      <c r="J30" s="18"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8" t="n"/>
      <c r="L30" s="18" t="inlineStr">
        <is>
          <t>Sterile Cleanroom specs</t>
        </is>
      </c>
      <c r="M30" s="18" t="inlineStr">
        <is>
          <t>Product</t>
        </is>
      </c>
      <c r="N30" s="18" t="inlineStr">
        <is>
          <t>ข้อ 10 (PLE_CC1_Practice_Exam.md)</t>
        </is>
      </c>
      <c r="O30" s="18" t="inlineStr">
        <is>
          <t>Mock</t>
        </is>
      </c>
      <c r="P30" s="18" t="inlineStr">
        <is>
          <t>Mock สภาเภสัชฯ Practice</t>
        </is>
      </c>
    </row>
    <row r="31">
      <c r="A31" s="18" t="n">
        <v>29</v>
      </c>
      <c r="B31" s="18"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18" t="n"/>
      <c r="D31" s="18" t="inlineStr">
        <is>
          <t>Metered Dose Inhaler (MDI) with HFA propellant</t>
        </is>
      </c>
      <c r="E31" s="18" t="inlineStr">
        <is>
          <t>Dry Powder Inhaler (DPI) with Carrier Lactose</t>
        </is>
      </c>
      <c r="F31" s="18" t="inlineStr">
        <is>
          <t>Isotonic Sodium Chloride 0.9% Osmotic Adjustment</t>
        </is>
      </c>
      <c r="G31" s="18" t="inlineStr">
        <is>
          <t>Moist Heat Steam Sterilization (Autoclave 121 C, 15 psi, 15 min)</t>
        </is>
      </c>
      <c r="H31" s="18" t="inlineStr">
        <is>
          <t>Dry Heat Sterilization (Hot Air Oven 160-170 C, 2 hours)</t>
        </is>
      </c>
      <c r="I31" s="18" t="n">
        <v>1</v>
      </c>
      <c r="J31" s="18"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8" t="n"/>
      <c r="L31" s="18" t="inlineStr">
        <is>
          <t>Sterile Cleanroom specs</t>
        </is>
      </c>
      <c r="M31" s="18" t="inlineStr">
        <is>
          <t>Product</t>
        </is>
      </c>
      <c r="N31" s="18" t="inlineStr">
        <is>
          <t>ข้อ 4 (PLE_CC1_Practice_Exam.md)</t>
        </is>
      </c>
      <c r="O31" s="18" t="inlineStr">
        <is>
          <t>Mock</t>
        </is>
      </c>
      <c r="P31" s="18" t="inlineStr">
        <is>
          <t>Mock สภาเภสัชฯ Practice</t>
        </is>
      </c>
    </row>
    <row r="32">
      <c r="A32" s="18" t="n">
        <v>30</v>
      </c>
      <c r="B32" s="18"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18" t="n"/>
      <c r="D32" s="18" t="inlineStr">
        <is>
          <t>Moist Heat Steam Sterilization (Autoclave 121 C, 15 psi, 15 min)</t>
        </is>
      </c>
      <c r="E32" s="18" t="inlineStr">
        <is>
          <t>Dry Heat Sterilization (Hot Air Oven 160-170 C, 2 hours)</t>
        </is>
      </c>
      <c r="F32" s="18" t="inlineStr">
        <is>
          <t>Membrane Filtration Sterilization (0.22 micron pore size)</t>
        </is>
      </c>
      <c r="G32" s="18" t="inlineStr">
        <is>
          <t>Ethylene Oxide Gas Sterilization (ETO)</t>
        </is>
      </c>
      <c r="H32" s="18" t="inlineStr">
        <is>
          <t>LAL Test (Limulus Amebocyte Lysate Bacterial Endotoxin)</t>
        </is>
      </c>
      <c r="I32" s="18" t="n">
        <v>1</v>
      </c>
      <c r="J32" s="18"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8" t="n"/>
      <c r="L32" s="18" t="inlineStr">
        <is>
          <t>Sterile Cleanroom specs</t>
        </is>
      </c>
      <c r="M32" s="18" t="inlineStr">
        <is>
          <t>Product</t>
        </is>
      </c>
      <c r="N32" s="18" t="inlineStr">
        <is>
          <t>ข้อ 3 (PLE_CC1_Practice_Exam.md)</t>
        </is>
      </c>
      <c r="O32" s="18" t="inlineStr">
        <is>
          <t>Mock</t>
        </is>
      </c>
      <c r="P32" s="18" t="inlineStr">
        <is>
          <t>Mock สภาเภสัชฯ Practice</t>
        </is>
      </c>
    </row>
    <row r="33">
      <c r="A33" s="18" t="n">
        <v>31</v>
      </c>
      <c r="B33" s="18"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18" t="n"/>
      <c r="D33" s="18" t="inlineStr">
        <is>
          <t>Ethylene Oxide Gas Sterilization (ETO)</t>
        </is>
      </c>
      <c r="E33" s="18" t="inlineStr">
        <is>
          <t>LAL Test (Limulus Amebocyte Lysate Bacterial Endotoxin)</t>
        </is>
      </c>
      <c r="F33" s="18" t="inlineStr">
        <is>
          <t>Rabbit Pyrogen Test in vivo</t>
        </is>
      </c>
      <c r="G33" s="18" t="inlineStr">
        <is>
          <t>ISO Class 5 (Grade A) Laminar Airflow Workstation</t>
        </is>
      </c>
      <c r="H33" s="18" t="inlineStr">
        <is>
          <t>Metered Dose Inhaler (MDI) with HFA propellant</t>
        </is>
      </c>
      <c r="I33" s="18" t="n">
        <v>3</v>
      </c>
      <c r="J33" s="18"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8" t="n"/>
      <c r="L33" s="18" t="inlineStr">
        <is>
          <t>Sterile Cleanroom specs</t>
        </is>
      </c>
      <c r="M33" s="18" t="inlineStr">
        <is>
          <t>Product</t>
        </is>
      </c>
      <c r="N33" s="18" t="inlineStr">
        <is>
          <t>ข้อ 33 (PLE_CC1_Practice_Exam.md)</t>
        </is>
      </c>
      <c r="O33" s="18" t="inlineStr">
        <is>
          <t>Mock</t>
        </is>
      </c>
      <c r="P33" s="18" t="inlineStr">
        <is>
          <t>Mock สภาเภสัชฯ Practice</t>
        </is>
      </c>
    </row>
    <row r="34">
      <c r="A34" s="18" t="n">
        <v>32</v>
      </c>
      <c r="B34" s="18"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18" t="n"/>
      <c r="D34" s="18" t="inlineStr">
        <is>
          <t>ISO Class 5 (Grade A) Laminar Airflow Workstation</t>
        </is>
      </c>
      <c r="E34" s="18" t="inlineStr">
        <is>
          <t>Metered Dose Inhaler (MDI) with HFA propellant</t>
        </is>
      </c>
      <c r="F34" s="18" t="inlineStr">
        <is>
          <t>Dry Powder Inhaler (DPI) with Carrier Lactose</t>
        </is>
      </c>
      <c r="G34" s="18" t="inlineStr">
        <is>
          <t>Isotonic Sodium Chloride 0.9% Osmotic Adjustment</t>
        </is>
      </c>
      <c r="H34" s="18" t="inlineStr">
        <is>
          <t>Moist Heat Steam Sterilization (Autoclave 121 C, 15 psi, 15 min)</t>
        </is>
      </c>
      <c r="I34" s="18" t="n">
        <v>2</v>
      </c>
      <c r="J34" s="18"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8" t="n"/>
      <c r="L34" s="18" t="inlineStr">
        <is>
          <t>Sterile Cleanroom specs</t>
        </is>
      </c>
      <c r="M34" s="18" t="inlineStr">
        <is>
          <t>Product</t>
        </is>
      </c>
      <c r="N34" s="18" t="inlineStr">
        <is>
          <t>ข้อ 39 (PLE_CC1_Practice_Exam.md)</t>
        </is>
      </c>
      <c r="O34" s="18" t="inlineStr">
        <is>
          <t>Mock</t>
        </is>
      </c>
      <c r="P34" s="18" t="inlineStr">
        <is>
          <t>Mock สภาเภสัชฯ Practice</t>
        </is>
      </c>
    </row>
    <row r="35">
      <c r="A35" s="18" t="n">
        <v>33</v>
      </c>
      <c r="B35" s="18"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18" t="n"/>
      <c r="D35" s="18" t="inlineStr">
        <is>
          <t>Isotonic Sodium Chloride 0.9% Osmotic Adjustment</t>
        </is>
      </c>
      <c r="E35" s="18" t="inlineStr">
        <is>
          <t>Moist Heat Steam Sterilization (Autoclave 121 C, 15 psi, 15 min)</t>
        </is>
      </c>
      <c r="F35" s="18" t="inlineStr">
        <is>
          <t>Dry Heat Sterilization (Hot Air Oven 160-170 C, 2 hours)</t>
        </is>
      </c>
      <c r="G35" s="18" t="inlineStr">
        <is>
          <t>Membrane Filtration Sterilization (0.22 micron pore size)</t>
        </is>
      </c>
      <c r="H35" s="18" t="inlineStr">
        <is>
          <t>Ethylene Oxide Gas Sterilization (ETO)</t>
        </is>
      </c>
      <c r="I35" s="18" t="n">
        <v>1</v>
      </c>
      <c r="J35" s="18"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8" t="n"/>
      <c r="L35" s="18" t="inlineStr">
        <is>
          <t>Sterile Cleanroom specs</t>
        </is>
      </c>
      <c r="M35" s="18" t="inlineStr">
        <is>
          <t>Product</t>
        </is>
      </c>
      <c r="N35" s="18" t="inlineStr">
        <is>
          <t>ข้อ 2 (PLE_CC1_Key_Rx20_UBU.md)</t>
        </is>
      </c>
      <c r="O35" s="18" t="inlineStr">
        <is>
          <t>Mock</t>
        </is>
      </c>
      <c r="P35" s="18" t="inlineStr">
        <is>
          <t>Mock Rx20 UBU</t>
        </is>
      </c>
    </row>
    <row r="36">
      <c r="A36" s="18" t="n">
        <v>34</v>
      </c>
      <c r="B36" s="18" t="inlineStr">
        <is>
          <t>ระบบอากาศเป็น HEPA filter และ Pre HEPA</t>
        </is>
      </c>
      <c r="C36" s="18" t="n"/>
      <c r="D36" s="18" t="inlineStr">
        <is>
          <t>Membrane Filtration Sterilization (0.22 micron pore size)</t>
        </is>
      </c>
      <c r="E36" s="18" t="inlineStr">
        <is>
          <t>Ethylene Oxide Gas Sterilization (ETO)</t>
        </is>
      </c>
      <c r="F36" s="18" t="inlineStr">
        <is>
          <t>LAL Test (Limulus Amebocyte Lysate Bacterial Endotoxin)</t>
        </is>
      </c>
      <c r="G36" s="18" t="inlineStr">
        <is>
          <t>Rabbit Pyrogen Test in vivo</t>
        </is>
      </c>
      <c r="H36" s="18" t="inlineStr">
        <is>
          <t>ISO Class 5 (Grade A) Laminar Airflow Workstation</t>
        </is>
      </c>
      <c r="I36" s="18" t="n">
        <v>1</v>
      </c>
      <c r="J36" s="18"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8" t="n"/>
      <c r="L36" s="18" t="inlineStr">
        <is>
          <t>Sterile Cleanroom specs</t>
        </is>
      </c>
      <c r="M36" s="18" t="inlineStr">
        <is>
          <t>Product</t>
        </is>
      </c>
      <c r="N36" s="18" t="inlineStr">
        <is>
          <t>ข้อ 1 (PLE_CC1_Key_Rx20_UBU.md)</t>
        </is>
      </c>
      <c r="O36" s="18" t="inlineStr">
        <is>
          <t>Mock</t>
        </is>
      </c>
      <c r="P36" s="18" t="inlineStr">
        <is>
          <t>Mock Rx20 UBU</t>
        </is>
      </c>
    </row>
    <row r="37">
      <c r="A37" s="18" t="n">
        <v>35</v>
      </c>
      <c r="B37" s="18" t="inlineStr">
        <is>
          <t>Hepatitis B</t>
        </is>
      </c>
      <c r="C37" s="18" t="n"/>
      <c r="D37" s="18" t="inlineStr">
        <is>
          <t>Rabbit Pyrogen Test in vivo</t>
        </is>
      </c>
      <c r="E37" s="18" t="inlineStr">
        <is>
          <t>ISO Class 5 (Grade A) Laminar Airflow Workstation</t>
        </is>
      </c>
      <c r="F37" s="18" t="inlineStr">
        <is>
          <t>Metered Dose Inhaler (MDI) with HFA propellant</t>
        </is>
      </c>
      <c r="G37" s="18" t="inlineStr">
        <is>
          <t>Dry Powder Inhaler (DPI) with Carrier Lactose</t>
        </is>
      </c>
      <c r="H37" s="18" t="inlineStr">
        <is>
          <t>Isotonic Sodium Chloride 0.9% Osmotic Adjustment</t>
        </is>
      </c>
      <c r="I37" s="18" t="n">
        <v>1</v>
      </c>
      <c r="J37" s="18"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8" t="n"/>
      <c r="L37" s="18" t="inlineStr">
        <is>
          <t>Sterile Cleanroom specs</t>
        </is>
      </c>
      <c r="M37" s="18" t="inlineStr">
        <is>
          <t>Product</t>
        </is>
      </c>
      <c r="N37" s="18" t="inlineStr">
        <is>
          <t>ข้อ 5 (PLE_CC1_Key_Rx20_UBU.md)</t>
        </is>
      </c>
      <c r="O37" s="18" t="inlineStr">
        <is>
          <t>Mock</t>
        </is>
      </c>
      <c r="P37" s="18" t="inlineStr">
        <is>
          <t>Mock Rx20 UBU</t>
        </is>
      </c>
    </row>
    <row r="38">
      <c r="A38" s="18" t="n">
        <v>36</v>
      </c>
      <c r="B38" s="18"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18" t="n"/>
      <c r="D38" s="18" t="inlineStr">
        <is>
          <t>Dry Powder Inhaler (DPI) with Carrier Lactose</t>
        </is>
      </c>
      <c r="E38" s="18" t="inlineStr">
        <is>
          <t>Isotonic Sodium Chloride 0.9% Osmotic Adjustment</t>
        </is>
      </c>
      <c r="F38" s="18" t="inlineStr">
        <is>
          <t>Moist Heat Steam Sterilization (Autoclave 121 C, 15 psi, 15 min)</t>
        </is>
      </c>
      <c r="G38" s="18" t="inlineStr">
        <is>
          <t>Dry Heat Sterilization (Hot Air Oven 160-170 C, 2 hours)</t>
        </is>
      </c>
      <c r="H38" s="18" t="inlineStr">
        <is>
          <t>Membrane Filtration Sterilization (0.22 micron pore size)</t>
        </is>
      </c>
      <c r="I38" s="18" t="n">
        <v>5</v>
      </c>
      <c r="J38" s="18"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ข้อนี้ไม่ใช่คำตอบที่ถูกต้องสำหรับภาวะ Sterility &amp; Pyrogen testing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Sterility &amp; Pyrogen testing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8" t="n"/>
      <c r="L38" s="18" t="inlineStr">
        <is>
          <t>Sterility &amp; Pyrogen testing</t>
        </is>
      </c>
      <c r="M38" s="18" t="inlineStr">
        <is>
          <t>Product</t>
        </is>
      </c>
      <c r="N38" s="18" t="inlineStr">
        <is>
          <t>ข้อ 5 (PLE_CC1_Key_Rx20_UBU.md)</t>
        </is>
      </c>
      <c r="O38" s="18" t="inlineStr">
        <is>
          <t>Mock</t>
        </is>
      </c>
      <c r="P38" s="18" t="inlineStr">
        <is>
          <t>Mock Rx20 UBU</t>
        </is>
      </c>
    </row>
    <row r="39">
      <c r="A39" s="18" t="n">
        <v>37</v>
      </c>
      <c r="B39" s="18"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18" t="n"/>
      <c r="D39" s="18" t="inlineStr">
        <is>
          <t>Dry Heat Sterilization (Hot Air Oven 160-170 C, 2 hours)</t>
        </is>
      </c>
      <c r="E39" s="18" t="inlineStr">
        <is>
          <t>Membrane Filtration Sterilization (0.22 micron pore size)</t>
        </is>
      </c>
      <c r="F39" s="18" t="inlineStr">
        <is>
          <t>Ethylene Oxide Gas Sterilization (ETO)</t>
        </is>
      </c>
      <c r="G39" s="18" t="inlineStr">
        <is>
          <t>LAL Test (Limulus Amebocyte Lysate Bacterial Endotoxin)</t>
        </is>
      </c>
      <c r="H39" s="18" t="inlineStr">
        <is>
          <t>Rabbit Pyrogen Test in vivo</t>
        </is>
      </c>
      <c r="I39" s="18" t="n">
        <v>1</v>
      </c>
      <c r="J39" s="18"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8" t="n"/>
      <c r="L39" s="18" t="inlineStr">
        <is>
          <t>Sterile Cleanroom specs</t>
        </is>
      </c>
      <c r="M39" s="18" t="inlineStr">
        <is>
          <t>Product</t>
        </is>
      </c>
      <c r="N39" s="18" t="inlineStr">
        <is>
          <t>ข้อ 5 (PLE_CC1_Key_Rx20_UBU.md)</t>
        </is>
      </c>
      <c r="O39" s="18" t="inlineStr">
        <is>
          <t>Mock</t>
        </is>
      </c>
      <c r="P39" s="18" t="inlineStr">
        <is>
          <t>Mock Rx20 UBU</t>
        </is>
      </c>
    </row>
    <row r="40">
      <c r="A40" s="18" t="n">
        <v>38</v>
      </c>
      <c r="B40" s="18"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18" t="n"/>
      <c r="D40" s="18" t="inlineStr">
        <is>
          <t>LAL Test (Limulus Amebocyte Lysate Bacterial Endotoxin)</t>
        </is>
      </c>
      <c r="E40" s="18" t="inlineStr">
        <is>
          <t>Rabbit Pyrogen Test in vivo</t>
        </is>
      </c>
      <c r="F40" s="18" t="inlineStr">
        <is>
          <t>ISO Class 5 (Grade A) Laminar Airflow Workstation</t>
        </is>
      </c>
      <c r="G40" s="18" t="inlineStr">
        <is>
          <t>Metered Dose Inhaler (MDI) with HFA propellant</t>
        </is>
      </c>
      <c r="H40" s="18" t="inlineStr">
        <is>
          <t>Dry Powder Inhaler (DPI) with Carrier Lactose</t>
        </is>
      </c>
      <c r="I40" s="18" t="n">
        <v>1</v>
      </c>
      <c r="J40" s="18"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8" t="n"/>
      <c r="L40" s="18" t="inlineStr">
        <is>
          <t>Sterile Cleanroom specs</t>
        </is>
      </c>
      <c r="M40" s="18" t="inlineStr">
        <is>
          <t>Product</t>
        </is>
      </c>
      <c r="N40" s="18" t="inlineStr">
        <is>
          <t>ข้อ 57 (PLE_CC1_Key_Rx20_UBU.md)</t>
        </is>
      </c>
      <c r="O40" s="18" t="inlineStr">
        <is>
          <t>Mock</t>
        </is>
      </c>
      <c r="P40" s="18" t="inlineStr">
        <is>
          <t>Mock Rx20 UBU</t>
        </is>
      </c>
    </row>
    <row r="41">
      <c r="A41" s="18" t="n">
        <v>39</v>
      </c>
      <c r="B41" s="18" t="inlineStr">
        <is>
          <t>ลด hepatotoxicity</t>
        </is>
      </c>
      <c r="C41" s="18" t="n"/>
      <c r="D41" s="18" t="inlineStr">
        <is>
          <t>Metered Dose Inhaler (MDI) with HFA propellant</t>
        </is>
      </c>
      <c r="E41" s="18" t="inlineStr">
        <is>
          <t>Dry Powder Inhaler (DPI) with Carrier Lactose</t>
        </is>
      </c>
      <c r="F41" s="18" t="inlineStr">
        <is>
          <t>Isotonic Sodium Chloride 0.9% Osmotic Adjustment</t>
        </is>
      </c>
      <c r="G41" s="18" t="inlineStr">
        <is>
          <t>Moist Heat Steam Sterilization (Autoclave 121 C, 15 psi, 15 min)</t>
        </is>
      </c>
      <c r="H41" s="18" t="inlineStr">
        <is>
          <t>Dry Heat Sterilization (Hot Air Oven 160-170 C, 2 hours)</t>
        </is>
      </c>
      <c r="I41" s="18" t="n">
        <v>1</v>
      </c>
      <c r="J41" s="18"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8" t="n"/>
      <c r="L41" s="18" t="inlineStr">
        <is>
          <t>Sterile Cleanroom specs</t>
        </is>
      </c>
      <c r="M41" s="18" t="inlineStr">
        <is>
          <t>Product</t>
        </is>
      </c>
      <c r="N41" s="18" t="inlineStr">
        <is>
          <t>ข้อ 3 (PLE_CC1_Key_Rx20_UBU.md)</t>
        </is>
      </c>
      <c r="O41" s="18" t="inlineStr">
        <is>
          <t>Mock</t>
        </is>
      </c>
      <c r="P41" s="18" t="inlineStr">
        <is>
          <t>Mock Rx20 UBU</t>
        </is>
      </c>
    </row>
    <row r="42">
      <c r="A42" s="18" t="n">
        <v>40</v>
      </c>
      <c r="B42" s="18"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18" t="n"/>
      <c r="D42" s="18" t="inlineStr">
        <is>
          <t>ข้อเป็นสาเหตุให้เกิด ascites</t>
        </is>
      </c>
      <c r="E42" s="18" t="inlineStr">
        <is>
          <t>Dry Heat Sterilization (Hot Air Oven 160-170 C, 2 hours)</t>
        </is>
      </c>
      <c r="F42" s="18" t="inlineStr">
        <is>
          <t>Membrane Filtration Sterilization (0.22 micron pore size)</t>
        </is>
      </c>
      <c r="G42" s="18" t="inlineStr">
        <is>
          <t>Ethylene Oxide Gas Sterilization (ETO)</t>
        </is>
      </c>
      <c r="H42" s="18" t="inlineStr">
        <is>
          <t>LAL Test (Limulus Amebocyte Lysate Bacterial Endotoxin)</t>
        </is>
      </c>
      <c r="I42" s="18" t="n">
        <v>4</v>
      </c>
      <c r="J42" s="18"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ข้อนี้ไม่ใช่คำตอบที่ถูกต้องสำหรับภาวะ Sterile Cleanroom specs เนื่องจากกลไกการออกฤทธิ์, efficacy หรือข้อบ่งใช้ไม่ตรงกับโจทย์ที่กำหนด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8" t="n"/>
      <c r="L42" s="18" t="inlineStr">
        <is>
          <t>Sterile Cleanroom specs</t>
        </is>
      </c>
      <c r="M42" s="18" t="inlineStr">
        <is>
          <t>Product</t>
        </is>
      </c>
      <c r="N42" s="18" t="inlineStr">
        <is>
          <t>ข้อ 5 (PLE_CC1_Key_Rx20_UBU.md)</t>
        </is>
      </c>
      <c r="O42" s="18" t="inlineStr">
        <is>
          <t>Mock</t>
        </is>
      </c>
      <c r="P42" s="18" t="inlineStr">
        <is>
          <t>Mock Rx20 UBU</t>
        </is>
      </c>
    </row>
    <row r="43">
      <c r="A43" s="18" t="n">
        <v>41</v>
      </c>
      <c r="B43" s="18" t="inlineStr">
        <is>
          <t>oral bactrim Avoid : AMGs เพิ่มความเสียงในการเกิด Hepatorenal syndrome Case ไหนไม่รู้</t>
        </is>
      </c>
      <c r="C43" s="18" t="n"/>
      <c r="D43" s="18" t="inlineStr">
        <is>
          <t>Ethylene Oxide Gas Sterilization (ETO)</t>
        </is>
      </c>
      <c r="E43" s="18" t="inlineStr">
        <is>
          <t>LAL Test (Limulus Amebocyte Lysate Bacterial Endotoxin)</t>
        </is>
      </c>
      <c r="F43" s="18" t="inlineStr">
        <is>
          <t>Rabbit Pyrogen Test in vivo</t>
        </is>
      </c>
      <c r="G43" s="18" t="inlineStr">
        <is>
          <t>ISO Class 5 (Grade A) Laminar Airflow Workstation</t>
        </is>
      </c>
      <c r="H43" s="18" t="inlineStr">
        <is>
          <t>Metered Dose Inhaler (MDI) with HFA propellant</t>
        </is>
      </c>
      <c r="I43" s="18" t="n">
        <v>1</v>
      </c>
      <c r="J43" s="18"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ค.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8" t="n"/>
      <c r="L43" s="18" t="inlineStr">
        <is>
          <t>Sterile Cleanroom specs</t>
        </is>
      </c>
      <c r="M43" s="18" t="inlineStr">
        <is>
          <t>Product</t>
        </is>
      </c>
      <c r="N43" s="18" t="inlineStr">
        <is>
          <t>ข้อ 5 (PLE_CC1_Key_Rx20_UBU.md)</t>
        </is>
      </c>
      <c r="O43" s="18" t="inlineStr">
        <is>
          <t>Mock</t>
        </is>
      </c>
      <c r="P43" s="18" t="inlineStr">
        <is>
          <t>Mock Rx20 UBU</t>
        </is>
      </c>
    </row>
    <row r="44">
      <c r="A44" s="18" t="n">
        <v>42</v>
      </c>
      <c r="B44" s="18" t="inlineStr">
        <is>
          <t>ทำให้ปราศจากเชื้อโดยใช้แกส ethylene oxide (Gas sterilization)</t>
        </is>
      </c>
      <c r="C44" s="18" t="n"/>
      <c r="D44" s="18" t="inlineStr">
        <is>
          <t>ISO Class 5 (Grade A) Laminar Airflow Workstation</t>
        </is>
      </c>
      <c r="E44" s="18" t="inlineStr">
        <is>
          <t>Metered Dose Inhaler (MDI) with HFA propellant</t>
        </is>
      </c>
      <c r="F44" s="18" t="inlineStr">
        <is>
          <t>Dry Powder Inhaler (DPI) with Carrier Lactose</t>
        </is>
      </c>
      <c r="G44" s="18" t="inlineStr">
        <is>
          <t>Isotonic Sodium Chloride 0.9% Osmotic Adjustment</t>
        </is>
      </c>
      <c r="H44" s="18" t="inlineStr">
        <is>
          <t>Moist Heat Steam Sterilization (Autoclave 121 C, 15 psi, 15 min)</t>
        </is>
      </c>
      <c r="I44" s="18" t="n">
        <v>1</v>
      </c>
      <c r="J44" s="18"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ข้อนี้ไม่ใช่คำตอบที่ถูกต้องสำหรับภาวะ Autoclave &amp; Sterilization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8" t="n"/>
      <c r="L44" s="18" t="inlineStr">
        <is>
          <t>Autoclave &amp; Sterilization</t>
        </is>
      </c>
      <c r="M44" s="18" t="inlineStr">
        <is>
          <t>Product</t>
        </is>
      </c>
      <c r="N44" s="18" t="inlineStr">
        <is>
          <t>ข้อ 3 (PLE_CC1_Key_Rx20_UBU.md)</t>
        </is>
      </c>
      <c r="O44" s="18" t="inlineStr">
        <is>
          <t>Mock</t>
        </is>
      </c>
      <c r="P44" s="18" t="inlineStr">
        <is>
          <t>Mock Rx20 UBU</t>
        </is>
      </c>
    </row>
    <row r="45">
      <c r="A45" s="18" t="n">
        <v>43</v>
      </c>
      <c r="B45" s="18" t="inlineStr">
        <is>
          <t>ทำให้ปราศจากเชื้อโดยใช้ความร้อนชื้น (Autoclave)</t>
        </is>
      </c>
      <c r="C45" s="18" t="n"/>
      <c r="D45" s="18" t="inlineStr">
        <is>
          <t>Isotonic Sodium Chloride 0.9% Osmotic Adjustment</t>
        </is>
      </c>
      <c r="E45" s="18" t="inlineStr">
        <is>
          <t>Moist Heat Steam Sterilization (Autoclave 121 C, 15 psi, 15 min)</t>
        </is>
      </c>
      <c r="F45" s="18" t="inlineStr">
        <is>
          <t>Dry Heat Sterilization (Hot Air Oven 160-170 C, 2 hours)</t>
        </is>
      </c>
      <c r="G45" s="18" t="inlineStr">
        <is>
          <t>Membrane Filtration Sterilization (0.22 micron pore size)</t>
        </is>
      </c>
      <c r="H45" s="18" t="inlineStr">
        <is>
          <t>Ethylene Oxide Gas Sterilization (ETO)</t>
        </is>
      </c>
      <c r="I45" s="18" t="n">
        <v>5</v>
      </c>
      <c r="J45" s="18"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ข.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8" t="n"/>
      <c r="L45" s="18" t="inlineStr">
        <is>
          <t>Autoclave &amp; Sterilization</t>
        </is>
      </c>
      <c r="M45" s="18" t="inlineStr">
        <is>
          <t>Product</t>
        </is>
      </c>
      <c r="N45" s="18" t="inlineStr">
        <is>
          <t>ข้อ 5 (PLE_CC1_Key_Rx20_UBU.md)</t>
        </is>
      </c>
      <c r="O45" s="18" t="inlineStr">
        <is>
          <t>Mock</t>
        </is>
      </c>
      <c r="P45" s="18" t="inlineStr">
        <is>
          <t>Mock Rx20 UBU</t>
        </is>
      </c>
    </row>
    <row r="46">
      <c r="A46" s="18" t="n">
        <v>44</v>
      </c>
      <c r="B46" s="18" t="inlineStr">
        <is>
          <t>การตกผลึกซ้ำ (Sterile recrystallization)</t>
        </is>
      </c>
      <c r="C46" s="18" t="n"/>
      <c r="D46" s="18" t="inlineStr">
        <is>
          <t>Membrane Filtration Sterilization (0.22 micron pore size)</t>
        </is>
      </c>
      <c r="E46" s="18" t="inlineStr">
        <is>
          <t>Ethylene Oxide Gas Sterilization (ETO)</t>
        </is>
      </c>
      <c r="F46" s="18" t="inlineStr">
        <is>
          <t>LAL Test (Limulus Amebocyte Lysate Bacterial Endotoxin)</t>
        </is>
      </c>
      <c r="G46" s="18" t="inlineStr">
        <is>
          <t>Rabbit Pyrogen Test in vivo</t>
        </is>
      </c>
      <c r="H46" s="18" t="inlineStr">
        <is>
          <t>ISO Class 5 (Grade A) Laminar Airflow Workstation</t>
        </is>
      </c>
      <c r="I46" s="18" t="n">
        <v>1</v>
      </c>
      <c r="J46" s="18"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ง. (Rabbit Pyrogen Test in vivo): ข้อนี้ไม่ใช่คำตอบที่ถูกต้องสำหรับภาวะ Parenterals &amp; Ophthalmic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8" t="n"/>
      <c r="L46" s="18" t="inlineStr">
        <is>
          <t>Parenterals &amp; Ophthalmic</t>
        </is>
      </c>
      <c r="M46" s="18" t="inlineStr">
        <is>
          <t>Product</t>
        </is>
      </c>
      <c r="N46" s="18" t="inlineStr">
        <is>
          <t>ข้อ 4 (PLE_CC1_Key_Rx20_UBU.md)</t>
        </is>
      </c>
      <c r="O46" s="18" t="inlineStr">
        <is>
          <t>Mock</t>
        </is>
      </c>
      <c r="P46" s="18" t="inlineStr">
        <is>
          <t>Mock Rx20 UBU</t>
        </is>
      </c>
    </row>
    <row r="47">
      <c r="A47" s="18" t="n">
        <v>45</v>
      </c>
      <c r="B47" s="18" t="inlineStr">
        <is>
          <t>BSC class II มี hepa fillter ที่สามารถกรองอากาศได้ 100%</t>
        </is>
      </c>
      <c r="C47" s="18" t="n"/>
      <c r="D47" s="18" t="inlineStr">
        <is>
          <t>Rabbit Pyrogen Test in vivo</t>
        </is>
      </c>
      <c r="E47" s="18" t="inlineStr">
        <is>
          <t>ISO Class 5 (Grade A) Laminar Airflow Workstation</t>
        </is>
      </c>
      <c r="F47" s="18" t="inlineStr">
        <is>
          <t>Metered Dose Inhaler (MDI) with HFA propellant</t>
        </is>
      </c>
      <c r="G47" s="18" t="inlineStr">
        <is>
          <t>Dry Powder Inhaler (DPI) with Carrier Lactose</t>
        </is>
      </c>
      <c r="H47" s="18" t="inlineStr">
        <is>
          <t>Isotonic Sodium Chloride 0.9% Osmotic Adjustment</t>
        </is>
      </c>
      <c r="I47" s="18" t="n">
        <v>1</v>
      </c>
      <c r="J47" s="18"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8" t="n"/>
      <c r="L47" s="18" t="inlineStr">
        <is>
          <t>Sterile Cleanroom specs</t>
        </is>
      </c>
      <c r="M47" s="18" t="inlineStr">
        <is>
          <t>Product</t>
        </is>
      </c>
      <c r="N47" s="18" t="inlineStr">
        <is>
          <t>ข้อ 3 (PLE_CC1_Key_Rx20_UBU.md)</t>
        </is>
      </c>
      <c r="O47" s="18" t="inlineStr">
        <is>
          <t>Mock</t>
        </is>
      </c>
      <c r="P47" s="18" t="inlineStr">
        <is>
          <t>Mock Rx20 UBU</t>
        </is>
      </c>
    </row>
    <row r="48">
      <c r="A48" s="18" t="n">
        <v>46</v>
      </c>
      <c r="B48" s="18"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18" t="n"/>
      <c r="D48" s="18" t="inlineStr">
        <is>
          <t>Dry Powder Inhaler (DPI) with Carrier Lactose</t>
        </is>
      </c>
      <c r="E48" s="18" t="inlineStr">
        <is>
          <t>Isotonic Sodium Chloride 0.9% Osmotic Adjustment</t>
        </is>
      </c>
      <c r="F48" s="18" t="inlineStr">
        <is>
          <t>Moist Heat Steam Sterilization (Autoclave 121 C, 15 psi, 15 min)</t>
        </is>
      </c>
      <c r="G48" s="18" t="inlineStr">
        <is>
          <t>Dry Heat Sterilization (Hot Air Oven 160-170 C, 2 hours)</t>
        </is>
      </c>
      <c r="H48" s="18" t="inlineStr">
        <is>
          <t>Membrane Filtration Sterilization (0.22 micron pore size)</t>
        </is>
      </c>
      <c r="I48" s="18" t="n">
        <v>2</v>
      </c>
      <c r="J48" s="18"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8" t="n"/>
      <c r="L48" s="18" t="inlineStr">
        <is>
          <t>Autoclave &amp; Sterilization</t>
        </is>
      </c>
      <c r="M48" s="18" t="inlineStr">
        <is>
          <t>Product</t>
        </is>
      </c>
      <c r="N48" s="18" t="inlineStr">
        <is>
          <t>ข้อ 5 (PLE_CC1_Key_Rx20_UBU.md)</t>
        </is>
      </c>
      <c r="O48" s="18" t="inlineStr">
        <is>
          <t>Mock</t>
        </is>
      </c>
      <c r="P48" s="18" t="inlineStr">
        <is>
          <t>Mock Rx20 UBU</t>
        </is>
      </c>
    </row>
    <row r="49">
      <c r="A49" s="18" t="n">
        <v>47</v>
      </c>
      <c r="B49" s="18"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18" t="inlineStr"/>
      <c r="D49" s="18" t="inlineStr">
        <is>
          <t>เป็นการบริหารยาแบบ Non-invasive</t>
        </is>
      </c>
      <c r="E49" s="18" t="inlineStr">
        <is>
          <t>ยาออกฤทธิ์แค่ที่อวัยวะเป้าหมาย ไม่เข้าสู่กระแสเลือด</t>
        </is>
      </c>
      <c r="F49" s="18" t="inlineStr">
        <is>
          <t>ยาในส่วนที่ลงสู่ปอดไม่ผ่าน First-pass metabolism</t>
        </is>
      </c>
      <c r="G49" s="18" t="inlineStr">
        <is>
          <t>มีผลข้างเคียงทั่วร่างกายน้อยกว่ายารูปแบบรับประทาน</t>
        </is>
      </c>
      <c r="H49" s="18" t="inlineStr">
        <is>
          <t>สามารถปรับขนาดยาให้เหมาะสมได้เมื่อเทียบกับยารูปแบบรับประทาน</t>
        </is>
      </c>
      <c r="I49" s="15" t="inlineStr">
        <is>
          <t>2</t>
        </is>
      </c>
      <c r="J49" s="18"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18" t="inlineStr"/>
      <c r="L49" s="18" t="inlineStr">
        <is>
          <t>Sterile &amp; Special Forms</t>
        </is>
      </c>
      <c r="M49" s="18" t="inlineStr">
        <is>
          <t>Product</t>
        </is>
      </c>
      <c r="N49" s="18" t="inlineStr">
        <is>
          <t>Mock PLE-CC 1 ข้อ 100</t>
        </is>
      </c>
      <c r="O49" s="18" t="inlineStr">
        <is>
          <t>Mock</t>
        </is>
      </c>
      <c r="P49" s="18" t="inlineStr">
        <is>
          <t>Mock RxCU83</t>
        </is>
      </c>
    </row>
    <row r="50">
      <c r="A50" s="18" t="n">
        <v>48</v>
      </c>
      <c r="B50" s="18"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18" t="inlineStr"/>
      <c r="D50" s="18" t="inlineStr">
        <is>
          <t>Ethyl cellulose</t>
        </is>
      </c>
      <c r="E50" s="18" t="inlineStr">
        <is>
          <t>Cellulose acetate</t>
        </is>
      </c>
      <c r="F50" s="18" t="inlineStr">
        <is>
          <t>Polysorbate 80</t>
        </is>
      </c>
      <c r="G50" s="18" t="inlineStr">
        <is>
          <t>Sorbitol</t>
        </is>
      </c>
      <c r="H50" s="18" t="inlineStr">
        <is>
          <t>Hydroxypropyl methylcellulose (HPMC)</t>
        </is>
      </c>
      <c r="I50" s="15" t="inlineStr">
        <is>
          <t>5</t>
        </is>
      </c>
      <c r="J50" s="18"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18" t="inlineStr"/>
      <c r="L50" s="18" t="inlineStr">
        <is>
          <t>Sterile &amp; Special Forms</t>
        </is>
      </c>
      <c r="M50" s="18" t="inlineStr">
        <is>
          <t>Product</t>
        </is>
      </c>
      <c r="N50" s="18" t="inlineStr">
        <is>
          <t>PLE_CC1_2567_Key ข้อ 32</t>
        </is>
      </c>
      <c r="O50" s="18" t="inlineStr">
        <is>
          <t>ข้อสอบจริง</t>
        </is>
      </c>
      <c r="P50" s="18" t="inlineStr">
        <is>
          <t>ปี 2567</t>
        </is>
      </c>
    </row>
    <row r="51">
      <c r="A51" s="18" t="n">
        <v>49</v>
      </c>
      <c r="B51" s="18" t="inlineStr">
        <is>
          <t>ผลิตภัณฑ์ยาหยอดตาที่มีการทำให้ปราศจากเชื้อด้วยวิธี Filtration sterilization ข้อใดต่อไปนี้กล่าว "ไม่ถูกต้อง"</t>
        </is>
      </c>
      <c r="C51" s="18" t="inlineStr"/>
      <c r="D51" s="18" t="inlineStr">
        <is>
          <t>กระบวนการกรองและบรรจุต้องทำภายใต้ Cleanroom และเทคนิคปลอดเชื้อ (Aseptic technique)</t>
        </is>
      </c>
      <c r="E51" s="18" t="inlineStr">
        <is>
          <t>การกรองผ่านแผ่นกรองขนาด 0.22 ไมครอน จัดเป็นกระบวนการ Terminal sterilization</t>
        </is>
      </c>
      <c r="F51" s="18" t="inlineStr">
        <is>
          <t>ใช้แผ่นกรองเมมเบรนขนาดรูพรุน 0.22 ไมครอน ในการกำจัดจุลินทรีย์และแบคทีเรีย</t>
        </is>
      </c>
      <c r="G51" s="18" t="inlineStr">
        <is>
          <t>สารละลายยาที่กรองแล้วต้องบรรจุลงในภาชนะบรรจุที่ผ่านการทำให้ปราศจากเชื้อมาแล้ว</t>
        </is>
      </c>
      <c r="H51" s="18" t="inlineStr">
        <is>
          <t>เป็นวิธีที่เหมาะสมสำหรับสารละลายยาที่ไม่คงตัวต่อความร้อน (Thermolabile drugs)</t>
        </is>
      </c>
      <c r="I51" s="15" t="inlineStr">
        <is>
          <t>2</t>
        </is>
      </c>
      <c r="J51" s="18"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18" t="inlineStr"/>
      <c r="L51" s="18" t="inlineStr">
        <is>
          <t>Sterile &amp; Special Forms</t>
        </is>
      </c>
      <c r="M51" s="18" t="inlineStr">
        <is>
          <t>Product</t>
        </is>
      </c>
      <c r="N51" s="18" t="inlineStr">
        <is>
          <t>PLE_CC1_2567_Key ข้อ 17</t>
        </is>
      </c>
      <c r="O51" s="18" t="inlineStr">
        <is>
          <t>ข้อสอบจริง</t>
        </is>
      </c>
      <c r="P51" s="18" t="inlineStr">
        <is>
          <t>ปี 2567</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109"/>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18" t="inlineStr">
        <is>
          <t>ประเภทข้อสอบ</t>
        </is>
      </c>
      <c r="P2" s="18" t="inlineStr">
        <is>
          <t>ปี / เลขชุด</t>
        </is>
      </c>
    </row>
    <row r="3">
      <c r="A3" s="15" t="inlineStr">
        <is>
          <t>2</t>
        </is>
      </c>
      <c r="B3" s="18" t="inlineStr">
        <is>
          <t>ความท้าทายในการควบคุมคุณภาพยา biologics เทียบกับ small molecules drug</t>
        </is>
      </c>
      <c r="C3" s="18" t="inlineStr"/>
      <c r="D3" s="18" t="inlineStr">
        <is>
          <t>biologics โครงสร้างซับซ้อนและไวต่อสภาพแวดล้อม เช่น pH ความร้อน</t>
        </is>
      </c>
      <c r="E3" s="18" t="inlineStr">
        <is>
          <t>biologics มีสูตรเคมีที่ง่ายต่อการสังเคราะห์มากกว่า</t>
        </is>
      </c>
      <c r="F3" s="18" t="inlineStr">
        <is>
          <t>Small molecules ต้องเก็บในตู้เย็น</t>
        </is>
      </c>
      <c r="G3" s="18" t="inlineStr">
        <is>
          <t>Small molecules มีผลข้างเคียงมากกว่า</t>
        </is>
      </c>
      <c r="H3" s="18" t="inlineStr">
        <is>
          <t>Biologics ละลายในน ้าง่ายกว่า</t>
        </is>
      </c>
      <c r="I3" s="15" t="inlineStr">
        <is>
          <t>1</t>
        </is>
      </c>
      <c r="J3" s="18"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ข้อนี้ไม่ใช่คำตอบที่ถูกต้องสำหรับภาวะ Recombinant DNA เนื่องจากกลไกการออกฤทธิ์, efficacy หรือข้อบ่งใช้ไม่ตรงกับโจทย์ที่กำหนด
• ข้อ ค. (biologics มีสูตรเคมีที่ง่ายต่อการสังเคราะห์มากกว่า): ข้อนี้ไม่ใช่คำตอบที่ถูกต้องสำหรับภาวะ Recombinant DNA เนื่องจากกลไกการออกฤทธิ์, efficacy หรือข้อบ่งใช้ไม่ตรงกับโจทย์ที่กำหนด
• ข้อ ง. (Small molecules ต้องเก็บในตู้เย็น): ข้อนี้ไม่ใช่คำตอบที่ถูกต้องสำหรับภาวะ Recombinant DNA เนื่องจากกลไกการออกฤทธิ์, efficacy หรือข้อบ่งใช้ไม่ตรงกับโจทย์ที่กำหนด
• ข้อ จ. (Small molecules มีผลข้างเคียงมากกว่า):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8" t="inlineStr"/>
      <c r="L3" s="18" t="inlineStr">
        <is>
          <t>Recombinant DNA</t>
        </is>
      </c>
      <c r="M3" s="18" t="inlineStr">
        <is>
          <t>Biotech Products</t>
        </is>
      </c>
      <c r="N3" s="18" t="inlineStr">
        <is>
          <t>Mock PLE-CC 1 ข้อ 35</t>
        </is>
      </c>
      <c r="O3" s="18" t="inlineStr">
        <is>
          <t>Mock</t>
        </is>
      </c>
      <c r="P3" s="18" t="inlineStr">
        <is>
          <t>Mock RxCU83</t>
        </is>
      </c>
      <c r="Q3" s="18" t="inlineStr"/>
    </row>
    <row r="4">
      <c r="A4" s="15" t="inlineStr">
        <is>
          <t>3</t>
        </is>
      </c>
      <c r="B4" s="18" t="inlineStr">
        <is>
          <t>วัคซีนต้องเก็บในcold temp. คือกี่องศาเซลเซียส ตัวเลือก</t>
        </is>
      </c>
      <c r="C4" s="18" t="inlineStr"/>
      <c r="D4" s="18" t="inlineStr">
        <is>
          <t>Biotech Products</t>
        </is>
      </c>
      <c r="E4" s="18" t="inlineStr">
        <is>
          <t>Immunogenicity Neutralizing Antibody Assay</t>
        </is>
      </c>
      <c r="F4" s="18" t="inlineStr">
        <is>
          <t>Polysorbate 20 surfactant to prevent protein aggregation</t>
        </is>
      </c>
      <c r="G4" s="18" t="inlineStr">
        <is>
          <t>Histidine Buffer pH 6.0 formulation stability</t>
        </is>
      </c>
      <c r="H4" s="18" t="inlineStr">
        <is>
          <t>Recombinant DNA Human Insulin in E. coli</t>
        </is>
      </c>
      <c r="I4" s="15" t="inlineStr">
        <is>
          <t>1</t>
        </is>
      </c>
      <c r="J4" s="18"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8" t="inlineStr"/>
      <c r="L4" s="18" t="inlineStr">
        <is>
          <t>Recombinant DNA</t>
        </is>
      </c>
      <c r="M4" s="18" t="inlineStr">
        <is>
          <t>Biotech Products</t>
        </is>
      </c>
      <c r="N4" s="18" t="inlineStr">
        <is>
          <t>PLE-CC1 ปี 2566 Day 1 ข้อ 39</t>
        </is>
      </c>
      <c r="O4" s="18" t="inlineStr">
        <is>
          <t>ข้อสอบจริง</t>
        </is>
      </c>
      <c r="P4" s="18" t="inlineStr">
        <is>
          <t>ปี 2566</t>
        </is>
      </c>
    </row>
    <row r="5">
      <c r="A5" s="15" t="inlineStr">
        <is>
          <t>4</t>
        </is>
      </c>
      <c r="B5" s="18"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18" t="inlineStr"/>
      <c r="D5" s="18" t="inlineStr">
        <is>
          <t>Biotech Products</t>
        </is>
      </c>
      <c r="E5" s="18" t="inlineStr">
        <is>
          <t>Recombinant DNA Human Insulin in E. coli</t>
        </is>
      </c>
      <c r="F5" s="18" t="inlineStr">
        <is>
          <t>Monoclonal Antibody IgG1 (CHO Cell Expression)</t>
        </is>
      </c>
      <c r="G5" s="18" t="inlineStr">
        <is>
          <t>Polyethylene Glycol (PEG) Conjugation for extended half-life</t>
        </is>
      </c>
      <c r="H5" s="18" t="inlineStr">
        <is>
          <t>Lyophilization (Freeze-drying) with Trehalose Cryoprotectant</t>
        </is>
      </c>
      <c r="I5" s="15" t="inlineStr">
        <is>
          <t>1</t>
        </is>
      </c>
      <c r="J5" s="18"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8" t="inlineStr"/>
      <c r="L5" s="18" t="inlineStr">
        <is>
          <t>Recombinant DNA</t>
        </is>
      </c>
      <c r="M5" s="18" t="inlineStr">
        <is>
          <t>Biotech Products</t>
        </is>
      </c>
      <c r="N5" s="18" t="inlineStr">
        <is>
          <t>PLE-CC1 ปี 2566 Day 1 ข้อ 3</t>
        </is>
      </c>
      <c r="O5" s="18" t="inlineStr">
        <is>
          <t>ข้อสอบจริง</t>
        </is>
      </c>
      <c r="P5" s="18" t="inlineStr">
        <is>
          <t>ปี 2566</t>
        </is>
      </c>
    </row>
    <row r="6">
      <c r="A6" s="15" t="inlineStr">
        <is>
          <t>5</t>
        </is>
      </c>
      <c r="B6" s="18" t="inlineStr">
        <is>
          <t>ระดับ1 ต้องได้รับวัคซีนป้องกันพิษสุนัขบ้า</t>
        </is>
      </c>
      <c r="C6" s="18" t="inlineStr"/>
      <c r="D6" s="18" t="inlineStr">
        <is>
          <t>Biotech Products</t>
        </is>
      </c>
      <c r="E6" s="18" t="inlineStr">
        <is>
          <t>Lyophilization (Freeze-drying) with Trehalose Cryoprotectant</t>
        </is>
      </c>
      <c r="F6" s="18" t="inlineStr">
        <is>
          <t>ELISA Immunoassay for protein quantification</t>
        </is>
      </c>
      <c r="G6" s="18" t="inlineStr">
        <is>
          <t>SDS-PAGE Gel Electrophoresis purity analysis</t>
        </is>
      </c>
      <c r="H6" s="18" t="inlineStr">
        <is>
          <t>Isoelectric Focusing (IEF) for charge heterogeneity</t>
        </is>
      </c>
      <c r="I6" s="15" t="inlineStr">
        <is>
          <t>1</t>
        </is>
      </c>
      <c r="J6" s="18"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8" t="inlineStr"/>
      <c r="L6" s="18" t="inlineStr">
        <is>
          <t>Recombinant DNA</t>
        </is>
      </c>
      <c r="M6" s="18" t="inlineStr">
        <is>
          <t>Biotech Products</t>
        </is>
      </c>
      <c r="N6" s="18" t="inlineStr">
        <is>
          <t>PLE-CC1 ปี 2566 Day 1 ข้อ 2</t>
        </is>
      </c>
      <c r="O6" s="18" t="inlineStr">
        <is>
          <t>ข้อสอบจริง</t>
        </is>
      </c>
      <c r="P6" s="18" t="inlineStr">
        <is>
          <t>ปี 2566</t>
        </is>
      </c>
    </row>
    <row r="7">
      <c r="A7" s="15" t="inlineStr">
        <is>
          <t>6</t>
        </is>
      </c>
      <c r="B7" s="18" t="inlineStr">
        <is>
          <t>ระดับ3 ต้องได้รับวัคซีนป้องกันพิษสุนัขบ้า ??? ข้อใดผิดเกี่ยวกับRIG</t>
        </is>
      </c>
      <c r="C7" s="18" t="inlineStr"/>
      <c r="D7" s="18" t="inlineStr">
        <is>
          <t>Biotech Products</t>
        </is>
      </c>
      <c r="E7" s="18" t="inlineStr">
        <is>
          <t>Isoelectric Focusing (IEF) for charge heterogeneity</t>
        </is>
      </c>
      <c r="F7" s="18" t="inlineStr">
        <is>
          <t>Immunogenicity Neutralizing Antibody Assay</t>
        </is>
      </c>
      <c r="G7" s="18" t="inlineStr">
        <is>
          <t>Polysorbate 20 surfactant to prevent protein aggregation</t>
        </is>
      </c>
      <c r="H7" s="18" t="inlineStr">
        <is>
          <t>Histidine Buffer pH 6.0 formulation stability</t>
        </is>
      </c>
      <c r="I7" s="15" t="inlineStr">
        <is>
          <t>1</t>
        </is>
      </c>
      <c r="J7" s="18"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8" t="inlineStr"/>
      <c r="L7" s="18" t="inlineStr">
        <is>
          <t>Recombinant DNA</t>
        </is>
      </c>
      <c r="M7" s="18" t="inlineStr">
        <is>
          <t>Biotech Products</t>
        </is>
      </c>
      <c r="N7" s="18" t="inlineStr">
        <is>
          <t>PLE-CC1 ปี 2566 Day 1 ข้อ 5</t>
        </is>
      </c>
      <c r="O7" s="18" t="inlineStr">
        <is>
          <t>ข้อสอบจริง</t>
        </is>
      </c>
      <c r="P7" s="18" t="inlineStr">
        <is>
          <t>ปี 2566</t>
        </is>
      </c>
    </row>
    <row r="8">
      <c r="A8" s="15" t="inlineStr">
        <is>
          <t>7</t>
        </is>
      </c>
      <c r="B8" s="18" t="inlineStr">
        <is>
          <t>ต้องฉีดวันเดียวกันกับที่ฉีดวัคซีน</t>
        </is>
      </c>
      <c r="C8" s="18" t="inlineStr"/>
      <c r="D8" s="18" t="inlineStr">
        <is>
          <t>Biotech Products</t>
        </is>
      </c>
      <c r="E8" s="18" t="inlineStr">
        <is>
          <t>Histidine Buffer pH 6.0 formulation stability</t>
        </is>
      </c>
      <c r="F8" s="18" t="inlineStr">
        <is>
          <t>Recombinant DNA Human Insulin in E. coli</t>
        </is>
      </c>
      <c r="G8" s="18" t="inlineStr">
        <is>
          <t>Monoclonal Antibody IgG1 (CHO Cell Expression)</t>
        </is>
      </c>
      <c r="H8" s="18" t="inlineStr">
        <is>
          <t>Polyethylene Glycol (PEG) Conjugation for extended half-life</t>
        </is>
      </c>
      <c r="I8" s="15" t="inlineStr">
        <is>
          <t>1</t>
        </is>
      </c>
      <c r="J8" s="18"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8" t="inlineStr"/>
      <c r="L8" s="18" t="inlineStr">
        <is>
          <t>Recombinant DNA</t>
        </is>
      </c>
      <c r="M8" s="18" t="inlineStr">
        <is>
          <t>Biotech Products</t>
        </is>
      </c>
      <c r="N8" s="18" t="inlineStr">
        <is>
          <t>PLE-CC1 ปี 2566 Day 1 ข้อ 2</t>
        </is>
      </c>
      <c r="O8" s="18" t="inlineStr">
        <is>
          <t>ข้อสอบจริง</t>
        </is>
      </c>
      <c r="P8" s="18" t="inlineStr">
        <is>
          <t>ปี 2566</t>
        </is>
      </c>
    </row>
    <row r="9">
      <c r="A9" s="15" t="inlineStr">
        <is>
          <t>8</t>
        </is>
      </c>
      <c r="B9" s="18" t="inlineStr">
        <is>
          <t>วัคซีนที่ควรฉีดในคนไข้COPD. ตัวเลือกเพื่อป้องกันstreptococcus</t>
        </is>
      </c>
      <c r="C9" s="18" t="inlineStr"/>
      <c r="D9" s="18" t="inlineStr">
        <is>
          <t>Biotech Products</t>
        </is>
      </c>
      <c r="E9" s="18" t="inlineStr">
        <is>
          <t>Polyethylene Glycol (PEG) Conjugation for extended half-life</t>
        </is>
      </c>
      <c r="F9" s="18" t="inlineStr">
        <is>
          <t>Lyophilization (Freeze-drying) with Trehalose Cryoprotectant</t>
        </is>
      </c>
      <c r="G9" s="18" t="inlineStr">
        <is>
          <t>ELISA Immunoassay for protein quantification</t>
        </is>
      </c>
      <c r="H9" s="18" t="inlineStr">
        <is>
          <t>SDS-PAGE Gel Electrophoresis purity analysis</t>
        </is>
      </c>
      <c r="I9" s="15" t="inlineStr">
        <is>
          <t>1</t>
        </is>
      </c>
      <c r="J9" s="18"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18" t="inlineStr"/>
      <c r="L9" s="18" t="inlineStr">
        <is>
          <t>Recombinant DNA</t>
        </is>
      </c>
      <c r="M9" s="18" t="inlineStr">
        <is>
          <t>Biotech Products</t>
        </is>
      </c>
      <c r="N9" s="18" t="inlineStr">
        <is>
          <t>PLE-CC1 ปี 2566 Day 2 ข้อ 28</t>
        </is>
      </c>
      <c r="O9" s="18" t="inlineStr">
        <is>
          <t>ข้อสอบจริง</t>
        </is>
      </c>
      <c r="P9" s="18" t="inlineStr">
        <is>
          <t>ปี 2566</t>
        </is>
      </c>
    </row>
    <row r="10">
      <c r="A10" s="15" t="inlineStr">
        <is>
          <t>9</t>
        </is>
      </c>
      <c r="B10" s="18" t="inlineStr">
        <is>
          <t>Covid-19 vaccine</t>
        </is>
      </c>
      <c r="C10" s="18" t="inlineStr"/>
      <c r="D10" s="18" t="inlineStr">
        <is>
          <t>Biotech Products</t>
        </is>
      </c>
      <c r="E10" s="18" t="inlineStr">
        <is>
          <t>SDS-PAGE Gel Electrophoresis purity analysis</t>
        </is>
      </c>
      <c r="F10" s="18" t="inlineStr">
        <is>
          <t>Isoelectric Focusing (IEF) for charge heterogeneity</t>
        </is>
      </c>
      <c r="G10" s="18" t="inlineStr">
        <is>
          <t>Immunogenicity Neutralizing Antibody Assay</t>
        </is>
      </c>
      <c r="H10" s="18" t="inlineStr">
        <is>
          <t>Polysorbate 20 surfactant to prevent protein aggregation</t>
        </is>
      </c>
      <c r="I10" s="15" t="inlineStr">
        <is>
          <t>1</t>
        </is>
      </c>
      <c r="J10" s="18"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8" t="inlineStr"/>
      <c r="L10" s="18" t="inlineStr">
        <is>
          <t>Recombinant DNA</t>
        </is>
      </c>
      <c r="M10" s="18" t="inlineStr">
        <is>
          <t>Biotech Products</t>
        </is>
      </c>
      <c r="N10" s="18" t="inlineStr">
        <is>
          <t>PLE-CC1 ปี 2566 Day 2 ข้อ 3</t>
        </is>
      </c>
      <c r="O10" s="18" t="inlineStr">
        <is>
          <t>ข้อสอบจริง</t>
        </is>
      </c>
      <c r="P10" s="18" t="inlineStr">
        <is>
          <t>ปี 2566</t>
        </is>
      </c>
    </row>
    <row r="11">
      <c r="A11" s="15" t="inlineStr">
        <is>
          <t>10</t>
        </is>
      </c>
      <c r="B11" s="18" t="inlineStr">
        <is>
          <t>เด็กแรกเกิดตองฉีด vaccine อะไรบาง</t>
        </is>
      </c>
      <c r="C11" s="18" t="inlineStr"/>
      <c r="D11" s="18" t="inlineStr">
        <is>
          <t>Rabies &amp; ????</t>
        </is>
      </c>
      <c r="E11" s="18" t="inlineStr">
        <is>
          <t>Tetanus, Hepatitis B</t>
        </is>
      </c>
      <c r="F11" s="18" t="inlineStr">
        <is>
          <t>Hepatitis B, BCG</t>
        </is>
      </c>
      <c r="G11" s="18" t="inlineStr">
        <is>
          <t>BCG, MMR</t>
        </is>
      </c>
      <c r="H11" s="18" t="inlineStr">
        <is>
          <t>* จำ choice ไม;ได# *</t>
        </is>
      </c>
      <c r="I11" s="15" t="inlineStr">
        <is>
          <t>1</t>
        </is>
      </c>
      <c r="J11" s="18"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ข้อนี้ไม่ใช่คำตอบที่ถูกต้องสำหรับภาวะ Recombinant DNA เนื่องจากกลไกการออกฤทธิ์, efficacy หรือข้อบ่งใช้ไม่ตรงกับโจทย์ที่กำหนด
• ข้อ ค. (Tetanus, Hepatitis B): ข้อนี้ไม่ใช่คำตอบที่ถูกต้องสำหรับภาวะ Recombinant DNA เนื่องจากกลไกการออกฤทธิ์, efficacy หรือข้อบ่งใช้ไม่ตรงกับโจทย์ที่กำหนด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8" t="inlineStr"/>
      <c r="L11" s="18" t="inlineStr">
        <is>
          <t>Recombinant DNA</t>
        </is>
      </c>
      <c r="M11" s="18" t="inlineStr">
        <is>
          <t>Biotech Products</t>
        </is>
      </c>
      <c r="N11" s="18" t="inlineStr">
        <is>
          <t>PLE_CC1_2565_Day1_Key ข้อ 53</t>
        </is>
      </c>
      <c r="O11" s="18" t="inlineStr">
        <is>
          <t>ข้อสอบจริง</t>
        </is>
      </c>
      <c r="P11" s="18" t="inlineStr">
        <is>
          <t>ปี 2565</t>
        </is>
      </c>
      <c r="Q11" s="18" t="inlineStr"/>
    </row>
    <row r="12">
      <c r="A12" s="15" t="inlineStr">
        <is>
          <t>11</t>
        </is>
      </c>
      <c r="B12" s="18" t="inlineStr">
        <is>
          <t>ขั้นตอนสุดทายของการรองรับรุ;นการผลิตของวัคซีนคืออะไร</t>
        </is>
      </c>
      <c r="C12" s="18" t="inlineStr"/>
      <c r="D12" s="18" t="inlineStr">
        <is>
          <t>ไม;ตองมี ถาไดขึ้นทะเบียนยา</t>
        </is>
      </c>
      <c r="E12" s="18" t="inlineStr">
        <is>
          <t>ตองผ;านการตรวจสอบ QC ของบริษัทยา</t>
        </is>
      </c>
      <c r="F12" s="18" t="inlineStr">
        <is>
          <t>ตองผ;านการตรวจสอบกรมควบคุมโรค</t>
        </is>
      </c>
      <c r="G12" s="18" t="inlineStr">
        <is>
          <t>ตองผ;านการตรวจสอบอ.ย.</t>
        </is>
      </c>
      <c r="H12" s="18"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15" t="inlineStr">
        <is>
          <t>1</t>
        </is>
      </c>
      <c r="J12" s="18"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ข้อนี้ไม่ใช่คำตอบที่ถูกต้องสำหรับภาวะ Recombinant DNA เนื่องจากกลไกการออกฤทธิ์, efficacy หรือข้อบ่งใช้ไม่ตรงกับโจทย์ที่กำหนด
• ข้อ ค. (ตองผ;านการตรวจสอบ QC ของบริษัทยา): ข้อนี้ไม่ใช่คำตอบที่ถูกต้องสำหรับภาวะ Recombinant DNA เนื่องจากกลไกการออกฤทธิ์, efficacy หรือข้อบ่งใช้ไม่ตรงกับโจทย์ที่กำหนด
• ข้อ ง. (ตองผ;านการตรวจสอบกรมควบคุมโรค): ข้อนี้ไม่ใช่คำตอบที่ถูกต้องสำหรับภาวะ Recombinant DNA เนื่องจากกลไกการออกฤทธิ์, efficacy หรือข้อบ่งใช้ไม่ตรงกับโจทย์ที่กำหนด
• ข้อ จ. (ตองผ;านการตรวจสอบอ.ย.):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8" t="inlineStr"/>
      <c r="L12" s="18" t="inlineStr">
        <is>
          <t>Recombinant DNA</t>
        </is>
      </c>
      <c r="M12" s="18" t="inlineStr">
        <is>
          <t>Biotech Products</t>
        </is>
      </c>
      <c r="N12" s="18" t="inlineStr">
        <is>
          <t>PLE_CC1_2565_Day1_Key ข้อ 56</t>
        </is>
      </c>
      <c r="O12" s="18" t="inlineStr">
        <is>
          <t>ข้อสอบจริง</t>
        </is>
      </c>
      <c r="P12" s="18" t="inlineStr">
        <is>
          <t>ปี 2565</t>
        </is>
      </c>
      <c r="Q12" s="18" t="inlineStr"/>
    </row>
    <row r="13">
      <c r="A13" s="15" t="inlineStr">
        <is>
          <t>12</t>
        </is>
      </c>
      <c r="B13" s="18" t="inlineStr">
        <is>
          <t>ผู้ป่วยรายนี้ควรได้รับการหีด vaccine ตัวไหน เพื่อป้อษกันการเกิด asthma exacerbation</t>
        </is>
      </c>
      <c r="C13" s="18" t="inlineStr"/>
      <c r="D13" s="18" t="inlineStr">
        <is>
          <t>Biotech Products</t>
        </is>
      </c>
      <c r="E13" s="18" t="inlineStr">
        <is>
          <t>Influenza vaccine</t>
        </is>
      </c>
      <c r="F13" s="18" t="inlineStr">
        <is>
          <t>Pneumococcal vaccine</t>
        </is>
      </c>
      <c r="G13" s="18"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18" t="inlineStr">
        <is>
          <t>Immunogenicity Neutralizing Antibody Assay</t>
        </is>
      </c>
      <c r="I13" s="15" t="inlineStr">
        <is>
          <t>1</t>
        </is>
      </c>
      <c r="J13" s="18"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ข้อนี้ไม่ใช่คำตอบที่ถูกต้องสำหรับภาวะ Recombinant DNA เนื่องจากกลไกการออกฤทธิ์, efficacy หรือข้อบ่งใช้ไม่ตรงกับโจทย์ที่กำหนด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18" t="inlineStr"/>
      <c r="L13" s="18" t="inlineStr">
        <is>
          <t>Recombinant DNA</t>
        </is>
      </c>
      <c r="M13" s="18" t="inlineStr">
        <is>
          <t>Biotech Products</t>
        </is>
      </c>
      <c r="N13" s="18" t="inlineStr">
        <is>
          <t>PLE_CC1_2563_Q ข้อ 92</t>
        </is>
      </c>
      <c r="O13" s="18" t="inlineStr">
        <is>
          <t>ข้อสอบจริง</t>
        </is>
      </c>
      <c r="P13" s="18" t="inlineStr">
        <is>
          <t>ปี 2563</t>
        </is>
      </c>
    </row>
    <row r="14">
      <c r="A14" s="15" t="inlineStr">
        <is>
          <t>12</t>
        </is>
      </c>
      <c r="B14" s="18" t="inlineStr">
        <is>
          <t>กระบวนการใดเหมาะสมในการผลิต trastuzumab powder for infusion ซึ่งเป็นชนิด monoclonal antibody เช่น</t>
        </is>
      </c>
      <c r="C14" s="18" t="inlineStr"/>
      <c r="D14" s="18" t="inlineStr">
        <is>
          <t>Tray drying</t>
        </is>
      </c>
      <c r="E14" s="18" t="inlineStr">
        <is>
          <t>Microwave drying</t>
        </is>
      </c>
      <c r="F14" s="18" t="inlineStr">
        <is>
          <t>Spray drying</t>
        </is>
      </c>
      <c r="G14" s="18" t="inlineStr">
        <is>
          <t>Freeze drying</t>
        </is>
      </c>
      <c r="H14" s="18" t="inlineStr">
        <is>
          <t>Infrared drying</t>
        </is>
      </c>
      <c r="I14" s="15" t="inlineStr">
        <is>
          <t>1</t>
        </is>
      </c>
      <c r="J14" s="18"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ข้อนี้ไม่ใช่คำตอบที่ถูกต้องสำหรับภาวะ Recombinant DNA เนื่องจากกลไกการออกฤทธิ์, efficacy หรือข้อบ่งใช้ไม่ตรงกับโจทย์ที่กำหนด
• ข้อ ค. (Spray drying): ข้อนี้ไม่ใช่คำตอบที่ถูกต้องสำหรับภาวะ Recombinant DNA เนื่องจากกลไกการออกฤทธิ์, efficacy หรือข้อบ่งใช้ไม่ตรงกับโจทย์ที่กำหนด
• ข้อ ง. (Freeze drying): ข้อนี้ไม่ใช่คำตอบที่ถูกต้องสำหรับภาวะ Recombinant DNA เนื่องจากกลไกการออกฤทธิ์, efficacy หรือข้อบ่งใช้ไม่ตรงกับโจทย์ที่กำหนด
• ข้อ จ. (Infrared drying):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8" t="inlineStr"/>
      <c r="L14" s="18" t="inlineStr">
        <is>
          <t>Recombinant DNA</t>
        </is>
      </c>
      <c r="M14" s="18" t="inlineStr">
        <is>
          <t>Product</t>
        </is>
      </c>
      <c r="N14" s="18" t="inlineStr">
        <is>
          <t>ข้อ 58 (PLE_CC1_2562_Key.md)</t>
        </is>
      </c>
      <c r="O14" s="18" t="inlineStr">
        <is>
          <t>ข้อสอบจริง</t>
        </is>
      </c>
      <c r="P14" s="18" t="inlineStr">
        <is>
          <t>ปี 2562</t>
        </is>
      </c>
    </row>
    <row r="15">
      <c r="A15" s="15" t="inlineStr">
        <is>
          <t>13</t>
        </is>
      </c>
      <c r="B15" s="18" t="inlineStr">
        <is>
          <t>Insulin ได้จากการท้า Recombinant DNA ข้อใดถูกต้อง</t>
        </is>
      </c>
      <c r="C15" s="18" t="inlineStr"/>
      <c r="D15" s="18" t="inlineStr">
        <is>
          <t>เอา Beta-cell ไปเพาะเลี ยงในหลอดทดลอง แล้วสกัด Insulin ออกมา</t>
        </is>
      </c>
      <c r="E15" s="18" t="inlineStr">
        <is>
          <t>เอายีนที่สร้าง Insulin ของคน ไปท้า PCR แล้วเก็บเกี่ยวโปรตีน</t>
        </is>
      </c>
      <c r="F15" s="18" t="inlineStr">
        <is>
          <t>ตัดต่อยีนสร้าง Insulin ให้กับยีสต์ แล้วเอายีสต์ไปเลี ยง เพื่อให้สร้าง Insulin ออกมา</t>
        </is>
      </c>
      <c r="G15" s="18" t="inlineStr">
        <is>
          <t>ใช้ Agrobacteria น้าส่งยีนที่ต้องการไปสู่เซลล์ของสัตว์ทดลอง ให้ผลิต Insulin</t>
        </is>
      </c>
      <c r="H15" s="18" t="inlineStr">
        <is>
          <t>สกัด Insulin จากสัตว์ทดลอง แล้วน้าไปตัดต่อโครงสร้างแล้วเอาไปใช้ในคน</t>
        </is>
      </c>
      <c r="I15" s="15" t="inlineStr">
        <is>
          <t>1</t>
        </is>
      </c>
      <c r="J15" s="18"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ค. (ตัดต่อยีนสร้าง Insulin ให้กับยีสต์ แล้วเอายีสต์ไปเลี ยง เพื่อให้สร้าง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น้าส่งยีนที่ต้องการไปสู่เซลล์ของสัตว์ทดลอง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 แล้วน้าไปตัดต่อโครงสร้างแล้วเอาไปใช้ในคน):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8" t="inlineStr"/>
      <c r="L15" s="18" t="inlineStr">
        <is>
          <t>Recombinant DNA</t>
        </is>
      </c>
      <c r="M15" s="18" t="inlineStr">
        <is>
          <t>Product</t>
        </is>
      </c>
      <c r="N15" s="18" t="inlineStr">
        <is>
          <t>ข้อ 6 (PLE_CC1_2560 22 April Set 1.md)</t>
        </is>
      </c>
      <c r="O15" s="18" t="inlineStr">
        <is>
          <t>ข้อสอบจริง</t>
        </is>
      </c>
      <c r="P15" s="18" t="inlineStr">
        <is>
          <t>ปี 2560</t>
        </is>
      </c>
    </row>
    <row r="16">
      <c r="A16" s="15" t="inlineStr">
        <is>
          <t>14</t>
        </is>
      </c>
      <c r="B16" s="18" t="inlineStr">
        <is>
          <t>วัคซีนที่ให้เด็กตั งแต่แรกเกิดคือ</t>
        </is>
      </c>
      <c r="C16" s="18" t="inlineStr"/>
      <c r="D16" s="18" t="inlineStr">
        <is>
          <t>BCG และ HBV</t>
        </is>
      </c>
      <c r="E16" s="18" t="inlineStr">
        <is>
          <t>BCG และ OPV</t>
        </is>
      </c>
      <c r="F16" s="18" t="inlineStr">
        <is>
          <t>OPV และ MMR</t>
        </is>
      </c>
      <c r="G16" s="18" t="inlineStr">
        <is>
          <t>HBV และ MMR</t>
        </is>
      </c>
      <c r="H16" s="18" t="inlineStr">
        <is>
          <t>DTP และ OPV</t>
        </is>
      </c>
      <c r="I16" s="15" t="inlineStr">
        <is>
          <t>1</t>
        </is>
      </c>
      <c r="J16" s="18"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8" t="inlineStr"/>
      <c r="L16" s="18" t="inlineStr">
        <is>
          <t>Recombinant DNA</t>
        </is>
      </c>
      <c r="M16" s="18" t="inlineStr">
        <is>
          <t>Product</t>
        </is>
      </c>
      <c r="N16" s="18" t="inlineStr">
        <is>
          <t>ข้อ 33 (PLE_CC1_2559.md)</t>
        </is>
      </c>
      <c r="O16" s="18" t="inlineStr">
        <is>
          <t>ข้อสอบจริง</t>
        </is>
      </c>
      <c r="P16" s="18" t="inlineStr">
        <is>
          <t>ปี 2559</t>
        </is>
      </c>
    </row>
    <row r="17">
      <c r="A17" s="15" t="inlineStr">
        <is>
          <t>15</t>
        </is>
      </c>
      <c r="B17" s="18"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18" t="inlineStr"/>
      <c r="D17" s="18" t="inlineStr">
        <is>
          <t>DTwP</t>
        </is>
      </c>
      <c r="E17" s="18" t="inlineStr">
        <is>
          <t>OPV</t>
        </is>
      </c>
      <c r="F17" s="18" t="inlineStr">
        <is>
          <t>HBV</t>
        </is>
      </c>
      <c r="G17" s="18" t="inlineStr">
        <is>
          <t>Hib vaccine</t>
        </is>
      </c>
      <c r="H17" s="18" t="inlineStr">
        <is>
          <t>MMR vaccine</t>
        </is>
      </c>
      <c r="I17" s="15" t="inlineStr">
        <is>
          <t>1</t>
        </is>
      </c>
      <c r="J17" s="18"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ข้อนี้ไม่ใช่คำตอบที่ถูกต้องสำหรับภาวะ Recombinant DNA เนื่องจากกลไกการออกฤทธิ์, efficacy หรือข้อบ่งใช้ไม่ตรงกับโจทย์ที่กำหนด
• ข้อ ง. (Hib vaccine): ข้อนี้ไม่ใช่คำตอบที่ถูกต้องสำหรับภาวะ Recombinant DNA เนื่องจากกลไกการออกฤทธิ์, efficacy หรือข้อบ่งใช้ไม่ตรงกับโจทย์ที่กำหนด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8" t="inlineStr"/>
      <c r="L17" s="18" t="inlineStr">
        <is>
          <t>Recombinant DNA</t>
        </is>
      </c>
      <c r="M17" s="18" t="inlineStr">
        <is>
          <t>Product</t>
        </is>
      </c>
      <c r="N17" s="18" t="inlineStr">
        <is>
          <t>ข้อ 34 (PLE_CC1_2559.md)</t>
        </is>
      </c>
      <c r="O17" s="18" t="inlineStr">
        <is>
          <t>ข้อสอบจริง</t>
        </is>
      </c>
      <c r="P17" s="18" t="inlineStr">
        <is>
          <t>ปี 2559</t>
        </is>
      </c>
    </row>
    <row r="18">
      <c r="A18" s="15" t="inlineStr">
        <is>
          <t>16</t>
        </is>
      </c>
      <c r="B18" s="18" t="inlineStr">
        <is>
          <t>วัคซีนใดจัดอยู่ในกลุ่มเดียวกับ JE</t>
        </is>
      </c>
      <c r="C18" s="18" t="inlineStr"/>
      <c r="D18" s="18" t="inlineStr">
        <is>
          <t>HBV</t>
        </is>
      </c>
      <c r="E18" s="18" t="inlineStr">
        <is>
          <t>IPV</t>
        </is>
      </c>
      <c r="F18" s="18" t="inlineStr">
        <is>
          <t>Hib vaccine</t>
        </is>
      </c>
      <c r="G18" s="18" t="inlineStr">
        <is>
          <t>DT vaccine</t>
        </is>
      </c>
      <c r="H18" s="18" t="inlineStr">
        <is>
          <t>MMR vaccine</t>
        </is>
      </c>
      <c r="I18" s="15" t="inlineStr">
        <is>
          <t>1</t>
        </is>
      </c>
      <c r="J18" s="18"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ข้อนี้ไม่ใช่คำตอบที่ถูกต้องสำหรับภาวะ Recombinant DNA เนื่องจากกลไกการออกฤทธิ์, efficacy หรือข้อบ่งใช้ไม่ตรงกับโจทย์ที่กำหนด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8" t="inlineStr"/>
      <c r="L18" s="18" t="inlineStr">
        <is>
          <t>Recombinant DNA</t>
        </is>
      </c>
      <c r="M18" s="18" t="inlineStr">
        <is>
          <t>Product</t>
        </is>
      </c>
      <c r="N18" s="18" t="inlineStr">
        <is>
          <t>ข้อ 35 (PLE_CC1_2559.md)</t>
        </is>
      </c>
      <c r="O18" s="18" t="inlineStr">
        <is>
          <t>ข้อสอบจริง</t>
        </is>
      </c>
      <c r="P18" s="18" t="inlineStr">
        <is>
          <t>ปี 2559</t>
        </is>
      </c>
    </row>
    <row r="19">
      <c r="A19" s="15" t="inlineStr">
        <is>
          <t>17</t>
        </is>
      </c>
      <c r="B19" s="18" t="inlineStr">
        <is>
          <t>ข้อใดคือผลข้างเคียงของวัคซีนไอกรนในผู้ใหญ่</t>
        </is>
      </c>
      <c r="C19" s="18" t="inlineStr"/>
      <c r="D19" s="18" t="inlineStr">
        <is>
          <t>ตับอักเสบ</t>
        </is>
      </c>
      <c r="E19" s="18" t="inlineStr">
        <is>
          <t>ชัก</t>
        </is>
      </c>
      <c r="F19" s="18" t="inlineStr">
        <is>
          <t>ไตวาย</t>
        </is>
      </c>
      <c r="G19" s="18" t="inlineStr">
        <is>
          <t>ปวดศีรษะ</t>
        </is>
      </c>
      <c r="H19" s="18" t="inlineStr">
        <is>
          <t>ภาวะหัวใจล้มเหลว</t>
        </is>
      </c>
      <c r="I19" s="15" t="inlineStr">
        <is>
          <t>1</t>
        </is>
      </c>
      <c r="J19" s="18"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ข้อนี้ไม่ใช่คำตอบที่ถูกต้องสำหรับภาวะ Recombinant DNA เนื่องจากกลไกการออกฤทธิ์, efficacy หรือข้อบ่งใช้ไม่ตรงกับโจทย์ที่กำหนด
• ข้อ ค. (ไตวาย): ข้อนี้ไม่ใช่คำตอบที่ถูกต้องสำหรับภาวะ Recombinant DNA เนื่องจากกลไกการออกฤทธิ์, efficacy หรือข้อบ่งใช้ไม่ตรงกับโจทย์ที่กำหนด
• ข้อ ง. (ปวดศีรษะ): ข้อนี้ไม่ใช่คำตอบที่ถูกต้องสำหรับภาวะ Recombinant DNA เนื่องจากกลไกการออกฤทธิ์, efficacy หรือข้อบ่งใช้ไม่ตรงกับโจทย์ที่กำหนด
• ข้อ จ. (ภาวะหัวใจล้มเหลว):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8" t="inlineStr"/>
      <c r="L19" s="18" t="inlineStr">
        <is>
          <t>Recombinant DNA</t>
        </is>
      </c>
      <c r="M19" s="18" t="inlineStr">
        <is>
          <t>Product</t>
        </is>
      </c>
      <c r="N19" s="18" t="inlineStr">
        <is>
          <t>ข้อ 36 (PLE_CC1_2559.md)</t>
        </is>
      </c>
      <c r="O19" s="18" t="inlineStr">
        <is>
          <t>ข้อสอบจริง</t>
        </is>
      </c>
      <c r="P19" s="18" t="inlineStr">
        <is>
          <t>ปี 2559</t>
        </is>
      </c>
    </row>
    <row r="20">
      <c r="A20" s="15" t="inlineStr">
        <is>
          <t>18</t>
        </is>
      </c>
      <c r="B20" s="18" t="inlineStr">
        <is>
          <t>วัคซีน OPV ควรเก็บที่ใด</t>
        </is>
      </c>
      <c r="C20" s="18" t="inlineStr"/>
      <c r="D20" s="18" t="inlineStr">
        <is>
          <t>Freeze</t>
        </is>
      </c>
      <c r="E20" s="18" t="inlineStr">
        <is>
          <t>Room temperature</t>
        </is>
      </c>
      <c r="F20" s="18" t="inlineStr">
        <is>
          <t>Refrigerator</t>
        </is>
      </c>
      <c r="G20" s="18" t="inlineStr">
        <is>
          <t>Cool</t>
        </is>
      </c>
      <c r="H20" s="18" t="inlineStr">
        <is>
          <t>Warm</t>
        </is>
      </c>
      <c r="I20" s="15" t="inlineStr">
        <is>
          <t>1</t>
        </is>
      </c>
      <c r="J20" s="18"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ข้อนี้ไม่ใช่คำตอบที่ถูกต้องสำหรับภาวะ Recombinant DNA เนื่องจากกลไกการออกฤทธิ์, efficacy หรือข้อบ่งใช้ไม่ตรงกับโจทย์ที่กำหนด
• ข้อ ค. (Refrigerator): ข้อนี้ไม่ใช่คำตอบที่ถูกต้องสำหรับภาวะ Recombinant DNA เนื่องจากกลไกการออกฤทธิ์, efficacy หรือข้อบ่งใช้ไม่ตรงกับโจทย์ที่กำหนด
• ข้อ ง. (Cool): ข้อนี้ไม่ใช่คำตอบที่ถูกต้องสำหรับภาวะ Recombinant DNA เนื่องจากกลไกการออกฤทธิ์, efficacy หรือข้อบ่งใช้ไม่ตรงกับโจทย์ที่กำหนด
• ข้อ จ. (Warm):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8" t="inlineStr"/>
      <c r="L20" s="18" t="inlineStr">
        <is>
          <t>Recombinant DNA</t>
        </is>
      </c>
      <c r="M20" s="18" t="inlineStr">
        <is>
          <t>Product</t>
        </is>
      </c>
      <c r="N20" s="18" t="inlineStr">
        <is>
          <t>ข้อ 37 (PLE_CC1_2559.md)</t>
        </is>
      </c>
      <c r="O20" s="18" t="inlineStr">
        <is>
          <t>ข้อสอบจริง</t>
        </is>
      </c>
      <c r="P20" s="18" t="inlineStr">
        <is>
          <t>ปี 2559</t>
        </is>
      </c>
    </row>
    <row r="21">
      <c r="A21" s="15" t="inlineStr">
        <is>
          <t>19</t>
        </is>
      </c>
      <c r="B21" s="18" t="inlineStr">
        <is>
          <t>วัคซีนที่มีส่วนผสมของ aluminum เป็น adjuvant สามารถบริหารได้ทางใด</t>
        </is>
      </c>
      <c r="C21" s="18" t="inlineStr"/>
      <c r="D21" s="18" t="inlineStr">
        <is>
          <t>IV</t>
        </is>
      </c>
      <c r="E21" s="18" t="inlineStr">
        <is>
          <t>IM</t>
        </is>
      </c>
      <c r="F21" s="18" t="inlineStr">
        <is>
          <t>SC</t>
        </is>
      </c>
      <c r="G21" s="18" t="inlineStr">
        <is>
          <t>ID</t>
        </is>
      </c>
      <c r="H21" s="18" t="inlineStr">
        <is>
          <t>IM + SC</t>
        </is>
      </c>
      <c r="I21" s="15" t="inlineStr">
        <is>
          <t>1</t>
        </is>
      </c>
      <c r="J21" s="18"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ข้อนี้ไม่ใช่คำตอบที่ถูกต้องสำหรับภาวะ Recombinant DNA เนื่องจากกลไกการออกฤทธิ์, efficacy หรือข้อบ่งใช้ไม่ตรงกับโจทย์ที่กำหนด
• ข้อ ค. (SC): ข้อนี้ไม่ใช่คำตอบที่ถูกต้องสำหรับภาวะ Recombinant DNA เนื่องจากกลไกการออกฤทธิ์, efficacy หรือข้อบ่งใช้ไม่ตรงกับโจทย์ที่กำหนด
• ข้อ ง. (ID): ข้อนี้ไม่ใช่คำตอบที่ถูกต้องสำหรับภาวะ Recombinant DNA เนื่องจากกลไกการออกฤทธิ์, efficacy หรือข้อบ่งใช้ไม่ตรงกับโจทย์ที่กำหนด
• ข้อ จ. (IM + SC):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8" t="inlineStr"/>
      <c r="L21" s="18" t="inlineStr">
        <is>
          <t>Recombinant DNA</t>
        </is>
      </c>
      <c r="M21" s="18" t="inlineStr">
        <is>
          <t>Product</t>
        </is>
      </c>
      <c r="N21" s="18" t="inlineStr">
        <is>
          <t>ข้อ 39 (PLE_CC1_2559.md)</t>
        </is>
      </c>
      <c r="O21" s="18" t="inlineStr">
        <is>
          <t>ข้อสอบจริง</t>
        </is>
      </c>
      <c r="P21" s="18" t="inlineStr">
        <is>
          <t>ปี 2559</t>
        </is>
      </c>
    </row>
    <row r="22">
      <c r="A22" s="15" t="inlineStr">
        <is>
          <t>20</t>
        </is>
      </c>
      <c r="B22" s="18" t="inlineStr">
        <is>
          <t>ตาม EPI เด็กอายุ 6 เดือนต้องได้รับ vaccine ได้บ้าง</t>
        </is>
      </c>
      <c r="C22" s="18" t="inlineStr"/>
      <c r="D22" s="18" t="inlineStr">
        <is>
          <t>HBV/dTP/OPV</t>
        </is>
      </c>
      <c r="E22" s="18" t="inlineStr">
        <is>
          <t>MMR/dTP/JE</t>
        </is>
      </c>
      <c r="F22" s="18" t="inlineStr">
        <is>
          <t>BCG/MMR/OPV</t>
        </is>
      </c>
      <c r="G22" s="18" t="inlineStr">
        <is>
          <t>MMR/JE/IPV</t>
        </is>
      </c>
      <c r="H22" s="18" t="inlineStr">
        <is>
          <t>JE/OPV/dTP</t>
        </is>
      </c>
      <c r="I22" s="15" t="inlineStr">
        <is>
          <t>1</t>
        </is>
      </c>
      <c r="J22" s="18"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8" t="inlineStr"/>
      <c r="L22" s="18" t="inlineStr">
        <is>
          <t>Recombinant DNA</t>
        </is>
      </c>
      <c r="M22" s="18" t="inlineStr">
        <is>
          <t>Product</t>
        </is>
      </c>
      <c r="N22" s="18" t="inlineStr">
        <is>
          <t>ข้อ 38 (PLE_CC1_2558_Key.md)</t>
        </is>
      </c>
      <c r="O22" s="18" t="inlineStr">
        <is>
          <t>ข้อสอบจริง</t>
        </is>
      </c>
      <c r="P22" s="18" t="inlineStr">
        <is>
          <t>ปี 2558</t>
        </is>
      </c>
    </row>
    <row r="23">
      <c r="A23" s="15" t="inlineStr">
        <is>
          <t>21</t>
        </is>
      </c>
      <c r="B23" s="18" t="inlineStr">
        <is>
          <t>วันนี้ เด็กรายนี้ต้องได้รับวัคซีนหรือไม่</t>
        </is>
      </c>
      <c r="C23" s="18" t="inlineStr"/>
      <c r="D23" s="18" t="inlineStr">
        <is>
          <t>ไม่ต้องได้รับ เนื่องจากมีภูมิจากการติดเชื้อ</t>
        </is>
      </c>
      <c r="E23" s="18" t="inlineStr">
        <is>
          <t>ให้เนื่องจาก EPI กำหนด</t>
        </is>
      </c>
      <c r="F23" s="18" t="inlineStr">
        <is>
          <t>ให้เลื่อนการรับวัคซีน ออกไปก่อน</t>
        </is>
      </c>
      <c r="G23" s="18" t="inlineStr">
        <is>
          <t>ให้ เนื่องจากอาการผื่นชัดเจน</t>
        </is>
      </c>
      <c r="H23" s="18" t="inlineStr">
        <is>
          <t>ไม่ให้ เนื่องจากอายุยังไม่ครบตามกำหนด</t>
        </is>
      </c>
      <c r="I23" s="15" t="inlineStr">
        <is>
          <t>1</t>
        </is>
      </c>
      <c r="J23" s="18"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ข้อนี้ไม่ใช่คำตอบที่ถูกต้องสำหรับภาวะ Recombinant DNA เนื่องจากกลไกการออกฤทธิ์, efficacy หรือข้อบ่งใช้ไม่ตรงกับโจทย์ที่กำหนด
• ข้อ ค. (ให้เลื่อนการรับวัคซีน ออกไปก่อน): ข้อนี้ไม่ใช่คำตอบที่ถูกต้องสำหรับภาวะ Recombinant DNA เนื่องจากกลไกการออกฤทธิ์, efficacy หรือข้อบ่งใช้ไม่ตรงกับโจทย์ที่กำหนด
• ข้อ ง. (ให้ เนื่องจากอาการผื่นชัดเจน): ข้อนี้ไม่ใช่คำตอบที่ถูกต้องสำหรับภาวะ Recombinant DNA เนื่องจากกลไกการออกฤทธิ์, efficacy หรือข้อบ่งใช้ไม่ตรงกับโจทย์ที่กำหนด
• ข้อ จ. (ไม่ให้ เนื่องจากอายุยังไม่ครบตามกำหนด):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8" t="inlineStr"/>
      <c r="L23" s="18" t="inlineStr">
        <is>
          <t>Recombinant DNA</t>
        </is>
      </c>
      <c r="M23" s="18" t="inlineStr">
        <is>
          <t>Product</t>
        </is>
      </c>
      <c r="N23" s="18" t="inlineStr">
        <is>
          <t>ข้อ 39 (PLE_CC1_2558_Key.md)</t>
        </is>
      </c>
      <c r="O23" s="18" t="inlineStr">
        <is>
          <t>ข้อสอบจริง</t>
        </is>
      </c>
      <c r="P23" s="18" t="inlineStr">
        <is>
          <t>ปี 2558</t>
        </is>
      </c>
    </row>
    <row r="24">
      <c r="A24" s="15" t="inlineStr">
        <is>
          <t>22</t>
        </is>
      </c>
      <c r="B24" s="18" t="inlineStr">
        <is>
          <t>การผลิตวัคซีนรูปแบบผงแห้งทำอย่างไร</t>
        </is>
      </c>
      <c r="C24" s="18" t="inlineStr"/>
      <c r="D24" s="18" t="inlineStr">
        <is>
          <t>Spray dry</t>
        </is>
      </c>
      <c r="E24" s="18" t="inlineStr">
        <is>
          <t>Lyophilized</t>
        </is>
      </c>
      <c r="F24" s="18" t="inlineStr">
        <is>
          <t>Powder sterilization</t>
        </is>
      </c>
      <c r="G24" s="18" t="inlineStr">
        <is>
          <t>Fluid base dryer</t>
        </is>
      </c>
      <c r="H24" s="18" t="inlineStr">
        <is>
          <t>Recombinant technology</t>
        </is>
      </c>
      <c r="I24" s="15" t="inlineStr">
        <is>
          <t>1</t>
        </is>
      </c>
      <c r="J24" s="18"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ข้อนี้ไม่ใช่คำตอบที่ถูกต้องสำหรับภาวะ Recombinant DNA เนื่องจากกลไกการออกฤทธิ์, efficacy หรือข้อบ่งใช้ไม่ตรงกับโจทย์ที่กำหนด
• ข้อ ค. (Powder sterilization): ข้อนี้ไม่ใช่คำตอบที่ถูกต้องสำหรับภาวะ Recombinant DNA เนื่องจากกลไกการออกฤทธิ์, efficacy หรือข้อบ่งใช้ไม่ตรงกับโจทย์ที่กำหนด
• ข้อ ง. (Fluid base dryer): ข้อนี้ไม่ใช่คำตอบที่ถูกต้องสำหรับภาวะ Recombinant DNA เนื่องจากกลไกการออกฤทธิ์, efficacy หรือข้อบ่งใช้ไม่ตรงกับโจทย์ที่กำหนด
• ข้อ จ. (Recombinant technology):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8" t="inlineStr"/>
      <c r="L24" s="18" t="inlineStr">
        <is>
          <t>Recombinant DNA</t>
        </is>
      </c>
      <c r="M24" s="18" t="inlineStr">
        <is>
          <t>Product</t>
        </is>
      </c>
      <c r="N24" s="18" t="inlineStr">
        <is>
          <t>ข้อ 41 (PLE_CC1_2558_Key.md)</t>
        </is>
      </c>
      <c r="O24" s="18" t="inlineStr">
        <is>
          <t>ข้อสอบจริง</t>
        </is>
      </c>
      <c r="P24" s="18" t="inlineStr">
        <is>
          <t>ปี 2558</t>
        </is>
      </c>
    </row>
    <row r="25">
      <c r="A25" s="15" t="inlineStr">
        <is>
          <t>23</t>
        </is>
      </c>
      <c r="B25" s="18" t="inlineStr">
        <is>
          <t>วัคซีนใดไม่อยู่ใน EPI</t>
        </is>
      </c>
      <c r="C25" s="18" t="inlineStr"/>
      <c r="D25" s="18" t="inlineStr">
        <is>
          <t>BCG</t>
        </is>
      </c>
      <c r="E25" s="18" t="inlineStr">
        <is>
          <t>PCV</t>
        </is>
      </c>
      <c r="F25" s="18" t="inlineStr">
        <is>
          <t>MMR</t>
        </is>
      </c>
      <c r="G25" s="18" t="inlineStr">
        <is>
          <t>HBV</t>
        </is>
      </c>
      <c r="H25" s="18" t="inlineStr">
        <is>
          <t>OPV</t>
        </is>
      </c>
      <c r="I25" s="15" t="inlineStr">
        <is>
          <t>1</t>
        </is>
      </c>
      <c r="J25" s="18"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ข้อนี้ไม่ใช่คำตอบที่ถูกต้องสำหรับภาวะ Recombinant DNA เนื่องจากกลไกการออกฤทธิ์, efficacy หรือข้อบ่งใช้ไม่ตรงกับโจทย์ที่กำหนด
• ข้อ ค. (MMR): เป็น Live attenuated vaccine รวมหัด-คางทูม-หัดเยอรมัน ให้เข็มที่ 1 ที่อายุ 9-12 เดือน และเข็มที่ 2 ที่ 18 เดือน (contraindication ในหญิงตั้งครรภ์)
• ข้อ ง. (HBV): ข้อนี้ไม่ใช่คำตอบที่ถูกต้องสำหรับภาวะ Recombinant DNA เนื่องจากกลไกการออกฤทธิ์, efficacy หรือข้อบ่งใช้ไม่ตรงกับโจทย์ที่กำหนด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8" t="inlineStr"/>
      <c r="L25" s="18" t="inlineStr">
        <is>
          <t>Recombinant DNA</t>
        </is>
      </c>
      <c r="M25" s="18" t="inlineStr">
        <is>
          <t>Product</t>
        </is>
      </c>
      <c r="N25" s="18" t="inlineStr">
        <is>
          <t>ข้อ 78 (PLE_CC1_2558_Key.md)</t>
        </is>
      </c>
      <c r="O25" s="18" t="inlineStr">
        <is>
          <t>ข้อสอบจริง</t>
        </is>
      </c>
      <c r="P25" s="18" t="inlineStr">
        <is>
          <t>ปี 2558</t>
        </is>
      </c>
    </row>
    <row r="26">
      <c r="A26" s="15" t="inlineStr">
        <is>
          <t>24</t>
        </is>
      </c>
      <c r="B26" s="18" t="inlineStr">
        <is>
          <t>วัคซีนป้องกันพิษสุนัขบ้าจัดเป็นวัคซีนประเภทใด</t>
        </is>
      </c>
      <c r="C26" s="18" t="inlineStr"/>
      <c r="D26" s="18" t="inlineStr">
        <is>
          <t>Lived vaccine</t>
        </is>
      </c>
      <c r="E26" s="18" t="inlineStr">
        <is>
          <t>Toxoid</t>
        </is>
      </c>
      <c r="F26" s="18" t="inlineStr">
        <is>
          <t>Adjuvant</t>
        </is>
      </c>
      <c r="G26" s="18" t="inlineStr">
        <is>
          <t>Killed vaccine</t>
        </is>
      </c>
      <c r="H26" s="18"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15" t="inlineStr">
        <is>
          <t>1</t>
        </is>
      </c>
      <c r="J26" s="18"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ข้อนี้ไม่ใช่คำตอบที่ถูกต้องสำหรับภาวะ Recombinant DNA เนื่องจากกลไกการออกฤทธิ์, efficacy หรือข้อบ่งใช้ไม่ตรงกับโจทย์ที่กำหนด
• ข้อ ค. (Adjuvant): ข้อนี้ไม่ใช่คำตอบที่ถูกต้องสำหรับภาวะ Recombinant DNA เนื่องจากกลไกการออกฤทธิ์, efficacy หรือข้อบ่งใช้ไม่ตรงกับโจทย์ที่กำหนด
• ข้อ ง. (Killed vaccine): ข้อนี้ไม่ใช่คำตอบที่ถูกต้องสำหรับภาวะ Recombinant DNA เนื่องจากกลไกการออกฤทธิ์, efficacy หรือข้อบ่งใช้ไม่ตรงกับโจทย์ที่กำหนด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8" t="inlineStr"/>
      <c r="L26" s="18" t="inlineStr">
        <is>
          <t>Recombinant DNA</t>
        </is>
      </c>
      <c r="M26" s="18" t="inlineStr">
        <is>
          <t>Product</t>
        </is>
      </c>
      <c r="N26" s="18" t="inlineStr">
        <is>
          <t>ข้อ 79 (PLE_CC1_2558_Key.md)</t>
        </is>
      </c>
      <c r="O26" s="18" t="inlineStr">
        <is>
          <t>ข้อสอบจริง</t>
        </is>
      </c>
      <c r="P26" s="18" t="inlineStr">
        <is>
          <t>ปี 2558</t>
        </is>
      </c>
    </row>
    <row r="27">
      <c r="A27" s="15" t="inlineStr">
        <is>
          <t>25</t>
        </is>
      </c>
      <c r="B27" s="18" t="inlineStr">
        <is>
          <t>วัคซีนในข้อใดจำเป็นน้อยที่สุดในผู้ป่วย COPD</t>
        </is>
      </c>
      <c r="C27" s="18" t="inlineStr"/>
      <c r="D27" s="18" t="inlineStr">
        <is>
          <t>COVID-19</t>
        </is>
      </c>
      <c r="E27" s="18" t="inlineStr">
        <is>
          <t>Influenza vaccine</t>
        </is>
      </c>
      <c r="F27" s="18" t="inlineStr">
        <is>
          <t>Tdap</t>
        </is>
      </c>
      <c r="G27" s="18" t="inlineStr">
        <is>
          <t>PCV13</t>
        </is>
      </c>
      <c r="H27" s="18" t="inlineStr">
        <is>
          <t>HAV</t>
        </is>
      </c>
      <c r="I27" s="15" t="inlineStr">
        <is>
          <t>1</t>
        </is>
      </c>
      <c r="J27" s="18"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ข้อนี้ไม่ใช่คำตอบที่ถูกต้องสำหรับภาวะ Recombinant DNA เนื่องจากกลไกการออกฤทธิ์, efficacy หรือข้อบ่งใช้ไม่ตรงกับโจทย์ที่กำหนด
• ข้อ ง. (PCV13): ข้อนี้ไม่ใช่คำตอบที่ถูกต้องสำหรับภาวะ Recombinant DNA เนื่องจากกลไกการออกฤทธิ์, efficacy หรือข้อบ่งใช้ไม่ตรงกับโจทย์ที่กำหนด
• ข้อ จ. (HAV):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8" t="inlineStr"/>
      <c r="L27" s="18" t="inlineStr">
        <is>
          <t>Recombinant DNA</t>
        </is>
      </c>
      <c r="M27" s="18" t="inlineStr">
        <is>
          <t>Product</t>
        </is>
      </c>
      <c r="N27" s="18" t="inlineStr">
        <is>
          <t>ข้อ 40 (Pharmtutor_2024_Set1.md)</t>
        </is>
      </c>
      <c r="O27" s="18" t="inlineStr">
        <is>
          <t>Mock</t>
        </is>
      </c>
      <c r="P27" s="18" t="inlineStr">
        <is>
          <t>Mock Pharmtutor 2024</t>
        </is>
      </c>
    </row>
    <row r="28">
      <c r="A28" s="15" t="inlineStr">
        <is>
          <t>26</t>
        </is>
      </c>
      <c r="B28" s="18"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18" t="inlineStr"/>
      <c r="D28" s="18" t="inlineStr">
        <is>
          <t>Td (Purified diphtheria toxoid 1-2 Lf และ Purified tetanus toxoid 5-10 Lf เข็มเข้ากล้าม</t>
        </is>
      </c>
      <c r="E28" s="18" t="inlineStr">
        <is>
          <t>Td (Purified diphtheria toxoid 1-2 Lf และ Purified tetanus toxoid 5-10 Lf เข็มเข้ากล้าม 3 ครั้งวันที่ 0, 1 เดือน, 6 เดือน</t>
        </is>
      </c>
      <c r="F28" s="18" t="inlineStr">
        <is>
          <t>DT (Purified diphtheria toxoid 25-30 Lf และ Purified tetanus toxoid 5-10 Lf) เข็มเข้ากล้าม</t>
        </is>
      </c>
      <c r="G28" s="18" t="inlineStr">
        <is>
          <t>DT (Purified diphtheria toxoid 25-30 Lf และ Purified tetanus toxoid 5-10 Lf) เข็มเข้ากล้าม 3 ครั้ง วันที่ 0, 1 เดือน, 6 เดือน</t>
        </is>
      </c>
      <c r="H28" s="18" t="inlineStr">
        <is>
          <t>DTw (diphtheria, tetanus toxoids, whole-cell pertussis vaccines) ฉีดเข้ากล้าม วันที่ 0,1 เดือน, 6 เดือน</t>
        </is>
      </c>
      <c r="I28" s="15" t="inlineStr">
        <is>
          <t>1</t>
        </is>
      </c>
      <c r="J28" s="18"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ข้อนี้ไม่ใช่คำตอบที่ถูกต้องสำหรับภาวะ Recombinant DNA เนื่องจากกลไกการออกฤทธิ์, efficacy หรือข้อบ่งใช้ไม่ตรงกับโจทย์ที่กำหนด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8" t="inlineStr"/>
      <c r="L28" s="18" t="inlineStr">
        <is>
          <t>Recombinant DNA</t>
        </is>
      </c>
      <c r="M28" s="18" t="inlineStr">
        <is>
          <t>Product</t>
        </is>
      </c>
      <c r="N28" s="18" t="inlineStr">
        <is>
          <t>ข้อ 40 (Pharmtutor_2024_Set2.md)</t>
        </is>
      </c>
      <c r="O28" s="18" t="inlineStr">
        <is>
          <t>Mock</t>
        </is>
      </c>
      <c r="P28" s="18" t="inlineStr">
        <is>
          <t>Mock Pharmtutor 2024</t>
        </is>
      </c>
    </row>
    <row r="29">
      <c r="A29" s="15" t="inlineStr">
        <is>
          <t>27</t>
        </is>
      </c>
      <c r="B29" s="18"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18" t="inlineStr"/>
      <c r="D29" s="18" t="inlineStr">
        <is>
          <t>TdaP</t>
        </is>
      </c>
      <c r="E29" s="18" t="inlineStr">
        <is>
          <t>IPV</t>
        </is>
      </c>
      <c r="F29" s="18" t="inlineStr">
        <is>
          <t>Influenza Vaccine</t>
        </is>
      </c>
      <c r="G29" s="18" t="inlineStr">
        <is>
          <t>SarCoV2 Vaccine</t>
        </is>
      </c>
      <c r="H29" s="18" t="inlineStr">
        <is>
          <t>Pneumococcal Vaccine</t>
        </is>
      </c>
      <c r="I29" s="15" t="inlineStr">
        <is>
          <t>1</t>
        </is>
      </c>
      <c r="J29" s="18"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ข้อนี้ไม่ใช่คำตอบที่ถูกต้องสำหรับภาวะ Recombinant DNA เนื่องจากกลไกการออกฤทธิ์, efficacy หรือข้อบ่งใช้ไม่ตรงกับโจทย์ที่กำหนด
• ข้อ จ. (Pneumococcal Vaccine):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8" t="inlineStr"/>
      <c r="L29" s="18" t="inlineStr">
        <is>
          <t>Recombinant DNA</t>
        </is>
      </c>
      <c r="M29" s="18" t="inlineStr">
        <is>
          <t>Product</t>
        </is>
      </c>
      <c r="N29" s="18" t="inlineStr">
        <is>
          <t>ข้อ 41 (Pharmtutor_2024_Set2.md)</t>
        </is>
      </c>
      <c r="O29" s="18" t="inlineStr">
        <is>
          <t>Mock</t>
        </is>
      </c>
      <c r="P29" s="18" t="inlineStr">
        <is>
          <t>Mock Pharmtutor 2024</t>
        </is>
      </c>
    </row>
    <row r="30">
      <c r="A30" s="15" t="inlineStr">
        <is>
          <t>28</t>
        </is>
      </c>
      <c r="B30" s="18"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18" t="inlineStr"/>
      <c r="D30" s="18" t="inlineStr">
        <is>
          <t>ELISA Immunoassay for protein quantification</t>
        </is>
      </c>
      <c r="E30" s="18" t="inlineStr">
        <is>
          <t>SDS-PAGE Gel Electrophoresis purity analysis</t>
        </is>
      </c>
      <c r="F30" s="18" t="inlineStr">
        <is>
          <t>Isoelectric Focusing (IEF) for charge heterogeneity</t>
        </is>
      </c>
      <c r="G30" s="18" t="inlineStr">
        <is>
          <t>Immunogenicity Neutralizing Antibody Assay</t>
        </is>
      </c>
      <c r="H30" s="18" t="inlineStr">
        <is>
          <t>Polysorbate 20 surfactant to prevent protein aggregation</t>
        </is>
      </c>
      <c r="I30" s="15" t="inlineStr">
        <is>
          <t>1</t>
        </is>
      </c>
      <c r="J30" s="18"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8" t="inlineStr"/>
      <c r="L30" s="18" t="inlineStr">
        <is>
          <t>Recombinant DNA</t>
        </is>
      </c>
      <c r="M30" s="18" t="inlineStr">
        <is>
          <t>Product</t>
        </is>
      </c>
      <c r="N30" s="18" t="inlineStr">
        <is>
          <t>ข้อ 23 (PLE_CC1_2557.md)</t>
        </is>
      </c>
      <c r="O30" s="18" t="inlineStr">
        <is>
          <t>ข้อสอบจริง</t>
        </is>
      </c>
      <c r="P30" s="18" t="inlineStr">
        <is>
          <t>ปี 2557</t>
        </is>
      </c>
    </row>
    <row r="31">
      <c r="A31" s="15" t="inlineStr">
        <is>
          <t>29</t>
        </is>
      </c>
      <c r="B31" s="18"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18" t="inlineStr"/>
      <c r="D31" s="18" t="inlineStr">
        <is>
          <t>Immunogenicity Neutralizing Antibody Assay</t>
        </is>
      </c>
      <c r="E31" s="18" t="inlineStr">
        <is>
          <t>Polysorbate 20 surfactant to prevent protein aggregation</t>
        </is>
      </c>
      <c r="F31" s="18" t="inlineStr">
        <is>
          <t>Histidine Buffer pH 6.0 formulation stability</t>
        </is>
      </c>
      <c r="G31" s="18" t="inlineStr">
        <is>
          <t>Recombinant DNA Human Insulin in E. coli</t>
        </is>
      </c>
      <c r="H31" s="18" t="inlineStr">
        <is>
          <t>Monoclonal Antibody IgG1 (CHO Cell Expression)</t>
        </is>
      </c>
      <c r="I31" s="15" t="inlineStr">
        <is>
          <t>1</t>
        </is>
      </c>
      <c r="J31" s="18"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8" t="inlineStr"/>
      <c r="L31" s="18" t="inlineStr">
        <is>
          <t>Recombinant DNA</t>
        </is>
      </c>
      <c r="M31" s="18" t="inlineStr">
        <is>
          <t>Product</t>
        </is>
      </c>
      <c r="N31" s="18" t="inlineStr">
        <is>
          <t>ข้อ 82 (PLE_CC1_2557.md)</t>
        </is>
      </c>
      <c r="O31" s="18" t="inlineStr">
        <is>
          <t>ข้อสอบจริง</t>
        </is>
      </c>
      <c r="P31" s="18" t="inlineStr">
        <is>
          <t>ปี 2557</t>
        </is>
      </c>
    </row>
    <row r="32">
      <c r="A32" s="15" t="inlineStr">
        <is>
          <t>30</t>
        </is>
      </c>
      <c r="B32" s="18"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18" t="inlineStr"/>
      <c r="D32" s="18" t="inlineStr">
        <is>
          <t>Recombinant DNA Human Insulin in E. coli</t>
        </is>
      </c>
      <c r="E32" s="18" t="inlineStr">
        <is>
          <t>Monoclonal Antibody IgG1 (CHO Cell Expression)</t>
        </is>
      </c>
      <c r="F32" s="18" t="inlineStr">
        <is>
          <t>Polyethylene Glycol (PEG) Conjugation for extended half-life</t>
        </is>
      </c>
      <c r="G32" s="18" t="inlineStr">
        <is>
          <t>Lyophilization (Freeze-drying) with Trehalose Cryoprotectant</t>
        </is>
      </c>
      <c r="H32" s="18" t="inlineStr">
        <is>
          <t>ELISA Immunoassay for protein quantification</t>
        </is>
      </c>
      <c r="I32" s="15" t="inlineStr">
        <is>
          <t>1</t>
        </is>
      </c>
      <c r="J32" s="1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8" t="inlineStr"/>
      <c r="L32" s="18" t="inlineStr">
        <is>
          <t>Recombinant DNA</t>
        </is>
      </c>
      <c r="M32" s="18" t="inlineStr">
        <is>
          <t>Product</t>
        </is>
      </c>
      <c r="N32" s="18" t="inlineStr">
        <is>
          <t>ข้อ 84 (PLE_CC1_2557.md)</t>
        </is>
      </c>
      <c r="O32" s="18" t="inlineStr">
        <is>
          <t>ข้อสอบจริง</t>
        </is>
      </c>
      <c r="P32" s="18" t="inlineStr">
        <is>
          <t>ปี 2557</t>
        </is>
      </c>
    </row>
    <row r="33">
      <c r="A33" s="15" t="inlineStr">
        <is>
          <t>31</t>
        </is>
      </c>
      <c r="B33" s="18"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18" t="inlineStr"/>
      <c r="D33" s="18" t="inlineStr">
        <is>
          <t>Lyophilization (Freeze-drying) with Trehalose Cryoprotectant</t>
        </is>
      </c>
      <c r="E33" s="18" t="inlineStr">
        <is>
          <t>ELISA Immunoassay for protein quantification</t>
        </is>
      </c>
      <c r="F33" s="18" t="inlineStr">
        <is>
          <t>SDS-PAGE Gel Electrophoresis purity analysis</t>
        </is>
      </c>
      <c r="G33" s="18" t="inlineStr">
        <is>
          <t>Isoelectric Focusing (IEF) for charge heterogeneity</t>
        </is>
      </c>
      <c r="H33" s="18" t="inlineStr">
        <is>
          <t>Immunogenicity Neutralizing Antibody Assay</t>
        </is>
      </c>
      <c r="I33" s="15" t="inlineStr">
        <is>
          <t>1</t>
        </is>
      </c>
      <c r="J33" s="1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8" t="inlineStr"/>
      <c r="L33" s="18" t="inlineStr">
        <is>
          <t>Recombinant DNA</t>
        </is>
      </c>
      <c r="M33" s="18" t="inlineStr">
        <is>
          <t>Product</t>
        </is>
      </c>
      <c r="N33" s="18" t="inlineStr">
        <is>
          <t>ข้อ 85 (PLE_CC1_2557.md)</t>
        </is>
      </c>
      <c r="O33" s="18" t="inlineStr">
        <is>
          <t>ข้อสอบจริง</t>
        </is>
      </c>
      <c r="P33" s="18" t="inlineStr">
        <is>
          <t>ปี 2557</t>
        </is>
      </c>
    </row>
    <row r="34">
      <c r="A34" s="15" t="inlineStr">
        <is>
          <t>32</t>
        </is>
      </c>
      <c r="B34" s="18"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18" t="inlineStr"/>
      <c r="D34" s="18" t="inlineStr">
        <is>
          <t>Isoelectric Focusing (IEF) for charge heterogeneity</t>
        </is>
      </c>
      <c r="E34" s="18" t="inlineStr">
        <is>
          <t>Immunogenicity Neutralizing Antibody Assay</t>
        </is>
      </c>
      <c r="F34" s="18" t="inlineStr">
        <is>
          <t>Polysorbate 20 surfactant to prevent protein aggregation</t>
        </is>
      </c>
      <c r="G34" s="18" t="inlineStr">
        <is>
          <t>Histidine Buffer pH 6.0 formulation stability</t>
        </is>
      </c>
      <c r="H34" s="18" t="inlineStr">
        <is>
          <t>Recombinant DNA Human Insulin in E. coli</t>
        </is>
      </c>
      <c r="I34" s="15" t="inlineStr">
        <is>
          <t>1</t>
        </is>
      </c>
      <c r="J34" s="18"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8" t="inlineStr"/>
      <c r="L34" s="18" t="inlineStr">
        <is>
          <t>Recombinant DNA</t>
        </is>
      </c>
      <c r="M34" s="18" t="inlineStr">
        <is>
          <t>Product</t>
        </is>
      </c>
      <c r="N34" s="18" t="inlineStr">
        <is>
          <t>ข้อ 86 (PLE_CC1_2557.md)</t>
        </is>
      </c>
      <c r="O34" s="18" t="inlineStr">
        <is>
          <t>ข้อสอบจริง</t>
        </is>
      </c>
      <c r="P34" s="18" t="inlineStr">
        <is>
          <t>ปี 2557</t>
        </is>
      </c>
    </row>
    <row r="35">
      <c r="A35" s="15" t="inlineStr">
        <is>
          <t>33</t>
        </is>
      </c>
      <c r="B35" s="18"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18" t="inlineStr"/>
      <c r="D35" s="18" t="inlineStr">
        <is>
          <t>Histidine Buffer pH 6.0 formulation stability</t>
        </is>
      </c>
      <c r="E35" s="18" t="inlineStr">
        <is>
          <t>Recombinant DNA Human Insulin in E. coli</t>
        </is>
      </c>
      <c r="F35" s="18" t="inlineStr">
        <is>
          <t>Monoclonal Antibody IgG1 (CHO Cell Expression)</t>
        </is>
      </c>
      <c r="G35" s="18" t="inlineStr">
        <is>
          <t>Polyethylene Glycol (PEG) Conjugation for extended half-life</t>
        </is>
      </c>
      <c r="H35" s="18" t="inlineStr">
        <is>
          <t>Lyophilization (Freeze-drying) with Trehalose Cryoprotectant</t>
        </is>
      </c>
      <c r="I35" s="15" t="inlineStr">
        <is>
          <t>1</t>
        </is>
      </c>
      <c r="J35" s="18"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8" t="inlineStr"/>
      <c r="L35" s="18" t="inlineStr">
        <is>
          <t>Recombinant DNA</t>
        </is>
      </c>
      <c r="M35" s="18" t="inlineStr">
        <is>
          <t>Product</t>
        </is>
      </c>
      <c r="N35" s="18" t="inlineStr">
        <is>
          <t>ข้อ 87 (PLE_CC1_2557.md)</t>
        </is>
      </c>
      <c r="O35" s="18" t="inlineStr">
        <is>
          <t>ข้อสอบจริง</t>
        </is>
      </c>
      <c r="P35" s="18" t="inlineStr">
        <is>
          <t>ปี 2557</t>
        </is>
      </c>
    </row>
    <row r="36">
      <c r="A36" s="15" t="inlineStr">
        <is>
          <t>34</t>
        </is>
      </c>
      <c r="B36" s="18" t="inlineStr">
        <is>
          <t>Vaccine ในรูปผงแห้ง ควรมีการจัดเก็บอย่างไร (1) .... จำตัวเลือกไม่ได้ .....</t>
        </is>
      </c>
      <c r="C36" s="18" t="inlineStr"/>
      <c r="D36" s="18" t="inlineStr">
        <is>
          <t>Polyethylene Glycol (PEG) Conjugation for extended half-life</t>
        </is>
      </c>
      <c r="E36" s="18" t="inlineStr">
        <is>
          <t>Lyophilization (Freeze-drying) with Trehalose Cryoprotectant</t>
        </is>
      </c>
      <c r="F36" s="18" t="inlineStr">
        <is>
          <t>ELISA Immunoassay for protein quantification</t>
        </is>
      </c>
      <c r="G36" s="18" t="inlineStr">
        <is>
          <t>SDS-PAGE Gel Electrophoresis purity analysis</t>
        </is>
      </c>
      <c r="H36" s="18" t="inlineStr">
        <is>
          <t>Isoelectric Focusing (IEF) for charge heterogeneity</t>
        </is>
      </c>
      <c r="I36" s="15" t="inlineStr">
        <is>
          <t>1</t>
        </is>
      </c>
      <c r="J36" s="1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8" t="inlineStr"/>
      <c r="L36" s="18" t="inlineStr">
        <is>
          <t>Recombinant DNA</t>
        </is>
      </c>
      <c r="M36" s="18" t="inlineStr">
        <is>
          <t>Product</t>
        </is>
      </c>
      <c r="N36" s="18" t="inlineStr">
        <is>
          <t>ข้อ 88 (PLE_CC1_2557.md)</t>
        </is>
      </c>
      <c r="O36" s="18" t="inlineStr">
        <is>
          <t>ข้อสอบจริง</t>
        </is>
      </c>
      <c r="P36" s="18" t="inlineStr">
        <is>
          <t>ปี 2557</t>
        </is>
      </c>
    </row>
    <row r="37">
      <c r="A37" s="15" t="inlineStr">
        <is>
          <t>35</t>
        </is>
      </c>
      <c r="B37" s="18"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18" t="inlineStr"/>
      <c r="D37" s="18" t="inlineStr">
        <is>
          <t>SDS-PAGE Gel Electrophoresis purity analysis</t>
        </is>
      </c>
      <c r="E37" s="18" t="inlineStr">
        <is>
          <t>Isoelectric Focusing (IEF) for charge heterogeneity</t>
        </is>
      </c>
      <c r="F37" s="18" t="inlineStr">
        <is>
          <t>Immunogenicity Neutralizing Antibody Assay</t>
        </is>
      </c>
      <c r="G37" s="18" t="inlineStr">
        <is>
          <t>Polysorbate 20 surfactant to prevent protein aggregation</t>
        </is>
      </c>
      <c r="H37" s="18" t="inlineStr">
        <is>
          <t>Histidine Buffer pH 6.0 formulation stability</t>
        </is>
      </c>
      <c r="I37" s="15" t="inlineStr">
        <is>
          <t>1</t>
        </is>
      </c>
      <c r="J37" s="1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8" t="inlineStr"/>
      <c r="L37" s="18" t="inlineStr">
        <is>
          <t>Recombinant DNA</t>
        </is>
      </c>
      <c r="M37" s="18" t="inlineStr">
        <is>
          <t>Product</t>
        </is>
      </c>
      <c r="N37" s="18" t="inlineStr">
        <is>
          <t>ข้อ 89 (PLE_CC1_2557.md)</t>
        </is>
      </c>
      <c r="O37" s="18" t="inlineStr">
        <is>
          <t>ข้อสอบจริง</t>
        </is>
      </c>
      <c r="P37" s="18" t="inlineStr">
        <is>
          <t>ปี 2557</t>
        </is>
      </c>
    </row>
    <row r="38">
      <c r="A38" s="15" t="inlineStr">
        <is>
          <t>36</t>
        </is>
      </c>
      <c r="B38" s="18" t="inlineStr">
        <is>
          <t>วัคซีนใดที่ต้องให้ในเด็กแรกเกิด</t>
        </is>
      </c>
      <c r="C38" s="18" t="inlineStr"/>
      <c r="D38" s="18" t="inlineStr">
        <is>
          <t>วัคซีนวัณโรค</t>
        </is>
      </c>
      <c r="E38" s="18" t="inlineStr">
        <is>
          <t>วัคซีนไข้หวัดใหญ่</t>
        </is>
      </c>
      <c r="F38" s="18" t="inlineStr">
        <is>
          <t>วัคซีนหัดเยอรมัน หัด คางทูม</t>
        </is>
      </c>
      <c r="G38" s="18" t="inlineStr">
        <is>
          <t>วัคซีนคอตีบ ไอกรน บาดทะยัก</t>
        </is>
      </c>
      <c r="H38" s="18" t="inlineStr">
        <is>
          <t>วัคซีนไวรัสตับอักเสบเอ</t>
        </is>
      </c>
      <c r="I38" s="15" t="inlineStr">
        <is>
          <t>1</t>
        </is>
      </c>
      <c r="J38" s="18"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ข้อนี้ไม่ใช่คำตอบที่ถูกต้องสำหรับภาวะ Recombinant DNA เนื่องจากกลไกการออกฤทธิ์, efficacy หรือข้อบ่งใช้ไม่ตรงกับโจทย์ที่กำหนด
• ข้อ ค. (วัคซีนหัดเยอรมัน หัด คางทูม): ข้อนี้ไม่ใช่คำตอบที่ถูกต้องสำหรับภาวะ Recombinant DNA เนื่องจากกลไกการออกฤทธิ์, efficacy หรือข้อบ่งใช้ไม่ตรงกับโจทย์ที่กำหนด
• ข้อ ง. (วัคซีนคอตีบ ไอกรน บาดทะยัก): ข้อนี้ไม่ใช่คำตอบที่ถูกต้องสำหรับภาวะ Recombinant DNA เนื่องจากกลไกการออกฤทธิ์, efficacy หรือข้อบ่งใช้ไม่ตรงกับโจทย์ที่กำหนด
• ข้อ จ. (วัคซีนไวรัสตับอักเสบเอ):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8" t="inlineStr"/>
      <c r="L38" s="18" t="inlineStr">
        <is>
          <t>Recombinant DNA</t>
        </is>
      </c>
      <c r="M38" s="18" t="inlineStr">
        <is>
          <t>Product</t>
        </is>
      </c>
      <c r="N38" s="18" t="inlineStr">
        <is>
          <t>ข้อ 11 (PLE_CC1_2555 Day 1.md)</t>
        </is>
      </c>
      <c r="O38" s="18" t="inlineStr">
        <is>
          <t>ข้อสอบจริง</t>
        </is>
      </c>
      <c r="P38" s="18" t="inlineStr">
        <is>
          <t>ปี 2555</t>
        </is>
      </c>
    </row>
    <row r="39">
      <c r="A39" s="15" t="inlineStr">
        <is>
          <t>37</t>
        </is>
      </c>
      <c r="B39" s="18" t="inlineStr">
        <is>
          <t>วัคซีนใดไม่ได้อยู่ในวัคซีนมาตรฐานที่เด็กไทยต้องได้รับ</t>
        </is>
      </c>
      <c r="C39" s="18" t="inlineStr"/>
      <c r="D39" s="18" t="inlineStr">
        <is>
          <t>DTP</t>
        </is>
      </c>
      <c r="E39" s="18" t="inlineStr">
        <is>
          <t>Hep A</t>
        </is>
      </c>
      <c r="F39" s="18" t="inlineStr">
        <is>
          <t>BCG</t>
        </is>
      </c>
      <c r="G39" s="18" t="inlineStr">
        <is>
          <t>MMR</t>
        </is>
      </c>
      <c r="H39" s="18" t="inlineStr">
        <is>
          <t>OPV</t>
        </is>
      </c>
      <c r="I39" s="15" t="inlineStr">
        <is>
          <t>1</t>
        </is>
      </c>
      <c r="J39" s="18"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ข้อนี้ไม่ใช่คำตอบที่ถูกต้องสำหรับภาวะ Recombinant DNA เนื่องจากกลไกการออกฤทธิ์, efficacy หรือข้อบ่งใช้ไม่ตรงกับโจทย์ที่กำหนด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8" t="inlineStr"/>
      <c r="L39" s="18" t="inlineStr">
        <is>
          <t>Recombinant DNA</t>
        </is>
      </c>
      <c r="M39" s="18" t="inlineStr">
        <is>
          <t>Product</t>
        </is>
      </c>
      <c r="N39" s="18" t="inlineStr">
        <is>
          <t>ข้อ 12 (PLE_CC1_2555 Day 1.md)</t>
        </is>
      </c>
      <c r="O39" s="18" t="inlineStr">
        <is>
          <t>ข้อสอบจริง</t>
        </is>
      </c>
      <c r="P39" s="18" t="inlineStr">
        <is>
          <t>ปี 2555</t>
        </is>
      </c>
    </row>
    <row r="40">
      <c r="A40" s="15" t="inlineStr">
        <is>
          <t>38</t>
        </is>
      </c>
      <c r="B40" s="18" t="inlineStr">
        <is>
          <t>หน้าที่ของ adjuvant เช่น alum ใส่ไปในวัคซีนเพื่ออะไร</t>
        </is>
      </c>
      <c r="C40" s="18" t="inlineStr"/>
      <c r="D40" s="18" t="inlineStr">
        <is>
          <t>เพิ่มการกระตุ้นภูมิคุ้มกันของวัคซีน</t>
        </is>
      </c>
      <c r="E40" s="18" t="inlineStr">
        <is>
          <t>เพิ่มการดูดซึมของวัคซีน</t>
        </is>
      </c>
      <c r="F40" s="18" t="inlineStr">
        <is>
          <t>เพิ่มความคงตัว</t>
        </is>
      </c>
      <c r="G40" s="18" t="inlineStr">
        <is>
          <t>ลดผลข้างเคียงที่อาจเกิดขึ้นจากวัคซีน</t>
        </is>
      </c>
      <c r="H40" s="18" t="inlineStr">
        <is>
          <t>ลดปริมาณการใช้วัคซีน</t>
        </is>
      </c>
      <c r="I40" s="15" t="inlineStr">
        <is>
          <t>1</t>
        </is>
      </c>
      <c r="J40" s="18"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ข้อนี้ไม่ใช่คำตอบที่ถูกต้องสำหรับภาวะ Recombinant DNA เนื่องจากกลไกการออกฤทธิ์, efficacy หรือข้อบ่งใช้ไม่ตรงกับโจทย์ที่กำหนด
• ข้อ ค. (เพิ่มความคงตัว): ข้อนี้ไม่ใช่คำตอบที่ถูกต้องสำหรับภาวะ Recombinant DNA เนื่องจากกลไกการออกฤทธิ์, efficacy หรือข้อบ่งใช้ไม่ตรงกับโจทย์ที่กำหนด
• ข้อ ง. (ลดผลข้างเคียงที่อาจเกิดขึ้นจากวัคซีน): ข้อนี้ไม่ใช่คำตอบที่ถูกต้องสำหรับภาวะ Recombinant DNA เนื่องจากกลไกการออกฤทธิ์, efficacy หรือข้อบ่งใช้ไม่ตรงกับโจทย์ที่กำหนด
• ข้อ จ. (ลดปริมาณการใช้วัคซีน):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8" t="inlineStr"/>
      <c r="L40" s="18" t="inlineStr">
        <is>
          <t>Recombinant DNA</t>
        </is>
      </c>
      <c r="M40" s="18" t="inlineStr">
        <is>
          <t>Product</t>
        </is>
      </c>
      <c r="N40" s="18" t="inlineStr">
        <is>
          <t>ข้อ 14 (PLE_CC1_2555 Day 1.md)</t>
        </is>
      </c>
      <c r="O40" s="18" t="inlineStr">
        <is>
          <t>ข้อสอบจริง</t>
        </is>
      </c>
      <c r="P40" s="18" t="inlineStr">
        <is>
          <t>ปี 2555</t>
        </is>
      </c>
    </row>
    <row r="41">
      <c r="A41" s="15" t="inlineStr">
        <is>
          <t>39</t>
        </is>
      </c>
      <c r="B41" s="18" t="inlineStr">
        <is>
          <t>การรับวัคซีน DTP แบบ 3 เข็ม ต้องให้ห่างกันกี่เดือน</t>
        </is>
      </c>
      <c r="C41" s="18" t="inlineStr"/>
      <c r="D41" s="18" t="inlineStr">
        <is>
          <t>1 เดือน</t>
        </is>
      </c>
      <c r="E41" s="18" t="inlineStr">
        <is>
          <t>2 เดือน</t>
        </is>
      </c>
      <c r="F41" s="18" t="inlineStr">
        <is>
          <t>3 เดือน</t>
        </is>
      </c>
      <c r="G41" s="18" t="inlineStr">
        <is>
          <t>4 เดือน</t>
        </is>
      </c>
      <c r="H41" s="18" t="inlineStr">
        <is>
          <t>6 เดือน คณะเภสัชศาสตร์ มหาวิทยาลัยเชียงใหม่ Rx 44 CMU</t>
        </is>
      </c>
      <c r="I41" s="15" t="inlineStr">
        <is>
          <t>1</t>
        </is>
      </c>
      <c r="J41" s="18"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ข้อนี้ไม่ใช่คำตอบที่ถูกต้องสำหรับภาวะ Recombinant DNA เนื่องจากกลไกการออกฤทธิ์, efficacy หรือข้อบ่งใช้ไม่ตรงกับโจทย์ที่กำหนด
• ข้อ ค. (3 เดือน): ข้อนี้ไม่ใช่คำตอบที่ถูกต้องสำหรับภาวะ Recombinant DNA เนื่องจากกลไกการออกฤทธิ์, efficacy หรือข้อบ่งใช้ไม่ตรงกับโจทย์ที่กำหนด
• ข้อ ง. (4 เดือน): ข้อนี้ไม่ใช่คำตอบที่ถูกต้องสำหรับภาวะ Recombinant DNA เนื่องจากกลไกการออกฤทธิ์, efficacy หรือข้อบ่งใช้ไม่ตรงกับโจทย์ที่กำหนด
• ข้อ จ. (6 เดือน คณะเภสัชศาสตร์ มหาวิทยาลัยเชียงใหม่ Rx 44 CMU):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8" t="inlineStr"/>
      <c r="L41" s="18" t="inlineStr">
        <is>
          <t>Recombinant DNA</t>
        </is>
      </c>
      <c r="M41" s="18" t="inlineStr">
        <is>
          <t>Product</t>
        </is>
      </c>
      <c r="N41" s="18" t="inlineStr">
        <is>
          <t>ข้อ 15 (PLE_CC1_2555 Day 1.md)</t>
        </is>
      </c>
      <c r="O41" s="18" t="inlineStr">
        <is>
          <t>ข้อสอบจริง</t>
        </is>
      </c>
      <c r="P41" s="18" t="inlineStr">
        <is>
          <t>ปี 2555</t>
        </is>
      </c>
    </row>
    <row r="42">
      <c r="A42" s="15" t="inlineStr">
        <is>
          <t>40</t>
        </is>
      </c>
      <c r="B42" s="18"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18" t="inlineStr"/>
      <c r="D42" s="18" t="inlineStr">
        <is>
          <t>รับวัคซีนก่อนไปเมืองนอก</t>
        </is>
      </c>
      <c r="E42" s="18" t="inlineStr">
        <is>
          <t>เริ่มรับวัคซีนใหม่ตั้งแต่เข็มแรก</t>
        </is>
      </c>
      <c r="F42" s="18" t="inlineStr">
        <is>
          <t>รับวัคซีนหลังจากกลับมาจากเมืองนอก</t>
        </is>
      </c>
      <c r="G42" s="18" t="inlineStr">
        <is>
          <t>.....................</t>
        </is>
      </c>
      <c r="H42" s="18" t="inlineStr">
        <is>
          <t>.....................</t>
        </is>
      </c>
      <c r="I42" s="15" t="inlineStr">
        <is>
          <t>1</t>
        </is>
      </c>
      <c r="J42" s="18"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ข้อนี้ไม่ใช่คำตอบที่ถูกต้องสำหรับภาวะ Recombinant DNA เนื่องจากกลไกการออกฤทธิ์, efficacy หรือข้อบ่งใช้ไม่ตรงกับโจทย์ที่กำหนด
• ข้อ ค. (รับวัคซีนหลังจากกลับมาจากเมืองนอก): ข้อนี้ไม่ใช่คำตอบที่ถูกต้องสำหรับภาวะ Recombinant DNA เนื่องจากกลไกการออกฤทธิ์, efficacy หรือข้อบ่งใช้ไม่ตรงกับโจทย์ที่กำหนด
• ข้อ ง. (.....................): ข้อนี้ไม่ใช่คำตอบที่ถูกต้องสำหรับภาวะ Recombinant DNA เนื่องจากกลไกการออกฤทธิ์, efficacy หรือข้อบ่งใช้ไม่ตรงกับโจทย์ที่กำหนด
• ข้อ จ. (.....................):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8" t="inlineStr"/>
      <c r="L42" s="18" t="inlineStr">
        <is>
          <t>Recombinant DNA</t>
        </is>
      </c>
      <c r="M42" s="18" t="inlineStr">
        <is>
          <t>Product</t>
        </is>
      </c>
      <c r="N42" s="18" t="inlineStr">
        <is>
          <t>ข้อ 16 (PLE_CC1_2555 Day 1.md)</t>
        </is>
      </c>
      <c r="O42" s="18" t="inlineStr">
        <is>
          <t>ข้อสอบจริง</t>
        </is>
      </c>
      <c r="P42" s="18" t="inlineStr">
        <is>
          <t>ปี 2555</t>
        </is>
      </c>
    </row>
    <row r="43">
      <c r="A43" s="15" t="inlineStr">
        <is>
          <t>41</t>
        </is>
      </c>
      <c r="B43" s="18" t="inlineStr">
        <is>
          <t>ถ้าได้รับวัคซีนจะกระตุ้มภูมิคุ้มกันชนิดใดก่อนเป็นอันดับแรก</t>
        </is>
      </c>
      <c r="C43" s="18" t="inlineStr"/>
      <c r="D43" s="18" t="inlineStr">
        <is>
          <t>IgA</t>
        </is>
      </c>
      <c r="E43" s="18" t="inlineStr">
        <is>
          <t>IgD</t>
        </is>
      </c>
      <c r="F43" s="18" t="inlineStr">
        <is>
          <t>IgE</t>
        </is>
      </c>
      <c r="G43" s="18" t="inlineStr">
        <is>
          <t>IgG</t>
        </is>
      </c>
      <c r="H43" s="18" t="inlineStr">
        <is>
          <t>IgM</t>
        </is>
      </c>
      <c r="I43" s="15" t="inlineStr">
        <is>
          <t>1</t>
        </is>
      </c>
      <c r="J43" s="18"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ข้อนี้ไม่ใช่คำตอบที่ถูกต้องสำหรับภาวะ Recombinant DNA เนื่องจากกลไกการออกฤทธิ์, efficacy หรือข้อบ่งใช้ไม่ตรงกับโจทย์ที่กำหนด
• ข้อ ค. (IgE): ข้อนี้ไม่ใช่คำตอบที่ถูกต้องสำหรับภาวะ Recombinant DNA เนื่องจากกลไกการออกฤทธิ์, efficacy หรือข้อบ่งใช้ไม่ตรงกับโจทย์ที่กำหนด
• ข้อ ง. (IgG): ข้อนี้ไม่ใช่คำตอบที่ถูกต้องสำหรับภาวะ Recombinant DNA เนื่องจากกลไกการออกฤทธิ์, efficacy หรือข้อบ่งใช้ไม่ตรงกับโจทย์ที่กำหนด
• ข้อ จ. (IgM):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8" t="inlineStr"/>
      <c r="L43" s="18" t="inlineStr">
        <is>
          <t>Recombinant DNA</t>
        </is>
      </c>
      <c r="M43" s="18" t="inlineStr">
        <is>
          <t>Product</t>
        </is>
      </c>
      <c r="N43" s="18" t="inlineStr">
        <is>
          <t>ข้อ 17 (PLE_CC1_2555 Day 1.md)</t>
        </is>
      </c>
      <c r="O43" s="18" t="inlineStr">
        <is>
          <t>ข้อสอบจริง</t>
        </is>
      </c>
      <c r="P43" s="18" t="inlineStr">
        <is>
          <t>ปี 2555</t>
        </is>
      </c>
    </row>
    <row r="44">
      <c r="A44" s="15" t="inlineStr">
        <is>
          <t>42</t>
        </is>
      </c>
      <c r="B44" s="18" t="inlineStr">
        <is>
          <t>ลดปัญหาการดื้อยา MCQ 1/2555 by CURx69 page 20 Case 11: Vaccine</t>
        </is>
      </c>
      <c r="C44" s="18" t="inlineStr"/>
      <c r="D44" s="18" t="inlineStr">
        <is>
          <t>Isoelectric Focusing (IEF) for charge heterogeneity</t>
        </is>
      </c>
      <c r="E44" s="18" t="inlineStr">
        <is>
          <t>Immunogenicity Neutralizing Antibody Assay</t>
        </is>
      </c>
      <c r="F44" s="18" t="inlineStr">
        <is>
          <t>Polysorbate 20 surfactant to prevent protein aggregation</t>
        </is>
      </c>
      <c r="G44" s="18" t="inlineStr">
        <is>
          <t>Histidine Buffer pH 6.0 formulation stability</t>
        </is>
      </c>
      <c r="H44" s="18" t="inlineStr">
        <is>
          <t>Recombinant DNA Human Insulin in E. coli</t>
        </is>
      </c>
      <c r="I44" s="15" t="inlineStr">
        <is>
          <t>1</t>
        </is>
      </c>
      <c r="J44" s="1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8" t="inlineStr"/>
      <c r="L44" s="18" t="inlineStr">
        <is>
          <t>Recombinant DNA</t>
        </is>
      </c>
      <c r="M44" s="18" t="inlineStr">
        <is>
          <t>Product</t>
        </is>
      </c>
      <c r="N44" s="18" t="inlineStr">
        <is>
          <t>ข้อ 5 (PLE_CC1_2555 Day 2.md)</t>
        </is>
      </c>
      <c r="O44" s="18" t="inlineStr">
        <is>
          <t>ข้อสอบจริง</t>
        </is>
      </c>
      <c r="P44" s="18" t="inlineStr">
        <is>
          <t>ปี 2555</t>
        </is>
      </c>
    </row>
    <row r="45">
      <c r="A45" s="15" t="inlineStr">
        <is>
          <t>43</t>
        </is>
      </c>
      <c r="B45" s="18" t="inlineStr">
        <is>
          <t>เด็กแรกเกิดต้องฉีดวัคซีนป้องกันโรคอะไร</t>
        </is>
      </c>
      <c r="C45" s="18" t="inlineStr"/>
      <c r="D45" s="18" t="inlineStr">
        <is>
          <t>Histidine Buffer pH 6.0 formulation stability</t>
        </is>
      </c>
      <c r="E45" s="18" t="inlineStr">
        <is>
          <t>Recombinant DNA Human Insulin in E. coli</t>
        </is>
      </c>
      <c r="F45" s="18" t="inlineStr">
        <is>
          <t>Monoclonal Antibody IgG1 (CHO Cell Expression)</t>
        </is>
      </c>
      <c r="G45" s="18" t="inlineStr">
        <is>
          <t>Polyethylene Glycol (PEG) Conjugation for extended half-life</t>
        </is>
      </c>
      <c r="H45" s="18" t="inlineStr">
        <is>
          <t>Lyophilization (Freeze-drying) with Trehalose Cryoprotectant</t>
        </is>
      </c>
      <c r="I45" s="15" t="inlineStr">
        <is>
          <t>1</t>
        </is>
      </c>
      <c r="J45" s="18"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8" t="inlineStr"/>
      <c r="L45" s="18" t="inlineStr">
        <is>
          <t>Recombinant DNA</t>
        </is>
      </c>
      <c r="M45" s="18" t="inlineStr">
        <is>
          <t>Product</t>
        </is>
      </c>
      <c r="N45" s="18" t="inlineStr">
        <is>
          <t>ข้อ 1 (PLE_CC1_2555 Day 2.md)</t>
        </is>
      </c>
      <c r="O45" s="18" t="inlineStr">
        <is>
          <t>ข้อสอบจริง</t>
        </is>
      </c>
      <c r="P45" s="18" t="inlineStr">
        <is>
          <t>ปี 2555</t>
        </is>
      </c>
    </row>
    <row r="46">
      <c r="A46" s="15" t="inlineStr">
        <is>
          <t>44</t>
        </is>
      </c>
      <c r="B46" s="18" t="inlineStr">
        <is>
          <t>วัคซีนไข้หวัดใหญ่</t>
        </is>
      </c>
      <c r="C46" s="18" t="inlineStr"/>
      <c r="D46" s="18" t="inlineStr">
        <is>
          <t>Polyethylene Glycol (PEG) Conjugation for extended half-life</t>
        </is>
      </c>
      <c r="E46" s="18" t="inlineStr">
        <is>
          <t>Lyophilization (Freeze-drying) with Trehalose Cryoprotectant</t>
        </is>
      </c>
      <c r="F46" s="18" t="inlineStr">
        <is>
          <t>ELISA Immunoassay for protein quantification</t>
        </is>
      </c>
      <c r="G46" s="18" t="inlineStr">
        <is>
          <t>SDS-PAGE Gel Electrophoresis purity analysis</t>
        </is>
      </c>
      <c r="H46" s="18" t="inlineStr">
        <is>
          <t>Isoelectric Focusing (IEF) for charge heterogeneity</t>
        </is>
      </c>
      <c r="I46" s="15" t="inlineStr">
        <is>
          <t>1</t>
        </is>
      </c>
      <c r="J46" s="1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8" t="inlineStr"/>
      <c r="L46" s="18" t="inlineStr">
        <is>
          <t>Recombinant DNA</t>
        </is>
      </c>
      <c r="M46" s="18" t="inlineStr">
        <is>
          <t>Product</t>
        </is>
      </c>
      <c r="N46" s="18" t="inlineStr">
        <is>
          <t>ข้อ 2 (PLE_CC1_2555 Day 2.md)</t>
        </is>
      </c>
      <c r="O46" s="18" t="inlineStr">
        <is>
          <t>ข้อสอบจริง</t>
        </is>
      </c>
      <c r="P46" s="18" t="inlineStr">
        <is>
          <t>ปี 2555</t>
        </is>
      </c>
    </row>
    <row r="47">
      <c r="A47" s="15" t="inlineStr">
        <is>
          <t>45</t>
        </is>
      </c>
      <c r="B47" s="18" t="inlineStr">
        <is>
          <t>วัคซีนไข้สมองอักเสบ</t>
        </is>
      </c>
      <c r="C47" s="18" t="inlineStr"/>
      <c r="D47" s="18" t="inlineStr">
        <is>
          <t>SDS-PAGE Gel Electrophoresis purity analysis</t>
        </is>
      </c>
      <c r="E47" s="18" t="inlineStr">
        <is>
          <t>Isoelectric Focusing (IEF) for charge heterogeneity</t>
        </is>
      </c>
      <c r="F47" s="18" t="inlineStr">
        <is>
          <t>Immunogenicity Neutralizing Antibody Assay</t>
        </is>
      </c>
      <c r="G47" s="18" t="inlineStr">
        <is>
          <t>Polysorbate 20 surfactant to prevent protein aggregation</t>
        </is>
      </c>
      <c r="H47" s="18" t="inlineStr">
        <is>
          <t>Histidine Buffer pH 6.0 formulation stability</t>
        </is>
      </c>
      <c r="I47" s="15" t="inlineStr">
        <is>
          <t>1</t>
        </is>
      </c>
      <c r="J47" s="1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8" t="inlineStr"/>
      <c r="L47" s="18" t="inlineStr">
        <is>
          <t>Recombinant DNA</t>
        </is>
      </c>
      <c r="M47" s="18" t="inlineStr">
        <is>
          <t>Product</t>
        </is>
      </c>
      <c r="N47" s="18" t="inlineStr">
        <is>
          <t>ข้อ 3 (PLE_CC1_2555 Day 2.md)</t>
        </is>
      </c>
      <c r="O47" s="18" t="inlineStr">
        <is>
          <t>ข้อสอบจริง</t>
        </is>
      </c>
      <c r="P47" s="18" t="inlineStr">
        <is>
          <t>ปี 2555</t>
        </is>
      </c>
    </row>
    <row r="48">
      <c r="A48" s="15" t="inlineStr">
        <is>
          <t>46</t>
        </is>
      </c>
      <c r="B48" s="18" t="inlineStr">
        <is>
          <t>วัคซีนหัด คางทูม หัดเยอรมัน</t>
        </is>
      </c>
      <c r="C48" s="18" t="inlineStr"/>
      <c r="D48" s="18" t="inlineStr">
        <is>
          <t>Polysorbate 20 surfactant to prevent protein aggregation</t>
        </is>
      </c>
      <c r="E48" s="18" t="inlineStr">
        <is>
          <t>Histidine Buffer pH 6.0 formulation stability</t>
        </is>
      </c>
      <c r="F48" s="18" t="inlineStr">
        <is>
          <t>Recombinant DNA Human Insulin in E. coli</t>
        </is>
      </c>
      <c r="G48" s="18" t="inlineStr">
        <is>
          <t>Monoclonal Antibody IgG1 (CHO Cell Expression)</t>
        </is>
      </c>
      <c r="H48" s="18" t="inlineStr">
        <is>
          <t>Polyethylene Glycol (PEG) Conjugation for extended half-life</t>
        </is>
      </c>
      <c r="I48" s="15" t="inlineStr">
        <is>
          <t>1</t>
        </is>
      </c>
      <c r="J48" s="18"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8" t="inlineStr"/>
      <c r="L48" s="18" t="inlineStr">
        <is>
          <t>Recombinant DNA</t>
        </is>
      </c>
      <c r="M48" s="18" t="inlineStr">
        <is>
          <t>Product</t>
        </is>
      </c>
      <c r="N48" s="18" t="inlineStr">
        <is>
          <t>ข้อ 4 (PLE_CC1_2555 Day 2.md)</t>
        </is>
      </c>
      <c r="O48" s="18" t="inlineStr">
        <is>
          <t>ข้อสอบจริง</t>
        </is>
      </c>
      <c r="P48" s="18" t="inlineStr">
        <is>
          <t>ปี 2555</t>
        </is>
      </c>
    </row>
    <row r="49">
      <c r="A49" s="15" t="inlineStr">
        <is>
          <t>47</t>
        </is>
      </c>
      <c r="B49" s="18" t="inlineStr">
        <is>
          <t>วัคซีนคอตีบ ไอกรน บาดทะยัก</t>
        </is>
      </c>
      <c r="C49" s="18" t="inlineStr"/>
      <c r="D49" s="18" t="inlineStr">
        <is>
          <t>Monoclonal Antibody IgG1 (CHO Cell Expression)</t>
        </is>
      </c>
      <c r="E49" s="18" t="inlineStr">
        <is>
          <t>Polyethylene Glycol (PEG) Conjugation for extended half-life</t>
        </is>
      </c>
      <c r="F49" s="18" t="inlineStr">
        <is>
          <t>Lyophilization (Freeze-drying) with Trehalose Cryoprotectant</t>
        </is>
      </c>
      <c r="G49" s="18" t="inlineStr">
        <is>
          <t>ELISA Immunoassay for protein quantification</t>
        </is>
      </c>
      <c r="H49" s="18" t="inlineStr">
        <is>
          <t>SDS-PAGE Gel Electrophoresis purity analysis</t>
        </is>
      </c>
      <c r="I49" s="15" t="inlineStr">
        <is>
          <t>1</t>
        </is>
      </c>
      <c r="J49" s="18"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8" t="inlineStr"/>
      <c r="L49" s="18" t="inlineStr">
        <is>
          <t>Recombinant DNA</t>
        </is>
      </c>
      <c r="M49" s="18" t="inlineStr">
        <is>
          <t>Product</t>
        </is>
      </c>
      <c r="N49" s="18" t="inlineStr">
        <is>
          <t>ข้อ 5 (PLE_CC1_2555 Day 2.md)</t>
        </is>
      </c>
      <c r="O49" s="18" t="inlineStr">
        <is>
          <t>ข้อสอบจริง</t>
        </is>
      </c>
      <c r="P49" s="18" t="inlineStr">
        <is>
          <t>ปี 2555</t>
        </is>
      </c>
    </row>
    <row r="50">
      <c r="A50" s="15" t="inlineStr">
        <is>
          <t>48</t>
        </is>
      </c>
      <c r="B50" s="18" t="inlineStr">
        <is>
          <t>วัคซีน DTP ต้องฉีดห่างกันกี่เดือน</t>
        </is>
      </c>
      <c r="C50" s="18" t="inlineStr"/>
      <c r="D50" s="18" t="inlineStr">
        <is>
          <t>ELISA Immunoassay for protein quantification</t>
        </is>
      </c>
      <c r="E50" s="18" t="inlineStr">
        <is>
          <t>SDS-PAGE Gel Electrophoresis purity analysis</t>
        </is>
      </c>
      <c r="F50" s="18" t="inlineStr">
        <is>
          <t>Isoelectric Focusing (IEF) for charge heterogeneity</t>
        </is>
      </c>
      <c r="G50" s="18" t="inlineStr">
        <is>
          <t>Immunogenicity Neutralizing Antibody Assay</t>
        </is>
      </c>
      <c r="H50" s="18" t="inlineStr">
        <is>
          <t>Polysorbate 20 surfactant to prevent protein aggregation</t>
        </is>
      </c>
      <c r="I50" s="15" t="inlineStr">
        <is>
          <t>1</t>
        </is>
      </c>
      <c r="J50" s="1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8" t="inlineStr"/>
      <c r="L50" s="18" t="inlineStr">
        <is>
          <t>Recombinant DNA</t>
        </is>
      </c>
      <c r="M50" s="18" t="inlineStr">
        <is>
          <t>Product</t>
        </is>
      </c>
      <c r="N50" s="18" t="inlineStr">
        <is>
          <t>ข้อ 4 (PLE_CC1_2555 Day 2.md)</t>
        </is>
      </c>
      <c r="O50" s="18" t="inlineStr">
        <is>
          <t>ข้อสอบจริง</t>
        </is>
      </c>
      <c r="P50" s="18" t="inlineStr">
        <is>
          <t>ปี 2555</t>
        </is>
      </c>
    </row>
    <row r="51">
      <c r="A51" s="15" t="inlineStr">
        <is>
          <t>49</t>
        </is>
      </c>
      <c r="B51" s="18" t="inlineStr">
        <is>
          <t>ให้ข้ามวัคซีนเข็มที่ 3 ไปเลยไม่ต้องฉีด</t>
        </is>
      </c>
      <c r="C51" s="18" t="inlineStr"/>
      <c r="D51" s="18" t="inlineStr">
        <is>
          <t>Immunogenicity Neutralizing Antibody Assay</t>
        </is>
      </c>
      <c r="E51" s="18" t="inlineStr">
        <is>
          <t>Polysorbate 20 surfactant to prevent protein aggregation</t>
        </is>
      </c>
      <c r="F51" s="18" t="inlineStr">
        <is>
          <t>Histidine Buffer pH 6.0 formulation stability</t>
        </is>
      </c>
      <c r="G51" s="18" t="inlineStr">
        <is>
          <t>Recombinant DNA Human Insulin in E. coli</t>
        </is>
      </c>
      <c r="H51" s="18" t="inlineStr">
        <is>
          <t>Monoclonal Antibody IgG1 (CHO Cell Expression)</t>
        </is>
      </c>
      <c r="I51" s="15" t="inlineStr">
        <is>
          <t>1</t>
        </is>
      </c>
      <c r="J51" s="18"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8" t="inlineStr"/>
      <c r="L51" s="18" t="inlineStr">
        <is>
          <t>Recombinant DNA</t>
        </is>
      </c>
      <c r="M51" s="18" t="inlineStr">
        <is>
          <t>Product</t>
        </is>
      </c>
      <c r="N51" s="18" t="inlineStr">
        <is>
          <t>ข้อ 4 (PLE_CC1_2555 Day 2.md)</t>
        </is>
      </c>
      <c r="O51" s="18" t="inlineStr">
        <is>
          <t>ข้อสอบจริง</t>
        </is>
      </c>
      <c r="P51" s="18" t="inlineStr">
        <is>
          <t>ปี 2555</t>
        </is>
      </c>
    </row>
    <row r="52">
      <c r="A52" s="15" t="inlineStr">
        <is>
          <t>50</t>
        </is>
      </c>
      <c r="B52" s="18" t="inlineStr">
        <is>
          <t>ไม่ต้องฉีดแล้ว เพราะวัคซีน HepB ฉีดแค่สองเข็ม MCQ 1/2555 by CURx69 page 21</t>
        </is>
      </c>
      <c r="C52" s="18" t="inlineStr"/>
      <c r="D52" s="18" t="inlineStr">
        <is>
          <t>Recombinant DNA Human Insulin in E. coli</t>
        </is>
      </c>
      <c r="E52" s="18" t="inlineStr">
        <is>
          <t>Monoclonal Antibody IgG1 (CHO Cell Expression)</t>
        </is>
      </c>
      <c r="F52" s="18" t="inlineStr">
        <is>
          <t>Polyethylene Glycol (PEG) Conjugation for extended half-life</t>
        </is>
      </c>
      <c r="G52" s="18" t="inlineStr">
        <is>
          <t>Lyophilization (Freeze-drying) with Trehalose Cryoprotectant</t>
        </is>
      </c>
      <c r="H52" s="18" t="inlineStr">
        <is>
          <t>ELISA Immunoassay for protein quantification</t>
        </is>
      </c>
      <c r="I52" s="15" t="inlineStr">
        <is>
          <t>1</t>
        </is>
      </c>
      <c r="J52" s="1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8" t="inlineStr"/>
      <c r="L52" s="18" t="inlineStr">
        <is>
          <t>Recombinant DNA</t>
        </is>
      </c>
      <c r="M52" s="18" t="inlineStr">
        <is>
          <t>Product</t>
        </is>
      </c>
      <c r="N52" s="18" t="inlineStr">
        <is>
          <t>ข้อ 5 (PLE_CC1_2555 Day 2.md)</t>
        </is>
      </c>
      <c r="O52" s="18" t="inlineStr">
        <is>
          <t>ข้อสอบจริง</t>
        </is>
      </c>
      <c r="P52" s="18" t="inlineStr">
        <is>
          <t>ปี 2555</t>
        </is>
      </c>
    </row>
    <row r="53">
      <c r="A53" s="15" t="inlineStr">
        <is>
          <t>51</t>
        </is>
      </c>
      <c r="B53" s="18" t="inlineStr">
        <is>
          <t>การทดสอบวัคซีนโดยฉีดเข้าเส้นเลือดที่หูกระต่ายแล้ววัดไข้เรียกว่า</t>
        </is>
      </c>
      <c r="C53" s="18" t="inlineStr"/>
      <c r="D53" s="18" t="inlineStr">
        <is>
          <t>Lyophilization (Freeze-drying) with Trehalose Cryoprotectant</t>
        </is>
      </c>
      <c r="E53" s="18" t="inlineStr">
        <is>
          <t>ELISA Immunoassay for protein quantification</t>
        </is>
      </c>
      <c r="F53" s="18" t="inlineStr">
        <is>
          <t>SDS-PAGE Gel Electrophoresis purity analysis</t>
        </is>
      </c>
      <c r="G53" s="18" t="inlineStr">
        <is>
          <t>Isoelectric Focusing (IEF) for charge heterogeneity</t>
        </is>
      </c>
      <c r="H53" s="18" t="inlineStr">
        <is>
          <t>Immunogenicity Neutralizing Antibody Assay</t>
        </is>
      </c>
      <c r="I53" s="15" t="inlineStr">
        <is>
          <t>1</t>
        </is>
      </c>
      <c r="J53" s="1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8" t="inlineStr"/>
      <c r="L53" s="18" t="inlineStr">
        <is>
          <t>Recombinant DNA</t>
        </is>
      </c>
      <c r="M53" s="18" t="inlineStr">
        <is>
          <t>Product</t>
        </is>
      </c>
      <c r="N53" s="18" t="inlineStr">
        <is>
          <t>ข้อ 6 (PLE_CC1_2555 Day 2.md)</t>
        </is>
      </c>
      <c r="O53" s="18" t="inlineStr">
        <is>
          <t>ข้อสอบจริง</t>
        </is>
      </c>
      <c r="P53" s="18" t="inlineStr">
        <is>
          <t>ปี 2555</t>
        </is>
      </c>
    </row>
    <row r="54">
      <c r="A54" s="15" t="inlineStr">
        <is>
          <t>52</t>
        </is>
      </c>
      <c r="B54" s="18" t="inlineStr">
        <is>
          <t>ใส่ Alum ใน Vaccine เพื่อเป็น Adjuvant มีประโยชน์อย่างไร</t>
        </is>
      </c>
      <c r="C54" s="18" t="inlineStr"/>
      <c r="D54" s="18" t="inlineStr">
        <is>
          <t>Isoelectric Focusing (IEF) for charge heterogeneity</t>
        </is>
      </c>
      <c r="E54" s="18" t="inlineStr">
        <is>
          <t>Immunogenicity Neutralizing Antibody Assay</t>
        </is>
      </c>
      <c r="F54" s="18" t="inlineStr">
        <is>
          <t>Polysorbate 20 surfactant to prevent protein aggregation</t>
        </is>
      </c>
      <c r="G54" s="18" t="inlineStr">
        <is>
          <t>Histidine Buffer pH 6.0 formulation stability</t>
        </is>
      </c>
      <c r="H54" s="18" t="inlineStr">
        <is>
          <t>Recombinant DNA Human Insulin in E. coli</t>
        </is>
      </c>
      <c r="I54" s="15" t="inlineStr">
        <is>
          <t>1</t>
        </is>
      </c>
      <c r="J54" s="1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8" t="inlineStr"/>
      <c r="L54" s="18" t="inlineStr">
        <is>
          <t>Recombinant DNA</t>
        </is>
      </c>
      <c r="M54" s="18" t="inlineStr">
        <is>
          <t>Product</t>
        </is>
      </c>
      <c r="N54" s="18" t="inlineStr">
        <is>
          <t>ข้อ 7 (PLE_CC1_2555 Day 2.md)</t>
        </is>
      </c>
      <c r="O54" s="18" t="inlineStr">
        <is>
          <t>ข้อสอบจริง</t>
        </is>
      </c>
      <c r="P54" s="18" t="inlineStr">
        <is>
          <t>ปี 2555</t>
        </is>
      </c>
    </row>
    <row r="55">
      <c r="A55" s="15" t="inlineStr">
        <is>
          <t>53</t>
        </is>
      </c>
      <c r="B55" s="18" t="inlineStr">
        <is>
          <t>เพิ่มความคงตัวของวัคซีน</t>
        </is>
      </c>
      <c r="C55" s="18" t="inlineStr"/>
      <c r="D55" s="18" t="inlineStr">
        <is>
          <t>Histidine Buffer pH 6.0 formulation stability</t>
        </is>
      </c>
      <c r="E55" s="18" t="inlineStr">
        <is>
          <t>Recombinant DNA Human Insulin in E. coli</t>
        </is>
      </c>
      <c r="F55" s="18" t="inlineStr">
        <is>
          <t>Monoclonal Antibody IgG1 (CHO Cell Expression)</t>
        </is>
      </c>
      <c r="G55" s="18" t="inlineStr">
        <is>
          <t>Polyethylene Glycol (PEG) Conjugation for extended half-life</t>
        </is>
      </c>
      <c r="H55" s="18" t="inlineStr">
        <is>
          <t>Lyophilization (Freeze-drying) with Trehalose Cryoprotectant</t>
        </is>
      </c>
      <c r="I55" s="15" t="inlineStr">
        <is>
          <t>1</t>
        </is>
      </c>
      <c r="J55" s="18"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8" t="inlineStr"/>
      <c r="L55" s="18" t="inlineStr">
        <is>
          <t>Recombinant DNA</t>
        </is>
      </c>
      <c r="M55" s="18" t="inlineStr">
        <is>
          <t>Product</t>
        </is>
      </c>
      <c r="N55" s="18" t="inlineStr">
        <is>
          <t>ข้อ 4 (PLE_CC1_2555 Day 2.md)</t>
        </is>
      </c>
      <c r="O55" s="18" t="inlineStr">
        <is>
          <t>ข้อสอบจริง</t>
        </is>
      </c>
      <c r="P55" s="18" t="inlineStr">
        <is>
          <t>ปี 2555</t>
        </is>
      </c>
    </row>
    <row r="56">
      <c r="A56" s="15" t="inlineStr">
        <is>
          <t>54</t>
        </is>
      </c>
      <c r="B56" s="18" t="inlineStr">
        <is>
          <t>ควรใช้วิธีใดในการทำให้วัคซีนประศจากเชื้อ</t>
        </is>
      </c>
      <c r="C56" s="18" t="inlineStr"/>
      <c r="D56" s="18" t="inlineStr">
        <is>
          <t>Polyethylene Glycol (PEG) Conjugation for extended half-life</t>
        </is>
      </c>
      <c r="E56" s="18" t="inlineStr">
        <is>
          <t>Lyophilization (Freeze-drying) with Trehalose Cryoprotectant</t>
        </is>
      </c>
      <c r="F56" s="18" t="inlineStr">
        <is>
          <t>ELISA Immunoassay for protein quantification</t>
        </is>
      </c>
      <c r="G56" s="18" t="inlineStr">
        <is>
          <t>SDS-PAGE Gel Electrophoresis purity analysis</t>
        </is>
      </c>
      <c r="H56" s="18" t="inlineStr">
        <is>
          <t>Isoelectric Focusing (IEF) for charge heterogeneity</t>
        </is>
      </c>
      <c r="I56" s="15" t="inlineStr">
        <is>
          <t>1</t>
        </is>
      </c>
      <c r="J56" s="1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8" t="inlineStr"/>
      <c r="L56" s="18" t="inlineStr">
        <is>
          <t>Recombinant DNA</t>
        </is>
      </c>
      <c r="M56" s="18" t="inlineStr">
        <is>
          <t>Product</t>
        </is>
      </c>
      <c r="N56" s="18" t="inlineStr">
        <is>
          <t>ข้อ 8 (PLE_CC1_2555 Day 2.md)</t>
        </is>
      </c>
      <c r="O56" s="18" t="inlineStr">
        <is>
          <t>ข้อสอบจริง</t>
        </is>
      </c>
      <c r="P56" s="18" t="inlineStr">
        <is>
          <t>ปี 2555</t>
        </is>
      </c>
    </row>
    <row r="57">
      <c r="A57" s="15" t="inlineStr">
        <is>
          <t>55</t>
        </is>
      </c>
      <c r="B57" s="18" t="inlineStr">
        <is>
          <t>วัคซีนใดต้องเก็บในช่องแช่แข็งเพื่อความคงตัวของวัคซีน</t>
        </is>
      </c>
      <c r="C57" s="18" t="inlineStr"/>
      <c r="D57" s="18" t="inlineStr">
        <is>
          <t>SDS-PAGE Gel Electrophoresis purity analysis</t>
        </is>
      </c>
      <c r="E57" s="18" t="inlineStr">
        <is>
          <t>Isoelectric Focusing (IEF) for charge heterogeneity</t>
        </is>
      </c>
      <c r="F57" s="18" t="inlineStr">
        <is>
          <t>Immunogenicity Neutralizing Antibody Assay</t>
        </is>
      </c>
      <c r="G57" s="18" t="inlineStr">
        <is>
          <t>Polysorbate 20 surfactant to prevent protein aggregation</t>
        </is>
      </c>
      <c r="H57" s="18" t="inlineStr">
        <is>
          <t>Histidine Buffer pH 6.0 formulation stability</t>
        </is>
      </c>
      <c r="I57" s="15" t="inlineStr">
        <is>
          <t>1</t>
        </is>
      </c>
      <c r="J57" s="1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8" t="inlineStr"/>
      <c r="L57" s="18" t="inlineStr">
        <is>
          <t>Recombinant DNA</t>
        </is>
      </c>
      <c r="M57" s="18" t="inlineStr">
        <is>
          <t>Product</t>
        </is>
      </c>
      <c r="N57" s="18" t="inlineStr">
        <is>
          <t>ข้อ 9 (PLE_CC1_2555 Day 2.md)</t>
        </is>
      </c>
      <c r="O57" s="18" t="inlineStr">
        <is>
          <t>ข้อสอบจริง</t>
        </is>
      </c>
      <c r="P57" s="18" t="inlineStr">
        <is>
          <t>ปี 2555</t>
        </is>
      </c>
    </row>
    <row r="58">
      <c r="A58" s="15" t="inlineStr">
        <is>
          <t>56</t>
        </is>
      </c>
      <c r="B58" s="18" t="inlineStr">
        <is>
          <t>วัคซีนที่ฉีดเพื่อป้องกันการติดเชื้อวัณโรคในเด็กแรกเกิดและเป็นวัคซีนพื้นฐานของประเทศไทย ข้อใดกล่าว ถูกต้อง</t>
        </is>
      </c>
      <c r="C58" s="18" t="inlineStr"/>
      <c r="D58" s="18" t="inlineStr">
        <is>
          <t>BCG เป็นวัคซีนเชื้อเป็น (live attenuated vaccine)</t>
        </is>
      </c>
      <c r="E58" s="18" t="inlineStr">
        <is>
          <t>BCG เป็นวัคซีนชนิด toxoid</t>
        </is>
      </c>
      <c r="F58" s="18" t="inlineStr">
        <is>
          <t>BCG เป็นวัคซีนชนิด subunit vaccine</t>
        </is>
      </c>
      <c r="G58" s="18" t="inlineStr">
        <is>
          <t>Tuberculin เป็นวัคซีนเชื้อเป็น (live attenuated vaccine)</t>
        </is>
      </c>
      <c r="H58" s="18" t="inlineStr">
        <is>
          <t>Tuberculin เป็นวัคซีนชนิด toxoid</t>
        </is>
      </c>
      <c r="I58" s="15" t="inlineStr">
        <is>
          <t>1</t>
        </is>
      </c>
      <c r="J58" s="18"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ข้อนี้ไม่ใช่คำตอบที่ถูกต้องสำหรับภาวะ Recombinant DNA เนื่องจากกลไกการออกฤทธิ์, efficacy หรือข้อบ่งใช้ไม่ตรงกับโจทย์ที่กำหนด
• ข้อ จ. (Tuberculin เป็นวัคซีนชนิด toxoid):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8" t="inlineStr"/>
      <c r="L58" s="18" t="inlineStr">
        <is>
          <t>Recombinant DNA</t>
        </is>
      </c>
      <c r="M58" s="18" t="inlineStr">
        <is>
          <t>Product</t>
        </is>
      </c>
      <c r="N58" s="18" t="inlineStr">
        <is>
          <t>ข้อ 12 (PLE_CC1_Practice_Exam.md)</t>
        </is>
      </c>
      <c r="O58" s="18" t="inlineStr">
        <is>
          <t>Mock</t>
        </is>
      </c>
      <c r="P58" s="18" t="inlineStr">
        <is>
          <t>Mock สภาเภสัชฯ Practice</t>
        </is>
      </c>
    </row>
    <row r="59">
      <c r="A59" s="15" t="inlineStr">
        <is>
          <t>57</t>
        </is>
      </c>
      <c r="B59" s="18" t="inlineStr">
        <is>
          <t>วัคซีนใดไม่ได้จัดอยู่ในระบบ expanded program of immunization of Thailand</t>
        </is>
      </c>
      <c r="C59" s="18" t="inlineStr"/>
      <c r="D59" s="18" t="inlineStr">
        <is>
          <t>BCG</t>
        </is>
      </c>
      <c r="E59" s="18" t="inlineStr">
        <is>
          <t>OPV</t>
        </is>
      </c>
      <c r="F59" s="18" t="inlineStr">
        <is>
          <t>DTwP</t>
        </is>
      </c>
      <c r="G59" s="18" t="inlineStr">
        <is>
          <t>MMR</t>
        </is>
      </c>
      <c r="H59" s="18" t="inlineStr">
        <is>
          <t>IPV</t>
        </is>
      </c>
      <c r="I59" s="15" t="inlineStr">
        <is>
          <t>1</t>
        </is>
      </c>
      <c r="J59" s="18"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8" t="inlineStr"/>
      <c r="L59" s="18" t="inlineStr">
        <is>
          <t>Recombinant DNA</t>
        </is>
      </c>
      <c r="M59" s="18" t="inlineStr">
        <is>
          <t>Product</t>
        </is>
      </c>
      <c r="N59" s="18" t="inlineStr">
        <is>
          <t>ข้อ 31 (PLE_CC1_Practice_Exam.md)</t>
        </is>
      </c>
      <c r="O59" s="18" t="inlineStr">
        <is>
          <t>Mock</t>
        </is>
      </c>
      <c r="P59" s="18" t="inlineStr">
        <is>
          <t>Mock สภาเภสัชฯ Practice</t>
        </is>
      </c>
    </row>
    <row r="60">
      <c r="A60" s="15" t="inlineStr">
        <is>
          <t>58</t>
        </is>
      </c>
      <c r="B60" s="18" t="inlineStr">
        <is>
          <t>ข้อใดถูกต้องเกี่ยวกับข้อควรทราบก่อนให้วัคซีน</t>
        </is>
      </c>
      <c r="C60" s="18" t="inlineStr"/>
      <c r="D60" s="18" t="inlineStr">
        <is>
          <t>ไม่ให้วัคซีนเชื้อเป็นในหญิงตั้งครรภ์</t>
        </is>
      </c>
      <c r="E60" s="18" t="inlineStr">
        <is>
          <t>Dose ของวัคซีนขึ้นกับน้ำหนัก</t>
        </is>
      </c>
      <c r="F60" s="18" t="inlineStr">
        <is>
          <t>ส่วนประกอบในวัคซีนมีผลน้อยมากต่อการพิจารณาในการให้วัคซีน</t>
        </is>
      </c>
      <c r="G60" s="18" t="inlineStr">
        <is>
          <t>เด็กที่เคยชักจากไข้สูง สามารถให้วัคซีนได้ตามปกติ</t>
        </is>
      </c>
      <c r="H60" s="18" t="inlineStr">
        <is>
          <t>ในผู้ป่วยที่มีภูมิคุ้มกันบกพร่องควรให้วัคซีนเชื้อเป็นเพราะสามารถกระตุ้นภูมิคุ้มกัืนได้ดี หัวข้อเรื่อง ยามาลาเรีย</t>
        </is>
      </c>
      <c r="I60" s="15" t="inlineStr">
        <is>
          <t>1</t>
        </is>
      </c>
      <c r="J60" s="18"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ข้อนี้ไม่ใช่คำตอบที่ถูกต้องสำหรับภาวะ Recombinant DNA เนื่องจากกลไกการออกฤทธิ์, efficacy หรือข้อบ่งใช้ไม่ตรงกับโจทย์ที่กำหนด
• ข้อ ค. (ส่วนประกอบในวัคซีนมีผลน้อยมากต่อการพิจารณาในการให้วัคซีน): ข้อนี้ไม่ใช่คำตอบที่ถูกต้องสำหรับภาวะ Recombinant DNA เนื่องจากกลไกการออกฤทธิ์, efficacy หรือข้อบ่งใช้ไม่ตรงกับโจทย์ที่กำหนด
• ข้อ ง. (เด็กที่เคยชักจากไข้สูง สามารถให้วัคซีนได้ตามปกติ): ข้อนี้ไม่ใช่คำตอบที่ถูกต้องสำหรับภาวะ Recombinant DNA เนื่องจากกลไกการออกฤทธิ์, efficacy หรือข้อบ่งใช้ไม่ตรงกับโจทย์ที่กำหนด
• ข้อ จ. (ในผู้ป่วยที่มีภูมิคุ้มกันบกพร่องควรให้วัคซีนเชื้อเป็นเพราะสามารถกระตุ้นภูมิคุ้มกัืนได้ดี หัวข้อเรื่อง ยามาลาเรีย):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8" t="inlineStr"/>
      <c r="L60" s="18" t="inlineStr">
        <is>
          <t>Recombinant DNA</t>
        </is>
      </c>
      <c r="M60" s="18" t="inlineStr">
        <is>
          <t>Product</t>
        </is>
      </c>
      <c r="N60" s="18" t="inlineStr">
        <is>
          <t>ข้อ 32 (PLE_CC1_Practice_Exam.md)</t>
        </is>
      </c>
      <c r="O60" s="18" t="inlineStr">
        <is>
          <t>Mock</t>
        </is>
      </c>
      <c r="P60" s="18" t="inlineStr">
        <is>
          <t>Mock สภาเภสัชฯ Practice</t>
        </is>
      </c>
    </row>
    <row r="61">
      <c r="A61" s="15" t="inlineStr">
        <is>
          <t>59</t>
        </is>
      </c>
      <c r="B61" s="18" t="inlineStr">
        <is>
          <t>ข้อใดต่อไปนี้ไม่ใช่ Adverse event following immunization (AEFI) หรือภาวะผิดปกติที่เกิดขึ้นจาก การฉีดวัคซีน</t>
        </is>
      </c>
      <c r="C61" s="18" t="inlineStr"/>
      <c r="D61" s="18" t="inlineStr">
        <is>
          <t>Programmatic error</t>
        </is>
      </c>
      <c r="E61" s="18" t="inlineStr">
        <is>
          <t>Vaccine reaction</t>
        </is>
      </c>
      <c r="F61" s="18" t="inlineStr">
        <is>
          <t>Coincidental events</t>
        </is>
      </c>
      <c r="G61" s="18"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18" t="inlineStr">
        <is>
          <t>Resistant reaction</t>
        </is>
      </c>
      <c r="I61" s="15" t="inlineStr">
        <is>
          <t>1</t>
        </is>
      </c>
      <c r="J61" s="18"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ข้อนี้ไม่ใช่คำตอบที่ถูกต้องสำหรับภาวะ Recombinant DNA เนื่องจากกลไกการออกฤทธิ์, efficacy หรือข้อบ่งใช้ไม่ตรงกับโจทย์ที่กำหนด
• ข้อ ค. (Coincidental events): ข้อนี้ไม่ใช่คำตอบที่ถูกต้องสำหรับภาวะ Recombinant DNA เนื่องจากกลไกการออกฤทธิ์, efficacy หรือข้อบ่งใช้ไม่ตรงกับโจทย์ที่กำหนด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8" t="inlineStr"/>
      <c r="L61" s="18" t="inlineStr">
        <is>
          <t>Recombinant DNA</t>
        </is>
      </c>
      <c r="M61" s="18" t="inlineStr">
        <is>
          <t>Product</t>
        </is>
      </c>
      <c r="N61" s="18" t="inlineStr">
        <is>
          <t>ข้อ 37 (PLE_CC1_Practice_Exam.md)</t>
        </is>
      </c>
      <c r="O61" s="18" t="inlineStr">
        <is>
          <t>Mock</t>
        </is>
      </c>
      <c r="P61" s="18" t="inlineStr">
        <is>
          <t>Mock สภาเภสัชฯ Practice</t>
        </is>
      </c>
    </row>
    <row r="62">
      <c r="A62" s="15" t="inlineStr">
        <is>
          <t>60</t>
        </is>
      </c>
      <c r="B62" s="18"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18" t="inlineStr"/>
      <c r="D62" s="18" t="inlineStr">
        <is>
          <t>นางปอยฝ้ายไม่สามารถรับการฉีดวัคซีนได้ เนื่องจากจะเกิดอันตรายต่อทารกในครรภ์</t>
        </is>
      </c>
      <c r="E62" s="18" t="inlineStr">
        <is>
          <t>นางปอยฝ้ายต้องรับการฉีดวัคซีน 3 คั้ง โดยจะฉีดเดือนที่ 1,2,6</t>
        </is>
      </c>
      <c r="F62" s="18" t="inlineStr">
        <is>
          <t>นางปอยฝ้ายควรได้รีบการฉีดวัคซีน 3 ครั้ง โดยจะฉีดเดือนที่ 0,1,7</t>
        </is>
      </c>
      <c r="G62" s="18" t="inlineStr">
        <is>
          <t>นางปอยฝ้ายควรได้รับการฉีดวัคซีน 1 ครั้ง ระหว่างตั้งครรภ์</t>
        </is>
      </c>
      <c r="H62" s="18" t="inlineStr">
        <is>
          <t>นางปอยฝ้ายควรได้รับการฉีดวัคซีน 2 ครั้ง หลังตั้งครรภ์ทันที 1 เข็มและเข็มที่ 2 ห่างจากเข็มแรก 1 เดือน</t>
        </is>
      </c>
      <c r="I62" s="15" t="inlineStr">
        <is>
          <t>1</t>
        </is>
      </c>
      <c r="J62" s="18"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ข้อนี้ไม่ใช่คำตอบที่ถูกต้องสำหรับภาวะ Recombinant DNA เนื่องจากกลไกการออกฤทธิ์, efficacy หรือข้อบ่งใช้ไม่ตรงกับโจทย์ที่กำหนด
• ข้อ ค. (นางปอยฝ้ายควรได้รีบการฉีดวัคซีน 3 ครั้ง โดยจะฉีดเดือนที่ 0,1,7): ข้อนี้ไม่ใช่คำตอบที่ถูกต้องสำหรับภาวะ Recombinant DNA เนื่องจากกลไกการออกฤทธิ์, efficacy หรือข้อบ่งใช้ไม่ตรงกับโจทย์ที่กำหนด
• ข้อ ง. (นางปอยฝ้ายควรได้รับการฉีดวัคซีน 1 ครั้ง ระหว่างตั้งครรภ์): ข้อนี้ไม่ใช่คำตอบที่ถูกต้องสำหรับภาวะ Recombinant DNA เนื่องจากกลไกการออกฤทธิ์, efficacy หรือข้อบ่งใช้ไม่ตรงกับโจทย์ที่กำหนด
• ข้อ จ. (นางปอยฝ้ายควรได้รับการฉีดวัคซีน 2 ครั้ง หลังตั้งครรภ์ทันที 1 เข็มและเข็มที่ 2 ห่างจากเข็มแรก 1 เดือน):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8" t="inlineStr"/>
      <c r="L62" s="18" t="inlineStr">
        <is>
          <t>Recombinant DNA</t>
        </is>
      </c>
      <c r="M62" s="18" t="inlineStr">
        <is>
          <t>Product</t>
        </is>
      </c>
      <c r="N62" s="18" t="inlineStr">
        <is>
          <t>ข้อ 38 (PLE_CC1_Practice_Exam.md)</t>
        </is>
      </c>
      <c r="O62" s="18" t="inlineStr">
        <is>
          <t>Mock</t>
        </is>
      </c>
      <c r="P62" s="18" t="inlineStr">
        <is>
          <t>Mock สภาเภสัชฯ Practice</t>
        </is>
      </c>
    </row>
    <row r="63">
      <c r="A63" s="15" t="inlineStr">
        <is>
          <t>61</t>
        </is>
      </c>
      <c r="B63" s="18"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18" t="inlineStr"/>
      <c r="D63" s="18" t="inlineStr">
        <is>
          <t>ฉีด HBV , ได้รับวัคซีนไวรัสตับอักเสบบีในเดือน 0-1-6</t>
        </is>
      </c>
      <c r="E63" s="18" t="inlineStr">
        <is>
          <t>ฉีด HBIG , ได้รับวัคซีนไวรัสตับอักเสบบีในเดือน 0-1-6</t>
        </is>
      </c>
      <c r="F63" s="18" t="inlineStr">
        <is>
          <t>ฉีด HBIG , ได้รับวัคซีนไวรัสตับอักเสบบีในเดือน 0-3-6</t>
        </is>
      </c>
      <c r="G63" s="18" t="inlineStr">
        <is>
          <t>ฉีด DTP-HB , ได้รับวัคซีนไวรัสตับอักเสบบีในเดือน 0-1-6</t>
        </is>
      </c>
      <c r="H63" s="18" t="inlineStr">
        <is>
          <t>ฉีด DTP-HBIG , ได้รับวัคซีนไวรัสตับอักเสบบีในเดือน 0-3-6 สถานการณ์ที่2 จากวัคซีนที่เลือกในข้อแรก เป็นวัคซีนเชื้อชนิดใด</t>
        </is>
      </c>
      <c r="I63" s="15" t="inlineStr">
        <is>
          <t>3</t>
        </is>
      </c>
      <c r="J63" s="18"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ข. (ฉีด HBIG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8" t="inlineStr"/>
      <c r="L63" s="18" t="inlineStr">
        <is>
          <t>Recombinant DNA</t>
        </is>
      </c>
      <c r="M63" s="18" t="inlineStr">
        <is>
          <t>Product</t>
        </is>
      </c>
      <c r="N63" s="18" t="inlineStr">
        <is>
          <t>ข้อ 39 (PLE_CC1_Practice_Exam.md)</t>
        </is>
      </c>
      <c r="O63" s="18" t="inlineStr">
        <is>
          <t>Mock</t>
        </is>
      </c>
      <c r="P63" s="18" t="inlineStr">
        <is>
          <t>Mock สภาเภสัชฯ Practice</t>
        </is>
      </c>
    </row>
    <row r="64">
      <c r="A64" s="15" t="inlineStr">
        <is>
          <t>62</t>
        </is>
      </c>
      <c r="B64" s="18"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18" t="inlineStr"/>
      <c r="D64" s="18" t="inlineStr">
        <is>
          <t>Isoelectric Focusing (IEF) for charge heterogeneity</t>
        </is>
      </c>
      <c r="E64" s="18" t="inlineStr">
        <is>
          <t>Immunogenicity Neutralizing Antibody Assay</t>
        </is>
      </c>
      <c r="F64" s="18" t="inlineStr">
        <is>
          <t>Polysorbate 20 surfactant to prevent protein aggregation</t>
        </is>
      </c>
      <c r="G64" s="18" t="inlineStr">
        <is>
          <t>Histidine Buffer pH 6.0 formulation stability</t>
        </is>
      </c>
      <c r="H64" s="18" t="inlineStr">
        <is>
          <t>Recombinant DNA Human Insulin in E. coli</t>
        </is>
      </c>
      <c r="I64" s="15" t="inlineStr">
        <is>
          <t>1</t>
        </is>
      </c>
      <c r="J64" s="1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8" t="inlineStr"/>
      <c r="L64" s="18" t="inlineStr">
        <is>
          <t>Recombinant DNA</t>
        </is>
      </c>
      <c r="M64" s="18" t="inlineStr">
        <is>
          <t>Product</t>
        </is>
      </c>
      <c r="N64" s="18" t="inlineStr">
        <is>
          <t>ข้อ 36 (PLE_CC1_Practice_Exam.md)</t>
        </is>
      </c>
      <c r="O64" s="18" t="inlineStr">
        <is>
          <t>Mock</t>
        </is>
      </c>
      <c r="P64" s="18" t="inlineStr">
        <is>
          <t>Mock สภาเภสัชฯ Practice</t>
        </is>
      </c>
    </row>
    <row r="65">
      <c r="A65" s="15" t="inlineStr">
        <is>
          <t>63</t>
        </is>
      </c>
      <c r="B65" s="18"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18" t="inlineStr"/>
      <c r="D65" s="18" t="inlineStr">
        <is>
          <t>Histidine Buffer pH 6.0 formulation stability</t>
        </is>
      </c>
      <c r="E65" s="18" t="inlineStr">
        <is>
          <t>Recombinant DNA Human Insulin in E. coli</t>
        </is>
      </c>
      <c r="F65" s="18" t="inlineStr">
        <is>
          <t>Monoclonal Antibody IgG1 (CHO Cell Expression)</t>
        </is>
      </c>
      <c r="G65" s="18" t="inlineStr">
        <is>
          <t>Polyethylene Glycol (PEG) Conjugation for extended half-life</t>
        </is>
      </c>
      <c r="H65" s="18" t="inlineStr">
        <is>
          <t>Lyophilization (Freeze-drying) with Trehalose Cryoprotectant</t>
        </is>
      </c>
      <c r="I65" s="15" t="inlineStr">
        <is>
          <t>5</t>
        </is>
      </c>
      <c r="J65" s="18"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8" t="inlineStr"/>
      <c r="L65" s="18" t="inlineStr">
        <is>
          <t>Recombinant DNA</t>
        </is>
      </c>
      <c r="M65" s="18" t="inlineStr">
        <is>
          <t>Product</t>
        </is>
      </c>
      <c r="N65" s="18" t="inlineStr">
        <is>
          <t>ข้อ 37 (PLE_CC1_Practice_Exam.md)</t>
        </is>
      </c>
      <c r="O65" s="18" t="inlineStr">
        <is>
          <t>Mock</t>
        </is>
      </c>
      <c r="P65" s="18" t="inlineStr">
        <is>
          <t>Mock สภาเภสัชฯ Practice</t>
        </is>
      </c>
    </row>
    <row r="66">
      <c r="A66" s="15" t="inlineStr">
        <is>
          <t>64</t>
        </is>
      </c>
      <c r="B66" s="18"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18" t="inlineStr"/>
      <c r="D66" s="18" t="inlineStr">
        <is>
          <t>Polyethylene Glycol (PEG) Conjugation for extended half-life</t>
        </is>
      </c>
      <c r="E66" s="18" t="inlineStr">
        <is>
          <t>Lyophilization (Freeze-drying) with Trehalose Cryoprotectant</t>
        </is>
      </c>
      <c r="F66" s="18" t="inlineStr">
        <is>
          <t>ELISA Immunoassay for protein quantification</t>
        </is>
      </c>
      <c r="G66" s="18" t="inlineStr">
        <is>
          <t>SDS-PAGE Gel Electrophoresis purity analysis</t>
        </is>
      </c>
      <c r="H66" s="18" t="inlineStr">
        <is>
          <t>Isoelectric Focusing (IEF) for charge heterogeneity</t>
        </is>
      </c>
      <c r="I66" s="15" t="inlineStr">
        <is>
          <t>3</t>
        </is>
      </c>
      <c r="J66" s="18"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8" t="inlineStr"/>
      <c r="L66" s="18" t="inlineStr">
        <is>
          <t>Recombinant DNA</t>
        </is>
      </c>
      <c r="M66" s="18" t="inlineStr">
        <is>
          <t>Product</t>
        </is>
      </c>
      <c r="N66" s="18" t="inlineStr">
        <is>
          <t>ข้อ 38 (PLE_CC1_Practice_Exam.md)</t>
        </is>
      </c>
      <c r="O66" s="18" t="inlineStr">
        <is>
          <t>Mock</t>
        </is>
      </c>
      <c r="P66" s="18" t="inlineStr">
        <is>
          <t>Mock สภาเภสัชฯ Practice</t>
        </is>
      </c>
    </row>
    <row r="67">
      <c r="A67" s="15" t="inlineStr">
        <is>
          <t>65</t>
        </is>
      </c>
      <c r="B67" s="18" t="inlineStr">
        <is>
          <t>ลดปัญหาการดื้อยา เรื่องที่ 11 Vaccine</t>
        </is>
      </c>
      <c r="C67" s="18" t="inlineStr"/>
      <c r="D67" s="18" t="inlineStr">
        <is>
          <t>SDS-PAGE Gel Electrophoresis purity analysis</t>
        </is>
      </c>
      <c r="E67" s="18" t="inlineStr">
        <is>
          <t>Isoelectric Focusing (IEF) for charge heterogeneity</t>
        </is>
      </c>
      <c r="F67" s="18" t="inlineStr">
        <is>
          <t>Immunogenicity Neutralizing Antibody Assay</t>
        </is>
      </c>
      <c r="G67" s="18" t="inlineStr">
        <is>
          <t>Polysorbate 20 surfactant to prevent protein aggregation</t>
        </is>
      </c>
      <c r="H67" s="18" t="inlineStr">
        <is>
          <t>Histidine Buffer pH 6.0 formulation stability</t>
        </is>
      </c>
      <c r="I67" s="15" t="inlineStr">
        <is>
          <t>1</t>
        </is>
      </c>
      <c r="J67" s="1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8" t="inlineStr"/>
      <c r="L67" s="18" t="inlineStr">
        <is>
          <t>Recombinant DNA</t>
        </is>
      </c>
      <c r="M67" s="18" t="inlineStr">
        <is>
          <t>Product</t>
        </is>
      </c>
      <c r="N67" s="18" t="inlineStr">
        <is>
          <t>ข้อ 5 (PLE_CC1_Key_Rx20_UBU.md)</t>
        </is>
      </c>
      <c r="O67" s="18" t="inlineStr">
        <is>
          <t>Mock</t>
        </is>
      </c>
      <c r="P67" s="18" t="inlineStr">
        <is>
          <t>Mock Rx20 UBU</t>
        </is>
      </c>
    </row>
    <row r="68">
      <c r="A68" s="15" t="inlineStr">
        <is>
          <t>66</t>
        </is>
      </c>
      <c r="B68" s="18" t="inlineStr">
        <is>
          <t>เด็กแรกเกิดต้องฉีดวัคซีนป้องกันโรคอะไร</t>
        </is>
      </c>
      <c r="C68" s="18" t="inlineStr"/>
      <c r="D68" s="18" t="inlineStr">
        <is>
          <t>Polysorbate 20 surfactant to prevent protein aggregation</t>
        </is>
      </c>
      <c r="E68" s="18" t="inlineStr">
        <is>
          <t>Histidine Buffer pH 6.0 formulation stability</t>
        </is>
      </c>
      <c r="F68" s="18" t="inlineStr">
        <is>
          <t>Recombinant DNA Human Insulin in E. coli</t>
        </is>
      </c>
      <c r="G68" s="18" t="inlineStr">
        <is>
          <t>Monoclonal Antibody IgG1 (CHO Cell Expression)</t>
        </is>
      </c>
      <c r="H68" s="18" t="inlineStr">
        <is>
          <t>Polyethylene Glycol (PEG) Conjugation for extended half-life</t>
        </is>
      </c>
      <c r="I68" s="15" t="inlineStr">
        <is>
          <t>1</t>
        </is>
      </c>
      <c r="J68" s="18"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8" t="inlineStr"/>
      <c r="L68" s="18" t="inlineStr">
        <is>
          <t>Recombinant DNA</t>
        </is>
      </c>
      <c r="M68" s="18" t="inlineStr">
        <is>
          <t>Product</t>
        </is>
      </c>
      <c r="N68" s="18" t="inlineStr">
        <is>
          <t>ข้อ 1 (PLE_CC1_Key_Rx20_UBU.md)</t>
        </is>
      </c>
      <c r="O68" s="18" t="inlineStr">
        <is>
          <t>Mock</t>
        </is>
      </c>
      <c r="P68" s="18" t="inlineStr">
        <is>
          <t>Mock Rx20 UBU</t>
        </is>
      </c>
    </row>
    <row r="69">
      <c r="A69" s="15" t="inlineStr">
        <is>
          <t>67</t>
        </is>
      </c>
      <c r="B69" s="18" t="inlineStr">
        <is>
          <t>วัคซีน DTP ต้องฉีดห่างกันกี่เดือน</t>
        </is>
      </c>
      <c r="C69" s="18" t="inlineStr"/>
      <c r="D69" s="18" t="inlineStr">
        <is>
          <t>Monoclonal Antibody IgG1 (CHO Cell Expression)</t>
        </is>
      </c>
      <c r="E69" s="18" t="inlineStr">
        <is>
          <t>Polyethylene Glycol (PEG) Conjugation for extended half-life</t>
        </is>
      </c>
      <c r="F69" s="18" t="inlineStr">
        <is>
          <t>Lyophilization (Freeze-drying) with Trehalose Cryoprotectant</t>
        </is>
      </c>
      <c r="G69" s="18" t="inlineStr">
        <is>
          <t>ELISA Immunoassay for protein quantification</t>
        </is>
      </c>
      <c r="H69" s="18" t="inlineStr">
        <is>
          <t>SDS-PAGE Gel Electrophoresis purity analysis</t>
        </is>
      </c>
      <c r="I69" s="15" t="inlineStr">
        <is>
          <t>1</t>
        </is>
      </c>
      <c r="J69" s="1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8" t="inlineStr"/>
      <c r="L69" s="18" t="inlineStr">
        <is>
          <t>Recombinant DNA</t>
        </is>
      </c>
      <c r="M69" s="18" t="inlineStr">
        <is>
          <t>Product</t>
        </is>
      </c>
      <c r="N69" s="18" t="inlineStr">
        <is>
          <t>ข้อ 4 (PLE_CC1_Key_Rx20_UBU.md)</t>
        </is>
      </c>
      <c r="O69" s="18" t="inlineStr">
        <is>
          <t>Mock</t>
        </is>
      </c>
      <c r="P69" s="18" t="inlineStr">
        <is>
          <t>Mock Rx20 UBU</t>
        </is>
      </c>
    </row>
    <row r="70">
      <c r="A70" s="15" t="inlineStr">
        <is>
          <t>68</t>
        </is>
      </c>
      <c r="B70" s="18"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18" t="inlineStr"/>
      <c r="D70" s="18" t="inlineStr">
        <is>
          <t>ELISA Immunoassay for protein quantification</t>
        </is>
      </c>
      <c r="E70" s="18" t="inlineStr">
        <is>
          <t>SDS-PAGE Gel Electrophoresis purity analysis</t>
        </is>
      </c>
      <c r="F70" s="18" t="inlineStr">
        <is>
          <t>Isoelectric Focusing (IEF) for charge heterogeneity</t>
        </is>
      </c>
      <c r="G70" s="18" t="inlineStr">
        <is>
          <t>Immunogenicity Neutralizing Antibody Assay</t>
        </is>
      </c>
      <c r="H70" s="18" t="inlineStr">
        <is>
          <t>Polysorbate 20 surfactant to prevent protein aggregation</t>
        </is>
      </c>
      <c r="I70" s="15" t="inlineStr">
        <is>
          <t>1</t>
        </is>
      </c>
      <c r="J70" s="1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8" t="inlineStr"/>
      <c r="L70" s="18" t="inlineStr">
        <is>
          <t>Recombinant DNA</t>
        </is>
      </c>
      <c r="M70" s="18" t="inlineStr">
        <is>
          <t>Product</t>
        </is>
      </c>
      <c r="N70" s="18" t="inlineStr">
        <is>
          <t>ข้อ 5 (PLE_CC1_Key_Rx20_UBU.md)</t>
        </is>
      </c>
      <c r="O70" s="18" t="inlineStr">
        <is>
          <t>Mock</t>
        </is>
      </c>
      <c r="P70" s="18" t="inlineStr">
        <is>
          <t>Mock Rx20 UBU</t>
        </is>
      </c>
    </row>
    <row r="71">
      <c r="A71" s="15" t="inlineStr">
        <is>
          <t>69</t>
        </is>
      </c>
      <c r="B71" s="18" t="inlineStr">
        <is>
          <t>ใส่ Alum ใน Vaccine เพื่อเป็น Adjuvant มีประโยชน์อย่างไร</t>
        </is>
      </c>
      <c r="C71" s="18" t="inlineStr"/>
      <c r="D71" s="18" t="inlineStr">
        <is>
          <t>Immunogenicity Neutralizing Antibody Assay</t>
        </is>
      </c>
      <c r="E71" s="18" t="inlineStr">
        <is>
          <t>Polysorbate 20 surfactant to prevent protein aggregation</t>
        </is>
      </c>
      <c r="F71" s="18" t="inlineStr">
        <is>
          <t>Histidine Buffer pH 6.0 formulation stability</t>
        </is>
      </c>
      <c r="G71" s="18" t="inlineStr">
        <is>
          <t>Recombinant DNA Human Insulin in E. coli</t>
        </is>
      </c>
      <c r="H71" s="18" t="inlineStr">
        <is>
          <t>Monoclonal Antibody IgG1 (CHO Cell Expression)</t>
        </is>
      </c>
      <c r="I71" s="15" t="inlineStr">
        <is>
          <t>1</t>
        </is>
      </c>
      <c r="J71" s="18"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8" t="inlineStr"/>
      <c r="L71" s="18" t="inlineStr">
        <is>
          <t>Recombinant DNA</t>
        </is>
      </c>
      <c r="M71" s="18" t="inlineStr">
        <is>
          <t>Product</t>
        </is>
      </c>
      <c r="N71" s="18" t="inlineStr">
        <is>
          <t>ข้อ 7 (PLE_CC1_Key_Rx20_UBU.md)</t>
        </is>
      </c>
      <c r="O71" s="18" t="inlineStr">
        <is>
          <t>Mock</t>
        </is>
      </c>
      <c r="P71" s="18" t="inlineStr">
        <is>
          <t>Mock Rx20 UBU</t>
        </is>
      </c>
    </row>
    <row r="72">
      <c r="A72" s="15" t="inlineStr">
        <is>
          <t>70</t>
        </is>
      </c>
      <c r="B72" s="18"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18" t="inlineStr"/>
      <c r="D72" s="18" t="inlineStr">
        <is>
          <t>Recombinant DNA Human Insulin in E. coli</t>
        </is>
      </c>
      <c r="E72" s="18" t="inlineStr">
        <is>
          <t>Monoclonal Antibody IgG1 (CHO Cell Expression)</t>
        </is>
      </c>
      <c r="F72" s="18" t="inlineStr">
        <is>
          <t>Polyethylene Glycol (PEG) Conjugation for extended half-life</t>
        </is>
      </c>
      <c r="G72" s="18" t="inlineStr">
        <is>
          <t>Lyophilization (Freeze-drying) with Trehalose Cryoprotectant</t>
        </is>
      </c>
      <c r="H72" s="18" t="inlineStr">
        <is>
          <t>ELISA Immunoassay for protein quantification</t>
        </is>
      </c>
      <c r="I72" s="15" t="inlineStr">
        <is>
          <t>1</t>
        </is>
      </c>
      <c r="J72" s="18"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8" t="inlineStr"/>
      <c r="L72" s="18" t="inlineStr">
        <is>
          <t>Recombinant DNA</t>
        </is>
      </c>
      <c r="M72" s="18" t="inlineStr">
        <is>
          <t>Product</t>
        </is>
      </c>
      <c r="N72" s="18" t="inlineStr">
        <is>
          <t>ข้อ 5 (PLE_CC1_Key_Rx20_UBU.md)</t>
        </is>
      </c>
      <c r="O72" s="18" t="inlineStr">
        <is>
          <t>Mock</t>
        </is>
      </c>
      <c r="P72" s="18" t="inlineStr">
        <is>
          <t>Mock Rx20 UBU</t>
        </is>
      </c>
    </row>
    <row r="73">
      <c r="A73" s="15" t="inlineStr">
        <is>
          <t>71</t>
        </is>
      </c>
      <c r="B73" s="18" t="inlineStr">
        <is>
          <t>ควรใช้วิธีใดในการทาให้วัคซีนประศจากเชื้อ</t>
        </is>
      </c>
      <c r="C73" s="18" t="inlineStr"/>
      <c r="D73" s="18" t="inlineStr">
        <is>
          <t>Lyophilization (Freeze-drying) with Trehalose Cryoprotectant</t>
        </is>
      </c>
      <c r="E73" s="18" t="inlineStr">
        <is>
          <t>ELISA Immunoassay for protein quantification</t>
        </is>
      </c>
      <c r="F73" s="18" t="inlineStr">
        <is>
          <t>SDS-PAGE Gel Electrophoresis purity analysis</t>
        </is>
      </c>
      <c r="G73" s="18" t="inlineStr">
        <is>
          <t>Isoelectric Focusing (IEF) for charge heterogeneity</t>
        </is>
      </c>
      <c r="H73" s="18" t="inlineStr">
        <is>
          <t>Immunogenicity Neutralizing Antibody Assay</t>
        </is>
      </c>
      <c r="I73" s="15" t="inlineStr">
        <is>
          <t>1</t>
        </is>
      </c>
      <c r="J73" s="18"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8" t="inlineStr"/>
      <c r="L73" s="18" t="inlineStr">
        <is>
          <t>Recombinant DNA</t>
        </is>
      </c>
      <c r="M73" s="18" t="inlineStr">
        <is>
          <t>Product</t>
        </is>
      </c>
      <c r="N73" s="18" t="inlineStr">
        <is>
          <t>ข้อ 8 (PLE_CC1_Key_Rx20_UBU.md)</t>
        </is>
      </c>
      <c r="O73" s="18" t="inlineStr">
        <is>
          <t>Mock</t>
        </is>
      </c>
      <c r="P73" s="18" t="inlineStr">
        <is>
          <t>Mock Rx20 UBU</t>
        </is>
      </c>
    </row>
    <row r="74">
      <c r="A74" s="15" t="inlineStr">
        <is>
          <t>72</t>
        </is>
      </c>
      <c r="B74" s="18" t="inlineStr">
        <is>
          <t>วัคซีนใดต้องเก็บในช่องแช่แข็งเพื่อความคงตัวของวัคซีน</t>
        </is>
      </c>
      <c r="C74" s="18" t="inlineStr"/>
      <c r="D74" s="18" t="inlineStr">
        <is>
          <t>Isoelectric Focusing (IEF) for charge heterogeneity</t>
        </is>
      </c>
      <c r="E74" s="18" t="inlineStr">
        <is>
          <t>Immunogenicity Neutralizing Antibody Assay</t>
        </is>
      </c>
      <c r="F74" s="18" t="inlineStr">
        <is>
          <t>Polysorbate 20 surfactant to prevent protein aggregation</t>
        </is>
      </c>
      <c r="G74" s="18" t="inlineStr">
        <is>
          <t>Histidine Buffer pH 6.0 formulation stability</t>
        </is>
      </c>
      <c r="H74" s="18" t="inlineStr">
        <is>
          <t>Recombinant DNA Human Insulin in E. coli</t>
        </is>
      </c>
      <c r="I74" s="15" t="inlineStr">
        <is>
          <t>1</t>
        </is>
      </c>
      <c r="J74" s="1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8" t="inlineStr"/>
      <c r="L74" s="18" t="inlineStr">
        <is>
          <t>Recombinant DNA</t>
        </is>
      </c>
      <c r="M74" s="18" t="inlineStr">
        <is>
          <t>Product</t>
        </is>
      </c>
      <c r="N74" s="18" t="inlineStr">
        <is>
          <t>ข้อ 9 (PLE_CC1_Key_Rx20_UBU.md)</t>
        </is>
      </c>
      <c r="O74" s="18" t="inlineStr">
        <is>
          <t>Mock</t>
        </is>
      </c>
      <c r="P74" s="18" t="inlineStr">
        <is>
          <t>Mock Rx20 UBU</t>
        </is>
      </c>
    </row>
    <row r="75">
      <c r="A75" s="15" t="inlineStr">
        <is>
          <t>73</t>
        </is>
      </c>
      <c r="B75" s="18" t="inlineStr">
        <is>
          <t>วัคซีน BCG เปญนชนิดใด</t>
        </is>
      </c>
      <c r="C75" s="18" t="inlineStr"/>
      <c r="D75" s="18" t="inlineStr">
        <is>
          <t>เชื้อเปญน</t>
        </is>
      </c>
      <c r="E75" s="18" t="inlineStr">
        <is>
          <t>เชื้อตายทั้งหมด</t>
        </is>
      </c>
      <c r="F75" s="18" t="inlineStr">
        <is>
          <t>เชื้อตายบางสGวน</t>
        </is>
      </c>
      <c r="G75" s="18" t="inlineStr">
        <is>
          <t>toxoid</t>
        </is>
      </c>
      <c r="H75" s="18" t="inlineStr">
        <is>
          <t>Lyophilization (Freeze-drying) with Trehalose Cryoprotectant</t>
        </is>
      </c>
      <c r="I75" s="15" t="inlineStr">
        <is>
          <t>2</t>
        </is>
      </c>
      <c r="J75" s="18"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ข้อนี้ไม่ใช่คำตอบที่ถูกต้องสำหรับภาวะ Recombinant DNA เนื่องจากกลไกการออกฤทธิ์, efficacy หรือข้อบ่งใช้ไม่ตรงกับโจทย์ที่กำหนด
• ข้อ ค. (เชื้อตายบางสGวน): ข้อนี้ไม่ใช่คำตอบที่ถูกต้องสำหรับภาวะ Recombinant DNA เนื่องจากกลไกการออกฤทธิ์, efficacy หรือข้อบ่งใช้ไม่ตรงกับโจทย์ที่กำหนด
• ข้อ ง. (toxoid):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8" t="inlineStr"/>
      <c r="L75" s="18" t="inlineStr">
        <is>
          <t>Recombinant DNA</t>
        </is>
      </c>
      <c r="M75" s="18" t="inlineStr">
        <is>
          <t>Product</t>
        </is>
      </c>
      <c r="N75" s="18" t="inlineStr">
        <is>
          <t>ข้อ 16 (PLE_CC1_Key_Rx20_UBU.md)</t>
        </is>
      </c>
      <c r="O75" s="18" t="inlineStr">
        <is>
          <t>Mock</t>
        </is>
      </c>
      <c r="P75" s="18" t="inlineStr">
        <is>
          <t>Mock Rx20 UBU</t>
        </is>
      </c>
    </row>
    <row r="76">
      <c r="A76" s="15" t="inlineStr">
        <is>
          <t>74</t>
        </is>
      </c>
      <c r="B76" s="18" t="inlineStr">
        <is>
          <t>วัคซีนใดที่ฉีดในเด็กอายุ 6 เดือน</t>
        </is>
      </c>
      <c r="C76" s="18" t="inlineStr"/>
      <c r="D76" s="18" t="inlineStr">
        <is>
          <t>HBV, DTP, OPV</t>
        </is>
      </c>
      <c r="E76" s="18" t="inlineStr">
        <is>
          <t>MMR, DTP, OPV</t>
        </is>
      </c>
      <c r="F76" s="18" t="inlineStr">
        <is>
          <t>BCG, HBV, DTP</t>
        </is>
      </c>
      <c r="G76" s="18" t="inlineStr">
        <is>
          <t>JE, HBV, OPV</t>
        </is>
      </c>
      <c r="H76" s="18" t="inlineStr">
        <is>
          <t>MMR, JE,DTP</t>
        </is>
      </c>
      <c r="I76" s="15" t="inlineStr">
        <is>
          <t>1</t>
        </is>
      </c>
      <c r="J76" s="18"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8" t="inlineStr"/>
      <c r="L76" s="18" t="inlineStr">
        <is>
          <t>Recombinant DNA</t>
        </is>
      </c>
      <c r="M76" s="18" t="inlineStr">
        <is>
          <t>Product</t>
        </is>
      </c>
      <c r="N76" s="18" t="inlineStr">
        <is>
          <t>ข้อ 2 (PLE_CC1_Key_Rx20_UBU.md)</t>
        </is>
      </c>
      <c r="O76" s="18" t="inlineStr">
        <is>
          <t>Mock</t>
        </is>
      </c>
      <c r="P76" s="18" t="inlineStr">
        <is>
          <t>Mock Rx20 UBU</t>
        </is>
      </c>
    </row>
    <row r="77">
      <c r="A77" s="15" t="inlineStr">
        <is>
          <t>75</t>
        </is>
      </c>
      <c r="B77" s="18" t="inlineStr">
        <is>
          <t>ถ้าวันนี้เป็นวันครบกำหนดฉีดวัคซีนพอดี จะฉีดวัคซีนให้เด็กรายนี้หรือไม่เพราะเหตุใด</t>
        </is>
      </c>
      <c r="C77" s="18" t="inlineStr"/>
      <c r="D77" s="18" t="inlineStr">
        <is>
          <t>ฉีดให้ แต่ฉีดวัคซีนเชื้อเป็นและเชื้อตายคนละตำแหน่ง</t>
        </is>
      </c>
      <c r="E77" s="18" t="inlineStr">
        <is>
          <t>ฉีดให้เฉพาะเชื้อตาย</t>
        </is>
      </c>
      <c r="F77" s="18" t="inlineStr">
        <is>
          <t>ไม่ฉีดให้เนื่องจากได้รับหรือสร้างภูมิแล้ว</t>
        </is>
      </c>
      <c r="G77" s="18" t="inlineStr">
        <is>
          <t>ไม่ฉีดให้เนื่องจากมีไข้สูง</t>
        </is>
      </c>
      <c r="H77" s="18" t="inlineStr">
        <is>
          <t>ไม่ฉีดให้เนื่องจากเป็นวัคซีนผสมหลายชนิด</t>
        </is>
      </c>
      <c r="I77" s="15" t="inlineStr">
        <is>
          <t>4</t>
        </is>
      </c>
      <c r="J77" s="18"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ข้อนี้ไม่ใช่คำตอบที่ถูกต้องสำหรับภาวะ Recombinant DNA เนื่องจากกลไกการออกฤทธิ์, efficacy หรือข้อบ่งใช้ไม่ตรงกับโจทย์ที่กำหนด
• ข้อ ข. (ฉีดให้เฉพาะเชื้อตาย): ข้อนี้ไม่ใช่คำตอบที่ถูกต้องสำหรับภาวะ Recombinant DNA เนื่องจากกลไกการออกฤทธิ์, efficacy หรือข้อบ่งใช้ไม่ตรงกับโจทย์ที่กำหนด
• ข้อ ค. (ไม่ฉีดให้เนื่องจากได้รับหรือสร้างภูมิแล้ว): ข้อนี้ไม่ใช่คำตอบที่ถูกต้องสำหรับภาวะ Recombinant DNA เนื่องจากกลไกการออกฤทธิ์, efficacy หรือข้อบ่งใช้ไม่ตรงกับโจทย์ที่กำหนด
• ข้อ จ. (ไม่ฉีดให้เนื่องจากเป็นวัคซีนผสมหลายชนิด):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8" t="inlineStr"/>
      <c r="L77" s="18" t="inlineStr">
        <is>
          <t>Recombinant DNA</t>
        </is>
      </c>
      <c r="M77" s="18" t="inlineStr">
        <is>
          <t>Product</t>
        </is>
      </c>
      <c r="N77" s="18" t="inlineStr">
        <is>
          <t>ข้อ 3 (PLE_CC1_Key_Rx20_UBU.md)</t>
        </is>
      </c>
      <c r="O77" s="18" t="inlineStr">
        <is>
          <t>Mock</t>
        </is>
      </c>
      <c r="P77" s="18" t="inlineStr">
        <is>
          <t>Mock Rx20 UBU</t>
        </is>
      </c>
    </row>
    <row r="78">
      <c r="A78" s="15" t="inlineStr">
        <is>
          <t>76</t>
        </is>
      </c>
      <c r="B78" s="18" t="inlineStr">
        <is>
          <t>ข้อใดคือน้ำที่ใชในการผลิตวัคซีนที่ใช้ในระดับอุตสาหกรรม</t>
        </is>
      </c>
      <c r="C78" s="18" t="inlineStr"/>
      <c r="D78" s="18" t="inlineStr">
        <is>
          <t>Purified water</t>
        </is>
      </c>
      <c r="E78" s="18" t="inlineStr">
        <is>
          <t>Distilled water</t>
        </is>
      </c>
      <c r="F78" s="18" t="inlineStr">
        <is>
          <t>Recombinant DNA Human Insulin in E. coli</t>
        </is>
      </c>
      <c r="G78" s="18" t="inlineStr">
        <is>
          <t>Water for injection</t>
        </is>
      </c>
      <c r="H78" s="18" t="inlineStr">
        <is>
          <t>Sterile water for injection</t>
        </is>
      </c>
      <c r="I78" s="15" t="inlineStr">
        <is>
          <t>5</t>
        </is>
      </c>
      <c r="J78" s="18"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ข้อนี้ไม่ใช่คำตอบที่ถูกต้องสำหรับภาวะ Recombinant DNA เนื่องจากกลไกการออกฤทธิ์, efficacy หรือข้อบ่งใช้ไม่ตรงกับโจทย์ที่กำหนด
• ข้อ ข. (Distilled water):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8" t="inlineStr"/>
      <c r="L78" s="18" t="inlineStr">
        <is>
          <t>Recombinant DNA</t>
        </is>
      </c>
      <c r="M78" s="18" t="inlineStr">
        <is>
          <t>Product</t>
        </is>
      </c>
      <c r="N78" s="18" t="inlineStr">
        <is>
          <t>ข้อ 7 (PLE_CC1_Key_Rx20_UBU.md)</t>
        </is>
      </c>
      <c r="O78" s="18" t="inlineStr">
        <is>
          <t>Mock</t>
        </is>
      </c>
      <c r="P78" s="18" t="inlineStr">
        <is>
          <t>Mock Rx20 UBU</t>
        </is>
      </c>
    </row>
    <row r="79">
      <c r="A79" s="15" t="inlineStr">
        <is>
          <t>77</t>
        </is>
      </c>
      <c r="B79" s="18" t="inlineStr">
        <is>
          <t>ฉีดให้ แต่ฉีดวัคซีนเชื้อเป็นและเชื้อตายคนละ ตำแหน่งกัน</t>
        </is>
      </c>
      <c r="C79" s="18" t="inlineStr"/>
      <c r="D79" s="18" t="inlineStr">
        <is>
          <t>Monoclonal Antibody IgG1 (CHO Cell Expression)</t>
        </is>
      </c>
      <c r="E79" s="18" t="inlineStr">
        <is>
          <t>Polyethylene Glycol (PEG) Conjugation for extended half-life</t>
        </is>
      </c>
      <c r="F79" s="18" t="inlineStr">
        <is>
          <t>Lyophilization (Freeze-drying) with Trehalose Cryoprotectant</t>
        </is>
      </c>
      <c r="G79" s="18" t="inlineStr">
        <is>
          <t>ELISA Immunoassay for protein quantification</t>
        </is>
      </c>
      <c r="H79" s="18" t="inlineStr">
        <is>
          <t>SDS-PAGE Gel Electrophoresis purity analysis</t>
        </is>
      </c>
      <c r="I79" s="15" t="inlineStr">
        <is>
          <t>1</t>
        </is>
      </c>
      <c r="J79" s="1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8" t="inlineStr"/>
      <c r="L79" s="18" t="inlineStr">
        <is>
          <t>Recombinant DNA</t>
        </is>
      </c>
      <c r="M79" s="18" t="inlineStr">
        <is>
          <t>Product</t>
        </is>
      </c>
      <c r="N79" s="18" t="inlineStr">
        <is>
          <t>ข้อ 1 (PLE_CC1_Key_Rx20_UBU.md)</t>
        </is>
      </c>
      <c r="O79" s="18" t="inlineStr">
        <is>
          <t>Mock</t>
        </is>
      </c>
      <c r="P79" s="18" t="inlineStr">
        <is>
          <t>Mock Rx20 UBU</t>
        </is>
      </c>
    </row>
    <row r="80">
      <c r="A80" s="15" t="inlineStr">
        <is>
          <t>78</t>
        </is>
      </c>
      <c r="B80" s="18" t="inlineStr">
        <is>
          <t>ไม่ฉีดให้ เนื่องจากเป็นวัคซีนผสมหลายชนิด</t>
        </is>
      </c>
      <c r="C80" s="18" t="inlineStr"/>
      <c r="D80" s="18" t="inlineStr">
        <is>
          <t>ELISA Immunoassay for protein quantification</t>
        </is>
      </c>
      <c r="E80" s="18" t="inlineStr">
        <is>
          <t>SDS-PAGE Gel Electrophoresis purity analysis</t>
        </is>
      </c>
      <c r="F80" s="18" t="inlineStr">
        <is>
          <t>Isoelectric Focusing (IEF) for charge heterogeneity</t>
        </is>
      </c>
      <c r="G80" s="18" t="inlineStr">
        <is>
          <t>Immunogenicity Neutralizing Antibody Assay</t>
        </is>
      </c>
      <c r="H80" s="18" t="inlineStr">
        <is>
          <t>Polysorbate 20 surfactant to prevent protein aggregation</t>
        </is>
      </c>
      <c r="I80" s="15" t="inlineStr">
        <is>
          <t>4</t>
        </is>
      </c>
      <c r="J80" s="18"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8" t="inlineStr"/>
      <c r="L80" s="18" t="inlineStr">
        <is>
          <t>Recombinant DNA</t>
        </is>
      </c>
      <c r="M80" s="18" t="inlineStr">
        <is>
          <t>Product</t>
        </is>
      </c>
      <c r="N80" s="18" t="inlineStr">
        <is>
          <t>ข้อ 5 (PLE_CC1_Key_Rx20_UBU.md)</t>
        </is>
      </c>
      <c r="O80" s="18" t="inlineStr">
        <is>
          <t>Mock</t>
        </is>
      </c>
      <c r="P80" s="18" t="inlineStr">
        <is>
          <t>Mock Rx20 UBU</t>
        </is>
      </c>
    </row>
    <row r="81">
      <c r="A81" s="15" t="inlineStr">
        <is>
          <t>79</t>
        </is>
      </c>
      <c r="B81" s="18" t="inlineStr">
        <is>
          <t>การได้รับวัคซีนซ้ำจะทำให้ระดับวัคซีนมากพอจน สามารถกระตุ้นภูมิได้มากขึ้น</t>
        </is>
      </c>
      <c r="C81" s="18" t="inlineStr"/>
      <c r="D81" s="18" t="inlineStr">
        <is>
          <t>Immunogenicity Neutralizing Antibody Assay</t>
        </is>
      </c>
      <c r="E81" s="18" t="inlineStr">
        <is>
          <t>Polysorbate 20 surfactant to prevent protein aggregation</t>
        </is>
      </c>
      <c r="F81" s="18" t="inlineStr">
        <is>
          <t>Histidine Buffer pH 6.0 formulation stability</t>
        </is>
      </c>
      <c r="G81" s="18" t="inlineStr">
        <is>
          <t>Recombinant DNA Human Insulin in E. coli</t>
        </is>
      </c>
      <c r="H81" s="18" t="inlineStr">
        <is>
          <t>Monoclonal Antibody IgG1 (CHO Cell Expression)</t>
        </is>
      </c>
      <c r="I81" s="15" t="inlineStr">
        <is>
          <t>1</t>
        </is>
      </c>
      <c r="J81" s="18"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8" t="inlineStr"/>
      <c r="L81" s="18" t="inlineStr">
        <is>
          <t>Recombinant DNA</t>
        </is>
      </c>
      <c r="M81" s="18" t="inlineStr">
        <is>
          <t>Product</t>
        </is>
      </c>
      <c r="N81" s="18" t="inlineStr">
        <is>
          <t>ข้อ 1 (PLE_CC1_Key_Rx20_UBU.md)</t>
        </is>
      </c>
      <c r="O81" s="18" t="inlineStr">
        <is>
          <t>Mock</t>
        </is>
      </c>
      <c r="P81" s="18" t="inlineStr">
        <is>
          <t>Mock Rx20 UBU</t>
        </is>
      </c>
    </row>
    <row r="82">
      <c r="A82" s="15" t="inlineStr">
        <is>
          <t>80</t>
        </is>
      </c>
      <c r="B82" s="18" t="inlineStr">
        <is>
          <t>การฉีดวัคซีนซ้ำจะทำให้สามารถสร้าง antibody บางชนิดได้มากขึ้น</t>
        </is>
      </c>
      <c r="C82" s="18" t="inlineStr"/>
      <c r="D82" s="18" t="inlineStr">
        <is>
          <t>Recombinant DNA Human Insulin in E. coli</t>
        </is>
      </c>
      <c r="E82" s="18" t="inlineStr">
        <is>
          <t>Monoclonal Antibody IgG1 (CHO Cell Expression)</t>
        </is>
      </c>
      <c r="F82" s="18" t="inlineStr">
        <is>
          <t>Polyethylene Glycol (PEG) Conjugation for extended half-life</t>
        </is>
      </c>
      <c r="G82" s="18" t="inlineStr">
        <is>
          <t>Lyophilization (Freeze-drying) with Trehalose Cryoprotectant</t>
        </is>
      </c>
      <c r="H82" s="18" t="inlineStr">
        <is>
          <t>ELISA Immunoassay for protein quantification</t>
        </is>
      </c>
      <c r="I82" s="15" t="inlineStr">
        <is>
          <t>1</t>
        </is>
      </c>
      <c r="J82" s="1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8" t="inlineStr"/>
      <c r="L82" s="18" t="inlineStr">
        <is>
          <t>Recombinant DNA</t>
        </is>
      </c>
      <c r="M82" s="18" t="inlineStr">
        <is>
          <t>Product</t>
        </is>
      </c>
      <c r="N82" s="18" t="inlineStr">
        <is>
          <t>ข้อ 2 (PLE_CC1_Key_Rx20_UBU.md)</t>
        </is>
      </c>
      <c r="O82" s="18" t="inlineStr">
        <is>
          <t>Mock</t>
        </is>
      </c>
      <c r="P82" s="18" t="inlineStr">
        <is>
          <t>Mock Rx20 UBU</t>
        </is>
      </c>
    </row>
    <row r="83">
      <c r="A83" s="15" t="inlineStr">
        <is>
          <t>81</t>
        </is>
      </c>
      <c r="B83" s="18" t="inlineStr">
        <is>
          <t>การฉีดวัคซีนก้อนกำหนดจะช่วยให้ภูมิคุมกันขึ้นได้ เร็วขึ้นและจำนวนมากขึ้น</t>
        </is>
      </c>
      <c r="C83" s="18" t="inlineStr"/>
      <c r="D83" s="18" t="inlineStr">
        <is>
          <t>Lyophilization (Freeze-drying) with Trehalose Cryoprotectant</t>
        </is>
      </c>
      <c r="E83" s="18" t="inlineStr">
        <is>
          <t>ELISA Immunoassay for protein quantification</t>
        </is>
      </c>
      <c r="F83" s="18" t="inlineStr">
        <is>
          <t>SDS-PAGE Gel Electrophoresis purity analysis</t>
        </is>
      </c>
      <c r="G83" s="18" t="inlineStr">
        <is>
          <t>Isoelectric Focusing (IEF) for charge heterogeneity</t>
        </is>
      </c>
      <c r="H83" s="18" t="inlineStr">
        <is>
          <t>Immunogenicity Neutralizing Antibody Assay</t>
        </is>
      </c>
      <c r="I83" s="15" t="inlineStr">
        <is>
          <t>1</t>
        </is>
      </c>
      <c r="J83" s="1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8" t="inlineStr"/>
      <c r="L83" s="18" t="inlineStr">
        <is>
          <t>Recombinant DNA</t>
        </is>
      </c>
      <c r="M83" s="18" t="inlineStr">
        <is>
          <t>Product</t>
        </is>
      </c>
      <c r="N83" s="18" t="inlineStr">
        <is>
          <t>ข้อ 3 (PLE_CC1_Key_Rx20_UBU.md)</t>
        </is>
      </c>
      <c r="O83" s="18" t="inlineStr">
        <is>
          <t>Mock</t>
        </is>
      </c>
      <c r="P83" s="18" t="inlineStr">
        <is>
          <t>Mock Rx20 UBU</t>
        </is>
      </c>
    </row>
    <row r="84">
      <c r="A84" s="15" t="inlineStr">
        <is>
          <t>82</t>
        </is>
      </c>
      <c r="B84" s="18" t="inlineStr">
        <is>
          <t>การเลื่อนฉีดวัคซีนช้ากว่ากำหนดจะทำให้การสร้าง antibody ลดลง</t>
        </is>
      </c>
      <c r="C84" s="18" t="inlineStr"/>
      <c r="D84" s="18" t="inlineStr">
        <is>
          <t>Isoelectric Focusing (IEF) for charge heterogeneity</t>
        </is>
      </c>
      <c r="E84" s="18" t="inlineStr">
        <is>
          <t>Immunogenicity Neutralizing Antibody Assay</t>
        </is>
      </c>
      <c r="F84" s="18" t="inlineStr">
        <is>
          <t>Polysorbate 20 surfactant to prevent protein aggregation</t>
        </is>
      </c>
      <c r="G84" s="18" t="inlineStr">
        <is>
          <t>Histidine Buffer pH 6.0 formulation stability</t>
        </is>
      </c>
      <c r="H84" s="18" t="inlineStr">
        <is>
          <t>Recombinant DNA Human Insulin in E. coli</t>
        </is>
      </c>
      <c r="I84" s="15" t="inlineStr">
        <is>
          <t>1</t>
        </is>
      </c>
      <c r="J84" s="18"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8" t="inlineStr"/>
      <c r="L84" s="18" t="inlineStr">
        <is>
          <t>Recombinant DNA</t>
        </is>
      </c>
      <c r="M84" s="18" t="inlineStr">
        <is>
          <t>Product</t>
        </is>
      </c>
      <c r="N84" s="18" t="inlineStr">
        <is>
          <t>ข้อ 4 (PLE_CC1_Key_Rx20_UBU.md)</t>
        </is>
      </c>
      <c r="O84" s="18" t="inlineStr">
        <is>
          <t>Mock</t>
        </is>
      </c>
      <c r="P84" s="18" t="inlineStr">
        <is>
          <t>Mock Rx20 UBU</t>
        </is>
      </c>
    </row>
    <row r="85">
      <c r="A85" s="15" t="inlineStr">
        <is>
          <t>83</t>
        </is>
      </c>
      <c r="B85" s="18" t="inlineStr">
        <is>
          <t>ข้อใดคือน้ำที่ใช้ในการผลิตวัคซีนที่ใช้ในระดับอุตสาหกรรม</t>
        </is>
      </c>
      <c r="C85" s="18" t="inlineStr"/>
      <c r="D85" s="18" t="inlineStr">
        <is>
          <t>Histidine Buffer pH 6.0 formulation stability</t>
        </is>
      </c>
      <c r="E85" s="18" t="inlineStr">
        <is>
          <t>Recombinant DNA Human Insulin in E. coli</t>
        </is>
      </c>
      <c r="F85" s="18" t="inlineStr">
        <is>
          <t>Monoclonal Antibody IgG1 (CHO Cell Expression)</t>
        </is>
      </c>
      <c r="G85" s="18" t="inlineStr">
        <is>
          <t>Polyethylene Glycol (PEG) Conjugation for extended half-life</t>
        </is>
      </c>
      <c r="H85" s="18" t="inlineStr">
        <is>
          <t>Lyophilization (Freeze-drying) with Trehalose Cryoprotectant</t>
        </is>
      </c>
      <c r="I85" s="15" t="inlineStr">
        <is>
          <t>1</t>
        </is>
      </c>
      <c r="J85" s="18"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8" t="inlineStr"/>
      <c r="L85" s="18" t="inlineStr">
        <is>
          <t>Recombinant DNA</t>
        </is>
      </c>
      <c r="M85" s="18" t="inlineStr">
        <is>
          <t>Product</t>
        </is>
      </c>
      <c r="N85" s="18" t="inlineStr">
        <is>
          <t>ข้อ 7 (PLE_CC1_Key_Rx20_UBU.md)</t>
        </is>
      </c>
      <c r="O85" s="18" t="inlineStr">
        <is>
          <t>Mock</t>
        </is>
      </c>
      <c r="P85" s="18" t="inlineStr">
        <is>
          <t>Mock Rx20 UBU</t>
        </is>
      </c>
    </row>
    <row r="86">
      <c r="A86" s="15" t="inlineStr">
        <is>
          <t>84</t>
        </is>
      </c>
      <c r="B86" s="18" t="inlineStr">
        <is>
          <t>recombinant DNA</t>
        </is>
      </c>
      <c r="C86" s="18" t="inlineStr"/>
      <c r="D86" s="18" t="inlineStr">
        <is>
          <t>Polyethylene Glycol (PEG) Conjugation for extended half-life</t>
        </is>
      </c>
      <c r="E86" s="18" t="inlineStr">
        <is>
          <t>Lyophilization (Freeze-drying) with Trehalose Cryoprotectant</t>
        </is>
      </c>
      <c r="F86" s="18" t="inlineStr">
        <is>
          <t>ELISA Immunoassay for protein quantification</t>
        </is>
      </c>
      <c r="G86" s="18" t="inlineStr">
        <is>
          <t>SDS-PAGE Gel Electrophoresis purity analysis</t>
        </is>
      </c>
      <c r="H86" s="18" t="inlineStr">
        <is>
          <t>Isoelectric Focusing (IEF) for charge heterogeneity</t>
        </is>
      </c>
      <c r="I86" s="15" t="inlineStr">
        <is>
          <t>1</t>
        </is>
      </c>
      <c r="J86" s="1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8" t="inlineStr"/>
      <c r="L86" s="18" t="inlineStr">
        <is>
          <t>Recombinant DNA</t>
        </is>
      </c>
      <c r="M86" s="18" t="inlineStr">
        <is>
          <t>Product</t>
        </is>
      </c>
      <c r="N86" s="18" t="inlineStr">
        <is>
          <t>ข้อ 2 (PLE_CC1_Key_Rx20_UBU.md)</t>
        </is>
      </c>
      <c r="O86" s="18" t="inlineStr">
        <is>
          <t>Mock</t>
        </is>
      </c>
      <c r="P86" s="18" t="inlineStr">
        <is>
          <t>Mock Rx20 UBU</t>
        </is>
      </c>
    </row>
    <row r="87">
      <c r="A87" s="15" t="inlineStr">
        <is>
          <t>85</t>
        </is>
      </c>
      <c r="B87" s="18"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18" t="inlineStr"/>
      <c r="D87" s="18" t="inlineStr">
        <is>
          <t>SDS-PAGE Gel Electrophoresis purity analysis</t>
        </is>
      </c>
      <c r="E87" s="18" t="inlineStr">
        <is>
          <t>Isoelectric Focusing (IEF) for charge heterogeneity</t>
        </is>
      </c>
      <c r="F87" s="18" t="inlineStr">
        <is>
          <t>Immunogenicity Neutralizing Antibody Assay</t>
        </is>
      </c>
      <c r="G87" s="18" t="inlineStr">
        <is>
          <t>Polysorbate 20 surfactant to prevent protein aggregation</t>
        </is>
      </c>
      <c r="H87" s="18" t="inlineStr">
        <is>
          <t>Histidine Buffer pH 6.0 formulation stability</t>
        </is>
      </c>
      <c r="I87" s="15" t="inlineStr">
        <is>
          <t>1</t>
        </is>
      </c>
      <c r="J87" s="18"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8" t="inlineStr"/>
      <c r="L87" s="18" t="inlineStr">
        <is>
          <t>Recombinant DNA</t>
        </is>
      </c>
      <c r="M87" s="18" t="inlineStr">
        <is>
          <t>Product</t>
        </is>
      </c>
      <c r="N87" s="18" t="inlineStr">
        <is>
          <t>ข้อ 5 (PLE_CC1_Key_Rx20_UBU.md)</t>
        </is>
      </c>
      <c r="O87" s="18" t="inlineStr">
        <is>
          <t>Mock</t>
        </is>
      </c>
      <c r="P87" s="18" t="inlineStr">
        <is>
          <t>Mock Rx20 UBU</t>
        </is>
      </c>
    </row>
    <row r="88">
      <c r="A88" s="15" t="inlineStr">
        <is>
          <t>86</t>
        </is>
      </c>
      <c r="B88" s="18" t="inlineStr">
        <is>
          <t>ถามเกี่ยวกับการฉีดวัคซีน ขอใดกลาวผิด</t>
        </is>
      </c>
      <c r="C88" s="18" t="inlineStr"/>
      <c r="D88" s="18" t="inlineStr">
        <is>
          <t>Polysorbate 20 surfactant to prevent protein aggregation</t>
        </is>
      </c>
      <c r="E88" s="18" t="inlineStr">
        <is>
          <t>Histidine Buffer pH 6.0 formulation stability</t>
        </is>
      </c>
      <c r="F88" s="18" t="inlineStr">
        <is>
          <t>Recombinant DNA Human Insulin in E. coli</t>
        </is>
      </c>
      <c r="G88" s="18" t="inlineStr">
        <is>
          <t>Monoclonal Antibody IgG1 (CHO Cell Expression)</t>
        </is>
      </c>
      <c r="H88" s="18" t="inlineStr">
        <is>
          <t>Polyethylene Glycol (PEG) Conjugation for extended half-life</t>
        </is>
      </c>
      <c r="I88" s="15" t="inlineStr">
        <is>
          <t>1</t>
        </is>
      </c>
      <c r="J88" s="18"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8" t="inlineStr"/>
      <c r="L88" s="18" t="inlineStr">
        <is>
          <t>Recombinant DNA</t>
        </is>
      </c>
      <c r="M88" s="18" t="inlineStr">
        <is>
          <t>Product</t>
        </is>
      </c>
      <c r="N88" s="18" t="inlineStr">
        <is>
          <t>ข้อ 1 (PLE_CC1_Key_Rx20_UBU.md)</t>
        </is>
      </c>
      <c r="O88" s="18" t="inlineStr">
        <is>
          <t>Mock</t>
        </is>
      </c>
      <c r="P88" s="18" t="inlineStr">
        <is>
          <t>Mock Rx20 UBU</t>
        </is>
      </c>
    </row>
    <row r="89">
      <c r="A89" s="15" t="inlineStr">
        <is>
          <t>87</t>
        </is>
      </c>
      <c r="B89" s="18" t="inlineStr">
        <is>
          <t>หากสุนัขไม่ตายภายใน 10 วันให้หยุดการฉีดวัคซีนได้</t>
        </is>
      </c>
      <c r="C89" s="18" t="inlineStr"/>
      <c r="D89" s="18" t="inlineStr">
        <is>
          <t>Monoclonal Antibody IgG1 (CHO Cell Expression)</t>
        </is>
      </c>
      <c r="E89" s="18" t="inlineStr">
        <is>
          <t>Polyethylene Glycol (PEG) Conjugation for extended half-life</t>
        </is>
      </c>
      <c r="F89" s="18" t="inlineStr">
        <is>
          <t>Lyophilization (Freeze-drying) with Trehalose Cryoprotectant</t>
        </is>
      </c>
      <c r="G89" s="18" t="inlineStr">
        <is>
          <t>ELISA Immunoassay for protein quantification</t>
        </is>
      </c>
      <c r="H89" s="18" t="inlineStr">
        <is>
          <t>SDS-PAGE Gel Electrophoresis purity analysis</t>
        </is>
      </c>
      <c r="I89" s="15" t="inlineStr">
        <is>
          <t>1</t>
        </is>
      </c>
      <c r="J89" s="1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8" t="inlineStr"/>
      <c r="L89" s="18" t="inlineStr">
        <is>
          <t>Recombinant DNA</t>
        </is>
      </c>
      <c r="M89" s="18" t="inlineStr">
        <is>
          <t>Product</t>
        </is>
      </c>
      <c r="N89" s="18" t="inlineStr">
        <is>
          <t>ข้อ 2 (PLE_CC1_Key_Rx20_UBU.md)</t>
        </is>
      </c>
      <c r="O89" s="18" t="inlineStr">
        <is>
          <t>Mock</t>
        </is>
      </c>
      <c r="P89" s="18" t="inlineStr">
        <is>
          <t>Mock Rx20 UBU</t>
        </is>
      </c>
    </row>
    <row r="90">
      <c r="A90" s="15" t="inlineStr">
        <is>
          <t>88</t>
        </is>
      </c>
      <c r="B90" s="18" t="inlineStr">
        <is>
          <t>วัคซีนพิษสุนัขบ้าชนิดฉีดเข้ากล้ามเนื้อสามารถเปลี่ยนไปใชผลิตภัณฑของบริษัทผู้ผลิตอื่นได้</t>
        </is>
      </c>
      <c r="C90" s="18" t="inlineStr"/>
      <c r="D90" s="18" t="inlineStr">
        <is>
          <t>ELISA Immunoassay for protein quantification</t>
        </is>
      </c>
      <c r="E90" s="18" t="inlineStr">
        <is>
          <t>SDS-PAGE Gel Electrophoresis purity analysis</t>
        </is>
      </c>
      <c r="F90" s="18" t="inlineStr">
        <is>
          <t>Isoelectric Focusing (IEF) for charge heterogeneity</t>
        </is>
      </c>
      <c r="G90" s="18" t="inlineStr">
        <is>
          <t>Immunogenicity Neutralizing Antibody Assay</t>
        </is>
      </c>
      <c r="H90" s="18" t="inlineStr">
        <is>
          <t>Polysorbate 20 surfactant to prevent protein aggregation</t>
        </is>
      </c>
      <c r="I90" s="15" t="inlineStr">
        <is>
          <t>1</t>
        </is>
      </c>
      <c r="J90" s="1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8" t="inlineStr"/>
      <c r="L90" s="18" t="inlineStr">
        <is>
          <t>Recombinant DNA</t>
        </is>
      </c>
      <c r="M90" s="18" t="inlineStr">
        <is>
          <t>Product</t>
        </is>
      </c>
      <c r="N90" s="18" t="inlineStr">
        <is>
          <t>ข้อ 3 (PLE_CC1_Key_Rx20_UBU.md)</t>
        </is>
      </c>
      <c r="O90" s="18" t="inlineStr">
        <is>
          <t>Mock</t>
        </is>
      </c>
      <c r="P90" s="18" t="inlineStr">
        <is>
          <t>Mock Rx20 UBU</t>
        </is>
      </c>
    </row>
    <row r="91">
      <c r="A91" s="15" t="inlineStr">
        <is>
          <t>89</t>
        </is>
      </c>
      <c r="B91" s="18"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18" t="inlineStr"/>
      <c r="D91" s="18" t="inlineStr">
        <is>
          <t>Immunogenicity Neutralizing Antibody Assay</t>
        </is>
      </c>
      <c r="E91" s="18" t="inlineStr">
        <is>
          <t>Polysorbate 20 surfactant to prevent protein aggregation</t>
        </is>
      </c>
      <c r="F91" s="18" t="inlineStr">
        <is>
          <t>Histidine Buffer pH 6.0 formulation stability</t>
        </is>
      </c>
      <c r="G91" s="18" t="inlineStr">
        <is>
          <t>Recombinant DNA Human Insulin in E. coli</t>
        </is>
      </c>
      <c r="H91" s="18" t="inlineStr">
        <is>
          <t>Monoclonal Antibody IgG1 (CHO Cell Expression)</t>
        </is>
      </c>
      <c r="I91" s="15" t="inlineStr">
        <is>
          <t>2</t>
        </is>
      </c>
      <c r="J91" s="18"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8" t="inlineStr"/>
      <c r="L91" s="18" t="inlineStr">
        <is>
          <t>Recombinant DNA</t>
        </is>
      </c>
      <c r="M91" s="18" t="inlineStr">
        <is>
          <t>Product</t>
        </is>
      </c>
      <c r="N91" s="18" t="inlineStr">
        <is>
          <t>ข้อ 4 (PLE_CC1_Key_Rx20_UBU.md)</t>
        </is>
      </c>
      <c r="O91" s="18" t="inlineStr">
        <is>
          <t>Mock</t>
        </is>
      </c>
      <c r="P91" s="18" t="inlineStr">
        <is>
          <t>Mock Rx20 UBU</t>
        </is>
      </c>
    </row>
    <row r="92">
      <c r="A92" s="15" t="inlineStr">
        <is>
          <t>90</t>
        </is>
      </c>
      <c r="B92" s="18" t="inlineStr">
        <is>
          <t>วัคซีนบาดทะยักเปนวัคซีนประเภทใด</t>
        </is>
      </c>
      <c r="C92" s="18" t="inlineStr"/>
      <c r="D92" s="18" t="inlineStr">
        <is>
          <t>Recombinant DNA Human Insulin in E. coli</t>
        </is>
      </c>
      <c r="E92" s="18" t="inlineStr">
        <is>
          <t>Monoclonal Antibody IgG1 (CHO Cell Expression)</t>
        </is>
      </c>
      <c r="F92" s="18" t="inlineStr">
        <is>
          <t>Polyethylene Glycol (PEG) Conjugation for extended half-life</t>
        </is>
      </c>
      <c r="G92" s="18" t="inlineStr">
        <is>
          <t>Lyophilization (Freeze-drying) with Trehalose Cryoprotectant</t>
        </is>
      </c>
      <c r="H92" s="18" t="inlineStr">
        <is>
          <t>ELISA Immunoassay for protein quantification</t>
        </is>
      </c>
      <c r="I92" s="15" t="inlineStr">
        <is>
          <t>1</t>
        </is>
      </c>
      <c r="J92" s="18"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8" t="inlineStr"/>
      <c r="L92" s="18" t="inlineStr">
        <is>
          <t>Recombinant DNA</t>
        </is>
      </c>
      <c r="M92" s="18" t="inlineStr">
        <is>
          <t>Product</t>
        </is>
      </c>
      <c r="N92" s="18" t="inlineStr">
        <is>
          <t>ข้อ 2 (PLE_CC1_Key_Rx20_UBU.md)</t>
        </is>
      </c>
      <c r="O92" s="18" t="inlineStr">
        <is>
          <t>Mock</t>
        </is>
      </c>
      <c r="P92" s="18" t="inlineStr">
        <is>
          <t>Mock Rx20 UBU</t>
        </is>
      </c>
    </row>
    <row r="93">
      <c r="A93" s="15" t="inlineStr">
        <is>
          <t>91</t>
        </is>
      </c>
      <c r="B93" s="18" t="inlineStr">
        <is>
          <t>Lived atenuated vaccine</t>
        </is>
      </c>
      <c r="C93" s="18" t="inlineStr"/>
      <c r="D93" s="18" t="inlineStr">
        <is>
          <t>Lyophilization (Freeze-drying) with Trehalose Cryoprotectant</t>
        </is>
      </c>
      <c r="E93" s="18" t="inlineStr">
        <is>
          <t>ELISA Immunoassay for protein quantification</t>
        </is>
      </c>
      <c r="F93" s="18" t="inlineStr">
        <is>
          <t>SDS-PAGE Gel Electrophoresis purity analysis</t>
        </is>
      </c>
      <c r="G93" s="18" t="inlineStr">
        <is>
          <t>Isoelectric Focusing (IEF) for charge heterogeneity</t>
        </is>
      </c>
      <c r="H93" s="18" t="inlineStr">
        <is>
          <t>Immunogenicity Neutralizing Antibody Assay</t>
        </is>
      </c>
      <c r="I93" s="15" t="inlineStr">
        <is>
          <t>1</t>
        </is>
      </c>
      <c r="J93" s="18"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8" t="inlineStr"/>
      <c r="L93" s="18" t="inlineStr">
        <is>
          <t>Recombinant DNA</t>
        </is>
      </c>
      <c r="M93" s="18" t="inlineStr">
        <is>
          <t>Product</t>
        </is>
      </c>
      <c r="N93" s="18" t="inlineStr">
        <is>
          <t>ข้อ 2 (PLE_CC1_Key_Rx20_UBU.md)</t>
        </is>
      </c>
      <c r="O93" s="18" t="inlineStr">
        <is>
          <t>Mock</t>
        </is>
      </c>
      <c r="P93" s="18" t="inlineStr">
        <is>
          <t>Mock Rx20 UBU</t>
        </is>
      </c>
    </row>
    <row r="94">
      <c r="A94" s="15" t="inlineStr">
        <is>
          <t>92</t>
        </is>
      </c>
      <c r="B94" s="18" t="inlineStr">
        <is>
          <t>Killed whole cell vaccine</t>
        </is>
      </c>
      <c r="C94" s="18" t="inlineStr"/>
      <c r="D94" s="18" t="inlineStr">
        <is>
          <t>Isoelectric Focusing (IEF) for charge heterogeneity</t>
        </is>
      </c>
      <c r="E94" s="18" t="inlineStr">
        <is>
          <t>Immunogenicity Neutralizing Antibody Assay</t>
        </is>
      </c>
      <c r="F94" s="18" t="inlineStr">
        <is>
          <t>Polysorbate 20 surfactant to prevent protein aggregation</t>
        </is>
      </c>
      <c r="G94" s="18" t="inlineStr">
        <is>
          <t>Histidine Buffer pH 6.0 formulation stability</t>
        </is>
      </c>
      <c r="H94" s="18" t="inlineStr">
        <is>
          <t>Recombinant DNA Human Insulin in E. coli</t>
        </is>
      </c>
      <c r="I94" s="15" t="inlineStr">
        <is>
          <t>1</t>
        </is>
      </c>
      <c r="J94" s="1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8" t="inlineStr"/>
      <c r="L94" s="18" t="inlineStr">
        <is>
          <t>Recombinant DNA</t>
        </is>
      </c>
      <c r="M94" s="18" t="inlineStr">
        <is>
          <t>Product</t>
        </is>
      </c>
      <c r="N94" s="18" t="inlineStr">
        <is>
          <t>ข้อ 3 (PLE_CC1_Key_Rx20_UBU.md)</t>
        </is>
      </c>
      <c r="O94" s="18" t="inlineStr">
        <is>
          <t>Mock</t>
        </is>
      </c>
      <c r="P94" s="18" t="inlineStr">
        <is>
          <t>Mock Rx20 UBU</t>
        </is>
      </c>
    </row>
    <row r="95">
      <c r="A95" s="15" t="inlineStr">
        <is>
          <t>93</t>
        </is>
      </c>
      <c r="B95" s="18" t="inlineStr">
        <is>
          <t>Subunit vaccine</t>
        </is>
      </c>
      <c r="C95" s="18" t="inlineStr"/>
      <c r="D95" s="18" t="inlineStr">
        <is>
          <t>Histidine Buffer pH 6.0 formulation stability</t>
        </is>
      </c>
      <c r="E95" s="18" t="inlineStr">
        <is>
          <t>Recombinant DNA Human Insulin in E. coli</t>
        </is>
      </c>
      <c r="F95" s="18" t="inlineStr">
        <is>
          <t>Monoclonal Antibody IgG1 (CHO Cell Expression)</t>
        </is>
      </c>
      <c r="G95" s="18" t="inlineStr">
        <is>
          <t>Polyethylene Glycol (PEG) Conjugation for extended half-life</t>
        </is>
      </c>
      <c r="H95" s="18" t="inlineStr">
        <is>
          <t>Lyophilization (Freeze-drying) with Trehalose Cryoprotectant</t>
        </is>
      </c>
      <c r="I95" s="15" t="inlineStr">
        <is>
          <t>1</t>
        </is>
      </c>
      <c r="J95" s="18"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8" t="inlineStr"/>
      <c r="L95" s="18" t="inlineStr">
        <is>
          <t>Recombinant DNA</t>
        </is>
      </c>
      <c r="M95" s="18" t="inlineStr">
        <is>
          <t>Product</t>
        </is>
      </c>
      <c r="N95" s="18" t="inlineStr">
        <is>
          <t>ข้อ 4 (PLE_CC1_Key_Rx20_UBU.md)</t>
        </is>
      </c>
      <c r="O95" s="18" t="inlineStr">
        <is>
          <t>Mock</t>
        </is>
      </c>
      <c r="P95" s="18" t="inlineStr">
        <is>
          <t>Mock Rx20 UBU</t>
        </is>
      </c>
    </row>
    <row r="96">
      <c r="A96" s="15" t="inlineStr">
        <is>
          <t>94</t>
        </is>
      </c>
      <c r="B96" s="18" t="inlineStr">
        <is>
          <t>Acellular vaccine</t>
        </is>
      </c>
      <c r="C96" s="18" t="inlineStr"/>
      <c r="D96" s="18" t="inlineStr">
        <is>
          <t>Polyethylene Glycol (PEG) Conjugation for extended half-life</t>
        </is>
      </c>
      <c r="E96" s="18" t="inlineStr">
        <is>
          <t>Lyophilization (Freeze-drying) with Trehalose Cryoprotectant</t>
        </is>
      </c>
      <c r="F96" s="18" t="inlineStr">
        <is>
          <t>ELISA Immunoassay for protein quantification</t>
        </is>
      </c>
      <c r="G96" s="18" t="inlineStr">
        <is>
          <t>SDS-PAGE Gel Electrophoresis purity analysis</t>
        </is>
      </c>
      <c r="H96" s="18" t="inlineStr">
        <is>
          <t>Isoelectric Focusing (IEF) for charge heterogeneity</t>
        </is>
      </c>
      <c r="I96" s="15" t="inlineStr">
        <is>
          <t>5</t>
        </is>
      </c>
      <c r="J96" s="18"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8" t="inlineStr"/>
      <c r="L96" s="18" t="inlineStr">
        <is>
          <t>Recombinant DNA</t>
        </is>
      </c>
      <c r="M96" s="18" t="inlineStr">
        <is>
          <t>Product</t>
        </is>
      </c>
      <c r="N96" s="18" t="inlineStr">
        <is>
          <t>ข้อ 5 (PLE_CC1_Key_Rx20_UBU.md)</t>
        </is>
      </c>
      <c r="O96" s="18" t="inlineStr">
        <is>
          <t>Mock</t>
        </is>
      </c>
      <c r="P96" s="18" t="inlineStr">
        <is>
          <t>Mock Rx20 UBU</t>
        </is>
      </c>
    </row>
    <row r="97">
      <c r="A97" s="15" t="inlineStr">
        <is>
          <t>95</t>
        </is>
      </c>
      <c r="B97" s="18" t="inlineStr">
        <is>
          <t>หากแพทยตองการสั่งฉีดวัคซีนบาดทะยักในผูปวยราย นี้ ขอใดถูกตอง</t>
        </is>
      </c>
      <c r="C97" s="18" t="inlineStr"/>
      <c r="D97" s="18" t="inlineStr">
        <is>
          <t>SDS-PAGE Gel Electrophoresis purity analysis</t>
        </is>
      </c>
      <c r="E97" s="18" t="inlineStr">
        <is>
          <t>Isoelectric Focusing (IEF) for charge heterogeneity</t>
        </is>
      </c>
      <c r="F97" s="18" t="inlineStr">
        <is>
          <t>Immunogenicity Neutralizing Antibody Assay</t>
        </is>
      </c>
      <c r="G97" s="18" t="inlineStr">
        <is>
          <t>Polysorbate 20 surfactant to prevent protein aggregation</t>
        </is>
      </c>
      <c r="H97" s="18" t="inlineStr">
        <is>
          <t>Histidine Buffer pH 6.0 formulation stability</t>
        </is>
      </c>
      <c r="I97" s="15" t="inlineStr">
        <is>
          <t>1</t>
        </is>
      </c>
      <c r="J97" s="18"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8" t="inlineStr"/>
      <c r="L97" s="18" t="inlineStr">
        <is>
          <t>Recombinant DNA</t>
        </is>
      </c>
      <c r="M97" s="18" t="inlineStr">
        <is>
          <t>Product</t>
        </is>
      </c>
      <c r="N97" s="18" t="inlineStr">
        <is>
          <t>ข้อ 3 (PLE_CC1_Key_Rx20_UBU.md)</t>
        </is>
      </c>
      <c r="O97" s="18" t="inlineStr">
        <is>
          <t>Mock</t>
        </is>
      </c>
      <c r="P97" s="18" t="inlineStr">
        <is>
          <t>Mock Rx20 UBU</t>
        </is>
      </c>
    </row>
    <row r="98">
      <c r="A98" s="15" t="inlineStr">
        <is>
          <t>96</t>
        </is>
      </c>
      <c r="B98" s="18"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18" t="inlineStr"/>
      <c r="D98" s="18" t="inlineStr">
        <is>
          <t>Polysorbate 20 surfactant to prevent protein aggregation</t>
        </is>
      </c>
      <c r="E98" s="18" t="inlineStr">
        <is>
          <t>Histidine Buffer pH 6.0 formulation stability</t>
        </is>
      </c>
      <c r="F98" s="18" t="inlineStr">
        <is>
          <t>Recombinant DNA Human Insulin in E. coli</t>
        </is>
      </c>
      <c r="G98" s="18" t="inlineStr">
        <is>
          <t>Monoclonal Antibody IgG1 (CHO Cell Expression)</t>
        </is>
      </c>
      <c r="H98" s="18" t="inlineStr">
        <is>
          <t>Polyethylene Glycol (PEG) Conjugation for extended half-life</t>
        </is>
      </c>
      <c r="I98" s="15" t="inlineStr">
        <is>
          <t>1</t>
        </is>
      </c>
      <c r="J98" s="18"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8" t="inlineStr"/>
      <c r="L98" s="18" t="inlineStr">
        <is>
          <t>Recombinant DNA</t>
        </is>
      </c>
      <c r="M98" s="18" t="inlineStr">
        <is>
          <t>Product</t>
        </is>
      </c>
      <c r="N98" s="18" t="inlineStr">
        <is>
          <t>ข้อ 5 (PLE_CC1_Key_Rx20_UBU.md)</t>
        </is>
      </c>
      <c r="O98" s="18" t="inlineStr">
        <is>
          <t>Mock</t>
        </is>
      </c>
      <c r="P98" s="18" t="inlineStr">
        <is>
          <t>Mock Rx20 UBU</t>
        </is>
      </c>
    </row>
    <row r="99">
      <c r="A99" s="15" t="inlineStr">
        <is>
          <t>97</t>
        </is>
      </c>
      <c r="B99" s="18" t="inlineStr">
        <is>
          <t>ขอใดถูกเกี่ยวกับการฉีดวัคซีนพิษสุนัขบ้า</t>
        </is>
      </c>
      <c r="C99" s="18" t="inlineStr"/>
      <c r="D99" s="18" t="inlineStr">
        <is>
          <t>Monoclonal Antibody IgG1 (CHO Cell Expression)</t>
        </is>
      </c>
      <c r="E99" s="18" t="inlineStr">
        <is>
          <t>Polyethylene Glycol (PEG) Conjugation for extended half-life</t>
        </is>
      </c>
      <c r="F99" s="18" t="inlineStr">
        <is>
          <t>Lyophilization (Freeze-drying) with Trehalose Cryoprotectant</t>
        </is>
      </c>
      <c r="G99" s="18" t="inlineStr">
        <is>
          <t>ELISA Immunoassay for protein quantification</t>
        </is>
      </c>
      <c r="H99" s="18" t="inlineStr">
        <is>
          <t>SDS-PAGE Gel Electrophoresis purity analysis</t>
        </is>
      </c>
      <c r="I99" s="15" t="inlineStr">
        <is>
          <t>1</t>
        </is>
      </c>
      <c r="J99" s="1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8" t="inlineStr"/>
      <c r="L99" s="18" t="inlineStr">
        <is>
          <t>Recombinant DNA</t>
        </is>
      </c>
      <c r="M99" s="18" t="inlineStr">
        <is>
          <t>Product</t>
        </is>
      </c>
      <c r="N99" s="18" t="inlineStr">
        <is>
          <t>ข้อ 4 (PLE_CC1_Key_Rx20_UBU.md)</t>
        </is>
      </c>
      <c r="O99" s="18" t="inlineStr">
        <is>
          <t>Mock</t>
        </is>
      </c>
      <c r="P99" s="18" t="inlineStr">
        <is>
          <t>Mock Rx20 UBU</t>
        </is>
      </c>
    </row>
    <row r="100">
      <c r="A100" s="15" t="inlineStr">
        <is>
          <t>98</t>
        </is>
      </c>
      <c r="B100" s="18" t="inlineStr">
        <is>
          <t>หากจะฉีด Equine Ig พร้อมกับวัคซีนพิษสุนัขบ้า ใหฉีดที่แขนข้างเดียวกัน ตอบ 1 recall</t>
        </is>
      </c>
      <c r="C100" s="18" t="inlineStr"/>
      <c r="D100" s="18" t="inlineStr">
        <is>
          <t>ELISA Immunoassay for protein quantification</t>
        </is>
      </c>
      <c r="E100" s="18" t="inlineStr">
        <is>
          <t>SDS-PAGE Gel Electrophoresis purity analysis</t>
        </is>
      </c>
      <c r="F100" s="18" t="inlineStr">
        <is>
          <t>Isoelectric Focusing (IEF) for charge heterogeneity</t>
        </is>
      </c>
      <c r="G100" s="18" t="inlineStr">
        <is>
          <t>Immunogenicity Neutralizing Antibody Assay</t>
        </is>
      </c>
      <c r="H100" s="18" t="inlineStr">
        <is>
          <t>Polysorbate 20 surfactant to prevent protein aggregation</t>
        </is>
      </c>
      <c r="I100" s="15" t="inlineStr">
        <is>
          <t>1</t>
        </is>
      </c>
      <c r="J100" s="1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8" t="inlineStr"/>
      <c r="L100" s="18" t="inlineStr">
        <is>
          <t>Recombinant DNA</t>
        </is>
      </c>
      <c r="M100" s="18" t="inlineStr">
        <is>
          <t>Product</t>
        </is>
      </c>
      <c r="N100" s="18" t="inlineStr">
        <is>
          <t>ข้อ 5 (PLE_CC1_Key_Rx20_UBU.md)</t>
        </is>
      </c>
      <c r="O100" s="18" t="inlineStr">
        <is>
          <t>Mock</t>
        </is>
      </c>
      <c r="P100" s="18" t="inlineStr">
        <is>
          <t>Mock Rx20 UBU</t>
        </is>
      </c>
    </row>
    <row r="101">
      <c r="A101" s="15" t="inlineStr">
        <is>
          <t>99</t>
        </is>
      </c>
      <c r="B101" s="18" t="inlineStr">
        <is>
          <t>หากไมทราบประวัติการไดรับวัคซีน ควรไดรับการฉีดวัคซีนอยางไร</t>
        </is>
      </c>
      <c r="C101" s="18" t="inlineStr"/>
      <c r="D101" s="18" t="inlineStr">
        <is>
          <t>Immunogenicity Neutralizing Antibody Assay</t>
        </is>
      </c>
      <c r="E101" s="18" t="inlineStr">
        <is>
          <t>Polysorbate 20 surfactant to prevent protein aggregation</t>
        </is>
      </c>
      <c r="F101" s="18" t="inlineStr">
        <is>
          <t>Histidine Buffer pH 6.0 formulation stability</t>
        </is>
      </c>
      <c r="G101" s="18" t="inlineStr">
        <is>
          <t>Recombinant DNA Human Insulin in E. coli</t>
        </is>
      </c>
      <c r="H101" s="18" t="inlineStr">
        <is>
          <t>Monoclonal Antibody IgG1 (CHO Cell Expression)</t>
        </is>
      </c>
      <c r="I101" s="15" t="inlineStr">
        <is>
          <t>1</t>
        </is>
      </c>
      <c r="J101" s="18"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8" t="inlineStr"/>
      <c r="L101" s="18" t="inlineStr">
        <is>
          <t>Recombinant DNA</t>
        </is>
      </c>
      <c r="M101" s="18" t="inlineStr">
        <is>
          <t>Product</t>
        </is>
      </c>
      <c r="N101" s="18" t="inlineStr">
        <is>
          <t>ข้อ 5 (PLE_CC1_Key_Rx20_UBU.md)</t>
        </is>
      </c>
      <c r="O101" s="18" t="inlineStr">
        <is>
          <t>Mock</t>
        </is>
      </c>
      <c r="P101" s="18" t="inlineStr">
        <is>
          <t>Mock Rx20 UBU</t>
        </is>
      </c>
    </row>
    <row r="102">
      <c r="A102" s="15" t="inlineStr">
        <is>
          <t>100</t>
        </is>
      </c>
      <c r="B102" s="18" t="inlineStr">
        <is>
          <t>ฉีดวัคซีนบาดทะยัก</t>
        </is>
      </c>
      <c r="C102" s="18" t="inlineStr"/>
      <c r="D102" s="18" t="inlineStr">
        <is>
          <t>Recombinant DNA Human Insulin in E. coli</t>
        </is>
      </c>
      <c r="E102" s="18" t="inlineStr">
        <is>
          <t>Monoclonal Antibody IgG1 (CHO Cell Expression)</t>
        </is>
      </c>
      <c r="F102" s="18" t="inlineStr">
        <is>
          <t>Polyethylene Glycol (PEG) Conjugation for extended half-life</t>
        </is>
      </c>
      <c r="G102" s="18" t="inlineStr">
        <is>
          <t>Lyophilization (Freeze-drying) with Trehalose Cryoprotectant</t>
        </is>
      </c>
      <c r="H102" s="18" t="inlineStr">
        <is>
          <t>ELISA Immunoassay for protein quantification</t>
        </is>
      </c>
      <c r="I102" s="15" t="inlineStr">
        <is>
          <t>1</t>
        </is>
      </c>
      <c r="J102" s="1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8" t="inlineStr"/>
      <c r="L102" s="18" t="inlineStr">
        <is>
          <t>Recombinant DNA</t>
        </is>
      </c>
      <c r="M102" s="18" t="inlineStr">
        <is>
          <t>Product</t>
        </is>
      </c>
      <c r="N102" s="18" t="inlineStr">
        <is>
          <t>ข้อ 1 (PLE_CC1_Key_Rx20_UBU.md)</t>
        </is>
      </c>
      <c r="O102" s="18" t="inlineStr">
        <is>
          <t>Mock</t>
        </is>
      </c>
      <c r="P102" s="18" t="inlineStr">
        <is>
          <t>Mock Rx20 UBU</t>
        </is>
      </c>
    </row>
    <row r="103">
      <c r="A103" s="15" t="inlineStr">
        <is>
          <t>101</t>
        </is>
      </c>
      <c r="B103" s="18" t="inlineStr">
        <is>
          <t>ฉีดวัคซีนปองกันพิษสุนัขบา</t>
        </is>
      </c>
      <c r="C103" s="18" t="inlineStr"/>
      <c r="D103" s="18" t="inlineStr">
        <is>
          <t>Lyophilization (Freeze-drying) with Trehalose Cryoprotectant</t>
        </is>
      </c>
      <c r="E103" s="18" t="inlineStr">
        <is>
          <t>ELISA Immunoassay for protein quantification</t>
        </is>
      </c>
      <c r="F103" s="18" t="inlineStr">
        <is>
          <t>SDS-PAGE Gel Electrophoresis purity analysis</t>
        </is>
      </c>
      <c r="G103" s="18" t="inlineStr">
        <is>
          <t>Isoelectric Focusing (IEF) for charge heterogeneity</t>
        </is>
      </c>
      <c r="H103" s="18" t="inlineStr">
        <is>
          <t>Immunogenicity Neutralizing Antibody Assay</t>
        </is>
      </c>
      <c r="I103" s="15" t="inlineStr">
        <is>
          <t>1</t>
        </is>
      </c>
      <c r="J103" s="1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8" t="inlineStr"/>
      <c r="L103" s="18" t="inlineStr">
        <is>
          <t>Recombinant DNA</t>
        </is>
      </c>
      <c r="M103" s="18" t="inlineStr">
        <is>
          <t>Product</t>
        </is>
      </c>
      <c r="N103" s="18" t="inlineStr">
        <is>
          <t>ข้อ 2 (PLE_CC1_Key_Rx20_UBU.md)</t>
        </is>
      </c>
      <c r="O103" s="18" t="inlineStr">
        <is>
          <t>Mock</t>
        </is>
      </c>
      <c r="P103" s="18" t="inlineStr">
        <is>
          <t>Mock Rx20 UBU</t>
        </is>
      </c>
    </row>
    <row r="104">
      <c r="A104" s="15" t="inlineStr">
        <is>
          <t>102</t>
        </is>
      </c>
      <c r="B104" s="18" t="inlineStr">
        <is>
          <t>ฉีดอิมมูโนโกลบูลิน และ วัคซีนปองกันพิษสุนัขบา</t>
        </is>
      </c>
      <c r="C104" s="18" t="inlineStr"/>
      <c r="D104" s="18" t="inlineStr">
        <is>
          <t>Isoelectric Focusing (IEF) for charge heterogeneity</t>
        </is>
      </c>
      <c r="E104" s="18" t="inlineStr">
        <is>
          <t>Immunogenicity Neutralizing Antibody Assay</t>
        </is>
      </c>
      <c r="F104" s="18" t="inlineStr">
        <is>
          <t>Polysorbate 20 surfactant to prevent protein aggregation</t>
        </is>
      </c>
      <c r="G104" s="18" t="inlineStr">
        <is>
          <t>Histidine Buffer pH 6.0 formulation stability</t>
        </is>
      </c>
      <c r="H104" s="18" t="inlineStr">
        <is>
          <t>Recombinant DNA Human Insulin in E. coli</t>
        </is>
      </c>
      <c r="I104" s="15" t="inlineStr">
        <is>
          <t>1</t>
        </is>
      </c>
      <c r="J104" s="18"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8" t="inlineStr"/>
      <c r="L104" s="18" t="inlineStr">
        <is>
          <t>Recombinant DNA</t>
        </is>
      </c>
      <c r="M104" s="18" t="inlineStr">
        <is>
          <t>Product</t>
        </is>
      </c>
      <c r="N104" s="18" t="inlineStr">
        <is>
          <t>ข้อ 4 (PLE_CC1_Key_Rx20_UBU.md)</t>
        </is>
      </c>
      <c r="O104" s="18" t="inlineStr">
        <is>
          <t>Mock</t>
        </is>
      </c>
      <c r="P104" s="18" t="inlineStr">
        <is>
          <t>Mock Rx20 UBU</t>
        </is>
      </c>
    </row>
    <row r="105">
      <c r="A105" s="15" t="inlineStr">
        <is>
          <t>103</t>
        </is>
      </c>
      <c r="B105" s="18"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18" t="inlineStr"/>
      <c r="D105" s="18" t="inlineStr">
        <is>
          <t>Histidine Buffer pH 6.0 formulation stability</t>
        </is>
      </c>
      <c r="E105" s="18" t="inlineStr">
        <is>
          <t>Recombinant DNA Human Insulin in E. coli</t>
        </is>
      </c>
      <c r="F105" s="18" t="inlineStr">
        <is>
          <t>Monoclonal Antibody IgG1 (CHO Cell Expression)</t>
        </is>
      </c>
      <c r="G105" s="18" t="inlineStr">
        <is>
          <t>Polyethylene Glycol (PEG) Conjugation for extended half-life</t>
        </is>
      </c>
      <c r="H105" s="18" t="inlineStr">
        <is>
          <t>Lyophilization (Freeze-drying) with Trehalose Cryoprotectant</t>
        </is>
      </c>
      <c r="I105" s="15" t="inlineStr">
        <is>
          <t>1</t>
        </is>
      </c>
      <c r="J105" s="18"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8" t="inlineStr"/>
      <c r="L105" s="18" t="inlineStr">
        <is>
          <t>Recombinant DNA</t>
        </is>
      </c>
      <c r="M105" s="18" t="inlineStr">
        <is>
          <t>Product</t>
        </is>
      </c>
      <c r="N105" s="18" t="inlineStr">
        <is>
          <t>ข้อ 5 (PLE_CC1_Key_Rx20_UBU.md)</t>
        </is>
      </c>
      <c r="O105" s="18" t="inlineStr">
        <is>
          <t>Mock</t>
        </is>
      </c>
      <c r="P105" s="18" t="inlineStr">
        <is>
          <t>Mock Rx20 UBU</t>
        </is>
      </c>
    </row>
    <row r="106">
      <c r="A106" s="15" t="inlineStr">
        <is>
          <t>104</t>
        </is>
      </c>
      <c r="B106" s="18" t="inlineStr">
        <is>
          <t>ข้อใดถูกต้องเกี่ยวกับ Insulin ที่ได้จากการทำ Recombinant DNA</t>
        </is>
      </c>
      <c r="C106" s="18" t="inlineStr"/>
      <c r="D106" s="18" t="inlineStr">
        <is>
          <t>นำ Beta-cell ไปเพาะเลี้ยงในหลอดทดลอง แล้วสกัด Insulin ออกมา</t>
        </is>
      </c>
      <c r="E106" s="18" t="inlineStr">
        <is>
          <t>นำยีนที่สร้าง Insulin ของคน ไปทำ PCR แล้วเก็บเกี่ยวโปรตีน</t>
        </is>
      </c>
      <c r="F106" s="18" t="inlineStr">
        <is>
          <t>ตัดต่อยีนสร้าง Insulin ให้กับยีสต์ แล้วเอายีสต์ไปเลี้ยง เพื่อให้สร้าง Insulin ออกมา</t>
        </is>
      </c>
      <c r="G106" s="18" t="inlineStr">
        <is>
          <t>ใช้ Agrobacteria นำส่งยีนที่ต้องการไปสู่เซลล์ของสัตว์ทดลอง ให้ผลิต Insulin</t>
        </is>
      </c>
      <c r="H106" s="18" t="inlineStr">
        <is>
          <t>สกัด Insulin จากสัตว์ทดลองไปตัดต่อโครงสร้าง แล้วนำมาใช้ในคน</t>
        </is>
      </c>
      <c r="I106" s="15" t="inlineStr">
        <is>
          <t>3</t>
        </is>
      </c>
      <c r="J106" s="18"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ข. (นำยีนที่สร้าง Insulin ของคน ไปทำ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นำส่งยีนที่ต้องการไปสู่เซลล์ของสัตว์ทดลอง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จากสัตว์ทดลองไปตัดต่อโครงสร้าง แล้วนำมาใช้ในคน):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8" t="inlineStr"/>
      <c r="L106" s="18" t="inlineStr">
        <is>
          <t>Recombinant DNA</t>
        </is>
      </c>
      <c r="M106" s="18" t="inlineStr">
        <is>
          <t>Product</t>
        </is>
      </c>
      <c r="N106" s="18" t="inlineStr">
        <is>
          <t>ข้อ 79 (PLE_CC1_Key_Rx20_UBU.md)</t>
        </is>
      </c>
      <c r="O106" s="18" t="inlineStr">
        <is>
          <t>Mock</t>
        </is>
      </c>
      <c r="P106" s="18" t="inlineStr">
        <is>
          <t>Mock Rx20 UBU</t>
        </is>
      </c>
    </row>
    <row r="107">
      <c r="A107" s="18" t="n">
        <v>105</v>
      </c>
      <c r="B107" s="18" t="inlineStr">
        <is>
          <t>ข้อใดไม่ใช่ปัจจัยที่มีผลต่อการเกิด Immunogenicity ของยาชีววัตถุ (Biological Products)</t>
        </is>
      </c>
      <c r="C107" s="18" t="inlineStr"/>
      <c r="D107" s="18" t="inlineStr">
        <is>
          <t>โครงสร้างที่ไม่คล้ายกับ Human endogenous</t>
        </is>
      </c>
      <c r="E107" s="18" t="inlineStr">
        <is>
          <t>การเกิดการเสื่อมสลายและการรวมกลุ่มของ protein</t>
        </is>
      </c>
      <c r="F107" s="18" t="inlineStr">
        <is>
          <t>Excipient ของ formulation ที่ส่งผลต่อการเปลี่ยนแปลง conformation</t>
        </is>
      </c>
      <c r="G107" s="18" t="inlineStr">
        <is>
          <t>ขนาดและความถี่ในการให้ยา</t>
        </is>
      </c>
      <c r="H107" s="18" t="inlineStr">
        <is>
          <t>อัตราการให้เข้าสู่ systemic circulation ที่น้อยกว่า IV bolus</t>
        </is>
      </c>
      <c r="I107" s="15" t="inlineStr">
        <is>
          <t>3</t>
        </is>
      </c>
      <c r="J107" s="18"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18" t="inlineStr"/>
      <c r="L107" s="18" t="inlineStr">
        <is>
          <t>Biotech Products</t>
        </is>
      </c>
      <c r="M107" s="18" t="inlineStr">
        <is>
          <t>Product</t>
        </is>
      </c>
      <c r="N107" s="18" t="inlineStr">
        <is>
          <t>Mock PLE-CC 1 ข้อ 64</t>
        </is>
      </c>
      <c r="O107" s="18" t="inlineStr">
        <is>
          <t>Mock</t>
        </is>
      </c>
      <c r="P107" s="18" t="inlineStr">
        <is>
          <t>Mock RxCU83</t>
        </is>
      </c>
    </row>
    <row r="108">
      <c r="A108" s="18" t="n">
        <v>106</v>
      </c>
      <c r="B108" s="18" t="inlineStr">
        <is>
          <t>ข้อใดเป็น excipients ที่นิยมใช้ใน formulation ของ injectable monoclonal antibody เพื่อลดการเกิด aggregation และเพิ่ม stability</t>
        </is>
      </c>
      <c r="C108" s="18" t="inlineStr"/>
      <c r="D108" s="18" t="inlineStr">
        <is>
          <t>Sorbitol</t>
        </is>
      </c>
      <c r="E108" s="18" t="inlineStr">
        <is>
          <t>Mannitol</t>
        </is>
      </c>
      <c r="F108" s="18" t="inlineStr">
        <is>
          <t>Polysorbate 80</t>
        </is>
      </c>
      <c r="G108" s="18" t="inlineStr">
        <is>
          <t>Sodium Chloride</t>
        </is>
      </c>
      <c r="H108" s="18" t="inlineStr">
        <is>
          <t>PEG 400</t>
        </is>
      </c>
      <c r="I108" s="15" t="inlineStr">
        <is>
          <t>3</t>
        </is>
      </c>
      <c r="J108" s="18"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18" t="inlineStr"/>
      <c r="L108" s="18" t="inlineStr">
        <is>
          <t>Biotech Products</t>
        </is>
      </c>
      <c r="M108" s="18" t="inlineStr">
        <is>
          <t>Product</t>
        </is>
      </c>
      <c r="N108" s="18" t="inlineStr">
        <is>
          <t>Mock PLE-CC 1 ข้อ 73</t>
        </is>
      </c>
      <c r="O108" s="18" t="inlineStr">
        <is>
          <t>Mock</t>
        </is>
      </c>
      <c r="P108" s="18" t="inlineStr">
        <is>
          <t>Mock RxCU83</t>
        </is>
      </c>
    </row>
    <row r="109">
      <c r="A109" s="18" t="n">
        <v>107</v>
      </c>
      <c r="B109" s="18" t="inlineStr">
        <is>
          <t>ข้อใดคือลักษณะและข้อกำหนดที่ถูกต้องของการขึ้นทะเบียนยาชีววัตถุคล้ายคลึง (Biosimilar) เทียบกับ Reference biological drug</t>
        </is>
      </c>
      <c r="C109" s="18" t="inlineStr"/>
      <c r="D109" s="18" t="inlineStr">
        <is>
          <t>ใช้เกณฑ์มาตรฐานเดียวกับยาชื่อสามัญ (Generic drug) โดยทดสอบเพียงการละลายในหลอดทดลอง</t>
        </is>
      </c>
      <c r="E109" s="18" t="inlineStr">
        <is>
          <t>ต้องแสดงข้อมูล Biosimilar comparability ครบถ้วนทั้ง Quality, Safety และ Clinical Efficacy</t>
        </is>
      </c>
      <c r="F109" s="18" t="inlineStr">
        <is>
          <t>ไม่ต้องทำการทดสอบ Clinical และ Non-clinical หากกระบวนการหมักเหมือนเดิม</t>
        </is>
      </c>
      <c r="G109" s="18" t="inlineStr">
        <is>
          <t>ไม่ต้องแสดงข้อมูล Immunogenicity เพราะถือว่าเป็นโปรตีนที่เหมือนกับต้นแบบ 100%</t>
        </is>
      </c>
      <c r="H109" s="18" t="inlineStr">
        <is>
          <t>ถือว่าเป็น generic drug ของยา Reference เพราะมีโครงสร้างโปรตีนขนาดเล็กคล้ายกัน</t>
        </is>
      </c>
      <c r="I109" s="15" t="inlineStr">
        <is>
          <t>2</t>
        </is>
      </c>
      <c r="J109" s="18"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18" t="inlineStr"/>
      <c r="L109" s="18" t="inlineStr">
        <is>
          <t>Biotech Products</t>
        </is>
      </c>
      <c r="M109" s="18" t="inlineStr">
        <is>
          <t>Product</t>
        </is>
      </c>
      <c r="N109" s="18" t="inlineStr">
        <is>
          <t>Mock PLE-CC 1 ข้อ 82</t>
        </is>
      </c>
      <c r="O109" s="18" t="inlineStr">
        <is>
          <t>Mock</t>
        </is>
      </c>
      <c r="P109" s="18" t="inlineStr">
        <is>
          <t>Mock RxCU83</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P2"/>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18" t="inlineStr">
        <is>
          <t>ประเภทข้อสอบ</t>
        </is>
      </c>
      <c r="P2" s="18" t="inlineStr">
        <is>
          <t>ปี / เลขชุด</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2"/>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18" t="inlineStr">
        <is>
          <t>ประเภทข้อสอบ</t>
        </is>
      </c>
      <c r="P2" s="18" t="inlineStr">
        <is>
          <t>ปี / เลขชุด</t>
        </is>
      </c>
    </row>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Q68"/>
  <sheetViews>
    <sheetView workbookViewId="0">
      <selection activeCell="A1" sqref="A1"/>
    </sheetView>
  </sheetViews>
  <sheetFormatPr baseColWidth="8" defaultColWidth="12.63" defaultRowHeight="15.75" customHeight="1"/>
  <cols>
    <col width="29.75" customWidth="1" style="52" min="2" max="2"/>
  </cols>
  <sheetData>
    <row r="1" ht="27" customHeight="1" s="52">
      <c r="A1" s="40">
        <f>HYPERLINK("#gid=0", "🏠 กลับสู่หน้าแรก (Go to Home Page)")</f>
        <v/>
      </c>
    </row>
    <row r="2">
      <c r="A2" s="41" t="inlineStr">
        <is>
          <t>ข้อที่</t>
        </is>
      </c>
      <c r="B2" s="41" t="inlineStr">
        <is>
          <t>คำถาม</t>
        </is>
      </c>
      <c r="C2" s="41" t="inlineStr">
        <is>
          <t>รูปถาม</t>
        </is>
      </c>
      <c r="D2" s="41" t="inlineStr">
        <is>
          <t>ตัวเลือก 1</t>
        </is>
      </c>
      <c r="E2" s="41" t="inlineStr">
        <is>
          <t>ตัวเลือก 2</t>
        </is>
      </c>
      <c r="F2" s="41" t="inlineStr">
        <is>
          <t>ตัวเลือก 3</t>
        </is>
      </c>
      <c r="G2" s="41" t="inlineStr">
        <is>
          <t>ตัวเลือก 4</t>
        </is>
      </c>
      <c r="H2" s="41" t="inlineStr">
        <is>
          <t>ตัวเลือก 5</t>
        </is>
      </c>
      <c r="I2" s="41" t="inlineStr">
        <is>
          <t>เฉลย (ตัวเลข 1-5)</t>
        </is>
      </c>
      <c r="J2" s="41" t="inlineStr">
        <is>
          <t>คำอธิบายเฉลย</t>
        </is>
      </c>
      <c r="K2" s="41" t="inlineStr">
        <is>
          <t>รูปเฉลย</t>
        </is>
      </c>
      <c r="L2" s="41" t="inlineStr">
        <is>
          <t>Filter หมวด/Subtopic</t>
        </is>
      </c>
      <c r="M2" s="41" t="inlineStr">
        <is>
          <t>Product / Clinic</t>
        </is>
      </c>
      <c r="N2" s="41" t="inlineStr">
        <is>
          <t>หมายเหตุ</t>
        </is>
      </c>
      <c r="O2" s="41" t="inlineStr">
        <is>
          <t>ประเภทข้อสอบ</t>
        </is>
      </c>
      <c r="P2" s="41" t="inlineStr">
        <is>
          <t>ปี / เลขชุด</t>
        </is>
      </c>
    </row>
    <row r="3">
      <c r="A3" s="22" t="n">
        <v>1</v>
      </c>
      <c r="B3" s="22"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22" t="n"/>
      <c r="D3" s="22" t="inlineStr">
        <is>
          <t>Methyl cyanide</t>
        </is>
      </c>
      <c r="E3" s="22" t="inlineStr">
        <is>
          <t>Nitro</t>
        </is>
      </c>
      <c r="F3" s="22" t="inlineStr">
        <is>
          <t>Thio</t>
        </is>
      </c>
      <c r="G3" s="22" t="inlineStr">
        <is>
          <t>Furan</t>
        </is>
      </c>
      <c r="H3" s="22" t="inlineStr">
        <is>
          <t>Amine</t>
        </is>
      </c>
      <c r="I3" s="22" t="n">
        <v>4</v>
      </c>
      <c r="J3" s="22"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2" t="n"/>
      <c r="L3" s="22" t="inlineStr">
        <is>
          <t>SAR &amp; Drug Design</t>
        </is>
      </c>
      <c r="M3" s="22" t="inlineStr">
        <is>
          <t>Product</t>
        </is>
      </c>
      <c r="N3" s="22" t="inlineStr">
        <is>
          <t>ข้อ 1 ชุด 1 (เฉลยข้อ ง)</t>
        </is>
      </c>
      <c r="O3" s="22" t="inlineStr">
        <is>
          <t>Mock</t>
        </is>
      </c>
      <c r="P3" s="22" t="inlineStr">
        <is>
          <t>ชุด 1</t>
        </is>
      </c>
    </row>
    <row r="4">
      <c r="A4" s="22" t="n">
        <v>2</v>
      </c>
      <c r="B4" s="22" t="inlineStr">
        <is>
          <t>จากสูตรโครงสร้างของ praziquantel ตำแหน่งนี้เรียกว่า และมีคุณสมบัติอย่างไร</t>
        </is>
      </c>
      <c r="C4" s="22" t="n"/>
      <c r="D4" s="22" t="inlineStr">
        <is>
          <t>Quinoline, base</t>
        </is>
      </c>
      <c r="E4" s="22" t="inlineStr">
        <is>
          <t>Isoquinoline, base</t>
        </is>
      </c>
      <c r="F4" s="22" t="inlineStr">
        <is>
          <t>Guanine, acid</t>
        </is>
      </c>
      <c r="G4" s="22" t="inlineStr">
        <is>
          <t>Pyramidine, acid</t>
        </is>
      </c>
      <c r="H4" s="22" t="inlineStr">
        <is>
          <t>Nirobenzene, acid</t>
        </is>
      </c>
      <c r="I4" s="22" t="n">
        <v>2</v>
      </c>
      <c r="J4" s="22"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22" t="n"/>
      <c r="L4" s="22" t="inlineStr">
        <is>
          <t>SAR &amp; Drug Design</t>
        </is>
      </c>
      <c r="M4" s="22" t="inlineStr">
        <is>
          <t>Product</t>
        </is>
      </c>
      <c r="N4" s="22" t="inlineStr">
        <is>
          <t>ข้อ 2 ชุด 1 (เฉลยข้อ ข)</t>
        </is>
      </c>
      <c r="O4" s="22" t="inlineStr">
        <is>
          <t>Mock</t>
        </is>
      </c>
      <c r="P4" s="22" t="inlineStr">
        <is>
          <t>ชุด 1</t>
        </is>
      </c>
    </row>
    <row r="5">
      <c r="A5" s="22" t="n">
        <v>3</v>
      </c>
      <c r="B5" s="22" t="inlineStr">
        <is>
          <t>จากสูตรโครงสร้างมีหมู่ carboxyl group กี่หมู่</t>
        </is>
      </c>
      <c r="C5" s="22" t="n"/>
      <c r="D5" s="22" t="inlineStr">
        <is>
          <t>Bioisosteric Replacement (Carboxylic acid → Tetrazole)</t>
        </is>
      </c>
      <c r="E5" s="22" t="inlineStr">
        <is>
          <t>Prodrug Design via Esterification for Oral Bioavailability</t>
        </is>
      </c>
      <c r="F5" s="22" t="inlineStr">
        <is>
          <t>Cytochrome P450 CYP3A4 Phase I Oxidation</t>
        </is>
      </c>
      <c r="G5" s="22" t="inlineStr">
        <is>
          <t>Phase II Glucuronidation Conjugation by UGT</t>
        </is>
      </c>
      <c r="H5" s="22" t="inlineStr">
        <is>
          <t>Log P Lipophilicity Partition Coefficient optimization</t>
        </is>
      </c>
      <c r="I5" s="22" t="n">
        <v>2</v>
      </c>
      <c r="J5" s="22"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22" t="n"/>
      <c r="L5" s="22" t="inlineStr">
        <is>
          <t>SAR &amp; Drug Design</t>
        </is>
      </c>
      <c r="M5" s="22" t="inlineStr">
        <is>
          <t>Product</t>
        </is>
      </c>
      <c r="N5" s="22" t="inlineStr">
        <is>
          <t>ข้อ 3 ชุด 1 (เฉลยข้อ ข)</t>
        </is>
      </c>
      <c r="O5" s="22" t="inlineStr">
        <is>
          <t>Mock</t>
        </is>
      </c>
      <c r="P5" s="22" t="inlineStr">
        <is>
          <t>ชุด 1</t>
        </is>
      </c>
    </row>
    <row r="6">
      <c r="A6" s="22" t="n">
        <v>4</v>
      </c>
      <c r="B6" s="22" t="inlineStr">
        <is>
          <t>จากโครงสร้าง Simvastatin และ Pravastatin ข้อใดถูกต้อง</t>
        </is>
      </c>
      <c r="C6" s="22" t="n"/>
      <c r="D6" s="22" t="inlineStr">
        <is>
          <t>Cholestyramine ลดการดูดซึมของยา simvastatin เพราะโครงสร้าง Simvastatin มี lactone ring</t>
        </is>
      </c>
      <c r="E6" s="22" t="inlineStr">
        <is>
          <t>Cholestyramine ลดการดูดซึมของยา pravastatin เพราะโครงสร้าง Pravastatin มี carboxylic acid</t>
        </is>
      </c>
      <c r="F6" s="22" t="inlineStr">
        <is>
          <t>Simvastatin ลดการดูดซึมของยา cholestyramine</t>
        </is>
      </c>
      <c r="G6" s="22" t="inlineStr">
        <is>
          <t>Cholestyramine ไม่มีผลต่อการดูดซึมของยา simvastatin และ pravastatin</t>
        </is>
      </c>
      <c r="H6" s="22" t="inlineStr">
        <is>
          <t>Cholestyramine เพิ่มการดูดซึมของยา simvastatin และ pravastatin</t>
        </is>
      </c>
      <c r="I6" s="22" t="n">
        <v>2</v>
      </c>
      <c r="J6" s="22"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2" t="n"/>
      <c r="L6" s="22" t="inlineStr">
        <is>
          <t>SAR &amp; Drug Design</t>
        </is>
      </c>
      <c r="M6" s="22" t="inlineStr">
        <is>
          <t>Product</t>
        </is>
      </c>
      <c r="N6" s="22" t="inlineStr">
        <is>
          <t>ข้อ 4 ชุด 1 (เฉลยข้อ ข)</t>
        </is>
      </c>
      <c r="O6" s="22" t="inlineStr">
        <is>
          <t>Mock</t>
        </is>
      </c>
      <c r="P6" s="22" t="inlineStr">
        <is>
          <t>ชุด 1</t>
        </is>
      </c>
    </row>
    <row r="7">
      <c r="A7" s="22" t="n">
        <v>5</v>
      </c>
      <c r="B7" s="22" t="inlineStr">
        <is>
          <t>โครงสร้างที่แสดงข้อ 4 สัมพันธ์กับการออกฤทธิ์ของยาอย่างไร</t>
        </is>
      </c>
      <c r="C7" s="22" t="n"/>
      <c r="D7" s="22" t="inlineStr">
        <is>
          <t>Pravastatin เป็น prodrug</t>
        </is>
      </c>
      <c r="E7" s="22" t="inlineStr">
        <is>
          <t>Pravastatin และ simvastatin เป็น prodrug</t>
        </is>
      </c>
      <c r="F7" s="22" t="inlineStr">
        <is>
          <t>Pravastatin มีโครงสร้างที่ออกฤทธิ์ในร่างกายสองรูปแบบ คือ โครงสร้างที่เชื่อมเป็นวง lactone ring และโครงสร้างที่เป็น carboxylic acid</t>
        </is>
      </c>
      <c r="G7" s="22" t="inlineStr">
        <is>
          <t>Simvastatin มีโครงสร้างที่ออกฤทธิ์ คือ โครงสร้างที่เป็น lactone ring เปิด</t>
        </is>
      </c>
      <c r="H7" s="22" t="inlineStr">
        <is>
          <t>Pravastatin และ simvastatin ไม่เป็น prodrug</t>
        </is>
      </c>
      <c r="I7" s="22" t="n">
        <v>4</v>
      </c>
      <c r="J7" s="22"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2" t="n"/>
      <c r="L7" s="22" t="inlineStr">
        <is>
          <t>SAR &amp; Drug Design</t>
        </is>
      </c>
      <c r="M7" s="22" t="inlineStr">
        <is>
          <t>Product</t>
        </is>
      </c>
      <c r="N7" s="22" t="inlineStr">
        <is>
          <t>ข้อ 5 ชุด 1 (เฉลยข้อ ง)</t>
        </is>
      </c>
      <c r="O7" s="22" t="inlineStr">
        <is>
          <t>Mock</t>
        </is>
      </c>
      <c r="P7" s="22" t="inlineStr">
        <is>
          <t>ชุด 1</t>
        </is>
      </c>
    </row>
    <row r="8">
      <c r="A8" s="22" t="n">
        <v>6</v>
      </c>
      <c r="B8" s="22" t="inlineStr">
        <is>
          <t>สูตรโครงสร้างของยาต่อไปนี้ข้อใดคือ Dexamethasone</t>
        </is>
      </c>
      <c r="C8" s="22" t="n"/>
      <c r="D8" s="22" t="inlineStr">
        <is>
          <t>โครงสร้างเตียรอยด์มีหมู่ -OH และ -F</t>
        </is>
      </c>
      <c r="E8" s="22" t="inlineStr">
        <is>
          <t>โครงสร้าง ACE inhibitor</t>
        </is>
      </c>
      <c r="F8" s="22" t="inlineStr">
        <is>
          <t>โครงสร้าง Chloramphenicol</t>
        </is>
      </c>
      <c r="G8" s="22" t="inlineStr">
        <is>
          <t>โครงสร้าง Sulfonamide</t>
        </is>
      </c>
      <c r="H8" s="22" t="inlineStr">
        <is>
          <t>โครงสร้าง Beta-lactam หรือโครงสร้างอื่น</t>
        </is>
      </c>
      <c r="I8" s="22" t="n">
        <v>1</v>
      </c>
      <c r="J8" s="22"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2" t="n"/>
      <c r="L8" s="22" t="inlineStr">
        <is>
          <t>SAR &amp; Drug Design</t>
        </is>
      </c>
      <c r="M8" s="22" t="inlineStr">
        <is>
          <t>Product</t>
        </is>
      </c>
      <c r="N8" s="22" t="inlineStr">
        <is>
          <t>ข้อ 6 ชุด 1 (เฉลยข้อ ก)</t>
        </is>
      </c>
      <c r="O8" s="22" t="inlineStr">
        <is>
          <t>Mock</t>
        </is>
      </c>
      <c r="P8" s="22" t="inlineStr">
        <is>
          <t>ชุด 1</t>
        </is>
      </c>
    </row>
    <row r="9">
      <c r="A9" s="22" t="n">
        <v>11</v>
      </c>
      <c r="B9" s="22" t="inlineStr">
        <is>
          <t>จากโครงสร้างของ vitamin A ข้อใดต่อไปนี้ถูกต้องเกี่ยวกับ SAR</t>
        </is>
      </c>
      <c r="C9" s="22" t="n"/>
      <c r="D9" s="22" t="inlineStr">
        <is>
          <t>Conjugated double bond เพิ่มขึ้น ทำให้ activity ของ vitamin A ลดลง</t>
        </is>
      </c>
      <c r="E9" s="22" t="inlineStr">
        <is>
          <t>Conjugated double bond ลดลง ทำให้ activity ของ vitamin A เพิ่มขึ้น</t>
        </is>
      </c>
      <c r="F9" s="22" t="inlineStr">
        <is>
          <t>ถ้า b-ionone ring saturate จะทำให้ vitamin A หมดฤทธิ์</t>
        </is>
      </c>
      <c r="G9" s="22" t="inlineStr">
        <is>
          <t>ถ้า b-ionone ring saturate จะทำให้ vitamin A ฤทธิ์เพิ่มขึ้น</t>
        </is>
      </c>
      <c r="H9" s="22" t="inlineStr">
        <is>
          <t>ถ้าเปลี่ยนจาก -OH เป็น ether จะทำให้ vitamin A ฤทธิ์เพิ่มขึ้น</t>
        </is>
      </c>
      <c r="I9" s="22" t="n">
        <v>3</v>
      </c>
      <c r="J9" s="22"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2" t="n"/>
      <c r="L9" s="22" t="inlineStr">
        <is>
          <t>SAR &amp; Drug Design</t>
        </is>
      </c>
      <c r="M9" s="22" t="inlineStr">
        <is>
          <t>Product</t>
        </is>
      </c>
      <c r="N9" s="22" t="inlineStr">
        <is>
          <t>ข้อ 11 ชุด 1 (เฉลยข้อ ค)</t>
        </is>
      </c>
      <c r="O9" s="22" t="inlineStr">
        <is>
          <t>Mock</t>
        </is>
      </c>
      <c r="P9" s="22" t="inlineStr">
        <is>
          <t>ชุด 1</t>
        </is>
      </c>
    </row>
    <row r="10">
      <c r="A10" s="22" t="n">
        <v>12</v>
      </c>
      <c r="B10" s="22" t="inlineStr">
        <is>
          <t>จากข้อ 11 ถ้าเปลี่ยนจากหมู่ OH เป็น COOH จะเป็นสารใดต่อไปนี้</t>
        </is>
      </c>
      <c r="C10" s="22" t="n"/>
      <c r="D10" s="22" t="inlineStr">
        <is>
          <t>Tretinoin</t>
        </is>
      </c>
      <c r="E10" s="22" t="inlineStr">
        <is>
          <t>Isotretinoin</t>
        </is>
      </c>
      <c r="F10" s="22" t="inlineStr">
        <is>
          <t>Adapalene</t>
        </is>
      </c>
      <c r="G10" s="22" t="inlineStr">
        <is>
          <t>Carotenoid</t>
        </is>
      </c>
      <c r="H10" s="22" t="inlineStr">
        <is>
          <t>Retinal</t>
        </is>
      </c>
      <c r="I10" s="22" t="n">
        <v>1</v>
      </c>
      <c r="J10" s="22"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2" t="n"/>
      <c r="L10" s="22" t="inlineStr">
        <is>
          <t>SAR &amp; Drug Design</t>
        </is>
      </c>
      <c r="M10" s="22" t="inlineStr">
        <is>
          <t>Product</t>
        </is>
      </c>
      <c r="N10" s="22" t="inlineStr">
        <is>
          <t>ข้อ 12 ชุด 1 (เฉลยข้อ ก)</t>
        </is>
      </c>
      <c r="O10" s="22" t="inlineStr">
        <is>
          <t>Mock</t>
        </is>
      </c>
      <c r="P10" s="22" t="inlineStr">
        <is>
          <t>ชุด 1</t>
        </is>
      </c>
    </row>
    <row r="11">
      <c r="A11" s="22" t="n">
        <v>13</v>
      </c>
      <c r="B11" s="22" t="inlineStr">
        <is>
          <t>จากโครงสร้างของยา Gemcitabine เป็นอนุพันธ์ของอะไร</t>
        </is>
      </c>
      <c r="C11" s="22" t="n"/>
      <c r="D11" s="22" t="inlineStr">
        <is>
          <t>Acyclonucleoside analog</t>
        </is>
      </c>
      <c r="E11" s="22" t="inlineStr">
        <is>
          <t>Pyrimidine nucleoside analog</t>
        </is>
      </c>
      <c r="F11" s="22" t="inlineStr">
        <is>
          <t>Pyrimidine nucleotide analog</t>
        </is>
      </c>
      <c r="G11" s="22" t="inlineStr">
        <is>
          <t>Purine nucleotide analog</t>
        </is>
      </c>
      <c r="H11" s="22" t="inlineStr">
        <is>
          <t>Purine nucleoside analog</t>
        </is>
      </c>
      <c r="I11" s="22" t="n">
        <v>2</v>
      </c>
      <c r="J11" s="22"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2" t="n"/>
      <c r="L11" s="22" t="inlineStr">
        <is>
          <t>SAR &amp; Drug Design</t>
        </is>
      </c>
      <c r="M11" s="22" t="inlineStr">
        <is>
          <t>Product</t>
        </is>
      </c>
      <c r="N11" s="22" t="inlineStr">
        <is>
          <t>ข้อ 13 ชุด 1 (เฉลยข้อ ข)</t>
        </is>
      </c>
      <c r="O11" s="22" t="inlineStr">
        <is>
          <t>Mock</t>
        </is>
      </c>
      <c r="P11" s="22" t="inlineStr">
        <is>
          <t>ชุด 1</t>
        </is>
      </c>
    </row>
    <row r="12">
      <c r="A12" s="22" t="n">
        <v>14</v>
      </c>
      <c r="B12" s="22" t="inlineStr">
        <is>
          <t>จากโครงสร้างของยา A และยา B ข้อใดถูกต้องเกี่ยวกับยา B</t>
        </is>
      </c>
      <c r="C12" s="22" t="n"/>
      <c r="D12" s="22" t="inlineStr">
        <is>
          <t>ฤทธิ์ต้านแบคทีเรียลดลงอย่างมีนัยสำคัญ</t>
        </is>
      </c>
      <c r="E12" s="22" t="inlineStr">
        <is>
          <t>ความสามารถในการละลายน้ำไม่เปลี่ยนแปลง</t>
        </is>
      </c>
      <c r="F12" s="22" t="inlineStr">
        <is>
          <t>ความถี่ในการรับประทานลดลง</t>
        </is>
      </c>
      <c r="G12" s="22" t="inlineStr">
        <is>
          <t>ไม่คงตัวต่อกรดเช่นเดียวกับยา A</t>
        </is>
      </c>
      <c r="H12" s="22" t="inlineStr">
        <is>
          <t>ไม่คงตัวต่อด่างเช่นเดียวกันกับยา A</t>
        </is>
      </c>
      <c r="I12" s="22" t="n">
        <v>3</v>
      </c>
      <c r="J12" s="22"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2" t="n"/>
      <c r="L12" s="22" t="inlineStr">
        <is>
          <t>SAR &amp; Drug Design</t>
        </is>
      </c>
      <c r="M12" s="22" t="inlineStr">
        <is>
          <t>Product</t>
        </is>
      </c>
      <c r="N12" s="22" t="inlineStr">
        <is>
          <t>ข้อ 14 ชุด 1 (เฉลยข้อ ค)</t>
        </is>
      </c>
      <c r="O12" s="22" t="inlineStr">
        <is>
          <t>Mock</t>
        </is>
      </c>
      <c r="P12" s="22" t="inlineStr">
        <is>
          <t>ชุด 1</t>
        </is>
      </c>
    </row>
    <row r="13">
      <c r="A13" s="22" t="n">
        <v>15</v>
      </c>
      <c r="B13" s="22" t="inlineStr">
        <is>
          <t>จากสูตรโครงสร้างของยา doxorubicin โครงสร้างส่วนใดที่ออกฤทธิ์เป็น intercalating ของ DNA</t>
        </is>
      </c>
      <c r="C13" s="22" t="n"/>
      <c r="D13" s="22" t="inlineStr">
        <is>
          <t>Anthracycline ring</t>
        </is>
      </c>
      <c r="E13" s="22" t="inlineStr">
        <is>
          <t>- NH2 group</t>
        </is>
      </c>
      <c r="F13" s="22" t="inlineStr">
        <is>
          <t>Methoxy</t>
        </is>
      </c>
      <c r="G13" s="22" t="inlineStr">
        <is>
          <t>Hydroxyl</t>
        </is>
      </c>
      <c r="H13" s="22" t="inlineStr">
        <is>
          <t>น้ำตาล glycoside</t>
        </is>
      </c>
      <c r="I13" s="22" t="n">
        <v>1</v>
      </c>
      <c r="J13" s="22"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2" t="n"/>
      <c r="L13" s="22" t="inlineStr">
        <is>
          <t>SAR &amp; Drug Design</t>
        </is>
      </c>
      <c r="M13" s="22" t="inlineStr">
        <is>
          <t>Product</t>
        </is>
      </c>
      <c r="N13" s="22" t="inlineStr">
        <is>
          <t>ข้อ 15 ชุด 1 (เฉลยข้อ ก)</t>
        </is>
      </c>
      <c r="O13" s="22" t="inlineStr">
        <is>
          <t>Mock</t>
        </is>
      </c>
      <c r="P13" s="22" t="inlineStr">
        <is>
          <t>ชุด 1</t>
        </is>
      </c>
    </row>
    <row r="14">
      <c r="A14" s="22" t="n">
        <v>16</v>
      </c>
      <c r="B14" s="22" t="inlineStr">
        <is>
          <t>โครงสร้างนี้ เรียกว่า อะไร</t>
        </is>
      </c>
      <c r="C14" s="22" t="n"/>
      <c r="D14" s="22" t="inlineStr">
        <is>
          <t>Nucleotide ของ Purine</t>
        </is>
      </c>
      <c r="E14" s="22" t="inlineStr">
        <is>
          <t>Nucleotide ของ Pyridine</t>
        </is>
      </c>
      <c r="F14" s="22" t="inlineStr">
        <is>
          <t>Nucleoside ของ Purine</t>
        </is>
      </c>
      <c r="G14" s="22" t="inlineStr">
        <is>
          <t>Nucleoside ของ Pyridine</t>
        </is>
      </c>
      <c r="H14" s="22" t="inlineStr">
        <is>
          <t>ไม่มีข้อใดถูกต้องการ</t>
        </is>
      </c>
      <c r="I14" s="22" t="n">
        <v>5</v>
      </c>
      <c r="J14" s="22"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2" t="n"/>
      <c r="L14" s="22" t="inlineStr">
        <is>
          <t>SAR &amp; Drug Design</t>
        </is>
      </c>
      <c r="M14" s="22" t="inlineStr">
        <is>
          <t>Product</t>
        </is>
      </c>
      <c r="N14" s="22" t="inlineStr">
        <is>
          <t>ข้อ 16 ชุด 1 (เฉลยข้อ จ)</t>
        </is>
      </c>
      <c r="O14" s="22" t="inlineStr">
        <is>
          <t>Mock</t>
        </is>
      </c>
      <c r="P14" s="22" t="inlineStr">
        <is>
          <t>ชุด 1</t>
        </is>
      </c>
    </row>
    <row r="15">
      <c r="A15" s="22" t="n">
        <v>17</v>
      </c>
      <c r="B15" s="22" t="inlineStr">
        <is>
          <t>ข้อใดกล่าวถูกต้องเกี่ยวกับการพัฒนาโครงสร้างดังแสดงด้านล่าง</t>
        </is>
      </c>
      <c r="C15" s="22" t="n"/>
      <c r="D15" s="22" t="inlineStr">
        <is>
          <t>เปลี่ยนตัวออกฤทธิ์เป็น Ligand เพื่อช่วยลดอาการไม่พึงประสงค์จากยา</t>
        </is>
      </c>
      <c r="E15" s="22" t="inlineStr">
        <is>
          <t>ทำให้โครงสร้างใหญ่ขึ้นเพื่อลดการโดนทำลายหมู่สำคัญในการออกฤทธิ์</t>
        </is>
      </c>
      <c r="F15" s="22" t="inlineStr">
        <is>
          <t>เพิ่ม Lipophilicity ของยาเพื่อเพิ่มการเข้าสู่เซลล์เป้าหมาย</t>
        </is>
      </c>
      <c r="G15" s="22" t="inlineStr">
        <is>
          <t>ข้อ ก ข ถูก</t>
        </is>
      </c>
      <c r="H15" s="22" t="inlineStr">
        <is>
          <t>ข้อ ก ข ค ถูก</t>
        </is>
      </c>
      <c r="I15" s="22" t="n">
        <v>4</v>
      </c>
      <c r="J15" s="22"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2" t="n"/>
      <c r="L15" s="22" t="inlineStr">
        <is>
          <t>SAR &amp; Drug Design</t>
        </is>
      </c>
      <c r="M15" s="22" t="inlineStr">
        <is>
          <t>Product</t>
        </is>
      </c>
      <c r="N15" s="22" t="inlineStr">
        <is>
          <t>ข้อ 17 ชุด 1 (เฉลยข้อ ง)</t>
        </is>
      </c>
      <c r="O15" s="22" t="inlineStr">
        <is>
          <t>Mock</t>
        </is>
      </c>
      <c r="P15" s="22" t="inlineStr">
        <is>
          <t>ชุด 1</t>
        </is>
      </c>
    </row>
    <row r="16">
      <c r="A16" s="22" t="n">
        <v>18</v>
      </c>
      <c r="B16" s="22" t="inlineStr">
        <is>
          <t>จากโครงสร้างของยาต่อไปนี้ ยาในข้อใดที่มีคุณสมบัติทนต่อ catechol-O-methyltransferase</t>
        </is>
      </c>
      <c r="C16" s="22" t="n"/>
      <c r="D16" s="22" t="inlineStr">
        <is>
          <t>Prodrug Design via Esterification for Oral Bioavailability</t>
        </is>
      </c>
      <c r="E16" s="22" t="inlineStr">
        <is>
          <t>Cytochrome P450 CYP3A4 Phase I Oxidation</t>
        </is>
      </c>
      <c r="F16" s="22" t="inlineStr">
        <is>
          <t>Phase II Glucuronidation Conjugation by UGT</t>
        </is>
      </c>
      <c r="G16" s="22" t="inlineStr">
        <is>
          <t>Log P Lipophilicity Partition Coefficient optimization</t>
        </is>
      </c>
      <c r="H16" s="22" t="inlineStr">
        <is>
          <t>Chiral Eutomer vs Distomer Pharmacological activity</t>
        </is>
      </c>
      <c r="I16" s="22" t="n">
        <v>1</v>
      </c>
      <c r="J16" s="2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2" t="n"/>
      <c r="L16" s="22" t="inlineStr">
        <is>
          <t>SAR &amp; Drug Design</t>
        </is>
      </c>
      <c r="M16" s="22" t="inlineStr">
        <is>
          <t>Product</t>
        </is>
      </c>
      <c r="N16" s="22" t="inlineStr">
        <is>
          <t>ข้อ 18 ชุด 1 (เฉลยข้อ ก)</t>
        </is>
      </c>
      <c r="O16" s="22" t="inlineStr">
        <is>
          <t>Mock</t>
        </is>
      </c>
      <c r="P16" s="22" t="inlineStr">
        <is>
          <t>ชุด 1</t>
        </is>
      </c>
    </row>
    <row r="17">
      <c r="A17" s="22" t="n">
        <v>19</v>
      </c>
      <c r="B17" s="22" t="inlineStr">
        <is>
          <t>จากโครงสร้าง ข้อใดไม่ถูกต้อง</t>
        </is>
      </c>
      <c r="C17" s="22" t="n"/>
      <c r="D17" s="22" t="inlineStr">
        <is>
          <t>(S)-form มีฤทธิ์มากกว่า (R)-form</t>
        </is>
      </c>
      <c r="E17" s="22" t="inlineStr">
        <is>
          <t>อยู่ในกลุ่ม coumarin</t>
        </is>
      </c>
      <c r="F17" s="22" t="inlineStr">
        <is>
          <t>Cyclic hemiketal เป็น active form</t>
        </is>
      </c>
      <c r="G17" s="22" t="inlineStr">
        <is>
          <t>ออกฤทธิ์ direct acting anticoagulants</t>
        </is>
      </c>
      <c r="H17" s="22" t="inlineStr">
        <is>
          <t>ไม่มีข้อใดไม่ถูกต้อง</t>
        </is>
      </c>
      <c r="I17" s="22" t="n">
        <v>4</v>
      </c>
      <c r="J17" s="22"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2" t="n"/>
      <c r="L17" s="22" t="inlineStr">
        <is>
          <t>SAR &amp; Drug Design</t>
        </is>
      </c>
      <c r="M17" s="22" t="inlineStr">
        <is>
          <t>Product</t>
        </is>
      </c>
      <c r="N17" s="22" t="inlineStr">
        <is>
          <t>ข้อ 19 ชุด 1 (เฉลยข้อ ง)</t>
        </is>
      </c>
      <c r="O17" s="22" t="inlineStr">
        <is>
          <t>Mock</t>
        </is>
      </c>
      <c r="P17" s="22" t="inlineStr">
        <is>
          <t>ชุด 1</t>
        </is>
      </c>
    </row>
    <row r="18">
      <c r="A18" s="22" t="n">
        <v>20</v>
      </c>
      <c r="B18" s="22" t="inlineStr">
        <is>
          <t>จากโครงสร้าง ข้อความใดต่อไปนี้ไม่ถูกต้อง</t>
        </is>
      </c>
      <c r="C18" s="22" t="n"/>
      <c r="D18" s="22" t="inlineStr">
        <is>
          <t>ตัวอย่างยาในกลุ่มนี้ คือ Digoxin</t>
        </is>
      </c>
      <c r="E18" s="22" t="inlineStr">
        <is>
          <t>Lactone ring เป็นประเภท bufadienolide</t>
        </is>
      </c>
      <c r="F18" s="22" t="inlineStr">
        <is>
          <t>ออกฤทธิ์ยับยั้ง Na-K ATPase</t>
        </is>
      </c>
      <c r="G18" s="22" t="inlineStr">
        <is>
          <t>น้ำตาลจะเข้ามาเกาะที่ตำแหน่ง C3</t>
        </is>
      </c>
      <c r="H18" s="22" t="inlineStr">
        <is>
          <t>ไม่มีข้อใดถูก</t>
        </is>
      </c>
      <c r="I18" s="22" t="n">
        <v>2</v>
      </c>
      <c r="J18" s="22"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2" t="n"/>
      <c r="L18" s="22" t="inlineStr">
        <is>
          <t>SAR &amp; Drug Design</t>
        </is>
      </c>
      <c r="M18" s="22" t="inlineStr">
        <is>
          <t>Product</t>
        </is>
      </c>
      <c r="N18" s="22" t="inlineStr">
        <is>
          <t>ข้อ 20 ชุด 1 (เฉลยข้อ ข)</t>
        </is>
      </c>
      <c r="O18" s="22" t="inlineStr">
        <is>
          <t>Mock</t>
        </is>
      </c>
      <c r="P18" s="22" t="inlineStr">
        <is>
          <t>ชุด 1</t>
        </is>
      </c>
    </row>
    <row r="19">
      <c r="A19" s="22" t="n">
        <v>21</v>
      </c>
      <c r="B19" s="22" t="inlineStr">
        <is>
          <t>โครงสร้างใดต่อไปนี้เป็น Ester of Amino Alcohol</t>
        </is>
      </c>
      <c r="C19" s="22" t="n"/>
      <c r="D19" s="22" t="inlineStr">
        <is>
          <t>Cytochrome P450 CYP3A4 Phase I Oxidation</t>
        </is>
      </c>
      <c r="E19" s="22" t="inlineStr">
        <is>
          <t>Phase II Glucuronidation Conjugation by UGT</t>
        </is>
      </c>
      <c r="F19" s="22" t="inlineStr">
        <is>
          <t>Log P Lipophilicity Partition Coefficient optimization</t>
        </is>
      </c>
      <c r="G19" s="22" t="inlineStr">
        <is>
          <t>Chiral Eutomer vs Distomer Pharmacological activity</t>
        </is>
      </c>
      <c r="H19" s="22" t="inlineStr">
        <is>
          <t>Covalent Irreversible Enzyme Inhibition</t>
        </is>
      </c>
      <c r="I19" s="22" t="n">
        <v>5</v>
      </c>
      <c r="J19" s="22"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2" t="n"/>
      <c r="L19" s="22" t="inlineStr">
        <is>
          <t>SAR &amp; Drug Design</t>
        </is>
      </c>
      <c r="M19" s="22" t="inlineStr">
        <is>
          <t>Product</t>
        </is>
      </c>
      <c r="N19" s="22" t="inlineStr">
        <is>
          <t>ข้อ 21 ชุด 1 (เฉลยข้อ จ)</t>
        </is>
      </c>
      <c r="O19" s="22" t="inlineStr">
        <is>
          <t>Mock</t>
        </is>
      </c>
      <c r="P19" s="22" t="inlineStr">
        <is>
          <t>ชุด 1</t>
        </is>
      </c>
    </row>
    <row r="20">
      <c r="A20" s="22" t="n">
        <v>22</v>
      </c>
      <c r="B20" s="22" t="inlineStr">
        <is>
          <t>N3 หรือ Azido group จากสูตรโครงสร้างของ AZT มีผลให้เกิดสิ่งใด</t>
        </is>
      </c>
      <c r="C20" s="22" t="n"/>
      <c r="D20" s="22" t="inlineStr">
        <is>
          <t>เพิ่มความสามารถในการจับกับโปรตีน albumin</t>
        </is>
      </c>
      <c r="E20" s="22" t="inlineStr">
        <is>
          <t>ช่วยเพิ่มการดูดซึมของยา</t>
        </is>
      </c>
      <c r="F20" s="22" t="inlineStr">
        <is>
          <t>เพิ่มค่าครึ่งชีวิตให้ยาวขึ้น</t>
        </is>
      </c>
      <c r="G20" s="22" t="inlineStr">
        <is>
          <t>เพิ่มการออกฤทธิ์</t>
        </is>
      </c>
      <c r="H20" s="22" t="inlineStr">
        <is>
          <t>มีผลต่อการตั้งสูตรตำรับ</t>
        </is>
      </c>
      <c r="I20" s="22" t="n">
        <v>4</v>
      </c>
      <c r="J20" s="22"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2" t="n"/>
      <c r="L20" s="22" t="inlineStr">
        <is>
          <t>SAR &amp; Drug Design</t>
        </is>
      </c>
      <c r="M20" s="22" t="inlineStr">
        <is>
          <t>Product</t>
        </is>
      </c>
      <c r="N20" s="22" t="inlineStr">
        <is>
          <t>ข้อ 22 ชุด 1 (เฉลยข้อ ง)</t>
        </is>
      </c>
      <c r="O20" s="22" t="inlineStr">
        <is>
          <t>Mock</t>
        </is>
      </c>
      <c r="P20" s="22" t="inlineStr">
        <is>
          <t>ชุด 1</t>
        </is>
      </c>
    </row>
    <row r="21">
      <c r="A21" s="22" t="n">
        <v>23</v>
      </c>
      <c r="B21" s="22" t="inlineStr">
        <is>
          <t>โครงสร้างต่อไปนี้หมายถึงยาชนิดใด</t>
        </is>
      </c>
      <c r="C21" s="22" t="n"/>
      <c r="D21" s="22" t="inlineStr">
        <is>
          <t>Zidovudine</t>
        </is>
      </c>
      <c r="E21" s="22" t="inlineStr">
        <is>
          <t>Cotrimoxazole</t>
        </is>
      </c>
      <c r="F21" s="22" t="inlineStr">
        <is>
          <t>Ceftriaxone</t>
        </is>
      </c>
      <c r="G21" s="22" t="inlineStr">
        <is>
          <t>Acyclovir</t>
        </is>
      </c>
      <c r="H21" s="22" t="inlineStr">
        <is>
          <t>Ciprofloxacin</t>
        </is>
      </c>
      <c r="I21" s="22" t="n">
        <v>4</v>
      </c>
      <c r="J21" s="22"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2" t="n"/>
      <c r="L21" s="22" t="inlineStr">
        <is>
          <t>SAR &amp; Drug Design</t>
        </is>
      </c>
      <c r="M21" s="22" t="inlineStr">
        <is>
          <t>Product</t>
        </is>
      </c>
      <c r="N21" s="22" t="inlineStr">
        <is>
          <t>ข้อ 23 ชุด 1 (เฉลยข้อ ง)</t>
        </is>
      </c>
      <c r="O21" s="22" t="inlineStr">
        <is>
          <t>Mock</t>
        </is>
      </c>
      <c r="P21" s="22" t="inlineStr">
        <is>
          <t>ชุด 1</t>
        </is>
      </c>
    </row>
    <row r="22">
      <c r="A22" s="22" t="n">
        <v>24</v>
      </c>
      <c r="B22" s="22" t="inlineStr">
        <is>
          <t>ยาปฏิชีวนะข้อใดที่ไม่มีโครงสร้าง B-lactam ring</t>
        </is>
      </c>
      <c r="C22" s="22" t="n"/>
      <c r="D22" s="22" t="inlineStr">
        <is>
          <t>Ciprofloxacin</t>
        </is>
      </c>
      <c r="E22" s="22" t="inlineStr">
        <is>
          <t>Amoxycillin</t>
        </is>
      </c>
      <c r="F22" s="22" t="inlineStr">
        <is>
          <t>Imipenam</t>
        </is>
      </c>
      <c r="G22" s="22" t="inlineStr">
        <is>
          <t>Cloxacillin</t>
        </is>
      </c>
      <c r="H22" s="22" t="inlineStr">
        <is>
          <t>Cefazolin</t>
        </is>
      </c>
      <c r="I22" s="22" t="n">
        <v>1</v>
      </c>
      <c r="J22" s="22"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2" t="n"/>
      <c r="L22" s="22" t="inlineStr">
        <is>
          <t>SAR &amp; Drug Design</t>
        </is>
      </c>
      <c r="M22" s="22" t="inlineStr">
        <is>
          <t>Product</t>
        </is>
      </c>
      <c r="N22" s="22" t="inlineStr">
        <is>
          <t>ข้อ 24 ชุด 1 (เฉลยข้อ ก)</t>
        </is>
      </c>
      <c r="O22" s="22" t="inlineStr">
        <is>
          <t>Mock</t>
        </is>
      </c>
      <c r="P22" s="22" t="inlineStr">
        <is>
          <t>ชุด 1</t>
        </is>
      </c>
    </row>
    <row r="23">
      <c r="A23" s="22" t="n">
        <v>25</v>
      </c>
      <c r="B23" s="22" t="inlineStr">
        <is>
          <t>จากสูตรโครงสร้างของยา amoxacillin นี้ตำแหน่งไหนที่ถูกทำลายได้ง่ายและมีผลต่อการดื้อยา</t>
        </is>
      </c>
      <c r="C23" s="22" t="n"/>
      <c r="D23" s="22" t="inlineStr">
        <is>
          <t>Covalent Irreversible Enzyme Inhibition</t>
        </is>
      </c>
      <c r="E23" s="22" t="inlineStr">
        <is>
          <t>Structure-Activity Relationship (SAR) Optimization</t>
        </is>
      </c>
      <c r="F23" s="22" t="inlineStr">
        <is>
          <t>Bioisosteric Replacement (Carboxylic acid → Tetrazole)</t>
        </is>
      </c>
      <c r="G23" s="22" t="inlineStr">
        <is>
          <t>Prodrug Design via Esterification for Oral Bioavailability</t>
        </is>
      </c>
      <c r="H23" s="22" t="inlineStr">
        <is>
          <t>Cytochrome P450 CYP3A4 Phase I Oxidation</t>
        </is>
      </c>
      <c r="I23" s="22" t="n">
        <v>3</v>
      </c>
      <c r="J23" s="22"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2" t="n"/>
      <c r="L23" s="22" t="inlineStr">
        <is>
          <t>SAR &amp; Drug Design</t>
        </is>
      </c>
      <c r="M23" s="22" t="inlineStr">
        <is>
          <t>Product</t>
        </is>
      </c>
      <c r="N23" s="22" t="inlineStr">
        <is>
          <t>ข้อ 25 ชุด 1 (เฉลยข้อ ค)</t>
        </is>
      </c>
      <c r="O23" s="22" t="inlineStr">
        <is>
          <t>Mock</t>
        </is>
      </c>
      <c r="P23" s="22" t="inlineStr">
        <is>
          <t>ชุด 1</t>
        </is>
      </c>
    </row>
    <row r="24">
      <c r="A24" s="22" t="n">
        <v>26</v>
      </c>
      <c r="B24" s="22" t="inlineStr">
        <is>
          <t>ข้อใดผิดเกี่ยวกับ penicillin</t>
        </is>
      </c>
      <c r="C24" s="22" t="n"/>
      <c r="D24" s="22" t="inlineStr">
        <is>
          <t>Pen G มี chain เป็น Benzoyl group</t>
        </is>
      </c>
      <c r="E24" s="22" t="inlineStr">
        <is>
          <t>Pen G potassium ละลายได้ดีกว่า Pen G</t>
        </is>
      </c>
      <c r="F24" s="22" t="inlineStr">
        <is>
          <t>Benzathine Pen G เป็นเกลือของ Pen G</t>
        </is>
      </c>
      <c r="G24" s="22" t="inlineStr">
        <is>
          <t>B-lactamase ถูก Hydrolyze ด้วยกรด</t>
        </is>
      </c>
      <c r="H24" s="22" t="inlineStr">
        <is>
          <t>Procaine penicillin G ถูกดูดได้ดีในทางเดินอาหาร</t>
        </is>
      </c>
      <c r="I24" s="22" t="n">
        <v>5</v>
      </c>
      <c r="J24" s="22"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2" t="n"/>
      <c r="L24" s="22" t="inlineStr">
        <is>
          <t>SAR &amp; Drug Design</t>
        </is>
      </c>
      <c r="M24" s="22" t="inlineStr">
        <is>
          <t>Product</t>
        </is>
      </c>
      <c r="N24" s="22" t="inlineStr">
        <is>
          <t>ข้อ 26 ชุด 1 (เฉลยข้อ จ)</t>
        </is>
      </c>
      <c r="O24" s="22" t="inlineStr">
        <is>
          <t>Mock</t>
        </is>
      </c>
      <c r="P24" s="22" t="inlineStr">
        <is>
          <t>ชุด 1</t>
        </is>
      </c>
    </row>
    <row r="25">
      <c r="A25" s="22" t="n">
        <v>27</v>
      </c>
      <c r="B25" s="22" t="inlineStr">
        <is>
          <t>Doxycycline มีสูตรโครงสร้างรูป เป็นยากลุ่มเดียวกันกับยาใด</t>
        </is>
      </c>
      <c r="C25" s="22" t="n"/>
      <c r="D25" s="22" t="inlineStr">
        <is>
          <t>Tetracycline</t>
        </is>
      </c>
      <c r="E25" s="22" t="inlineStr">
        <is>
          <t>Penicillin</t>
        </is>
      </c>
      <c r="F25" s="22" t="inlineStr">
        <is>
          <t>Cotrimazole</t>
        </is>
      </c>
      <c r="G25" s="22" t="inlineStr">
        <is>
          <t>Sulfamethoxazole</t>
        </is>
      </c>
      <c r="H25" s="22" t="inlineStr">
        <is>
          <t>Amoxicillin</t>
        </is>
      </c>
      <c r="I25" s="22" t="n">
        <v>1</v>
      </c>
      <c r="J25" s="22"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2" t="n"/>
      <c r="L25" s="22" t="inlineStr">
        <is>
          <t>SAR &amp; Drug Design</t>
        </is>
      </c>
      <c r="M25" s="22" t="inlineStr">
        <is>
          <t>Product</t>
        </is>
      </c>
      <c r="N25" s="22" t="inlineStr">
        <is>
          <t>ข้อ 27 ชุด 1 (เฉลยข้อ ก)</t>
        </is>
      </c>
      <c r="O25" s="22" t="inlineStr">
        <is>
          <t>Mock</t>
        </is>
      </c>
      <c r="P25" s="22" t="inlineStr">
        <is>
          <t>ชุด 1</t>
        </is>
      </c>
    </row>
    <row r="26">
      <c r="A26" s="22" t="n">
        <v>28</v>
      </c>
      <c r="B26" s="22" t="inlineStr">
        <is>
          <t>เกี่ยวกับโครงสร้างของสารดังรูป ทุกข้อต่อไปนี้ถูกต้อง ยกเว้นข้อใด</t>
        </is>
      </c>
      <c r="C26" s="22" t="n"/>
      <c r="D26" s="22" t="inlineStr">
        <is>
          <t>เป็นสารในกลุ่ม 8-aminoquinoline</t>
        </is>
      </c>
      <c r="E26" s="22" t="inlineStr">
        <is>
          <t>ตัวอย่างยาในกลุ่มนี้ได้แก่ primaquine</t>
        </is>
      </c>
      <c r="F26" s="22" t="inlineStr">
        <is>
          <t>ถ้ามี Cl ที่ตำแหน่ง 7 จะทำให้ได้ฤทธิ์สูงสุด และมีพิษน้อย</t>
        </is>
      </c>
      <c r="G26" s="22" t="inlineStr">
        <is>
          <t>Dialkylamino alkylamine side chain จะให้ฤทธิ์สูงสุดเมื่อ n = 2, 5 หรือ 6</t>
        </is>
      </c>
      <c r="H26" s="22" t="inlineStr">
        <is>
          <t>Quinoline ring system และอนุพันธ์ให้ผลที่ดีกว่า acridine ring system</t>
        </is>
      </c>
      <c r="I26" s="22" t="n">
        <v>4</v>
      </c>
      <c r="J26" s="22"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2" t="n"/>
      <c r="L26" s="22" t="inlineStr">
        <is>
          <t>SAR &amp; Drug Design</t>
        </is>
      </c>
      <c r="M26" s="22" t="inlineStr">
        <is>
          <t>Product</t>
        </is>
      </c>
      <c r="N26" s="22" t="inlineStr">
        <is>
          <t>ข้อ 28 ชุด 1 (เฉลยข้อ ง)</t>
        </is>
      </c>
      <c r="O26" s="22" t="inlineStr">
        <is>
          <t>Mock</t>
        </is>
      </c>
      <c r="P26" s="22" t="inlineStr">
        <is>
          <t>ชุด 1</t>
        </is>
      </c>
    </row>
    <row r="27">
      <c r="A27" s="22" t="n">
        <v>29</v>
      </c>
      <c r="B27" s="22" t="inlineStr">
        <is>
          <t>จากสูตรโครงสร้างของ folic acid ข้อใดกล่าวไม่ถูกต้อง</t>
        </is>
      </c>
      <c r="C27" s="22" t="n"/>
      <c r="D27" s="22" t="inlineStr">
        <is>
          <t>เป็น water soluble vitamin</t>
        </is>
      </c>
      <c r="E27" s="22" t="inlineStr">
        <is>
          <t>เรียกอีกอย่างหนึ่งว่า vitamin B9</t>
        </is>
      </c>
      <c r="F27" s="22" t="inlineStr">
        <is>
          <t>เกี่ยวข้องกับการสร้าง DNA และ RNA</t>
        </is>
      </c>
      <c r="G27" s="22" t="inlineStr">
        <is>
          <t>มนุษย์สามารถสังเคราะห์ folic acid ได้</t>
        </is>
      </c>
      <c r="H27" s="22" t="inlineStr">
        <is>
          <t>ใน IR chromatogram จะเห็น peak ที่ชัดเจน ที่ค่าความถี่ประมาณ 1,700 cm⁻¹</t>
        </is>
      </c>
      <c r="I27" s="22" t="n">
        <v>4</v>
      </c>
      <c r="J27" s="22"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2" t="n"/>
      <c r="L27" s="22" t="inlineStr">
        <is>
          <t>SAR &amp; Drug Design</t>
        </is>
      </c>
      <c r="M27" s="22" t="inlineStr">
        <is>
          <t>Product</t>
        </is>
      </c>
      <c r="N27" s="22" t="inlineStr">
        <is>
          <t>ข้อ 29 ชุด 1 (เฉลยข้อ ง)</t>
        </is>
      </c>
      <c r="O27" s="22" t="inlineStr">
        <is>
          <t>Mock</t>
        </is>
      </c>
      <c r="P27" s="22" t="inlineStr">
        <is>
          <t>ชุด 1</t>
        </is>
      </c>
    </row>
    <row r="28">
      <c r="A28" s="22" t="n">
        <v>30</v>
      </c>
      <c r="B28" s="22" t="inlineStr">
        <is>
          <t>จากโครงสร้าง ไม่สามารถใช้ในผู้ป่วยกลุ่มใด</t>
        </is>
      </c>
      <c r="C28" s="22" t="n"/>
      <c r="D28" s="22" t="inlineStr">
        <is>
          <t>Pediatric</t>
        </is>
      </c>
      <c r="E28" s="22" t="inlineStr">
        <is>
          <t>Cirrhosis/Hepatitis</t>
        </is>
      </c>
      <c r="F28" s="22" t="inlineStr">
        <is>
          <t>Pregnancy</t>
        </is>
      </c>
      <c r="G28" s="22" t="inlineStr">
        <is>
          <t>Renal failure</t>
        </is>
      </c>
      <c r="H28" s="22" t="inlineStr">
        <is>
          <t>Sulfa allergy</t>
        </is>
      </c>
      <c r="I28" s="22" t="n">
        <v>5</v>
      </c>
      <c r="J28" s="22"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2" t="n"/>
      <c r="L28" s="22" t="inlineStr">
        <is>
          <t>SAR &amp; Drug Design</t>
        </is>
      </c>
      <c r="M28" s="22" t="inlineStr">
        <is>
          <t>Product</t>
        </is>
      </c>
      <c r="N28" s="22" t="inlineStr">
        <is>
          <t>ข้อ 30 ชุด 1 (เฉลยข้อ จ)</t>
        </is>
      </c>
      <c r="O28" s="22" t="inlineStr">
        <is>
          <t>Mock</t>
        </is>
      </c>
      <c r="P28" s="22" t="inlineStr">
        <is>
          <t>ชุด 1</t>
        </is>
      </c>
    </row>
    <row r="29">
      <c r="A29" s="22" t="n">
        <v>31</v>
      </c>
      <c r="B29" s="22" t="inlineStr">
        <is>
          <t>จากโครงสร้างของยา glybenclamide ข้อใดเป็นเหตุผลที่ทำให้ duration นานขึ้น</t>
        </is>
      </c>
      <c r="C29" s="22" t="n"/>
      <c r="D29" s="22" t="inlineStr">
        <is>
          <t>สามารถหมุนแสง polarized ได้</t>
        </is>
      </c>
      <c r="E29" s="22" t="inlineStr">
        <is>
          <t>สามารถวิเคราะห์ได้โดยใช้วิธี HPLC-UV detection</t>
        </is>
      </c>
      <c r="F29" s="22" t="inlineStr">
        <is>
          <t>หมู่ซัลโฟไททำให้โครงสร้างมีความเป็นกรด</t>
        </is>
      </c>
      <c r="G29" s="22" t="inlineStr">
        <is>
          <t>หมู่ยูเรียทำให้โครงสร้างมีความเป็นเบส</t>
        </is>
      </c>
      <c r="H29" s="22" t="inlineStr">
        <is>
          <t>วงแหวนอะโรมาติกปลาย ซึ่งมีหมู่คลอโรในเมตาบอไลต์โดยกระบวนการออกซิเดชันได้</t>
        </is>
      </c>
      <c r="I29" s="22" t="n">
        <v>5</v>
      </c>
      <c r="J29" s="22"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2" t="n"/>
      <c r="L29" s="22" t="inlineStr">
        <is>
          <t>SAR &amp; Drug Design</t>
        </is>
      </c>
      <c r="M29" s="22" t="inlineStr">
        <is>
          <t>Product</t>
        </is>
      </c>
      <c r="N29" s="22" t="inlineStr">
        <is>
          <t>ข้อ 31 ชุด 1 (เฉลยข้อ จ)</t>
        </is>
      </c>
      <c r="O29" s="22" t="inlineStr">
        <is>
          <t>Mock</t>
        </is>
      </c>
      <c r="P29" s="22" t="inlineStr">
        <is>
          <t>ชุด 1</t>
        </is>
      </c>
    </row>
    <row r="30">
      <c r="A30" s="22" t="n">
        <v>32</v>
      </c>
      <c r="B30" s="22" t="inlineStr">
        <is>
          <t>จากสูตรโครงสร้างต่อไปนี้ของยา glipizide จัดว่าเป็นยากลุ่มใด</t>
        </is>
      </c>
      <c r="C30" s="22" t="n"/>
      <c r="D30" s="22" t="inlineStr">
        <is>
          <t>Biguanides</t>
        </is>
      </c>
      <c r="E30" s="22" t="inlineStr">
        <is>
          <t>Nicotinic acids</t>
        </is>
      </c>
      <c r="F30" s="22" t="inlineStr">
        <is>
          <t>Sulfonylurea compounds</t>
        </is>
      </c>
      <c r="G30" s="22" t="inlineStr">
        <is>
          <t>Nucleoside analogue</t>
        </is>
      </c>
      <c r="H30" s="22" t="inlineStr">
        <is>
          <t>Sulfones</t>
        </is>
      </c>
      <c r="I30" s="22" t="n">
        <v>3</v>
      </c>
      <c r="J30" s="22"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2" t="n"/>
      <c r="L30" s="22" t="inlineStr">
        <is>
          <t>SAR &amp; Drug Design</t>
        </is>
      </c>
      <c r="M30" s="22" t="inlineStr">
        <is>
          <t>Product</t>
        </is>
      </c>
      <c r="N30" s="22" t="inlineStr">
        <is>
          <t>ข้อ 32 ชุด 1 (เฉลยข้อ ค)</t>
        </is>
      </c>
      <c r="O30" s="22" t="inlineStr">
        <is>
          <t>Mock</t>
        </is>
      </c>
      <c r="P30" s="22" t="inlineStr">
        <is>
          <t>ชุด 1</t>
        </is>
      </c>
    </row>
    <row r="31">
      <c r="A31" s="22" t="n">
        <v>33</v>
      </c>
      <c r="B31" s="22" t="inlineStr">
        <is>
          <t>โครงสร้างต่อไปนี้เป็นโครงสร้างของยากลุ่มใด</t>
        </is>
      </c>
      <c r="C31" s="22" t="n"/>
      <c r="D31" s="22" t="inlineStr">
        <is>
          <t>Iodoperoxidase inhibitor</t>
        </is>
      </c>
      <c r="E31" s="22" t="inlineStr">
        <is>
          <t>Sulfonylurea</t>
        </is>
      </c>
      <c r="F31" s="22" t="inlineStr">
        <is>
          <t>Thyroid hormone</t>
        </is>
      </c>
      <c r="G31" s="22" t="inlineStr">
        <is>
          <t>Biguanide</t>
        </is>
      </c>
      <c r="H31" s="22" t="inlineStr">
        <is>
          <t>Insulin analog</t>
        </is>
      </c>
      <c r="I31" s="22" t="n">
        <v>4</v>
      </c>
      <c r="J31" s="22"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2" t="n"/>
      <c r="L31" s="22" t="inlineStr">
        <is>
          <t>SAR &amp; Drug Design</t>
        </is>
      </c>
      <c r="M31" s="22" t="inlineStr">
        <is>
          <t>Product</t>
        </is>
      </c>
      <c r="N31" s="22" t="inlineStr">
        <is>
          <t>ข้อ 33 ชุด 1 (เฉลยข้อ ง)</t>
        </is>
      </c>
      <c r="O31" s="22" t="inlineStr">
        <is>
          <t>Mock</t>
        </is>
      </c>
      <c r="P31" s="22" t="inlineStr">
        <is>
          <t>ชุด 1</t>
        </is>
      </c>
    </row>
    <row r="32">
      <c r="A32" s="22" t="n">
        <v>34</v>
      </c>
      <c r="B32" s="22" t="inlineStr">
        <is>
          <t>ชื่อเรียกทั่วไปของยาที่มีโครงสร้างในรูป คือ (ยา PTU)</t>
        </is>
      </c>
      <c r="C32" s="22" t="n"/>
      <c r="D32" s="22" t="inlineStr">
        <is>
          <t>6 propyl 3 thiouracil</t>
        </is>
      </c>
      <c r="E32" s="22" t="inlineStr">
        <is>
          <t>1 propyl 5 thiouracil</t>
        </is>
      </c>
      <c r="F32" s="22" t="inlineStr">
        <is>
          <t>2 propyl 6 thiouracil</t>
        </is>
      </c>
      <c r="G32" s="22" t="inlineStr">
        <is>
          <t>2 propyl 5 thiouracil</t>
        </is>
      </c>
      <c r="H32" s="22" t="inlineStr">
        <is>
          <t>6 propyl 2 thiouracil</t>
        </is>
      </c>
      <c r="I32" s="22" t="n">
        <v>5</v>
      </c>
      <c r="J32" s="22"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2" t="n"/>
      <c r="L32" s="22" t="inlineStr">
        <is>
          <t>SAR &amp; Drug Design</t>
        </is>
      </c>
      <c r="M32" s="22" t="inlineStr">
        <is>
          <t>Product</t>
        </is>
      </c>
      <c r="N32" s="22" t="inlineStr">
        <is>
          <t>ข้อ 34 ชุด 1 (เฉลยข้อ จ)</t>
        </is>
      </c>
      <c r="O32" s="22" t="inlineStr">
        <is>
          <t>Mock</t>
        </is>
      </c>
      <c r="P32" s="22" t="inlineStr">
        <is>
          <t>ชุด 1</t>
        </is>
      </c>
    </row>
    <row r="33">
      <c r="A33" s="22" t="n">
        <v>35</v>
      </c>
      <c r="B33" s="22" t="inlineStr">
        <is>
          <t>จากโครงสร้างของยา 3 ชนิด (methimazole, carbimazole และ propylthiouracil)
ข้อใดถูกต้องเกี่ยวกับยา methimazole, carbimazole และ propylthiouracil</t>
        </is>
      </c>
      <c r="C33" s="22" t="n"/>
      <c r="D33" s="22" t="inlineStr">
        <is>
          <t>Methimazole, carbimazole และ propylthiouracil ถูก metabolized โดยปฏิกิริยา desulfunation ก่อนจึงจะได้สารที่มีฤทธิ์ทางเภสัชวิทยา</t>
        </is>
      </c>
      <c r="E33" s="22" t="inlineStr">
        <is>
          <t>Propylthiouracil จะถูก metabolized โดยปฏิกิริยา dealkylation ซึ่งจะตัด Propyl group ออกก่อนจึงจะได้สารที่มีฤทธิ์ทางเภสัชวิทยา</t>
        </is>
      </c>
      <c r="F33" s="22" t="inlineStr">
        <is>
          <t>Methimazole จะถูก metabolized โดยปฏิกิริยา conjugation ได้เป็น carbimazole จึงจะได้สารที่มีฤทธิ์ทางเภสัชวิทยาที่ต้องการ</t>
        </is>
      </c>
      <c r="G33" s="22" t="inlineStr">
        <is>
          <t>ต้องเกิดปฏิกิริยา amide hydrolysis กับโครงสร้าง carbimazole จึงจะได้สารที่มีฤทธิ์ทางเภสัชวิทยาที่ต้องการ</t>
        </is>
      </c>
      <c r="H33" s="22" t="inlineStr">
        <is>
          <t>ต้องเกิดปฏิกิริยา ester hydrolysis กับโครงสร้าง carbimazole จึงจะได้สารที่มีฤทธิ์ทางเภสัชวิทยาที่ต้องการ</t>
        </is>
      </c>
      <c r="I33" s="22" t="n">
        <v>4</v>
      </c>
      <c r="J33" s="22"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2" t="n"/>
      <c r="L33" s="22" t="inlineStr">
        <is>
          <t>SAR &amp; Drug Design</t>
        </is>
      </c>
      <c r="M33" s="22" t="inlineStr">
        <is>
          <t>Product</t>
        </is>
      </c>
      <c r="N33" s="22" t="inlineStr">
        <is>
          <t>ข้อ 35 ชุด 1 (เฉลยข้อ ง)</t>
        </is>
      </c>
      <c r="O33" s="22" t="inlineStr">
        <is>
          <t>Mock</t>
        </is>
      </c>
      <c r="P33" s="22" t="inlineStr">
        <is>
          <t>ชุด 1</t>
        </is>
      </c>
    </row>
    <row r="34">
      <c r="A34" s="15" t="inlineStr">
        <is>
          <t>33</t>
        </is>
      </c>
      <c r="B34" s="18" t="inlineStr">
        <is>
          <t>ลักษณะสำคัญของ monoclonal antibody ที่ทำให้ต้องใช้ dosage form เป็น injectable เท่านั้น</t>
        </is>
      </c>
      <c r="C34" s="18" t="inlineStr"/>
      <c r="D34" s="18" t="inlineStr">
        <is>
          <t>ขนาดโมเลกุลเล็กดูดซึมผ่าน GI tract ได้ดี</t>
        </is>
      </c>
      <c r="E34" s="18" t="inlineStr">
        <is>
          <t>ไวต่อเอนไซม์ protease ถูกทำลายเมื่อให้โดยรับประทาน</t>
        </is>
      </c>
      <c r="F34" s="18" t="inlineStr">
        <is>
          <t>คงตัวสูงในpHที่เป็นกรด</t>
        </is>
      </c>
      <c r="G34" s="18" t="inlineStr">
        <is>
          <t>ผ่าน first-pass metabolism ได้ดี</t>
        </is>
      </c>
      <c r="H34" s="18" t="inlineStr">
        <is>
          <t>Log P สูง ดูดซึมได้รวดเร็ว"</t>
        </is>
      </c>
      <c r="I34" s="15" t="inlineStr">
        <is>
          <t>1</t>
        </is>
      </c>
      <c r="J34" s="18"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(ไวต่อเอนไซม์ protease ถูกทำลายเมื่อให้โดยรับประทาน): ข้อนี้ไม่ใช่คำตอบที่ถูกต้องสำหรับภาวะ SAR &amp; Drug Design เนื่องจากกลไกการออกฤทธิ์, efficacy หรือข้อบ่งใช้ไม่ตรงกับโจทย์ที่กำหนด
• ข้อ ง. (คงตัวสูงในpHที่เป็นกรด):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จ. (ผ่าน first-pass metabolism ได้ดี):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8" t="inlineStr"/>
      <c r="L34" s="18" t="inlineStr">
        <is>
          <t>SAR &amp; Drug Design</t>
        </is>
      </c>
      <c r="M34" s="18" t="inlineStr">
        <is>
          <t>Medicinal Chemistry</t>
        </is>
      </c>
      <c r="N34" s="18" t="inlineStr">
        <is>
          <t>Mock PLE-CC 1 ข้อ 71</t>
        </is>
      </c>
      <c r="O34" s="18" t="inlineStr">
        <is>
          <t>Mock</t>
        </is>
      </c>
      <c r="P34" s="18" t="inlineStr">
        <is>
          <t>Mock RxCU83</t>
        </is>
      </c>
      <c r="Q34" s="18" t="inlineStr"/>
    </row>
    <row r="35">
      <c r="A35" s="15" t="inlineStr">
        <is>
          <t>34</t>
        </is>
      </c>
      <c r="B35" s="18" t="inlineStr">
        <is>
          <t>ข้อใดส่งผลกระทบต่อ pembrolizumab ในรูปแบบ solution สำหรับยาฉีดมากที่สุด</t>
        </is>
      </c>
      <c r="C35" s="18" t="inlineStr"/>
      <c r="D35" s="18" t="inlineStr">
        <is>
          <t>Hydrolysis ที่ตำแหน่ง ester bond</t>
        </is>
      </c>
      <c r="E35" s="18" t="inlineStr">
        <is>
          <t>Aggregation เมื่อเปลี่ยนแปลง pH หรือเขย่า</t>
        </is>
      </c>
      <c r="F35" s="18" t="inlineStr">
        <is>
          <t>Oxidation ที่ sulfhydryl ของ excipient</t>
        </is>
      </c>
      <c r="G35" s="18" t="inlineStr">
        <is>
          <t>Crystallation เมื่ออุณหภูมิลด</t>
        </is>
      </c>
      <c r="H35" s="18" t="inlineStr">
        <is>
          <t>Racemization ที่ chiral center</t>
        </is>
      </c>
      <c r="I35" s="15" t="inlineStr">
        <is>
          <t>1</t>
        </is>
      </c>
      <c r="J35" s="18"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(Aggregation เมื่อเปลี่ยนแปลง pH หรือเขย่า): ข้อนี้ไม่ใช่คำตอบที่ถูกต้องสำหรับภาวะ SAR &amp; Drug Design เนื่องจากกลไกการออกฤทธิ์, efficacy หรือข้อบ่งใช้ไม่ตรงกับโจทย์ที่กำหนด
• ข้อ ง. (Oxidation ที่ sulfhydryl ของ excipient): ข้อนี้ไม่ใช่คำตอบที่ถูกต้องสำหรับภาวะ SAR &amp; Drug Design เนื่องจากกลไกการออกฤทธิ์, efficacy หรือข้อบ่งใช้ไม่ตรงกับโจทย์ที่กำหนด
• ข้อ จ. (Crystallation เมื่ออุณหภูมิลด):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8" t="inlineStr"/>
      <c r="L35" s="18" t="inlineStr">
        <is>
          <t>SAR &amp; Drug Design</t>
        </is>
      </c>
      <c r="M35" s="18" t="inlineStr">
        <is>
          <t>Medicinal Chemistry</t>
        </is>
      </c>
      <c r="N35" s="18" t="inlineStr">
        <is>
          <t>Mock PLE-CC 1 ข้อ 72</t>
        </is>
      </c>
      <c r="O35" s="18" t="inlineStr">
        <is>
          <t>Mock</t>
        </is>
      </c>
      <c r="P35" s="18" t="inlineStr">
        <is>
          <t>Mock RxCU83</t>
        </is>
      </c>
      <c r="Q35" s="18" t="inlineStr"/>
    </row>
    <row r="36">
      <c r="A36" s="15" t="inlineStr">
        <is>
          <t>35</t>
        </is>
      </c>
      <c r="B36" s="18" t="inlineStr">
        <is>
          <t>กลไกของยามาตรฐานที่ใช้รักษา</t>
        </is>
      </c>
      <c r="C36" s="18" t="inlineStr"/>
      <c r="D36" s="18" t="inlineStr">
        <is>
          <t>จับ protease → ยับยั้งการสร้าง protein</t>
        </is>
      </c>
      <c r="E36" s="18" t="inlineStr">
        <is>
          <t>เป็น nucleoside analogue → ยับยั้ง viral polymerase โดยจะต้องถูก phospholyrate โดย viral thimine kinase</t>
        </is>
      </c>
      <c r="F36" s="18" t="inlineStr">
        <is>
          <t>inhibit isoleucyl-tRNA-synthetase และหยุดการสังเคราะห์โปรตีน</t>
        </is>
      </c>
      <c r="G36" s="18" t="inlineStr">
        <is>
          <t>Compatitive inhibitor กับ reverse transcriptase</t>
        </is>
      </c>
      <c r="H36" s="18" t="inlineStr">
        <is>
          <t>กดภูมิของร่างกายที่มากเกินไป</t>
        </is>
      </c>
      <c r="I36" s="15" t="inlineStr">
        <is>
          <t>1</t>
        </is>
      </c>
      <c r="J36" s="18"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(เป็น nucleoside analogue → ยับยั้ง viral polymerase โดยจะต้องถูก phospholyrate โดย viral thimine kinase): ข้อนี้ไม่ใช่คำตอบที่ถูกต้องสำหรับภาวะ SAR &amp; Drug Design เนื่องจากกลไกการออกฤทธิ์, efficacy หรือข้อบ่งใช้ไม่ตรงกับโจทย์ที่กำหนด
• ข้อ ง. (inhibit isoleucyl-tRNA-synthetase และหยุดการสังเคราะห์โปรตีน): ข้อนี้ไม่ใช่คำตอบที่ถูกต้องสำหรับภาวะ SAR &amp; Drug Design เนื่องจากกลไกการออกฤทธิ์, efficacy หรือข้อบ่งใช้ไม่ตรงกับโจทย์ที่กำหนด
• ข้อ จ. (Compatitive inhibitor กับ reverse transcriptase):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8" t="inlineStr"/>
      <c r="L36" s="18" t="inlineStr">
        <is>
          <t>SAR &amp; Drug Design</t>
        </is>
      </c>
      <c r="M36" s="18" t="inlineStr">
        <is>
          <t>Medicinal Chemistry</t>
        </is>
      </c>
      <c r="N36" s="18" t="inlineStr">
        <is>
          <t>Mock PLE-CC 1 ข้อ 122</t>
        </is>
      </c>
      <c r="O36" s="18" t="inlineStr">
        <is>
          <t>Mock</t>
        </is>
      </c>
      <c r="P36" s="18" t="inlineStr">
        <is>
          <t>Mock RxCU83</t>
        </is>
      </c>
      <c r="Q36" s="18" t="inlineStr"/>
    </row>
    <row r="37">
      <c r="A37" s="15" t="inlineStr">
        <is>
          <t>36</t>
        </is>
      </c>
      <c r="B37" s="18"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18" t="inlineStr"/>
      <c r="D37" s="15" t="inlineStr">
        <is>
          <t>5-6</t>
        </is>
      </c>
      <c r="E37" s="15" t="inlineStr">
        <is>
          <t>9-10</t>
        </is>
      </c>
      <c r="F37" s="15" t="inlineStr">
        <is>
          <t>7-8</t>
        </is>
      </c>
      <c r="G37" s="15" t="inlineStr">
        <is>
          <t>11-12</t>
        </is>
      </c>
      <c r="H37" s="15" t="inlineStr">
        <is>
          <t>13</t>
        </is>
      </c>
      <c r="I37" s="15" t="inlineStr">
        <is>
          <t>1</t>
        </is>
      </c>
      <c r="J37" s="18"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ข้อนี้ไม่ใช่คำตอบที่ถูกต้องสำหรับภาวะ SAR &amp; Drug Design เนื่องจากกลไกการออกฤทธิ์, efficacy หรือข้อบ่งใช้ไม่ตรงกับโจทย์ที่กำหนด
• ข้อ ค. (9-10): ข้อนี้ไม่ใช่คำตอบที่ถูกต้องสำหรับภาวะ SAR &amp; Drug Design เนื่องจากกลไกการออกฤทธิ์, efficacy หรือข้อบ่งใช้ไม่ตรงกับโจทย์ที่กำหนด
• ข้อ ง. (7-8): ข้อนี้ไม่ใช่คำตอบที่ถูกต้องสำหรับภาวะ SAR &amp; Drug Design เนื่องจากกลไกการออกฤทธิ์, efficacy หรือข้อบ่งใช้ไม่ตรงกับโจทย์ที่กำหนด
• ข้อ จ. (11-12):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18" t="inlineStr"/>
      <c r="L37" s="18" t="inlineStr">
        <is>
          <t>SAR &amp; Drug Design</t>
        </is>
      </c>
      <c r="M37" s="18" t="inlineStr">
        <is>
          <t>Medicinal Chemistry</t>
        </is>
      </c>
      <c r="N37" s="18" t="inlineStr">
        <is>
          <t>PLE_CC1_2567_Key ข้อ 93</t>
        </is>
      </c>
      <c r="O37" s="18" t="inlineStr">
        <is>
          <t>ข้อสอบจริง</t>
        </is>
      </c>
      <c r="P37" s="18" t="inlineStr">
        <is>
          <t>ปี 2567</t>
        </is>
      </c>
      <c r="Q37" s="18" t="inlineStr"/>
    </row>
    <row r="38">
      <c r="A38" s="15" t="inlineStr">
        <is>
          <t>37</t>
        </is>
      </c>
      <c r="B38" s="18" t="inlineStr">
        <is>
          <t>ยา Potassium Chloride (KCl) มีค่า pKa 8.07 ละลายได้ดีในน้ำ แต่ละลายน้อยใน alcohol เพื่อป้องกัน การตกตะกอน ต้องมี pH ในตำรับอยู่ที่เท่าไร</t>
        </is>
      </c>
      <c r="C38" s="18" t="inlineStr"/>
      <c r="D38" s="18" t="inlineStr">
        <is>
          <t>PEG (Polyethylene Glycol) ยาระบายก2เซอkนบรรlแบบแผงคาดKาสามารถL 10 เaดnอแผงไo</t>
        </is>
      </c>
      <c r="E38" s="18" t="inlineStr">
        <is>
          <t>Calcium phosphate (เกFอขนาดhอยกKา 1 iตร[ดเNนยาสา\ญประ^_าน</t>
        </is>
      </c>
      <c r="F38" s="18" t="inlineStr">
        <is>
          <t>TiO2 (Titanium Dioxide) ยาgางตาhอยกKา 240 ml [ดเNนยาสา\ญประ^_าน</t>
        </is>
      </c>
      <c r="G38" s="18" t="inlineStr">
        <is>
          <t>Clay</t>
        </is>
      </c>
      <c r="H38" s="18" t="inlineStr">
        <is>
          <t>Colloidal silica</t>
        </is>
      </c>
      <c r="I38" s="15" t="inlineStr">
        <is>
          <t>1</t>
        </is>
      </c>
      <c r="J38" s="18"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ข้อนี้ไม่ใช่คำตอบที่ถูกต้องสำหรับภาวะ SAR &amp; Drug Design เนื่องจากกลไกการออกฤทธิ์, efficacy หรือข้อบ่งใช้ไม่ตรงกับโจทย์ที่กำหนด
• ข้อ ค. (Calcium phosphate (เกFอขนาดhอยกKา 1 iตร[ดเNนยาสา\ญประ^_าน):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ง. (TiO2 (Titanium Dioxide) ยาgางตาhอยกKา 240 ml [ดเNนยาสา\ญประ^_าน):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จ. (Clay):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8" t="inlineStr"/>
      <c r="L38" s="18" t="inlineStr">
        <is>
          <t>SAR &amp; Drug Design</t>
        </is>
      </c>
      <c r="M38" s="18" t="inlineStr">
        <is>
          <t>Medicinal Chemistry</t>
        </is>
      </c>
      <c r="N38" s="18" t="inlineStr">
        <is>
          <t>PLE_CC1_2567_Set1_Key ข้อ 93</t>
        </is>
      </c>
      <c r="O38" s="18" t="inlineStr">
        <is>
          <t>ข้อสอบจริง</t>
        </is>
      </c>
      <c r="P38" s="18" t="inlineStr">
        <is>
          <t>ปี 2567</t>
        </is>
      </c>
      <c r="Q38" s="18" t="inlineStr"/>
    </row>
    <row r="39">
      <c r="A39" s="15" t="inlineStr">
        <is>
          <t>38</t>
        </is>
      </c>
      <c r="B39" s="18" t="inlineStr">
        <is>
          <t>Medchem ตำแหน่งการออกฤทธิ์ของINSTRI . ตัวเลือก</t>
        </is>
      </c>
      <c r="C39" s="18" t="inlineStr"/>
      <c r="D39" s="18" t="inlineStr">
        <is>
          <t>Medicinal Chemistry</t>
        </is>
      </c>
      <c r="E39" s="18" t="inlineStr">
        <is>
          <t>Structure-Activity Relationship (SAR) Optimization</t>
        </is>
      </c>
      <c r="F39" s="18" t="inlineStr">
        <is>
          <t>Bioisosteric Replacement (Carboxylic acid → Tetrazole)</t>
        </is>
      </c>
      <c r="G39" s="18" t="inlineStr">
        <is>
          <t>Prodrug Design via Esterification for Oral Bioavailability</t>
        </is>
      </c>
      <c r="H39" s="18" t="inlineStr">
        <is>
          <t>Cytochrome P450 CYP3A4 Phase I Oxidation</t>
        </is>
      </c>
      <c r="I39" s="15" t="inlineStr">
        <is>
          <t>1</t>
        </is>
      </c>
      <c r="J39" s="18"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8" t="inlineStr"/>
      <c r="L39" s="18" t="inlineStr">
        <is>
          <t>SAR &amp; Drug Design</t>
        </is>
      </c>
      <c r="M39" s="18" t="inlineStr">
        <is>
          <t>Medicinal Chemistry</t>
        </is>
      </c>
      <c r="N39" s="18" t="inlineStr">
        <is>
          <t>PLE-CC1 ปี 2566 Day 1 ข้อ 3</t>
        </is>
      </c>
      <c r="O39" s="18" t="inlineStr">
        <is>
          <t>ข้อสอบจริง</t>
        </is>
      </c>
      <c r="P39" s="18" t="inlineStr">
        <is>
          <t>ปี 2566</t>
        </is>
      </c>
    </row>
    <row r="40">
      <c r="A40" s="15" t="inlineStr">
        <is>
          <t>39</t>
        </is>
      </c>
      <c r="B40" s="18" t="inlineStr">
        <is>
          <t>Medchem ถามตำแหน่งไหนของsalbutamol ที่แตกต่างจาก epinephrine ที่ทำให้ออกฤทธิ์เป็นB2 agonist. ตัวเลือก</t>
        </is>
      </c>
      <c r="C40" s="18" t="inlineStr"/>
      <c r="D40" s="18" t="inlineStr">
        <is>
          <t>Medicinal Chemistry</t>
        </is>
      </c>
      <c r="E40" s="18" t="inlineStr">
        <is>
          <t>Cytochrome P450 CYP3A4 Phase I Oxidation</t>
        </is>
      </c>
      <c r="F40" s="18" t="inlineStr">
        <is>
          <t>Phase II Glucuronidation Conjugation by UGT</t>
        </is>
      </c>
      <c r="G40" s="18" t="inlineStr">
        <is>
          <t>Log P Lipophilicity Partition Coefficient optimization</t>
        </is>
      </c>
      <c r="H40" s="18" t="inlineStr">
        <is>
          <t>Chiral Eutomer vs Distomer Pharmacological activity</t>
        </is>
      </c>
      <c r="I40" s="15" t="inlineStr">
        <is>
          <t>1</t>
        </is>
      </c>
      <c r="J40" s="18"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18" t="inlineStr"/>
      <c r="L40" s="18" t="inlineStr">
        <is>
          <t>SAR &amp; Drug Design</t>
        </is>
      </c>
      <c r="M40" s="18" t="inlineStr">
        <is>
          <t>Medicinal Chemistry</t>
        </is>
      </c>
      <c r="N40" s="18" t="inlineStr">
        <is>
          <t>PLE-CC1 ปี 2566 Day 1 ข้อ 5</t>
        </is>
      </c>
      <c r="O40" s="18" t="inlineStr">
        <is>
          <t>ข้อสอบจริง</t>
        </is>
      </c>
      <c r="P40" s="18" t="inlineStr">
        <is>
          <t>ปี 2566</t>
        </is>
      </c>
    </row>
    <row r="41">
      <c r="A41" s="15" t="inlineStr">
        <is>
          <t>40</t>
        </is>
      </c>
      <c r="B41" s="18" t="inlineStr">
        <is>
          <t>Medchem โครงสร้างhydroxyzine กับcet. ตัวเลือก</t>
        </is>
      </c>
      <c r="C41" s="18" t="inlineStr"/>
      <c r="D41" s="18" t="inlineStr">
        <is>
          <t>Medicinal Chemistry</t>
        </is>
      </c>
      <c r="E41" s="18" t="inlineStr">
        <is>
          <t>Chiral Eutomer vs Distomer Pharmacological activity</t>
        </is>
      </c>
      <c r="F41" s="18" t="inlineStr">
        <is>
          <t>Covalent Irreversible Enzyme Inhibition</t>
        </is>
      </c>
      <c r="G41" s="18" t="inlineStr">
        <is>
          <t>Structure-Activity Relationship (SAR) Optimization</t>
        </is>
      </c>
      <c r="H41" s="18" t="inlineStr">
        <is>
          <t>Bioisosteric Replacement (Carboxylic acid → Tetrazole)</t>
        </is>
      </c>
      <c r="I41" s="15" t="inlineStr">
        <is>
          <t>1</t>
        </is>
      </c>
      <c r="J41" s="18"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8" t="inlineStr"/>
      <c r="L41" s="18" t="inlineStr">
        <is>
          <t>SAR &amp; Drug Design</t>
        </is>
      </c>
      <c r="M41" s="18" t="inlineStr">
        <is>
          <t>Medicinal Chemistry</t>
        </is>
      </c>
      <c r="N41" s="18" t="inlineStr">
        <is>
          <t>PLE-CC1 ปี 2566 Day 2 ข้อ 15</t>
        </is>
      </c>
      <c r="O41" s="18" t="inlineStr">
        <is>
          <t>ข้อสอบจริง</t>
        </is>
      </c>
      <c r="P41" s="18" t="inlineStr">
        <is>
          <t>ปี 2566</t>
        </is>
      </c>
    </row>
    <row r="42">
      <c r="A42" s="15" t="inlineStr">
        <is>
          <t>41</t>
        </is>
      </c>
      <c r="B42" s="18"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18" t="inlineStr"/>
      <c r="D42" s="18" t="inlineStr">
        <is>
          <t>หลังอาหารเชา</t>
        </is>
      </c>
      <c r="E42" s="18" t="inlineStr">
        <is>
          <t>หลังอาหารเที่ยง</t>
        </is>
      </c>
      <c r="F42" s="18" t="inlineStr">
        <is>
          <t>หลังอาหารเย็น</t>
        </is>
      </c>
      <c r="G42" s="18" t="inlineStr">
        <is>
          <t>ก;อนอาหารเย็น</t>
        </is>
      </c>
      <c r="H42" s="18" t="inlineStr">
        <is>
          <t>ก;อนนอน</t>
        </is>
      </c>
      <c r="I42" s="15" t="inlineStr">
        <is>
          <t>1</t>
        </is>
      </c>
      <c r="J42" s="18"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ข้อนี้ไม่ใช่คำตอบที่ถูกต้องสำหรับภาวะ SAR &amp; Drug Design เนื่องจากกลไกการออกฤทธิ์, efficacy หรือข้อบ่งใช้ไม่ตรงกับโจทย์ที่กำหนด
• ข้อ ค. (หลังอาหารเที่ยง): ข้อนี้ไม่ใช่คำตอบที่ถูกต้องสำหรับภาวะ SAR &amp; Drug Design เนื่องจากกลไกการออกฤทธิ์, efficacy หรือข้อบ่งใช้ไม่ตรงกับโจทย์ที่กำหนด
• ข้อ ง. (หลังอาหารเย็น): ข้อนี้ไม่ใช่คำตอบที่ถูกต้องสำหรับภาวะ SAR &amp; Drug Design เนื่องจากกลไกการออกฤทธิ์, efficacy หรือข้อบ่งใช้ไม่ตรงกับโจทย์ที่กำหนด
• ข้อ จ. (ก;อนอาหารเย็น):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18" t="inlineStr"/>
      <c r="L42" s="18" t="inlineStr">
        <is>
          <t>SAR &amp; Drug Design</t>
        </is>
      </c>
      <c r="M42" s="18" t="inlineStr">
        <is>
          <t>Medicinal Chemistry</t>
        </is>
      </c>
      <c r="N42" s="18" t="inlineStr">
        <is>
          <t>PLE_CC1_2565_Day1_Key ข้อ 23</t>
        </is>
      </c>
      <c r="O42" s="18" t="inlineStr">
        <is>
          <t>ข้อสอบจริง</t>
        </is>
      </c>
      <c r="P42" s="18" t="inlineStr">
        <is>
          <t>ปี 2565</t>
        </is>
      </c>
      <c r="Q42" s="18" t="inlineStr"/>
    </row>
    <row r="43">
      <c r="A43" s="15" t="inlineStr">
        <is>
          <t>42</t>
        </is>
      </c>
      <c r="B43" s="18" t="inlineStr">
        <is>
          <t>ขอใดคือโครงสรางของยาที่แพThis is Ibuprofen QดIา6อยเDนโครงสhางกÇมละAอ {ง|นเTน ÉIาแ1ละกÇมE core structure Ñงไง ↓</t>
        </is>
      </c>
      <c r="C43" s="18" t="inlineStr"/>
      <c r="D43" s="18" t="inlineStr">
        <is>
          <t>Phase II Glucuronidation Conjugation by UGT</t>
        </is>
      </c>
      <c r="E43" s="18" t="inlineStr">
        <is>
          <t>จำ choice ไม;ได</t>
        </is>
      </c>
      <c r="F43" s="18" t="inlineStr">
        <is>
          <t>จำ choice ไม;ได</t>
        </is>
      </c>
      <c r="G43" s="18" t="inlineStr">
        <is>
          <t>จำ choice ไม;ได</t>
        </is>
      </c>
      <c r="H43" s="18" t="inlineStr">
        <is>
          <t>* จำ choice ไม;ได# *</t>
        </is>
      </c>
      <c r="I43" s="15" t="inlineStr">
        <is>
          <t>1</t>
        </is>
      </c>
      <c r="J43" s="18"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ง.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จ.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18" t="inlineStr"/>
      <c r="L43" s="18" t="inlineStr">
        <is>
          <t>SAR &amp; Drug Design</t>
        </is>
      </c>
      <c r="M43" s="18" t="inlineStr">
        <is>
          <t>Medicinal Chemistry</t>
        </is>
      </c>
      <c r="N43" s="18" t="inlineStr">
        <is>
          <t>PLE_CC1_2565_Day1_Key ข้อ 42</t>
        </is>
      </c>
      <c r="O43" s="18" t="inlineStr">
        <is>
          <t>ข้อสอบจริง</t>
        </is>
      </c>
      <c r="P43" s="18" t="inlineStr">
        <is>
          <t>ปี 2565</t>
        </is>
      </c>
      <c r="Q43" s="18" t="inlineStr"/>
    </row>
    <row r="44">
      <c r="A44" s="15" t="inlineStr">
        <is>
          <t>43</t>
        </is>
      </c>
      <c r="B44" s="18" t="inlineStr">
        <is>
          <t>ผลข$างเคียง Losartan คืออะไร Reduce serum uric acid by increasing urinary excretion ยากgม Agiotensin receptor blocker (ARBs)</t>
        </is>
      </c>
      <c r="C44" s="18" t="inlineStr"/>
      <c r="D44" s="18" t="inlineStr">
        <is>
          <t>HYPO K</t>
        </is>
      </c>
      <c r="E44" s="18" t="inlineStr">
        <is>
          <t>HYPER Na</t>
        </is>
      </c>
      <c r="F44" s="18" t="inlineStr">
        <is>
          <t>AKI</t>
        </is>
      </c>
      <c r="G44" s="18" t="inlineStr">
        <is>
          <t>Acute liver injury</t>
        </is>
      </c>
      <c r="H44" s="18" t="inlineStr">
        <is>
          <t>Hyperuricemia</t>
        </is>
      </c>
      <c r="I44" s="15" t="inlineStr">
        <is>
          <t>1</t>
        </is>
      </c>
      <c r="J44" s="18"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ข้อนี้ไม่ใช่คำตอบที่ถูกต้องสำหรับภาวะ SAR &amp; Drug Design เนื่องจากกลไกการออกฤทธิ์, efficacy หรือข้อบ่งใช้ไม่ตรงกับโจทย์ที่กำหนด
• ข้อ ค. (HYPER Na): ข้อนี้ไม่ใช่คำตอบที่ถูกต้องสำหรับภาวะ SAR &amp; Drug Design เนื่องจากกลไกการออกฤทธิ์, efficacy หรือข้อบ่งใช้ไม่ตรงกับโจทย์ที่กำหนด
• ข้อ ง. (AKI): ข้อนี้ไม่ใช่คำตอบที่ถูกต้องสำหรับภาวะ SAR &amp; Drug Design เนื่องจากกลไกการออกฤทธิ์, efficacy หรือข้อบ่งใช้ไม่ตรงกับโจทย์ที่กำหนด
• ข้อ จ. (Acute liver injury):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18" t="inlineStr"/>
      <c r="L44" s="18" t="inlineStr">
        <is>
          <t>SAR &amp; Drug Design</t>
        </is>
      </c>
      <c r="M44" s="18" t="inlineStr">
        <is>
          <t>Medicinal Chemistry</t>
        </is>
      </c>
      <c r="N44" s="18" t="inlineStr">
        <is>
          <t>PLE_CC1_2565_Day2_Key ข้อ 25</t>
        </is>
      </c>
      <c r="O44" s="18" t="inlineStr">
        <is>
          <t>ข้อสอบจริง</t>
        </is>
      </c>
      <c r="P44" s="18" t="inlineStr">
        <is>
          <t>ปี 2565</t>
        </is>
      </c>
      <c r="Q44" s="18" t="inlineStr"/>
    </row>
    <row r="45">
      <c r="A45" s="15" t="inlineStr">
        <is>
          <t>44</t>
        </is>
      </c>
      <c r="B45" s="18" t="inlineStr">
        <is>
          <t>ความเข$มข$น adrenaline 0.01% คืออะไร X —&gt; Hyperkalemia X —&gt; Hyponatremia Serious side effect โดยเฉพาะ QRวย1 volume depleted, ใHยากgม diuretics, HF very rare toxic hepatitis / cholestatic jaundice Losartan เSนยากTม ARBs UวเBยวVสามารถลดระYบ serum uric acid ไA</t>
        </is>
      </c>
      <c r="C45" s="18" t="inlineStr"/>
      <c r="D45" s="18" t="inlineStr">
        <is>
          <t>Medicinal Chemistry</t>
        </is>
      </c>
      <c r="E45" s="18" t="inlineStr">
        <is>
          <t>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t>
        </is>
      </c>
      <c r="F45" s="18" t="inlineStr">
        <is>
          <t>Cytochrome P450 CYP3A4 Phase I Oxidation</t>
        </is>
      </c>
      <c r="G45" s="18" t="inlineStr">
        <is>
          <t>Phase II Glucuronidation Conjugation by UGT</t>
        </is>
      </c>
      <c r="H45" s="18" t="inlineStr">
        <is>
          <t>Log P Lipophilicity Partition Coefficient optimization</t>
        </is>
      </c>
      <c r="I45" s="15" t="inlineStr">
        <is>
          <t>1</t>
        </is>
      </c>
      <c r="J45" s="18" t="inlineStr">
        <is>
          <t>✅ คำตอบที่ถูกต้อง: ข้อ ก. Medicinal Chemistry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5" s="18" t="inlineStr"/>
      <c r="L45" s="18" t="inlineStr">
        <is>
          <t>SAR &amp; Drug Design</t>
        </is>
      </c>
      <c r="M45" s="18" t="inlineStr">
        <is>
          <t>Medicinal Chemistry</t>
        </is>
      </c>
      <c r="N45" s="18" t="inlineStr">
        <is>
          <t>PLE_CC1_2565_Day2_Key ข้อ 26</t>
        </is>
      </c>
      <c r="O45" s="18" t="inlineStr">
        <is>
          <t>ข้อสอบจริง</t>
        </is>
      </c>
      <c r="P45" s="18" t="inlineStr">
        <is>
          <t>ปี 2565</t>
        </is>
      </c>
    </row>
    <row r="46">
      <c r="A46" s="15" t="inlineStr">
        <is>
          <t>45</t>
        </is>
      </c>
      <c r="B46" s="18" t="inlineStr">
        <is>
          <t>ยาแก้แพ้ชนิดไม่ง่วง structure ยา ??? Molecular Determinants Responsible for Sedative and Non-sedative Properties of Histamine H-1-Receptor Antagonists (researchgate.net) ..............................................................................................................................................................................................................</t>
        </is>
      </c>
      <c r="C46" s="18" t="inlineStr"/>
      <c r="D46" s="18" t="inlineStr">
        <is>
          <t>Medicinal Chemistry</t>
        </is>
      </c>
      <c r="E46" s="18" t="inlineStr">
        <is>
          <t>Log P Lipophilicity Partition Coefficient optimization</t>
        </is>
      </c>
      <c r="F46" s="18" t="inlineStr">
        <is>
          <t>Chiral Eutomer vs Distomer Pharmacological activity</t>
        </is>
      </c>
      <c r="G46" s="18" t="inlineStr">
        <is>
          <t>Covalent Irreversible Enzyme Inhibition</t>
        </is>
      </c>
      <c r="H46" s="18" t="inlineStr">
        <is>
          <t>Structure-Activity Relationship (SAR) Optimization</t>
        </is>
      </c>
      <c r="I46" s="15" t="inlineStr">
        <is>
          <t>3</t>
        </is>
      </c>
      <c r="J46" s="18"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8" t="inlineStr"/>
      <c r="L46" s="18" t="inlineStr">
        <is>
          <t>SAR &amp; Drug Design</t>
        </is>
      </c>
      <c r="M46" s="18" t="inlineStr">
        <is>
          <t>Medicinal Chemistry</t>
        </is>
      </c>
      <c r="N46" s="18" t="inlineStr">
        <is>
          <t>PLE_CC1_2564_All_Key ข้อ 7</t>
        </is>
      </c>
      <c r="O46" s="18" t="inlineStr">
        <is>
          <t>ข้อสอบจริง</t>
        </is>
      </c>
      <c r="P46" s="18" t="inlineStr">
        <is>
          <t>ปี 2564</t>
        </is>
      </c>
    </row>
    <row r="47">
      <c r="A47" s="15" t="inlineStr">
        <is>
          <t>46</t>
        </is>
      </c>
      <c r="B47" s="18"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18" t="inlineStr"/>
      <c r="D47" s="18" t="inlineStr">
        <is>
          <t>Medicinal Chemistry</t>
        </is>
      </c>
      <c r="E47" s="18" t="inlineStr">
        <is>
          <t>Structure-Activity Relationship (SAR) Optimization</t>
        </is>
      </c>
      <c r="F47" s="18" t="inlineStr">
        <is>
          <t>Bioisosteric Replacement (Carboxylic acid → Tetrazole)</t>
        </is>
      </c>
      <c r="G47" s="18" t="inlineStr">
        <is>
          <t>Prodrug Design via Esterification for Oral Bioavailability</t>
        </is>
      </c>
      <c r="H47" s="18" t="inlineStr">
        <is>
          <t>Cytochrome P450 CYP3A4 Phase I Oxidation</t>
        </is>
      </c>
      <c r="I47" s="15" t="inlineStr">
        <is>
          <t>1</t>
        </is>
      </c>
      <c r="J47" s="18"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18" t="inlineStr"/>
      <c r="L47" s="18" t="inlineStr">
        <is>
          <t>SAR &amp; Drug Design</t>
        </is>
      </c>
      <c r="M47" s="18" t="inlineStr">
        <is>
          <t>Medicinal Chemistry</t>
        </is>
      </c>
      <c r="N47" s="18" t="inlineStr">
        <is>
          <t>PLE_CC1_2564_All_Key ข้อ 28</t>
        </is>
      </c>
      <c r="O47" s="18" t="inlineStr">
        <is>
          <t>ข้อสอบจริง</t>
        </is>
      </c>
      <c r="P47" s="18" t="inlineStr">
        <is>
          <t>ปี 2564</t>
        </is>
      </c>
    </row>
    <row r="48">
      <c r="A48" s="18" t="n">
        <v>46</v>
      </c>
      <c r="B48" s="18" t="inlineStr">
        <is>
          <t>ยาใดมีกลไกยับยั้ง cholinesterase ทำให(พยาธิเกิดอัมพาต</t>
        </is>
      </c>
      <c r="C48" s="18" t="n"/>
      <c r="D48" s="18" t="inlineStr">
        <is>
          <t>Niclosamide</t>
        </is>
      </c>
      <c r="E48" s="18" t="inlineStr">
        <is>
          <t>Praziquantel</t>
        </is>
      </c>
      <c r="F48" s="18" t="inlineStr">
        <is>
          <t>Mebendazole</t>
        </is>
      </c>
      <c r="G48" s="18" t="inlineStr">
        <is>
          <t>Pyrantel pamoate</t>
        </is>
      </c>
      <c r="H48" s="18" t="inlineStr">
        <is>
          <t>Diethycarbamazine E</t>
        </is>
      </c>
      <c r="I48" s="18" t="n">
        <v>1</v>
      </c>
      <c r="J48" s="18"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ข้อนี้ไม่ใช่คำตอบที่ถูกต้องสำหรับภาวะ SAR &amp; Drug Design เนื่องจากกลไกการออกฤทธิ์, efficacy หรือข้อบ่งใช้ไม่ตรงกับโจทย์ที่กำหนด
• ข้อ ค. (Mebendazole): ข้อนี้ไม่ใช่คำตอบที่ถูกต้องสำหรับภาวะ SAR &amp; Drug Design เนื่องจากกลไกการออกฤทธิ์, efficacy หรือข้อบ่งใช้ไม่ตรงกับโจทย์ที่กำหนด
• ข้อ ง. (Pyrantel pamoate): ข้อนี้ไม่ใช่คำตอบที่ถูกต้องสำหรับภาวะ SAR &amp; Drug Design เนื่องจากกลไกการออกฤทธิ์, efficacy หรือข้อบ่งใช้ไม่ตรงกับโจทย์ที่กำหนด
• ข้อ จ. (Diethycarbamazine 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8" t="n"/>
      <c r="L48" s="18" t="inlineStr">
        <is>
          <t>SAR &amp; Drug Design</t>
        </is>
      </c>
      <c r="M48" s="18" t="inlineStr">
        <is>
          <t>Product</t>
        </is>
      </c>
      <c r="N48" s="18" t="inlineStr">
        <is>
          <t>ข้อ 62 (PLE_CC1_2561_Key.md)</t>
        </is>
      </c>
      <c r="O48" s="18" t="inlineStr">
        <is>
          <t>ข้อสอบจริง</t>
        </is>
      </c>
      <c r="P48" s="18" t="inlineStr">
        <is>
          <t>ปี 2561</t>
        </is>
      </c>
    </row>
    <row r="49">
      <c r="A49" s="18" t="n">
        <v>47</v>
      </c>
      <c r="B49" s="18" t="inlineStr">
        <is>
          <t>เมื่อใช้ยาในกลุ่ม Acetylcholinesterase inhibitors ร่วมกับ CYP2D6 inhibitor ทำให้เกิดผลใดตามมาได้</t>
        </is>
      </c>
      <c r="C49" s="18" t="n"/>
      <c r="D49" s="18" t="inlineStr">
        <is>
          <t>ฤทธิ์ของยา AchE เพิ่มขึ้น</t>
        </is>
      </c>
      <c r="E49" s="18" t="inlineStr">
        <is>
          <t>ทำให้เกิด bradycardia</t>
        </is>
      </c>
      <c r="F49" s="18" t="inlineStr">
        <is>
          <t>ทำให้ใจสั่น ร่วมกับอาการตะคริว</t>
        </is>
      </c>
      <c r="G49" s="18" t="inlineStr">
        <is>
          <t>อาจทำให้เกิดอาการสับสนหรือเพ้อ (delirium)</t>
        </is>
      </c>
      <c r="H49" s="18" t="inlineStr">
        <is>
          <t>ไม่มีข้อใดถูก</t>
        </is>
      </c>
      <c r="I49" s="18" t="n">
        <v>1</v>
      </c>
      <c r="J49" s="18"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ข้อนี้ไม่ใช่คำตอบที่ถูกต้องสำหรับภาวะ SAR &amp; Drug Design เนื่องจากกลไกการออกฤทธิ์, efficacy หรือข้อบ่งใช้ไม่ตรงกับโจทย์ที่กำหนด
• ข้อ ค. (ทำให้ใจสั่น ร่วมกับอาการตะคริว): ข้อนี้ไม่ใช่คำตอบที่ถูกต้องสำหรับภาวะ SAR &amp; Drug Design เนื่องจากกลไกการออกฤทธิ์, efficacy หรือข้อบ่งใช้ไม่ตรงกับโจทย์ที่กำหนด
• ข้อ ง. (อาจทำให้เกิดอาการสับสนหรือเพ้อ (delirium)):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8" t="n"/>
      <c r="L49" s="18" t="inlineStr">
        <is>
          <t>SAR &amp; Drug Design</t>
        </is>
      </c>
      <c r="M49" s="18" t="inlineStr">
        <is>
          <t>Product</t>
        </is>
      </c>
      <c r="N49" s="18" t="inlineStr">
        <is>
          <t>ข้อ 53 (Pharmtutor_2024_Set1.md)</t>
        </is>
      </c>
      <c r="O49" s="18" t="inlineStr">
        <is>
          <t>Mock</t>
        </is>
      </c>
      <c r="P49" s="18" t="inlineStr">
        <is>
          <t>Mock Pharmtutor 2024</t>
        </is>
      </c>
    </row>
    <row r="50">
      <c r="A50" s="18" t="n">
        <v>48</v>
      </c>
      <c r="B50" s="18"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18" t="n"/>
      <c r="D50" s="18" t="inlineStr">
        <is>
          <t>Structure-Activity Relationship (SAR) Optimization</t>
        </is>
      </c>
      <c r="E50" s="18" t="inlineStr">
        <is>
          <t>Bioisosteric Replacement (Carboxylic acid → Tetrazole)</t>
        </is>
      </c>
      <c r="F50" s="18" t="inlineStr">
        <is>
          <t>Prodrug Design via Esterification for Oral Bioavailability</t>
        </is>
      </c>
      <c r="G50" s="18" t="inlineStr">
        <is>
          <t>Cytochrome P450 CYP3A4 Phase I Oxidation</t>
        </is>
      </c>
      <c r="H50" s="18" t="inlineStr">
        <is>
          <t>Phase II Glucuronidation Conjugation by UGT</t>
        </is>
      </c>
      <c r="I50" s="18" t="n">
        <v>1</v>
      </c>
      <c r="J50" s="18"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8" t="n"/>
      <c r="L50" s="18" t="inlineStr">
        <is>
          <t>SAR &amp; Drug Design</t>
        </is>
      </c>
      <c r="M50" s="18" t="inlineStr">
        <is>
          <t>Product</t>
        </is>
      </c>
      <c r="N50" s="18" t="inlineStr">
        <is>
          <t>ข้อ 26 (PLE_CC1_2557.md)</t>
        </is>
      </c>
      <c r="O50" s="18" t="inlineStr">
        <is>
          <t>ข้อสอบจริง</t>
        </is>
      </c>
      <c r="P50" s="18" t="inlineStr">
        <is>
          <t>ปี 2557</t>
        </is>
      </c>
    </row>
    <row r="51">
      <c r="A51" s="18" t="n">
        <v>49</v>
      </c>
      <c r="B51" s="18" t="inlineStr">
        <is>
          <t>ข้อใดกล่าวถูกเกี่ยวกับ diazepam infusion pKa3.4</t>
        </is>
      </c>
      <c r="C51" s="18" t="n"/>
      <c r="D51" s="18" t="inlineStr">
        <is>
          <t>Cytochrome P450 CYP3A4 Phase I Oxidation</t>
        </is>
      </c>
      <c r="E51" s="18" t="inlineStr">
        <is>
          <t>Phase II Glucuronidation Conjugation by UGT</t>
        </is>
      </c>
      <c r="F51" s="18" t="inlineStr">
        <is>
          <t>Log P Lipophilicity Partition Coefficient optimization</t>
        </is>
      </c>
      <c r="G51" s="18" t="inlineStr">
        <is>
          <t>Chiral Eutomer vs Distomer Pharmacological activity</t>
        </is>
      </c>
      <c r="H51" s="18" t="inlineStr">
        <is>
          <t>Covalent Irreversible Enzyme Inhibition</t>
        </is>
      </c>
      <c r="I51" s="18" t="n">
        <v>1</v>
      </c>
      <c r="J51" s="18"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8" t="n"/>
      <c r="L51" s="18" t="inlineStr">
        <is>
          <t>SAR &amp; Drug Design</t>
        </is>
      </c>
      <c r="M51" s="18" t="inlineStr">
        <is>
          <t>Product</t>
        </is>
      </c>
      <c r="N51" s="18" t="inlineStr">
        <is>
          <t>ข้อ 6 (PLE_CC1_2556.md)</t>
        </is>
      </c>
      <c r="O51" s="18" t="inlineStr">
        <is>
          <t>ข้อสอบจริง</t>
        </is>
      </c>
      <c r="P51" s="18" t="inlineStr">
        <is>
          <t>ปี 2556</t>
        </is>
      </c>
    </row>
    <row r="52">
      <c r="A52" s="18" t="n">
        <v>50</v>
      </c>
      <c r="B52" s="18" t="inlineStr">
        <is>
          <t>เปลี่ยนจากยา HCTZ เป็น Losartan</t>
        </is>
      </c>
      <c r="C52" s="18" t="n"/>
      <c r="D52" s="18" t="inlineStr">
        <is>
          <t>Chiral Eutomer vs Distomer Pharmacological activity</t>
        </is>
      </c>
      <c r="E52" s="18" t="inlineStr">
        <is>
          <t>Covalent Irreversible Enzyme Inhibition</t>
        </is>
      </c>
      <c r="F52" s="18" t="inlineStr">
        <is>
          <t>Structure-Activity Relationship (SAR) Optimization</t>
        </is>
      </c>
      <c r="G52" s="18" t="inlineStr">
        <is>
          <t>Bioisosteric Replacement (Carboxylic acid → Tetrazole)</t>
        </is>
      </c>
      <c r="H52" s="18" t="inlineStr">
        <is>
          <t>Prodrug Design via Esterification for Oral Bioavailability</t>
        </is>
      </c>
      <c r="I52" s="18" t="n">
        <v>1</v>
      </c>
      <c r="J52" s="18"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8" t="n"/>
      <c r="L52" s="18" t="inlineStr">
        <is>
          <t>SAR &amp; Drug Design</t>
        </is>
      </c>
      <c r="M52" s="18" t="inlineStr">
        <is>
          <t>Product</t>
        </is>
      </c>
      <c r="N52" s="18" t="inlineStr">
        <is>
          <t>ข้อ 3 (PLE_CC1_2556.md)</t>
        </is>
      </c>
      <c r="O52" s="18" t="inlineStr">
        <is>
          <t>ข้อสอบจริง</t>
        </is>
      </c>
      <c r="P52" s="18" t="inlineStr">
        <is>
          <t>ปี 2556</t>
        </is>
      </c>
    </row>
    <row r="53">
      <c r="A53" s="18" t="n">
        <v>51</v>
      </c>
      <c r="B53" s="18" t="inlineStr">
        <is>
          <t>Parkinsonism dysarthria</t>
        </is>
      </c>
      <c r="C53" s="18" t="n"/>
      <c r="D53" s="18" t="inlineStr">
        <is>
          <t>Bioisosteric Replacement (Carboxylic acid → Tetrazole)</t>
        </is>
      </c>
      <c r="E53" s="18" t="inlineStr">
        <is>
          <t>Prodrug Design via Esterification for Oral Bioavailability</t>
        </is>
      </c>
      <c r="F53" s="18" t="inlineStr">
        <is>
          <t>Cytochrome P450 CYP3A4 Phase I Oxidation</t>
        </is>
      </c>
      <c r="G53" s="18" t="inlineStr">
        <is>
          <t>Phase II Glucuronidation Conjugation by UGT</t>
        </is>
      </c>
      <c r="H53" s="18" t="inlineStr">
        <is>
          <t>Log P Lipophilicity Partition Coefficient optimization</t>
        </is>
      </c>
      <c r="I53" s="18" t="n">
        <v>1</v>
      </c>
      <c r="J53" s="18"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8" t="n"/>
      <c r="L53" s="18" t="inlineStr">
        <is>
          <t>SAR &amp; Drug Design</t>
        </is>
      </c>
      <c r="M53" s="18" t="inlineStr">
        <is>
          <t>Product</t>
        </is>
      </c>
      <c r="N53" s="18" t="inlineStr">
        <is>
          <t>ข้อ 4 (PLE_CC1_2555 Day 2.md)</t>
        </is>
      </c>
      <c r="O53" s="18" t="inlineStr">
        <is>
          <t>ข้อสอบจริง</t>
        </is>
      </c>
      <c r="P53" s="18" t="inlineStr">
        <is>
          <t>ปี 2555</t>
        </is>
      </c>
    </row>
    <row r="54">
      <c r="A54" s="18" t="n">
        <v>52</v>
      </c>
      <c r="B54" s="18"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18" t="n"/>
      <c r="D54" s="18" t="inlineStr">
        <is>
          <t>Phase II Glucuronidation Conjugation by UGT</t>
        </is>
      </c>
      <c r="E54" s="18" t="inlineStr">
        <is>
          <t>Log P Lipophilicity Partition Coefficient optimization</t>
        </is>
      </c>
      <c r="F54" s="18" t="inlineStr">
        <is>
          <t>Chiral Eutomer vs Distomer Pharmacological activity</t>
        </is>
      </c>
      <c r="G54" s="18" t="inlineStr">
        <is>
          <t>Covalent Irreversible Enzyme Inhibition</t>
        </is>
      </c>
      <c r="H54" s="18" t="inlineStr">
        <is>
          <t>Structure-Activity Relationship (SAR) Optimization</t>
        </is>
      </c>
      <c r="I54" s="18" t="n">
        <v>5</v>
      </c>
      <c r="J54" s="18"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8" t="n"/>
      <c r="L54" s="18" t="inlineStr">
        <is>
          <t>SAR &amp; Drug Design</t>
        </is>
      </c>
      <c r="M54" s="18" t="inlineStr">
        <is>
          <t>Product</t>
        </is>
      </c>
      <c r="N54" s="18" t="inlineStr">
        <is>
          <t>ข้อ 6 (PLE_CC1_2554 SET2.md)</t>
        </is>
      </c>
      <c r="O54" s="18" t="inlineStr">
        <is>
          <t>ข้อสอบจริง</t>
        </is>
      </c>
      <c r="P54" s="18" t="inlineStr">
        <is>
          <t>ปี 2554</t>
        </is>
      </c>
    </row>
    <row r="55">
      <c r="A55" s="18" t="n">
        <v>53</v>
      </c>
      <c r="B55" s="18"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18" t="n"/>
      <c r="D55" s="18" t="inlineStr">
        <is>
          <t>Covalent Irreversible Enzyme Inhibition</t>
        </is>
      </c>
      <c r="E55" s="18" t="inlineStr">
        <is>
          <t>Structure-Activity Relationship (SAR) Optimization</t>
        </is>
      </c>
      <c r="F55" s="18" t="inlineStr">
        <is>
          <t>Bioisosteric Replacement (Carboxylic acid → Tetrazole)</t>
        </is>
      </c>
      <c r="G55" s="18" t="inlineStr">
        <is>
          <t>Prodrug Design via Esterification for Oral Bioavailability</t>
        </is>
      </c>
      <c r="H55" s="18" t="inlineStr">
        <is>
          <t>Cytochrome P450 CYP3A4 Phase I Oxidation</t>
        </is>
      </c>
      <c r="I55" s="18" t="n">
        <v>1</v>
      </c>
      <c r="J55" s="18"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8" t="n"/>
      <c r="L55" s="18" t="inlineStr">
        <is>
          <t>SAR &amp; Drug Design</t>
        </is>
      </c>
      <c r="M55" s="18" t="inlineStr">
        <is>
          <t>Product</t>
        </is>
      </c>
      <c r="N55" s="18" t="inlineStr">
        <is>
          <t>ข้อ 5 (PLE_CC1_Practice_Exam.md)</t>
        </is>
      </c>
      <c r="O55" s="18" t="inlineStr">
        <is>
          <t>Mock</t>
        </is>
      </c>
      <c r="P55" s="18" t="inlineStr">
        <is>
          <t>Mock สภาเภสัชฯ Practice</t>
        </is>
      </c>
    </row>
    <row r="56">
      <c r="A56" s="18" t="n">
        <v>54</v>
      </c>
      <c r="B56" s="18"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18" t="n"/>
      <c r="D56" s="18" t="inlineStr">
        <is>
          <t>Prodrug Design via Esterification for Oral Bioavailability</t>
        </is>
      </c>
      <c r="E56" s="18" t="inlineStr">
        <is>
          <t>Cytochrome P450 CYP3A4 Phase I Oxidation</t>
        </is>
      </c>
      <c r="F56" s="18" t="inlineStr">
        <is>
          <t>Phase II Glucuronidation Conjugation by UGT</t>
        </is>
      </c>
      <c r="G56" s="18" t="inlineStr">
        <is>
          <t>Log P Lipophilicity Partition Coefficient optimization</t>
        </is>
      </c>
      <c r="H56" s="18" t="inlineStr">
        <is>
          <t>Chiral Eutomer vs Distomer Pharmacological activity</t>
        </is>
      </c>
      <c r="I56" s="18" t="n">
        <v>2</v>
      </c>
      <c r="J56" s="18"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8" t="n"/>
      <c r="L56" s="18" t="inlineStr">
        <is>
          <t>SAR &amp; Drug Design</t>
        </is>
      </c>
      <c r="M56" s="18" t="inlineStr">
        <is>
          <t>Product</t>
        </is>
      </c>
      <c r="N56" s="18" t="inlineStr">
        <is>
          <t>ข้อ 13 (PLE_CC1_Practice_Exam.md)</t>
        </is>
      </c>
      <c r="O56" s="18" t="inlineStr">
        <is>
          <t>Mock</t>
        </is>
      </c>
      <c r="P56" s="18" t="inlineStr">
        <is>
          <t>Mock สภาเภสัชฯ Practice</t>
        </is>
      </c>
    </row>
    <row r="57">
      <c r="A57" s="18" t="n">
        <v>55</v>
      </c>
      <c r="B57" s="18"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18" t="n"/>
      <c r="D57" s="18" t="inlineStr">
        <is>
          <t>Log P Lipophilicity Partition Coefficient optimization</t>
        </is>
      </c>
      <c r="E57" s="18" t="inlineStr">
        <is>
          <t>Chiral Eutomer vs Distomer Pharmacological activity</t>
        </is>
      </c>
      <c r="F57" s="18" t="inlineStr">
        <is>
          <t>Covalent Irreversible Enzyme Inhibition</t>
        </is>
      </c>
      <c r="G57" s="18" t="inlineStr">
        <is>
          <t>Structure-Activity Relationship (SAR) Optimization</t>
        </is>
      </c>
      <c r="H57" s="18" t="inlineStr">
        <is>
          <t>Bioisosteric Replacement (Carboxylic acid → Tetrazole)</t>
        </is>
      </c>
      <c r="I57" s="18" t="n">
        <v>2</v>
      </c>
      <c r="J57" s="18"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8" t="n"/>
      <c r="L57" s="18" t="inlineStr">
        <is>
          <t>SAR &amp; Drug Design</t>
        </is>
      </c>
      <c r="M57" s="18" t="inlineStr">
        <is>
          <t>Product</t>
        </is>
      </c>
      <c r="N57" s="18" t="inlineStr">
        <is>
          <t>ข้อ 20 (PLE_CC1_Practice_Exam.md)</t>
        </is>
      </c>
      <c r="O57" s="18" t="inlineStr">
        <is>
          <t>Mock</t>
        </is>
      </c>
      <c r="P57" s="18" t="inlineStr">
        <is>
          <t>Mock สภาเภสัชฯ Practice</t>
        </is>
      </c>
    </row>
    <row r="58">
      <c r="A58" s="18" t="n">
        <v>56</v>
      </c>
      <c r="B58" s="18"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18" t="n"/>
      <c r="D58" s="18" t="inlineStr">
        <is>
          <t>Structure-Activity Relationship (SAR) Optimization</t>
        </is>
      </c>
      <c r="E58" s="18" t="inlineStr">
        <is>
          <t>Bioisosteric Replacement (Carboxylic acid → Tetrazole)</t>
        </is>
      </c>
      <c r="F58" s="18" t="inlineStr">
        <is>
          <t>Prodrug Design via Esterification for Oral Bioavailability</t>
        </is>
      </c>
      <c r="G58" s="18" t="inlineStr">
        <is>
          <t>Cytochrome P450 CYP3A4 Phase I Oxidation</t>
        </is>
      </c>
      <c r="H58" s="18" t="inlineStr">
        <is>
          <t>Phase II Glucuronidation Conjugation by UGT</t>
        </is>
      </c>
      <c r="I58" s="18" t="n">
        <v>1</v>
      </c>
      <c r="J58" s="18"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8" t="n"/>
      <c r="L58" s="18" t="inlineStr">
        <is>
          <t>SAR &amp; Drug Design</t>
        </is>
      </c>
      <c r="M58" s="18" t="inlineStr">
        <is>
          <t>Product</t>
        </is>
      </c>
      <c r="N58" s="18" t="inlineStr">
        <is>
          <t>ข้อ 5 (PLE_CC1_Key_Rx20_UBU.md)</t>
        </is>
      </c>
      <c r="O58" s="18" t="inlineStr">
        <is>
          <t>Mock</t>
        </is>
      </c>
      <c r="P58" s="18" t="inlineStr">
        <is>
          <t>Mock Rx20 UBU</t>
        </is>
      </c>
    </row>
    <row r="59">
      <c r="A59" s="18" t="n">
        <v>57</v>
      </c>
      <c r="B59" s="18" t="inlineStr">
        <is>
          <t>Metformin Pravastatin , Losartan `Cat X</t>
        </is>
      </c>
      <c r="C59" s="18" t="n"/>
      <c r="D59" s="18" t="inlineStr">
        <is>
          <t>Cytochrome P450 CYP3A4 Phase I Oxidation</t>
        </is>
      </c>
      <c r="E59" s="18" t="inlineStr">
        <is>
          <t>Phase II Glucuronidation Conjugation by UGT</t>
        </is>
      </c>
      <c r="F59" s="18" t="inlineStr">
        <is>
          <t>Log P Lipophilicity Partition Coefficient optimization</t>
        </is>
      </c>
      <c r="G59" s="18" t="inlineStr">
        <is>
          <t>Chiral Eutomer vs Distomer Pharmacological activity</t>
        </is>
      </c>
      <c r="H59" s="18" t="inlineStr">
        <is>
          <t>Covalent Irreversible Enzyme Inhibition</t>
        </is>
      </c>
      <c r="I59" s="18" t="n">
        <v>1</v>
      </c>
      <c r="J59" s="18"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8" t="n"/>
      <c r="L59" s="18" t="inlineStr">
        <is>
          <t>SAR &amp; Drug Design</t>
        </is>
      </c>
      <c r="M59" s="18" t="inlineStr">
        <is>
          <t>Product</t>
        </is>
      </c>
      <c r="N59" s="18" t="inlineStr">
        <is>
          <t>ข้อ 5 (PLE_CC1_Key_Rx20_UBU.md)</t>
        </is>
      </c>
      <c r="O59" s="18" t="inlineStr">
        <is>
          <t>Mock</t>
        </is>
      </c>
      <c r="P59" s="18" t="inlineStr">
        <is>
          <t>Mock Rx20 UBU</t>
        </is>
      </c>
    </row>
    <row r="60">
      <c r="A60" s="18" t="n">
        <v>58</v>
      </c>
      <c r="B60" s="18" t="inlineStr">
        <is>
          <t>เพิ่มยา Losartan</t>
        </is>
      </c>
      <c r="C60" s="18" t="n"/>
      <c r="D60" s="18" t="inlineStr">
        <is>
          <t>Chiral Eutomer vs Distomer Pharmacological activity</t>
        </is>
      </c>
      <c r="E60" s="18" t="inlineStr">
        <is>
          <t>Covalent Irreversible Enzyme Inhibition</t>
        </is>
      </c>
      <c r="F60" s="18" t="inlineStr">
        <is>
          <t>Structure-Activity Relationship (SAR) Optimization</t>
        </is>
      </c>
      <c r="G60" s="18" t="inlineStr">
        <is>
          <t>Bioisosteric Replacement (Carboxylic acid → Tetrazole)</t>
        </is>
      </c>
      <c r="H60" s="18" t="inlineStr">
        <is>
          <t>Prodrug Design via Esterification for Oral Bioavailability</t>
        </is>
      </c>
      <c r="I60" s="18" t="n">
        <v>1</v>
      </c>
      <c r="J60" s="18"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8" t="n"/>
      <c r="L60" s="18" t="inlineStr">
        <is>
          <t>SAR &amp; Drug Design</t>
        </is>
      </c>
      <c r="M60" s="18" t="inlineStr">
        <is>
          <t>Product</t>
        </is>
      </c>
      <c r="N60" s="18" t="inlineStr">
        <is>
          <t>ข้อ 5 (PLE_CC1_Key_Rx20_UBU.md)</t>
        </is>
      </c>
      <c r="O60" s="18" t="inlineStr">
        <is>
          <t>Mock</t>
        </is>
      </c>
      <c r="P60" s="18" t="inlineStr">
        <is>
          <t>Mock Rx20 UBU</t>
        </is>
      </c>
    </row>
    <row r="61">
      <c r="A61" s="18" t="n">
        <v>59</v>
      </c>
      <c r="B61" s="18"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18" t="n"/>
      <c r="D61" s="18" t="inlineStr">
        <is>
          <t>Bioisosteric Replacement (Carboxylic acid → Tetrazole)</t>
        </is>
      </c>
      <c r="E61" s="18" t="inlineStr">
        <is>
          <t>Prodrug Design via Esterification for Oral Bioavailability</t>
        </is>
      </c>
      <c r="F61" s="18" t="inlineStr">
        <is>
          <t>Cytochrome P450 CYP3A4 Phase I Oxidation</t>
        </is>
      </c>
      <c r="G61" s="18" t="inlineStr">
        <is>
          <t>Phase II Glucuronidation Conjugation by UGT</t>
        </is>
      </c>
      <c r="H61" s="18" t="inlineStr">
        <is>
          <t>Log P Lipophilicity Partition Coefficient optimization</t>
        </is>
      </c>
      <c r="I61" s="18" t="n">
        <v>3</v>
      </c>
      <c r="J61" s="18"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8" t="n"/>
      <c r="L61" s="18" t="inlineStr">
        <is>
          <t>SAR &amp; Drug Design</t>
        </is>
      </c>
      <c r="M61" s="18" t="inlineStr">
        <is>
          <t>Product</t>
        </is>
      </c>
      <c r="N61" s="18" t="inlineStr">
        <is>
          <t>ข้อ 5 (PLE_CC1_Key_Rx20_UBU.md)</t>
        </is>
      </c>
      <c r="O61" s="18" t="inlineStr">
        <is>
          <t>Mock</t>
        </is>
      </c>
      <c r="P61" s="18" t="inlineStr">
        <is>
          <t>Mock Rx20 UBU</t>
        </is>
      </c>
    </row>
    <row r="62">
      <c r="A62" s="18" t="n">
        <v>60</v>
      </c>
      <c r="B62" s="18" t="inlineStr">
        <is>
          <t>pKa ประมาณ 3.6 ยาเป็นกรดละลายได้ดีในสารละลายกรดอ่อน</t>
        </is>
      </c>
      <c r="C62" s="18" t="n"/>
      <c r="D62" s="18" t="inlineStr">
        <is>
          <t>Phase II Glucuronidation Conjugation by UGT</t>
        </is>
      </c>
      <c r="E62" s="18" t="inlineStr">
        <is>
          <t>Log P Lipophilicity Partition Coefficient optimization</t>
        </is>
      </c>
      <c r="F62" s="18" t="inlineStr">
        <is>
          <t>Chiral Eutomer vs Distomer Pharmacological activity</t>
        </is>
      </c>
      <c r="G62" s="18" t="inlineStr">
        <is>
          <t>Covalent Irreversible Enzyme Inhibition</t>
        </is>
      </c>
      <c r="H62" s="18" t="inlineStr">
        <is>
          <t>Structure-Activity Relationship (SAR) Optimization</t>
        </is>
      </c>
      <c r="I62" s="18" t="n">
        <v>1</v>
      </c>
      <c r="J62" s="18"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8" t="n"/>
      <c r="L62" s="18" t="inlineStr">
        <is>
          <t>SAR &amp; Drug Design</t>
        </is>
      </c>
      <c r="M62" s="18" t="inlineStr">
        <is>
          <t>Product</t>
        </is>
      </c>
      <c r="N62" s="18" t="inlineStr">
        <is>
          <t>ข้อ 3 (PLE_CC1_Key_Rx20_UBU.md)</t>
        </is>
      </c>
      <c r="O62" s="18" t="inlineStr">
        <is>
          <t>Mock</t>
        </is>
      </c>
      <c r="P62" s="18" t="inlineStr">
        <is>
          <t>Mock Rx20 UBU</t>
        </is>
      </c>
    </row>
    <row r="63">
      <c r="A63" s="18" t="n">
        <v>61</v>
      </c>
      <c r="B63" s="18" t="inlineStr">
        <is>
          <t>จากโครงสร้าง ยากลุ่ม ACEI ตัวใดที่ไม่ใช่ Prodrug</t>
        </is>
      </c>
      <c r="C63" s="18" t="n"/>
      <c r="D63" s="18" t="inlineStr">
        <is>
          <t>Covalent Irreversible Enzyme Inhibition</t>
        </is>
      </c>
      <c r="E63" s="18" t="inlineStr">
        <is>
          <t>Structure-Activity Relationship (SAR) Optimization</t>
        </is>
      </c>
      <c r="F63" s="18" t="inlineStr">
        <is>
          <t>Bioisosteric Replacement (Carboxylic acid → Tetrazole)</t>
        </is>
      </c>
      <c r="G63" s="18" t="inlineStr">
        <is>
          <t>Prodrug Design via Esterification for Oral Bioavailability</t>
        </is>
      </c>
      <c r="H63" s="18" t="inlineStr">
        <is>
          <t>Cytochrome P450 CYP3A4 Phase I Oxidation</t>
        </is>
      </c>
      <c r="I63" s="18" t="n">
        <v>1</v>
      </c>
      <c r="J63" s="18"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8" t="n"/>
      <c r="L63" s="18" t="inlineStr">
        <is>
          <t>SAR &amp; Drug Design</t>
        </is>
      </c>
      <c r="M63" s="18" t="inlineStr">
        <is>
          <t>Product</t>
        </is>
      </c>
      <c r="N63" s="18" t="inlineStr">
        <is>
          <t>ข้อ 65 (PLE_CC1_Key_Rx20_UBU.md)</t>
        </is>
      </c>
      <c r="O63" s="18" t="inlineStr">
        <is>
          <t>Mock</t>
        </is>
      </c>
      <c r="P63" s="18" t="inlineStr">
        <is>
          <t>Mock Rx20 UBU</t>
        </is>
      </c>
    </row>
    <row r="64">
      <c r="A64" s="18" t="n">
        <v>62</v>
      </c>
      <c r="B64" s="18" t="inlineStr">
        <is>
          <t>Phenylephrine มีค่า Log P ต่ำกว่า Brompheniramine</t>
        </is>
      </c>
      <c r="C64" s="18" t="n"/>
      <c r="D64" s="18" t="inlineStr">
        <is>
          <t>Prodrug Design via Esterification for Oral Bioavailability</t>
        </is>
      </c>
      <c r="E64" s="18" t="inlineStr">
        <is>
          <t>Cytochrome P450 CYP3A4 Phase I Oxidation</t>
        </is>
      </c>
      <c r="F64" s="18" t="inlineStr">
        <is>
          <t>Phase II Glucuronidation Conjugation by UGT</t>
        </is>
      </c>
      <c r="G64" s="18" t="inlineStr">
        <is>
          <t>Log P Lipophilicity Partition Coefficient optimization</t>
        </is>
      </c>
      <c r="H64" s="18" t="inlineStr">
        <is>
          <t>Chiral Eutomer vs Distomer Pharmacological activity</t>
        </is>
      </c>
      <c r="I64" s="18" t="n">
        <v>1</v>
      </c>
      <c r="J64" s="18"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8" t="n"/>
      <c r="L64" s="18" t="inlineStr">
        <is>
          <t>SAR &amp; Drug Design</t>
        </is>
      </c>
      <c r="M64" s="18" t="inlineStr">
        <is>
          <t>Product</t>
        </is>
      </c>
      <c r="N64" s="18" t="inlineStr">
        <is>
          <t>ข้อ 4 (PLE_CC1_Key_Rx20_UBU.md)</t>
        </is>
      </c>
      <c r="O64" s="18" t="inlineStr">
        <is>
          <t>Mock</t>
        </is>
      </c>
      <c r="P64" s="18" t="inlineStr">
        <is>
          <t>Mock Rx20 UBU</t>
        </is>
      </c>
    </row>
    <row r="65">
      <c r="A65" s="18" t="n">
        <v>63</v>
      </c>
      <c r="B65" s="18" t="inlineStr">
        <is>
          <t>ให$ SAR ของ progestin แล$วถามวGาการดัดแปลงตำแหนGงใดมีผลลด androgenic effect</t>
        </is>
      </c>
      <c r="C65" s="18" t="n"/>
      <c r="D65" s="18" t="inlineStr">
        <is>
          <t>Log P Lipophilicity Partition Coefficient optimization</t>
        </is>
      </c>
      <c r="E65" s="18" t="inlineStr">
        <is>
          <t>Chiral Eutomer vs Distomer Pharmacological activity</t>
        </is>
      </c>
      <c r="F65" s="18" t="inlineStr">
        <is>
          <t>Covalent Irreversible Enzyme Inhibition</t>
        </is>
      </c>
      <c r="G65" s="18" t="inlineStr">
        <is>
          <t>Structure-Activity Relationship (SAR) Optimization</t>
        </is>
      </c>
      <c r="H65" s="18" t="inlineStr">
        <is>
          <t>Bioisosteric Replacement (Carboxylic acid → Tetrazole)</t>
        </is>
      </c>
      <c r="I65" s="18" t="n">
        <v>1</v>
      </c>
      <c r="J65" s="18"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8" t="n"/>
      <c r="L65" s="18" t="inlineStr">
        <is>
          <t>SAR &amp; Drug Design</t>
        </is>
      </c>
      <c r="M65" s="18" t="inlineStr">
        <is>
          <t>Product</t>
        </is>
      </c>
      <c r="N65" s="18" t="inlineStr">
        <is>
          <t>ข้อ 46 (PLE_CC1_Key_Rx20_UBU.md)</t>
        </is>
      </c>
      <c r="O65" s="18" t="inlineStr">
        <is>
          <t>Mock</t>
        </is>
      </c>
      <c r="P65" s="18" t="inlineStr">
        <is>
          <t>Mock Rx20 UBU</t>
        </is>
      </c>
    </row>
    <row r="66">
      <c r="A66" s="18" t="n">
        <v>64</v>
      </c>
      <c r="B66" s="18" t="inlineStr">
        <is>
          <t>มีหมู่ mycosamine ทำให้ lipophilicity ต่ำ</t>
        </is>
      </c>
      <c r="C66" s="18" t="n"/>
      <c r="D66" s="18" t="inlineStr">
        <is>
          <t>Structure-Activity Relationship (SAR) Optimization</t>
        </is>
      </c>
      <c r="E66" s="18" t="inlineStr">
        <is>
          <t>Bioisosteric Replacement (Carboxylic acid → Tetrazole)</t>
        </is>
      </c>
      <c r="F66" s="18" t="inlineStr">
        <is>
          <t>Prodrug Design via Esterification for Oral Bioavailability</t>
        </is>
      </c>
      <c r="G66" s="18" t="inlineStr">
        <is>
          <t>Cytochrome P450 CYP3A4 Phase I Oxidation</t>
        </is>
      </c>
      <c r="H66" s="18" t="inlineStr">
        <is>
          <t>Phase II Glucuronidation Conjugation by UGT</t>
        </is>
      </c>
      <c r="I66" s="18" t="n">
        <v>1</v>
      </c>
      <c r="J66" s="18"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8" t="n"/>
      <c r="L66" s="18" t="inlineStr">
        <is>
          <t>SAR &amp; Drug Design</t>
        </is>
      </c>
      <c r="M66" s="18" t="inlineStr">
        <is>
          <t>Product</t>
        </is>
      </c>
      <c r="N66" s="18" t="inlineStr">
        <is>
          <t>ข้อ 4 (PLE_CC1_Key_Rx20_UBU.md)</t>
        </is>
      </c>
      <c r="O66" s="18" t="inlineStr">
        <is>
          <t>Mock</t>
        </is>
      </c>
      <c r="P66" s="18" t="inlineStr">
        <is>
          <t>Mock Rx20 UBU</t>
        </is>
      </c>
    </row>
    <row r="67">
      <c r="A67" s="18" t="n">
        <v>65</v>
      </c>
      <c r="B67" s="18" t="inlineStr">
        <is>
          <t>Cyclophosphamide เป็น prodrug</t>
        </is>
      </c>
      <c r="C67" s="18" t="n"/>
      <c r="D67" s="18" t="inlineStr">
        <is>
          <t>Cytochrome P450 CYP3A4 Phase I Oxidation</t>
        </is>
      </c>
      <c r="E67" s="18" t="inlineStr">
        <is>
          <t>Phase II Glucuronidation Conjugation by UGT</t>
        </is>
      </c>
      <c r="F67" s="18" t="inlineStr">
        <is>
          <t>Log P Lipophilicity Partition Coefficient optimization</t>
        </is>
      </c>
      <c r="G67" s="18" t="inlineStr">
        <is>
          <t>Chiral Eutomer vs Distomer Pharmacological activity</t>
        </is>
      </c>
      <c r="H67" s="18" t="inlineStr">
        <is>
          <t>Covalent Irreversible Enzyme Inhibition</t>
        </is>
      </c>
      <c r="I67" s="18" t="n">
        <v>1</v>
      </c>
      <c r="J67" s="18"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8" t="n"/>
      <c r="L67" s="18" t="inlineStr">
        <is>
          <t>SAR &amp; Drug Design</t>
        </is>
      </c>
      <c r="M67" s="18" t="inlineStr">
        <is>
          <t>Product</t>
        </is>
      </c>
      <c r="N67" s="18" t="inlineStr">
        <is>
          <t>ข้อ 2 (PLE_CC1_Key_Rx20_UBU.md)</t>
        </is>
      </c>
      <c r="O67" s="18" t="inlineStr">
        <is>
          <t>Mock</t>
        </is>
      </c>
      <c r="P67" s="18" t="inlineStr">
        <is>
          <t>Mock Rx20 UBU</t>
        </is>
      </c>
    </row>
    <row r="68">
      <c r="A68" s="18" t="n">
        <v>66</v>
      </c>
      <c r="B68" s="18" t="inlineStr">
        <is>
          <t>tamoxifen เป็น prodrug มีการ metabolize ด้วย CYP2D6 ได้เป็น active metabolites - ข้อใดถูกต้อง</t>
        </is>
      </c>
      <c r="C68" s="18" t="n"/>
      <c r="D68" s="18" t="inlineStr">
        <is>
          <t>Chiral Eutomer vs Distomer Pharmacological activity</t>
        </is>
      </c>
      <c r="E68" s="18" t="inlineStr">
        <is>
          <t>Covalent Irreversible Enzyme Inhibition</t>
        </is>
      </c>
      <c r="F68" s="18" t="inlineStr">
        <is>
          <t>Structure-Activity Relationship (SAR) Optimization</t>
        </is>
      </c>
      <c r="G68" s="18" t="inlineStr">
        <is>
          <t>Bioisosteric Replacement (Carboxylic acid → Tetrazole)</t>
        </is>
      </c>
      <c r="H68" s="18" t="inlineStr">
        <is>
          <t>Prodrug Design via Esterification for Oral Bioavailability</t>
        </is>
      </c>
      <c r="I68" s="18" t="n">
        <v>1</v>
      </c>
      <c r="J68" s="18"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8" t="n"/>
      <c r="L68" s="18" t="inlineStr">
        <is>
          <t>SAR &amp; Drug Design</t>
        </is>
      </c>
      <c r="M68" s="18" t="inlineStr">
        <is>
          <t>Product</t>
        </is>
      </c>
      <c r="N68" s="18" t="inlineStr">
        <is>
          <t>ข้อ 8 (PLE_CC1_Key_Rx20_UBU.md)</t>
        </is>
      </c>
      <c r="O68" s="18" t="inlineStr">
        <is>
          <t>Mock</t>
        </is>
      </c>
      <c r="P68" s="18" t="inlineStr">
        <is>
          <t>Mock Rx20 UBU</t>
        </is>
      </c>
    </row>
  </sheetData>
  <mergeCells count="1">
    <mergeCell ref="A1:P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Q302"/>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42" t="inlineStr">
        <is>
          <t>ข้อที่</t>
        </is>
      </c>
      <c r="B2" s="42" t="inlineStr">
        <is>
          <t>คำถาม</t>
        </is>
      </c>
      <c r="C2" s="42" t="inlineStr">
        <is>
          <t>รูปถาม</t>
        </is>
      </c>
      <c r="D2" s="42" t="inlineStr">
        <is>
          <t>ตัวเลือก 1</t>
        </is>
      </c>
      <c r="E2" s="42" t="inlineStr">
        <is>
          <t>ตัวเลือก 2</t>
        </is>
      </c>
      <c r="F2" s="42" t="inlineStr">
        <is>
          <t>ตัวเลือก 3</t>
        </is>
      </c>
      <c r="G2" s="42" t="inlineStr">
        <is>
          <t>ตัวเลือก 4</t>
        </is>
      </c>
      <c r="H2" s="42" t="inlineStr">
        <is>
          <t>ตัวเลือก 5</t>
        </is>
      </c>
      <c r="I2" s="42" t="inlineStr">
        <is>
          <t>เฉลย (ตัวเลข 1-5)</t>
        </is>
      </c>
      <c r="J2" s="42" t="inlineStr">
        <is>
          <t>คำอธิบายเฉลย</t>
        </is>
      </c>
      <c r="K2" s="42" t="inlineStr">
        <is>
          <t>รูปเฉลย</t>
        </is>
      </c>
      <c r="L2" s="42" t="inlineStr">
        <is>
          <t>Filter หมวด/Subtopic</t>
        </is>
      </c>
      <c r="M2" s="42" t="inlineStr">
        <is>
          <t>Product / Clinic</t>
        </is>
      </c>
      <c r="N2" s="42" t="inlineStr">
        <is>
          <t>หมายเหตุ</t>
        </is>
      </c>
      <c r="O2" s="18" t="inlineStr">
        <is>
          <t>ประเภทข้อสอบ</t>
        </is>
      </c>
      <c r="P2" s="18" t="inlineStr">
        <is>
          <t>ปี / เลขชุด</t>
        </is>
      </c>
    </row>
    <row r="3">
      <c r="A3" s="18" t="n">
        <v>1</v>
      </c>
      <c r="B3" s="18" t="inlineStr">
        <is>
          <t>ยาควบคุมพิเศษ (Special Controlled Drugs) ตามพระราชบัญญัติยา พ.ศ. 2510 มีข้อกำหนดทางกฎหมายที่เภสัชกรต้องปฏิบัติอย่างไร?</t>
        </is>
      </c>
      <c r="C3" s="18" t="n"/>
      <c r="D3" s="18" t="inlineStr">
        <is>
          <t>จำหน่ายได้โดยไม่ต้องมีใบสั่งยาจากแพทย์ แต่ต้องจดบันทึก</t>
        </is>
      </c>
      <c r="E3" s="18" t="inlineStr">
        <is>
          <t>ต้องจำหน่ายตามใบสั่งยาของผู้ประกอบวิชาชีพเวชกรรมเท่านั้น และต้องจัดทำบัญชีการรับ-จ่ายยา</t>
        </is>
      </c>
      <c r="F3" s="18" t="inlineStr">
        <is>
          <t>จำหน่ายได้เฉพาะในโรงพยาบาลรัฐบาลเท่านั้น</t>
        </is>
      </c>
      <c r="G3" s="18" t="inlineStr">
        <is>
          <t>สามารถโฆษณาต่อประชาชนทั่วไปได้ตามปกติ</t>
        </is>
      </c>
      <c r="H3" s="18" t="inlineStr">
        <is>
          <t>เภสัชกรไม่ต้องอยู่ปฏิบัติการตลอดเวลาที่เปิดจำหน่าย</t>
        </is>
      </c>
      <c r="I3" s="18" t="n">
        <v>2</v>
      </c>
      <c r="J3" s="18"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ข้อนี้ไม่ใช่คำตอบที่ถูกต้องสำหรับภาวะ พ.ร.บ. ยา พ.ศ. 2510 เนื่องจากกลไกการออกฤทธิ์, efficacy หรือข้อบ่งใช้ไม่ตรงกับโจทย์ที่กำหนด
• ข้อ ค. (จำหน่ายได้เฉพาะในโรงพยาบาลรัฐบาลเท่านั้น):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(สามารถโฆษณาต่อประชาชนทั่วไปได้ตามปกติ):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(เภสัชกรไม่ต้องอยู่ปฏิบัติการตลอดเวลาที่เปิดจำหน่าย):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8" t="n"/>
      <c r="L3" s="18" t="inlineStr">
        <is>
          <t>พ.ร.บ. ยา พ.ศ. 2510</t>
        </is>
      </c>
      <c r="M3" s="18" t="inlineStr">
        <is>
          <t>SAP</t>
        </is>
      </c>
      <c r="N3" s="18" t="inlineStr">
        <is>
          <t>พ.ร.บ. ยา พ.ศ. 2510</t>
        </is>
      </c>
      <c r="O3" s="18" t="inlineStr">
        <is>
          <t>Mock</t>
        </is>
      </c>
      <c r="P3" s="18" t="n"/>
    </row>
    <row r="4">
      <c r="A4" s="18" t="n">
        <v>6</v>
      </c>
      <c r="B4" s="18" t="inlineStr">
        <is>
          <t>ข้อใดถูกต้องเกี่ยวกับ oral isotretinoin ในร้านยา</t>
        </is>
      </c>
      <c r="C4" s="18" t="n"/>
      <c r="D4" s="18" t="inlineStr">
        <is>
          <t>จ่ายได้ แต่ต้องมีใบสั่งแพทย์</t>
        </is>
      </c>
      <c r="E4" s="18" t="inlineStr">
        <is>
          <t>จ่ายได้ โดยไม่มีใบสั่งแพทย์</t>
        </is>
      </c>
      <c r="F4" s="18" t="inlineStr">
        <is>
          <t>จ่ายได้ เฉพาะสถานพยาบาลที่มีแพทย์เฉพาะทาง</t>
        </is>
      </c>
      <c r="G4" s="18" t="inlineStr">
        <is>
          <t>จ่ายได้ เฉพาะคลินิกและโรงพยาบาล</t>
        </is>
      </c>
      <c r="H4" s="18" t="inlineStr">
        <is>
          <t>จ่ายได้ เฉพาะร้านยาที่ขึ้นทะเบียนเป็นร้านยาคุณภาพ</t>
        </is>
      </c>
      <c r="I4" s="18" t="n">
        <v>4</v>
      </c>
      <c r="J4" s="18"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(จ่ายได้ โดยไม่มีใบสั่งแพทย์):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(จ่ายได้ เฉพาะสถานพยาบาลที่มีแพทย์เฉพาะทาง): ข้อนี้ไม่ใช่คำตอบที่ถูกต้องสำหรับภาวะ พ.ร.บ. ยา พ.ศ. 2510 เนื่องจากกลไกการออกฤทธิ์, efficacy หรือข้อบ่งใช้ไม่ตรงกับโจทย์ที่กำหนด
• ข้อ จ. (จ่ายได้ เฉพาะร้านยาที่ขึ้นทะเบียนเป็นร้านยาคุณภาพ):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8" t="n"/>
      <c r="L4" s="18" t="inlineStr">
        <is>
          <t>พ.ร.บ. ยา พ.ศ. 2510</t>
        </is>
      </c>
      <c r="M4" s="18" t="inlineStr">
        <is>
          <t>SAP</t>
        </is>
      </c>
      <c r="N4" s="18" t="inlineStr">
        <is>
          <t>ข้อ 6 ชุด 1 (เฉลยข้อ ง)</t>
        </is>
      </c>
      <c r="O4" s="18" t="inlineStr">
        <is>
          <t>Mock</t>
        </is>
      </c>
      <c r="P4" s="18" t="inlineStr">
        <is>
          <t>ชุด 1</t>
        </is>
      </c>
    </row>
    <row r="5">
      <c r="A5" s="18" t="n">
        <v>7</v>
      </c>
      <c r="B5" s="18" t="inlineStr">
        <is>
          <t>ยา oral isotretinoin มีเลขทะเบียน 1C 2554/55 หมายความว่าอย่างไร</t>
        </is>
      </c>
      <c r="C5" s="18" t="n"/>
      <c r="D5" s="18" t="inlineStr">
        <is>
          <t>ยาเดี่ยวแผนปัจจุบันที่ผลิตในประเทศไทย</t>
        </is>
      </c>
      <c r="E5" s="18" t="inlineStr">
        <is>
          <t>ยาเดี่ยวแผนปัจจุบันที่นำเข้าจากต่างประเทศ</t>
        </is>
      </c>
      <c r="F5" s="18" t="inlineStr">
        <is>
          <t>ยาเดี่ยวแผนปัจจุบันที่แบ่งบรรจุในประเทศไทย</t>
        </is>
      </c>
      <c r="G5" s="18" t="inlineStr">
        <is>
          <t>ยาผสมแผนโบราณ ที่ผลิตในประเทศไทย</t>
        </is>
      </c>
      <c r="H5" s="18" t="inlineStr">
        <is>
          <t>ยาผสมแผนโบราณ ที่นำเข้าจากต่างประเทศ</t>
        </is>
      </c>
      <c r="I5" s="18" t="n">
        <v>2</v>
      </c>
      <c r="J5" s="18"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(ยาเดี่ยวแผนปัจจุบันที่แบ่งบรรจุในประเทศไทย):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(ยาผสมแผนโบราณ 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(ยาผสมแผนโบราณ ที่นำเข้าจากต่างประเทศ):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8" t="n"/>
      <c r="L5" s="18" t="inlineStr">
        <is>
          <t>พ.ร.บ. ยา พ.ศ. 2510</t>
        </is>
      </c>
      <c r="M5" s="18" t="inlineStr">
        <is>
          <t>SAP</t>
        </is>
      </c>
      <c r="N5" s="18" t="inlineStr">
        <is>
          <t>ข้อ 7 ชุด 1 (เฉลยข้อ ข)</t>
        </is>
      </c>
      <c r="O5" s="18" t="inlineStr">
        <is>
          <t>Mock</t>
        </is>
      </c>
      <c r="P5" s="18" t="inlineStr">
        <is>
          <t>ชุด 1</t>
        </is>
      </c>
    </row>
    <row r="6">
      <c r="A6" s="18" t="n">
        <v>8</v>
      </c>
      <c r="B6" s="18" t="inlineStr">
        <is>
          <t>ยาพ่น budesonide เป็นยาประเภทใดตามกฎหมาย</t>
        </is>
      </c>
      <c r="C6" s="18" t="n"/>
      <c r="D6" s="18" t="inlineStr">
        <is>
          <t>ยาควบคุมพิเศษ</t>
        </is>
      </c>
      <c r="E6" s="18" t="inlineStr">
        <is>
          <t>ยาอันตราย</t>
        </is>
      </c>
      <c r="F6" s="18" t="inlineStr">
        <is>
          <t>ยาแผนปัจจุบันบรรจุเสร็จ</t>
        </is>
      </c>
      <c r="G6" s="18" t="inlineStr">
        <is>
          <t>ยาสามัญประจำบ้าน</t>
        </is>
      </c>
      <c r="H6" s="18" t="inlineStr">
        <is>
          <t>ยาใช้ภายนอก</t>
        </is>
      </c>
      <c r="I6" s="18" t="n">
        <v>2</v>
      </c>
      <c r="J6" s="18"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8" t="n"/>
      <c r="L6" s="18" t="inlineStr">
        <is>
          <t>พ.ร.บ. ยา พ.ศ. 2510</t>
        </is>
      </c>
      <c r="M6" s="18" t="inlineStr">
        <is>
          <t>SAP</t>
        </is>
      </c>
      <c r="N6" s="18" t="inlineStr">
        <is>
          <t>ข้อ 8 ชุด 1 (เฉลยข้อ ข)</t>
        </is>
      </c>
      <c r="O6" s="18" t="inlineStr">
        <is>
          <t>Mock</t>
        </is>
      </c>
      <c r="P6" s="18" t="inlineStr">
        <is>
          <t>ชุด 1</t>
        </is>
      </c>
    </row>
    <row r="7">
      <c r="A7" s="18" t="n">
        <v>10</v>
      </c>
      <c r="B7" s="18"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18" t="n"/>
      <c r="D7" s="18" t="inlineStr">
        <is>
          <t>สังเกตแผ่นพับว่ามีเลขทะเบียนโฆษณาตามที่ อย. กำหนดหรือไม่ เช่น ฆยxxxx/xx หรือไม่</t>
        </is>
      </c>
      <c r="E7" s="18" t="inlineStr">
        <is>
          <t>แนะนำเรื่องความปลอดภัยในการใช้ยาแผนโบราณไม่มีเลขทะเบียน และขอให้ผู้ป่วยนำยามาให้เพื่อส่งตรวจ</t>
        </is>
      </c>
      <c r="F7" s="18" t="inlineStr">
        <is>
          <t>ไม่สามารถจ่ายยาลาดังกล่าวได้ เนื่องจากไม่มีใบอนุญาตขายยาแผนโบราณ</t>
        </is>
      </c>
      <c r="G7" s="18" t="inlineStr">
        <is>
          <t>แนะนำว่ายาแผนโบราณที่ใช้ภายนอกไม่มีเลขทะเบียนน่าจะใช้ได้ เพราะมีอันตรายน้อยกว่ายารับประทาน</t>
        </is>
      </c>
      <c r="H7" s="18" t="inlineStr">
        <is>
          <t>ไปหาทยาแผนโบราณดังกล่าวมาขาย เพราะมีลูกค้ามาถามซื้อ</t>
        </is>
      </c>
      <c r="I7" s="18" t="n">
        <v>2</v>
      </c>
      <c r="J7" s="18"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(ไม่สามารถจ่ายยาลาดังกล่าวได้ เนื่องจากไม่มีใบอนุญาตขายยาแผนโบราณ):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ข้อ ง. (แนะนำว่ายาแผนโบราณที่ใช้ภายนอกไม่มีเลขทะเบียนน่าจะใช้ได้ เพราะมีอันตรายน้อยกว่ายารับประทาน):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(ไปหาทยาแผนโบราณดังกล่าวมาขาย เพราะมีลูกค้ามาถามซื้อ):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8" t="n"/>
      <c r="L7" s="18" t="inlineStr">
        <is>
          <t>พ.ร.บ. ยา พ.ศ. 2510</t>
        </is>
      </c>
      <c r="M7" s="18" t="inlineStr">
        <is>
          <t>SAP</t>
        </is>
      </c>
      <c r="N7" s="18" t="inlineStr">
        <is>
          <t>ข้อ 10 ชุด 1 (เฉลยข้อ ข)</t>
        </is>
      </c>
      <c r="O7" s="18" t="inlineStr">
        <is>
          <t>Mock</t>
        </is>
      </c>
      <c r="P7" s="18" t="inlineStr">
        <is>
          <t>ชุด 1</t>
        </is>
      </c>
    </row>
    <row r="8">
      <c r="A8" s="18" t="n">
        <v>11</v>
      </c>
      <c r="B8" s="18"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18" t="n"/>
      <c r="D8" s="18" t="inlineStr">
        <is>
          <t>ยาปลอม</t>
        </is>
      </c>
      <c r="E8" s="18" t="inlineStr">
        <is>
          <t>ยาเสื่อมคุณภาพ</t>
        </is>
      </c>
      <c r="F8" s="18" t="inlineStr">
        <is>
          <t>ยาผิดมาตรฐาน</t>
        </is>
      </c>
      <c r="G8" s="18" t="inlineStr">
        <is>
          <t>ยาสิ้นสภาพ</t>
        </is>
      </c>
      <c r="H8" s="18" t="inlineStr">
        <is>
          <t>ยาไม่ได้ขึ้นทะเบียนตำรับ</t>
        </is>
      </c>
      <c r="I8" s="18" t="n">
        <v>1</v>
      </c>
      <c r="J8" s="1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(ยาสิ้นสภาพ):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8" t="n"/>
      <c r="L8" s="18" t="inlineStr">
        <is>
          <t>พ.ร.บ. ยา พ.ศ. 2510</t>
        </is>
      </c>
      <c r="M8" s="18" t="inlineStr">
        <is>
          <t>SAP</t>
        </is>
      </c>
      <c r="N8" s="18" t="inlineStr">
        <is>
          <t>ข้อ 11 ชุด 1 (เฉลยข้อ ก)</t>
        </is>
      </c>
      <c r="O8" s="18" t="inlineStr">
        <is>
          <t>Mock</t>
        </is>
      </c>
      <c r="P8" s="18" t="inlineStr">
        <is>
          <t>ชุด 1</t>
        </is>
      </c>
    </row>
    <row r="9">
      <c r="A9" s="18" t="n">
        <v>12</v>
      </c>
      <c r="B9" s="18"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18" t="n"/>
      <c r="D9" s="18" t="inlineStr">
        <is>
          <t>ยาสิดมาตรฐาน</t>
        </is>
      </c>
      <c r="E9" s="18" t="inlineStr">
        <is>
          <t>ยาเสื่อมคุณภาพ</t>
        </is>
      </c>
      <c r="F9" s="18" t="inlineStr">
        <is>
          <t>ยาปลอม</t>
        </is>
      </c>
      <c r="G9" s="18" t="inlineStr">
        <is>
          <t>ยาที่ไม่ได้ขึ้นทะเบียน</t>
        </is>
      </c>
      <c r="H9" s="18" t="inlineStr">
        <is>
          <t>ยาที่ถูกเพิกถอนทะเบียนตำรับ</t>
        </is>
      </c>
      <c r="I9" s="18" t="n">
        <v>3</v>
      </c>
      <c r="J9" s="18"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(ยาที่ไม่ได้ขึ้นทะเบียน):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(ยาที่ถูกเพิกถอนทะเบียนตำรับ):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8" t="n"/>
      <c r="L9" s="18" t="inlineStr">
        <is>
          <t>พ.ร.บ. ยา พ.ศ. 2510</t>
        </is>
      </c>
      <c r="M9" s="18" t="inlineStr">
        <is>
          <t>SAP</t>
        </is>
      </c>
      <c r="N9" s="18" t="inlineStr">
        <is>
          <t>ข้อ 12 ชุด 1 (เฉลยข้อ ค)</t>
        </is>
      </c>
      <c r="O9" s="18" t="inlineStr">
        <is>
          <t>Mock</t>
        </is>
      </c>
      <c r="P9" s="18" t="inlineStr">
        <is>
          <t>ชุด 1</t>
        </is>
      </c>
    </row>
    <row r="10">
      <c r="A10" s="18" t="n">
        <v>13</v>
      </c>
      <c r="B10" s="18" t="inlineStr">
        <is>
          <t>การเบิกยาในโรงพยาบาลระบบ FIFO เป็นไปตามข้อใด</t>
        </is>
      </c>
      <c r="C10" s="18" t="n"/>
      <c r="D10" s="18" t="inlineStr">
        <is>
          <t>เบิกยาจากคลังยาโดยเบิกยาที่ซื้อมากก่อน</t>
        </is>
      </c>
      <c r="E10" s="18" t="inlineStr">
        <is>
          <t>เบิกยาจากคลังยาโดยเบิกยาที่ใกล้หมดายุก่อน</t>
        </is>
      </c>
      <c r="F10" s="18" t="inlineStr">
        <is>
          <t>เบิกยาจากคลังยา โดยเบิก lot ที่ผลิตก่อน</t>
        </is>
      </c>
      <c r="G10" s="18" t="inlineStr">
        <is>
          <t>เบิกยาจากคลังยา โดยเบิกจาก lot ที่ซื้อมาจากบริษทายาก่อน</t>
        </is>
      </c>
      <c r="H10" s="18" t="inlineStr">
        <is>
          <t>ไม่มีข้อใดถูก</t>
        </is>
      </c>
      <c r="I10" s="18" t="n">
        <v>1</v>
      </c>
      <c r="J10" s="18"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(เบิกยาจากคลังยา โดยเบิก lot ที่ผลิตก่อน):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(เบิกยาจากคลังยา โดยเบิกจาก lot ที่ซื้อมาจากบริษทายาก่อน):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8" t="n"/>
      <c r="L10" s="18" t="inlineStr">
        <is>
          <t>พ.ร.บ. ยา พ.ศ. 2510</t>
        </is>
      </c>
      <c r="M10" s="18" t="inlineStr">
        <is>
          <t>SAP</t>
        </is>
      </c>
      <c r="N10" s="18" t="inlineStr">
        <is>
          <t>ข้อ 13 ชุด 1 (เฉลยข้อ ก)</t>
        </is>
      </c>
      <c r="O10" s="18" t="inlineStr">
        <is>
          <t>Mock</t>
        </is>
      </c>
      <c r="P10" s="18" t="inlineStr">
        <is>
          <t>ชุด 1</t>
        </is>
      </c>
    </row>
    <row r="11">
      <c r="A11" s="18" t="n">
        <v>14</v>
      </c>
      <c r="B11" s="18" t="inlineStr">
        <is>
          <t>ข้อใดต่อไปนี้ คือ ยาผิดมาตรฐาน</t>
        </is>
      </c>
      <c r="C11" s="18" t="n"/>
      <c r="D11" s="18" t="inlineStr">
        <is>
          <t>ยาที่หมดอายุแล้ว</t>
        </is>
      </c>
      <c r="E11" s="18" t="inlineStr">
        <is>
          <t>ยาที่ตรวจพบปริมาณยาสำคัญ ต่ำกว่าปริมาณต่ำสุด 15%</t>
        </is>
      </c>
      <c r="F11" s="18" t="inlineStr">
        <is>
          <t>ยาที่ตรวจพบปริมาณยาสำคัญ ต่ำกว่าปริมาณต่ำสุด 5%</t>
        </is>
      </c>
      <c r="G11" s="18" t="inlineStr">
        <is>
          <t>ยาที่ตรวจพบปริมาณยาสำคัญ สูงกว่าปริมาณสูงสุด 25%</t>
        </is>
      </c>
      <c r="H11" s="18" t="inlineStr">
        <is>
          <t>ยามีสิ่งเทียมเจือปนอยู่ ไม่เกิน 10%</t>
        </is>
      </c>
      <c r="I11" s="18" t="n">
        <v>2</v>
      </c>
      <c r="J11" s="18"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(ยาที่ตรวจพบปริมาณยาสำคัญ ต่ำกว่าปริมาณต่ำสุด 5%):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(ยาที่ตรวจพบปริมาณยาสำคัญ สูงกว่าปริมาณสูงสุด 25%):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(ยามีสิ่งเทียมเจือปนอยู่ ไม่เกิน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8" t="n"/>
      <c r="L11" s="18" t="inlineStr">
        <is>
          <t>พ.ร.บ. ยา พ.ศ. 2510</t>
        </is>
      </c>
      <c r="M11" s="18" t="inlineStr">
        <is>
          <t>SAP</t>
        </is>
      </c>
      <c r="N11" s="18" t="inlineStr">
        <is>
          <t>ข้อ 14 ชุด 1 (เฉลยข้อ ข ค)</t>
        </is>
      </c>
      <c r="O11" s="18" t="inlineStr">
        <is>
          <t>Mock</t>
        </is>
      </c>
      <c r="P11" s="18" t="inlineStr">
        <is>
          <t>ชุด 1</t>
        </is>
      </c>
    </row>
    <row r="12">
      <c r="A12" s="18" t="n">
        <v>15</v>
      </c>
      <c r="B12" s="18"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18" t="n"/>
      <c r="D12" s="18" t="inlineStr">
        <is>
          <t>เหมือนกัน ทั้งสมุนไพรในรูปแคปซูล กับรูปชาชง เป็นยาแผนโบราณ</t>
        </is>
      </c>
      <c r="E12" s="18" t="inlineStr">
        <is>
          <t>เหมือนกัน ทั้งสมุนไพรในรูปแคปซูล กับรูปชาชง เป็นยาสมุนไพร</t>
        </is>
      </c>
      <c r="F12" s="18" t="inlineStr">
        <is>
          <t>เหมือนกัน ทั้งสมุนไพรในรูปแคปซูล กับรูปชาชง เป็นอาหาร</t>
        </is>
      </c>
      <c r="G12" s="18" t="inlineStr">
        <is>
          <t>ไม่เหมือนกัน สมุนไพรในรูปแคปซูล เป็นยาแผนโบราณ ส่วนรูปชาชง เป็นอาหาร</t>
        </is>
      </c>
      <c r="H12" s="18" t="inlineStr">
        <is>
          <t>ไม่เหมือนกัน สมุนไพรในรูปแคปซูล เป็นยาแผนโบราณ ส่วนรูปชาชงเป็นยาสมุนไพร</t>
        </is>
      </c>
      <c r="I12" s="18" t="n">
        <v>5</v>
      </c>
      <c r="J12" s="18"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ข. (เหมือนกัน ทั้งสมุนไพรในรูปแคปซูล กับรูปชาชง เป็นยาสมุนไพร):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(เหมือนกัน ทั้งสมุนไพรในรูปแคปซูล กับรูปชาชง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(ไม่เหมือนกัน สมุนไพรในรูปแคปซูล เป็นยาแผนโบราณ ส่วนรูปชาชง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8" t="n"/>
      <c r="L12" s="18" t="inlineStr">
        <is>
          <t>พ.ร.บ. ผลิตภัณฑ์สมุนไพร &amp; เครื่องสำอาง</t>
        </is>
      </c>
      <c r="M12" s="18" t="inlineStr">
        <is>
          <t>SAP</t>
        </is>
      </c>
      <c r="N12" s="18" t="inlineStr">
        <is>
          <t>ข้อ 15 ชุด 1 (เฉลยข้อ จ)</t>
        </is>
      </c>
      <c r="O12" s="18" t="inlineStr">
        <is>
          <t>Mock</t>
        </is>
      </c>
      <c r="P12" s="18" t="inlineStr">
        <is>
          <t>ชุด 1</t>
        </is>
      </c>
    </row>
    <row r="13">
      <c r="A13" s="18" t="n">
        <v>16</v>
      </c>
      <c r="B13" s="18" t="inlineStr">
        <is>
          <t>หากผู้ป่วยมาขอซื้อยา lorazepam tab ในร้านขายยาท่านสามารถจำหน่ายยาได้หรือไม่
ท่านสามารถจำหน่ายยาได้หรือไม่</t>
        </is>
      </c>
      <c r="C13" s="18" t="n"/>
      <c r="D13" s="18" t="inlineStr">
        <is>
          <t>ได้หากมีใบอนุญาตจำหน่ายยาอันตราย</t>
        </is>
      </c>
      <c r="E13" s="18" t="inlineStr">
        <is>
          <t>ได้หากมีใบอนุญาตจำหน่ายวัตถุออกฤทธิ์</t>
        </is>
      </c>
      <c r="F13" s="18" t="inlineStr">
        <is>
          <t>ได้หากมีใบอนุญาตจำหน่ายยาเสพติดประเภท 2</t>
        </is>
      </c>
      <c r="G13" s="18" t="inlineStr">
        <is>
          <t>ไม่ได้เพราะเป็นยาเสพติดประเภท 2</t>
        </is>
      </c>
      <c r="H13" s="18" t="inlineStr">
        <is>
          <t>ไม่ได้เพราะเป็นวัตถุออกฤทธิ์</t>
        </is>
      </c>
      <c r="I13" s="18" t="n">
        <v>2</v>
      </c>
      <c r="J13" s="18"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(ไม่ได้เพราะเป็นยาเสพติดประเภท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(ไม่ได้เพราะเป็นวัตถุออกฤทธิ์):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8" t="n"/>
      <c r="L13" s="18" t="inlineStr">
        <is>
          <t>พ.ร.บ. ยาเสพติดให้โทษ &amp; วัตถุออกฤทธิ์</t>
        </is>
      </c>
      <c r="M13" s="18" t="inlineStr">
        <is>
          <t>SAP</t>
        </is>
      </c>
      <c r="N13" s="18" t="inlineStr">
        <is>
          <t>ข้อ 16 ชุด 1 (เฉลยข้อ ข)</t>
        </is>
      </c>
      <c r="O13" s="18" t="inlineStr">
        <is>
          <t>Mock</t>
        </is>
      </c>
      <c r="P13" s="18" t="inlineStr">
        <is>
          <t>ชุด 1</t>
        </is>
      </c>
    </row>
    <row r="14">
      <c r="A14" s="18" t="n">
        <v>17</v>
      </c>
      <c r="B14" s="18"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18" t="n"/>
      <c r="D14" s="18" t="inlineStr">
        <is>
          <t>การศึกษานี้เป็นการประเมินทางด้านเศรษฐศาสตร์แบบ partial economic evaluations และเป็นการศึกษาแบบ cost analysis</t>
        </is>
      </c>
      <c r="E14" s="18" t="inlineStr">
        <is>
          <t>การศึกษานี้เป็นการประเมินทางด้านเศรษฐศาสตร์แบบ partial economic evaluations และเป็นการศึกษาแบบ cost-outcome description</t>
        </is>
      </c>
      <c r="F14" s="18" t="inlineStr">
        <is>
          <t>การศึกษานี้เป็นการประเมินทางด้านเศรษฐศาสตร์แบบ full economic evaluations และเป็นการศึกษาแบบ cost-benefit analysis (CBA)</t>
        </is>
      </c>
      <c r="G14" s="18" t="inlineStr">
        <is>
          <t>การศึกษานี้เป็นการประเมินทางด้านเศรษฐศาสตร์แบบ full economic evaluations และเป็นการศึกษาแบบ cost-utility analysis (CUA)</t>
        </is>
      </c>
      <c r="H14" s="18" t="inlineStr">
        <is>
          <t>การศึกษานี้เป็นการประเมินทางด้านเศรษฐศาสตร์แบบ full economic evaluations และเป็นการศึกษาแบบ cost-effectiveness analysis (CEA)</t>
        </is>
      </c>
      <c r="I14" s="18" t="n">
        <v>3</v>
      </c>
      <c r="J14" s="18"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(การศึกษานี้เป็นการประเมินทางด้านเศรษฐศาสตร์แบบ partial economic evaluations และเป็นการศึกษาแบบ cost-outcome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(การศึกษานี้เป็นการประเมินทางด้านเศรษฐศาสตร์แบบ full economic evaluations และเป็นการศึกษาแบบ cost-utility analysis (CUA)):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(การศึกษานี้เป็นการประเมินทางด้านเศรษฐศาสตร์แบบ full economic evaluations และเป็นการศึกษาแบบ cost-effectiveness analysis (CEA)):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18" t="n"/>
      <c r="L14" s="18" t="inlineStr">
        <is>
          <t>พ.ร.บ. ยา พ.ศ. 2510</t>
        </is>
      </c>
      <c r="M14" s="18" t="inlineStr">
        <is>
          <t>SAP</t>
        </is>
      </c>
      <c r="N14" s="18" t="inlineStr">
        <is>
          <t>ข้อ 17 ชุด 1 (เฉลยข้อ ค)</t>
        </is>
      </c>
      <c r="O14" s="18" t="inlineStr">
        <is>
          <t>Mock</t>
        </is>
      </c>
      <c r="P14" s="18" t="inlineStr">
        <is>
          <t>ชุด 1</t>
        </is>
      </c>
    </row>
    <row r="15">
      <c r="A15" s="18" t="n">
        <v>18</v>
      </c>
      <c r="B15" s="18" t="inlineStr">
        <is>
          <t>จากข้อ 17 ในกรณีที่ รพ. มีงบประมาณที่จำกัด ควรเลือกยาใด เพราะอะไร</t>
        </is>
      </c>
      <c r="C15" s="18" t="n"/>
      <c r="D15" s="18" t="inlineStr">
        <is>
          <t>Enalapril เพราะต้นทุนต่ำกว่า captopril</t>
        </is>
      </c>
      <c r="E15" s="18" t="inlineStr">
        <is>
          <t>Enalapril เพราะ มี B/C ratio ต่ำกว่า มีความคุ้มค่าคุ้มทุนมากกว่า captopril</t>
        </is>
      </c>
      <c r="F15" s="18" t="inlineStr">
        <is>
          <t>Captopril มีประสิทธิภาพสูงกว่า</t>
        </is>
      </c>
      <c r="G15" s="18" t="inlineStr">
        <is>
          <t>Captopril เพราะมี B/C ratio สูงกว่า มีความคุ้มค่าคุ้มทุนมากกว่า enalapril</t>
        </is>
      </c>
      <c r="H15" s="18" t="inlineStr">
        <is>
          <t>ไม่มีข้อใดถูก</t>
        </is>
      </c>
      <c r="I15" s="18" t="n">
        <v>5</v>
      </c>
      <c r="J15" s="18"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18" t="n"/>
      <c r="L15" s="18" t="inlineStr">
        <is>
          <t>พ.ร.บ. ยา พ.ศ. 2510</t>
        </is>
      </c>
      <c r="M15" s="18" t="inlineStr">
        <is>
          <t>SAP</t>
        </is>
      </c>
      <c r="N15" s="18" t="inlineStr">
        <is>
          <t>ข้อ 18 ชุด 1 (เฉลยข้อ จ)</t>
        </is>
      </c>
      <c r="O15" s="18" t="inlineStr">
        <is>
          <t>Mock</t>
        </is>
      </c>
      <c r="P15" s="18" t="inlineStr">
        <is>
          <t>ชุด 1</t>
        </is>
      </c>
    </row>
    <row r="16">
      <c r="A16" s="18" t="n">
        <v>19</v>
      </c>
      <c r="B16" s="18" t="inlineStr">
        <is>
          <t>หากต้องการโฆษณา simvastatin ข้อใดถูกต้อง</t>
        </is>
      </c>
      <c r="C16" s="18" t="n"/>
      <c r="D16" s="18" t="inlineStr">
        <is>
          <t>สามารถโฆษณากับผู้ประกอบโรคศิลป์ โดยไม่ต้องขออนุญาต</t>
        </is>
      </c>
      <c r="E16" s="18" t="inlineStr">
        <is>
          <t>สามารถโฆษณากับผู้ประกอบโรคศิลป์ โดยต้องขออนุญาต</t>
        </is>
      </c>
      <c r="F16" s="18" t="inlineStr">
        <is>
          <t>สามารถโฆษณากับแพทย์เฉพาะทางเท่านั้น โดยไม่ต้องขออนุญาตก่อน</t>
        </is>
      </c>
      <c r="G16" s="18" t="inlineStr">
        <is>
          <t>สามารถโฆษณากับแพทย์เฉพาะทางเท่านั้น โดยต้องขออนุญาตญาติก่อน</t>
        </is>
      </c>
      <c r="H16" s="18" t="inlineStr">
        <is>
          <t>ไม่สามารถโฆษณาได้</t>
        </is>
      </c>
      <c r="I16" s="18" t="n">
        <v>2</v>
      </c>
      <c r="J16" s="18"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(สามารถโฆษณากับแพทย์เฉพาะทางเท่านั้น โดยไม่ต้องขออนุญาตก่อน):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(สามารถโฆษณากับแพทย์เฉพาะทางเท่านั้น โดยต้องขออนุญาตญาติก่อน):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(ไม่สามารถโฆษณาได้):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18" t="n"/>
      <c r="L16" s="18" t="inlineStr">
        <is>
          <t>พ.ร.บ. ยา พ.ศ. 2510</t>
        </is>
      </c>
      <c r="M16" s="18" t="inlineStr">
        <is>
          <t>SAP</t>
        </is>
      </c>
      <c r="N16" s="18" t="inlineStr">
        <is>
          <t>ข้อ 19 ชุด 1 (เฉลยข้อ ข)</t>
        </is>
      </c>
      <c r="O16" s="18" t="inlineStr">
        <is>
          <t>Mock</t>
        </is>
      </c>
      <c r="P16" s="18" t="inlineStr">
        <is>
          <t>ชุด 1</t>
        </is>
      </c>
    </row>
    <row r="17">
      <c r="A17" s="18" t="n">
        <v>20</v>
      </c>
      <c r="B17" s="18"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18" t="n"/>
      <c r="D17" s="18" t="inlineStr">
        <is>
          <t>Cost minimization analysis</t>
        </is>
      </c>
      <c r="E17" s="18" t="inlineStr">
        <is>
          <t>Cost effectiveness analysis</t>
        </is>
      </c>
      <c r="F17" s="18" t="inlineStr">
        <is>
          <t>Cost benefits analysis</t>
        </is>
      </c>
      <c r="G17" s="18" t="inlineStr">
        <is>
          <t>Cost utility analysis</t>
        </is>
      </c>
      <c r="H17" s="18" t="inlineStr">
        <is>
          <t>Cost outcome description</t>
        </is>
      </c>
      <c r="I17" s="18" t="n">
        <v>4</v>
      </c>
      <c r="J17" s="18"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(Cost effectiveness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18" t="n"/>
      <c r="L17" s="18" t="inlineStr">
        <is>
          <t>พ.ร.บ. ยา พ.ศ. 2510</t>
        </is>
      </c>
      <c r="M17" s="18" t="inlineStr">
        <is>
          <t>SAP</t>
        </is>
      </c>
      <c r="N17" s="18" t="inlineStr">
        <is>
          <t>ข้อ 20 ชุด 1 (เฉลยข้อ ง)</t>
        </is>
      </c>
      <c r="O17" s="18" t="inlineStr">
        <is>
          <t>Mock</t>
        </is>
      </c>
      <c r="P17" s="18" t="inlineStr">
        <is>
          <t>ชุด 1</t>
        </is>
      </c>
    </row>
    <row r="18">
      <c r="A18" s="18" t="n">
        <v>21</v>
      </c>
      <c r="B18" s="18"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8" t="n"/>
      <c r="D18" s="18" t="inlineStr">
        <is>
          <t>ยานี้ผลิตในประเทศไทย ได้รับอนุญาตทะเบียนยาในปี พ.ศ.2545</t>
        </is>
      </c>
      <c r="E18" s="18" t="inlineStr">
        <is>
          <t>ยานี้ผลิตในประเทศไทย เมื่อวันที่ 8 ก.พ. 2545</t>
        </is>
      </c>
      <c r="F18" s="18" t="inlineStr">
        <is>
          <t>ยานี้ผลิตในประเทศไทยและจะหมดอายุในวันที่ 8 ก.พ. 2545</t>
        </is>
      </c>
      <c r="G18" s="18" t="inlineStr">
        <is>
          <t>ยานำเข้ามาจากต่างประเทศ ได้รับอนุญาตทะเบียนยาในปี พ.ศ.2545</t>
        </is>
      </c>
      <c r="H18" s="18" t="inlineStr">
        <is>
          <t>ยานำเข้ามาจากต่างประเทศ และผลิตเมื่อวันที่ 8 ก.พ. 2545</t>
        </is>
      </c>
      <c r="I18" s="18" t="n">
        <v>4</v>
      </c>
      <c r="J18" s="18"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(ยานี้ผลิตในประเทศไทยและจะหมดอายุในวันที่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(ยานำเข้ามาจากต่างประเทศ และผลิตเมื่อวันที่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18" t="n"/>
      <c r="L18" s="18" t="inlineStr">
        <is>
          <t>พ.ร.บ. ยา พ.ศ. 2510</t>
        </is>
      </c>
      <c r="M18" s="18" t="inlineStr">
        <is>
          <t>SAP</t>
        </is>
      </c>
      <c r="N18" s="18" t="inlineStr">
        <is>
          <t>ข้อ 21 ชุด 1 (เฉลยข้อ ง)</t>
        </is>
      </c>
      <c r="O18" s="18" t="inlineStr">
        <is>
          <t>Mock</t>
        </is>
      </c>
      <c r="P18" s="18" t="inlineStr">
        <is>
          <t>ชุด 1</t>
        </is>
      </c>
    </row>
    <row r="19">
      <c r="A19" s="18" t="n">
        <v>22</v>
      </c>
      <c r="B19" s="18" t="inlineStr">
        <is>
          <t>ยาทาครีม isotretinoin 0.05% จัดเป็นยาประเภทใดตามพ.ร.บ.ยา</t>
        </is>
      </c>
      <c r="C19" s="18" t="n"/>
      <c r="D19" s="18" t="inlineStr">
        <is>
          <t>ยาใช้ภายนอกที่ไม่ใช่ยาอันตราย</t>
        </is>
      </c>
      <c r="E19" s="18" t="inlineStr">
        <is>
          <t>ยาใช้ภายนอกและยาอันตราย</t>
        </is>
      </c>
      <c r="F19" s="18" t="inlineStr">
        <is>
          <t>ยาใช้ภายนอกและยาควบคุมพิเศษ</t>
        </is>
      </c>
      <c r="G19" s="18" t="inlineStr">
        <is>
          <t>ยาใช้เฉพาะที่และยาอันตราย</t>
        </is>
      </c>
      <c r="H19" s="18" t="inlineStr">
        <is>
          <t>ยาใช้เฉพาะที่และยาควบคุมพิเศษ</t>
        </is>
      </c>
      <c r="I19" s="18" t="n">
        <v>2</v>
      </c>
      <c r="J19" s="18"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8" t="n"/>
      <c r="L19" s="18" t="inlineStr">
        <is>
          <t>พ.ร.บ. ยา พ.ศ. 2510</t>
        </is>
      </c>
      <c r="M19" s="18" t="inlineStr">
        <is>
          <t>SAP</t>
        </is>
      </c>
      <c r="N19" s="18" t="inlineStr">
        <is>
          <t>ข้อ 22 ชุด 1 (เฉลยข้อ ข)</t>
        </is>
      </c>
      <c r="O19" s="18" t="inlineStr">
        <is>
          <t>Mock</t>
        </is>
      </c>
      <c r="P19" s="18" t="inlineStr">
        <is>
          <t>ชุด 1</t>
        </is>
      </c>
    </row>
    <row r="20">
      <c r="A20" s="18" t="n">
        <v>23</v>
      </c>
      <c r="B20" s="18" t="inlineStr">
        <is>
          <t>Baby aspirin จัดเป็นยาประเภทใด</t>
        </is>
      </c>
      <c r="C20" s="18" t="n"/>
      <c r="D20" s="18" t="inlineStr">
        <is>
          <t>ยาสามัญประจำบ้าน</t>
        </is>
      </c>
      <c r="E20" s="18" t="inlineStr">
        <is>
          <t>ยาควบคุมพิเศษ</t>
        </is>
      </c>
      <c r="F20" s="18" t="inlineStr">
        <is>
          <t>ยาอันตราย</t>
        </is>
      </c>
      <c r="G20" s="18" t="inlineStr">
        <is>
          <t>ยาเสพติดให้โทษ</t>
        </is>
      </c>
      <c r="H20" s="18" t="inlineStr">
        <is>
          <t>วัตถุออกฤทธิ์ต่อจิตประสาท</t>
        </is>
      </c>
      <c r="I20" s="18" t="n">
        <v>2</v>
      </c>
      <c r="J20" s="18"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8" t="n"/>
      <c r="L20" s="18" t="inlineStr">
        <is>
          <t>พ.ร.บ. ยา พ.ศ. 2510</t>
        </is>
      </c>
      <c r="M20" s="18" t="inlineStr">
        <is>
          <t>SAP</t>
        </is>
      </c>
      <c r="N20" s="18" t="inlineStr">
        <is>
          <t>ข้อ 23 ชุด 1 (เฉลยข้อ ข)</t>
        </is>
      </c>
      <c r="O20" s="18" t="inlineStr">
        <is>
          <t>Mock</t>
        </is>
      </c>
      <c r="P20" s="18" t="inlineStr">
        <is>
          <t>ชุด 1</t>
        </is>
      </c>
    </row>
    <row r="21">
      <c r="A21" s="18" t="n">
        <v>24</v>
      </c>
      <c r="B21" s="18"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18" t="n"/>
      <c r="D21" s="18" t="inlineStr">
        <is>
          <t>ผิดจรรยาบรรณแห่งวิชาชีพ</t>
        </is>
      </c>
      <c r="E21" s="18" t="inlineStr">
        <is>
          <t>ผิดกฎหมายยา</t>
        </is>
      </c>
      <c r="F21" s="18" t="inlineStr">
        <is>
          <t>ละเมิดสิทธิ์ของผู้ป่วย</t>
        </is>
      </c>
      <c r="G21" s="18" t="inlineStr">
        <is>
          <t>ผิดข้อบังคับสภาว่าด้วยข้อจำกัดและเงื่อนไขการปฏิบัติหน้าที่</t>
        </is>
      </c>
      <c r="H21" s="18" t="inlineStr">
        <is>
          <t>ไม่ทำตามประกาศเรื่องการเลือกสรร</t>
        </is>
      </c>
      <c r="I21" s="18" t="n">
        <v>1</v>
      </c>
      <c r="J21" s="18"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(ละเมิดสิทธิ์ของผู้ป่วย):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(ผิดข้อบังคับสภาว่าด้วยข้อจำกัดและเงื่อนไขการปฏิบัติหน้าที่):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(ไม่ทำตามประกาศเรื่องการเลือกสรร):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8" t="n"/>
      <c r="L21" s="18" t="inlineStr">
        <is>
          <t>พ.ร.บ. ยา พ.ศ. 2510</t>
        </is>
      </c>
      <c r="M21" s="18" t="inlineStr">
        <is>
          <t>SAP</t>
        </is>
      </c>
      <c r="N21" s="18" t="inlineStr">
        <is>
          <t>ข้อ 24 ชุด 1 (เฉลยข้อ ก)</t>
        </is>
      </c>
      <c r="O21" s="18" t="inlineStr">
        <is>
          <t>Mock</t>
        </is>
      </c>
      <c r="P21" s="18" t="inlineStr">
        <is>
          <t>ชุด 1</t>
        </is>
      </c>
    </row>
    <row r="22">
      <c r="A22" s="18" t="n">
        <v>25</v>
      </c>
      <c r="B22" s="18" t="inlineStr">
        <is>
          <t>ข้อใดถูกต้องเกี่ยวกับยา fluoxetine</t>
        </is>
      </c>
      <c r="C22" s="18" t="n"/>
      <c r="D22" s="18" t="inlineStr">
        <is>
          <t>จัดอยู่ในประเภทยาอันตราย เภสัชกรสามารถจ่ายได้ในร้านยา</t>
        </is>
      </c>
      <c r="E22" s="18" t="inlineStr">
        <is>
          <t>จัดอยู่ในประเภทยาควบคุมพิเศษ เภสัชกรไม่สามารถจ่ายได้</t>
        </is>
      </c>
      <c r="F22" s="18" t="inlineStr">
        <is>
          <t>จัดอยู่ในประเภทยาอันตราย จ่ายได้ในเฉพาะโรงพยาบาล</t>
        </is>
      </c>
      <c r="G22" s="18" t="inlineStr">
        <is>
          <t>จัดอยู่ในประเภทยาเสพติดให้โทษประเภท 2 ต้องทำบัญชีรายงาน อย.</t>
        </is>
      </c>
      <c r="H22" s="18" t="inlineStr">
        <is>
          <t>จัดอยู่ในประเภทยาวัตถุออกฤทธิ์ต่อจิตประสาท</t>
        </is>
      </c>
      <c r="I22" s="18" t="n">
        <v>1</v>
      </c>
      <c r="J22" s="18"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(จัดอยู่ในประเภทยาวัตถุออกฤทธิ์ต่อจิตประสาท):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8" t="n"/>
      <c r="L22" s="18" t="inlineStr">
        <is>
          <t>พ.ร.บ. ยาเสพติดให้โทษ &amp; วัตถุออกฤทธิ์</t>
        </is>
      </c>
      <c r="M22" s="18" t="inlineStr">
        <is>
          <t>SAP</t>
        </is>
      </c>
      <c r="N22" s="18" t="inlineStr">
        <is>
          <t>ข้อ 25 ชุด 1 (เฉลยข้อ ก)</t>
        </is>
      </c>
      <c r="O22" s="18" t="inlineStr">
        <is>
          <t>Mock</t>
        </is>
      </c>
      <c r="P22" s="18" t="inlineStr">
        <is>
          <t>ชุด 1</t>
        </is>
      </c>
    </row>
    <row r="23">
      <c r="A23" s="18" t="n">
        <v>26</v>
      </c>
      <c r="B23" s="18" t="inlineStr">
        <is>
          <t>ยาที่ใช้ในการรักษาโรคหืดชนิดใด ซึ่งตามกฎหมายจัดเป็นยาควบคุมพิเศษ</t>
        </is>
      </c>
      <c r="C23" s="18" t="n"/>
      <c r="D23" s="18" t="inlineStr">
        <is>
          <t>Turbutaline (2.5mg/tab)</t>
        </is>
      </c>
      <c r="E23" s="18" t="inlineStr">
        <is>
          <t>Prednisolone (5mg/tab)</t>
        </is>
      </c>
      <c r="F23" s="18" t="inlineStr">
        <is>
          <t>Inhaled fermoterol (4.5 mcg/dose)</t>
        </is>
      </c>
      <c r="G23" s="18" t="inlineStr">
        <is>
          <t>Inhaled beclomethasone</t>
        </is>
      </c>
      <c r="H23" s="18" t="inlineStr">
        <is>
          <t>Theophylline (200 mg sustained-release)</t>
        </is>
      </c>
      <c r="I23" s="18" t="n">
        <v>2</v>
      </c>
      <c r="J23" s="18"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ข้อนี้ไม่ใช่คำตอบที่ถูกต้องสำหรับภาวะ พ.ร.บ. ยา พ.ศ. 2510 เนื่องจากกลไกการออกฤทธิ์, efficacy หรือข้อบ่งใช้ไม่ตรงกับโจทย์ที่กำหนด
• ข้อ ค. (Inhaled fermoterol (4.5 mcg/dose)): ข้อนี้ไม่ใช่คำตอบที่ถูกต้องสำหรับภาวะ พ.ร.บ. ยา พ.ศ. 2510 เนื่องจากกลไกการออกฤทธิ์, efficacy หรือข้อบ่งใช้ไม่ตรงกับโจทย์ที่กำหนด
• ข้อ ง. (Inhaled beclomethasone): ข้อนี้ไม่ใช่คำตอบที่ถูกต้องสำหรับภาวะ พ.ร.บ. ยา พ.ศ. 2510 เนื่องจากกลไกการออกฤทธิ์, efficacy หรือข้อบ่งใช้ไม่ตรงกับโจทย์ที่กำหนด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8" t="n"/>
      <c r="L23" s="18" t="inlineStr">
        <is>
          <t>พ.ร.บ. ยา พ.ศ. 2510</t>
        </is>
      </c>
      <c r="M23" s="18" t="inlineStr">
        <is>
          <t>SAP</t>
        </is>
      </c>
      <c r="N23" s="18" t="inlineStr">
        <is>
          <t>ข้อ 26 ชุด 1 (เฉลยข้อ ข)</t>
        </is>
      </c>
      <c r="O23" s="18" t="inlineStr">
        <is>
          <t>Mock</t>
        </is>
      </c>
      <c r="P23" s="18" t="inlineStr">
        <is>
          <t>ชุด 1</t>
        </is>
      </c>
    </row>
    <row r="24">
      <c r="A24" s="18" t="n">
        <v>27</v>
      </c>
      <c r="B24" s="18"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18" t="n"/>
      <c r="D24" s="18" t="inlineStr">
        <is>
          <t>เนื่องจากจัดเป็นยาควบคุมพิเศษ</t>
        </is>
      </c>
      <c r="E24" s="18" t="inlineStr">
        <is>
          <t>เนื่องจากจัดเป็นยาที่ลงทะเบียนแบบมีเงื่อนไขต้องติดตามการใช้ในโรงพยาบาล</t>
        </is>
      </c>
      <c r="F24" s="18" t="inlineStr">
        <is>
          <t>เนื่องจากจัดเป็นยาเสพติดให้โทษ ประเภทที่ 2</t>
        </is>
      </c>
      <c r="G24" s="18" t="inlineStr">
        <is>
          <t>เนื่องจากจัดเป็นวัตถุออกฤทธิ์ต่อจิตประสาทประเภทที่ 2</t>
        </is>
      </c>
      <c r="H24" s="18" t="inlineStr">
        <is>
          <t>เนื่องจากจัดเป็นยาอันตราย</t>
        </is>
      </c>
      <c r="I24" s="18" t="n">
        <v>4</v>
      </c>
      <c r="J24" s="18"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ค. (เนื่องจากจัดเป็นยาเสพติดให้โทษ ประเภทที่ 2): ข้อนี้ไม่ใช่คำตอบที่ถูกต้องสำหรับภาวะ พ.ร.บ. ยา พ.ศ. 2510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8" t="n"/>
      <c r="L24" s="18" t="inlineStr">
        <is>
          <t>พ.ร.บ. ยา พ.ศ. 2510</t>
        </is>
      </c>
      <c r="M24" s="18" t="inlineStr">
        <is>
          <t>SAP</t>
        </is>
      </c>
      <c r="N24" s="18" t="inlineStr">
        <is>
          <t>ข้อ 27 ชุด 1 (เฉลยข้อ ง)</t>
        </is>
      </c>
      <c r="O24" s="18" t="inlineStr">
        <is>
          <t>Mock</t>
        </is>
      </c>
      <c r="P24" s="18" t="inlineStr">
        <is>
          <t>ชุด 1</t>
        </is>
      </c>
    </row>
    <row r="25">
      <c r="A25" s="18" t="n">
        <v>28</v>
      </c>
      <c r="B25" s="18"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18" t="n"/>
      <c r="D25" s="18" t="inlineStr">
        <is>
          <t>ยาแก้ไอ้น้ำดำ องค์การเภสัช ขนาด 60 ml</t>
        </is>
      </c>
      <c r="E25" s="18" t="inlineStr">
        <is>
          <t>ยาแก้ไอ้น้ำดำ องค์การเภสัช ขนาด 120 ml</t>
        </is>
      </c>
      <c r="F25" s="18" t="inlineStr">
        <is>
          <t>Cofeed (Diphenhydramine and ammonium chloride)</t>
        </is>
      </c>
      <c r="G25" s="18" t="inlineStr">
        <is>
          <t>Terco-D (Dextromethorphan and terpin hydrate)</t>
        </is>
      </c>
      <c r="H25" s="18" t="inlineStr">
        <is>
          <t>Godipect (Codeine phosphate and glycerylguaicolate)</t>
        </is>
      </c>
      <c r="I25" s="18" t="n">
        <v>1</v>
      </c>
      <c r="J25" s="18"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ข้อนี้ไม่ใช่คำตอบที่ถูกต้องสำหรับภาวะ พ.ร.บ. ยา พ.ศ. 2510 เนื่องจากกลไกการออกฤทธิ์, efficacy หรือข้อบ่งใช้ไม่ตรงกับโจทย์ที่กำหนด
• ข้อ ค. (Cofeed (Diphenhydramine and ammonium chloride)): ข้อนี้ไม่ใช่คำตอบที่ถูกต้องสำหรับภาวะ พ.ร.บ. ยา พ.ศ. 2510 เนื่องจากกลไกการออกฤทธิ์, efficacy หรือข้อบ่งใช้ไม่ตรงกับโจทย์ที่กำหนด
• ข้อ ง. (Terco-D (Dextromethorphan and terpin hydrate)): ข้อนี้ไม่ใช่คำตอบที่ถูกต้องสำหรับภาวะ พ.ร.บ. ยา พ.ศ. 2510 เนื่องจากกลไกการออกฤทธิ์, efficacy หรือข้อบ่งใช้ไม่ตรงกับโจทย์ที่กำหนด
• ข้อ จ. (Godipect (Codeine phosphate and glycerylguaicolate)):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8" t="n"/>
      <c r="L25" s="18" t="inlineStr">
        <is>
          <t>พ.ร.บ. ยา พ.ศ. 2510</t>
        </is>
      </c>
      <c r="M25" s="18" t="inlineStr">
        <is>
          <t>SAP</t>
        </is>
      </c>
      <c r="N25" s="18" t="inlineStr">
        <is>
          <t>ข้อ 28 ชุด 1 (เฉลยข้อ ก ค ง)</t>
        </is>
      </c>
      <c r="O25" s="18" t="inlineStr">
        <is>
          <t>Mock</t>
        </is>
      </c>
      <c r="P25" s="18" t="inlineStr">
        <is>
          <t>ชุด 1</t>
        </is>
      </c>
    </row>
    <row r="26">
      <c r="A26" s="18" t="n">
        <v>29</v>
      </c>
      <c r="B26" s="18" t="inlineStr">
        <is>
          <t>ตาม พ.ร.บ.ยา พ.ศ. 2510 ยารับประทานคุมกำเนิดอยู่ในข้อใด
ยารับประทานคุมกำเนิดอยู่ในข้อใด</t>
        </is>
      </c>
      <c r="C26" s="18" t="n"/>
      <c r="D26" s="18" t="inlineStr">
        <is>
          <t>ยาที่จ่ายตามใบสั่งแพทย์เท่านั้น</t>
        </is>
      </c>
      <c r="E26" s="18" t="inlineStr">
        <is>
          <t>ยาที่จ่ายได้โดยเภสัชกร</t>
        </is>
      </c>
      <c r="F26" s="18" t="inlineStr">
        <is>
          <t>ยาที่จ่ายได้ในร้านยาแผนปัจจุบันบรรจุเสร็จ</t>
        </is>
      </c>
      <c r="G26" s="18" t="inlineStr">
        <is>
          <t>ยาประเภท over the counter (OTC)</t>
        </is>
      </c>
      <c r="H26" s="18" t="inlineStr">
        <is>
          <t>ยาควบคุมพิเศษ</t>
        </is>
      </c>
      <c r="I26" s="18" t="n">
        <v>2</v>
      </c>
      <c r="J26" s="18"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(ยาที่จ่ายได้ในร้านยาแผนปัจจุบันบรรจุเสร็จ):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(ยาประเภท over the counter (OTC)):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8" t="n"/>
      <c r="L26" s="18" t="inlineStr">
        <is>
          <t>พ.ร.บ. ยา พ.ศ. 2510</t>
        </is>
      </c>
      <c r="M26" s="18" t="inlineStr">
        <is>
          <t>SAP</t>
        </is>
      </c>
      <c r="N26" s="18" t="inlineStr">
        <is>
          <t>ข้อ 29 ชุด 1 (เฉลยข้อ ข ค)</t>
        </is>
      </c>
      <c r="O26" s="18" t="inlineStr">
        <is>
          <t>Mock</t>
        </is>
      </c>
      <c r="P26" s="18" t="inlineStr">
        <is>
          <t>ชุด 1</t>
        </is>
      </c>
    </row>
    <row r="27">
      <c r="A27" s="18" t="n">
        <v>32</v>
      </c>
      <c r="B27" s="18"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18" t="n"/>
      <c r="D27" s="18" t="inlineStr">
        <is>
          <t>ชื่อยา</t>
        </is>
      </c>
      <c r="E27" s="18" t="inlineStr">
        <is>
          <t>สารออกฤทธิ์</t>
        </is>
      </c>
      <c r="F27" s="18" t="inlineStr">
        <is>
          <t>ที่ตั้งสถานที่ผลิตยา</t>
        </is>
      </c>
      <c r="G27" s="18" t="inlineStr">
        <is>
          <t>วันเดือนปีที่ยาสิ้นอายุ</t>
        </is>
      </c>
      <c r="H27" s="18" t="inlineStr">
        <is>
          <t>เลขที่ทะเบียนโฆษณายา</t>
        </is>
      </c>
      <c r="I27" s="18" t="n">
        <v>5</v>
      </c>
      <c r="J27" s="18"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(สารออกฤทธิ์): ข้อนี้ไม่ใช่คำตอบที่ถูกต้องสำหรับภาวะ พ.ร.บ. ยา พ.ศ. 2510 เนื่องจากกลไกการออกฤทธิ์, efficacy หรือข้อบ่งใช้ไม่ตรงกับโจทย์ที่กำหนด
• ข้อ ค. (ที่ตั้งสถานที่ผลิตยา):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(วันเดือนปีที่ยาสิ้นอายุ):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8" t="n"/>
      <c r="L27" s="18" t="inlineStr">
        <is>
          <t>พ.ร.บ. ยา พ.ศ. 2510</t>
        </is>
      </c>
      <c r="M27" s="18" t="inlineStr">
        <is>
          <t>SAP</t>
        </is>
      </c>
      <c r="N27" s="18" t="inlineStr">
        <is>
          <t>ข้อ 32 ชุด 1 (เฉลยข้อ จ)</t>
        </is>
      </c>
      <c r="O27" s="18" t="inlineStr">
        <is>
          <t>Mock</t>
        </is>
      </c>
      <c r="P27" s="18" t="inlineStr">
        <is>
          <t>ชุด 1</t>
        </is>
      </c>
    </row>
    <row r="28">
      <c r="A28" s="18" t="n">
        <v>33</v>
      </c>
      <c r="B28" s="18"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18" t="n"/>
      <c r="D28" s="18" t="inlineStr">
        <is>
          <t>ยาปลอม</t>
        </is>
      </c>
      <c r="E28" s="18" t="inlineStr">
        <is>
          <t>ยาแปรสภาพ</t>
        </is>
      </c>
      <c r="F28" s="18" t="inlineStr">
        <is>
          <t>ยาผิดมาตรฐาน</t>
        </is>
      </c>
      <c r="G28" s="18" t="inlineStr">
        <is>
          <t>ยาเสื่อมคุณภาพ</t>
        </is>
      </c>
      <c r="H28" s="18" t="inlineStr">
        <is>
          <t>ยาเทียม</t>
        </is>
      </c>
      <c r="I28" s="18" t="n">
        <v>3</v>
      </c>
      <c r="J28" s="18"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(ยาแปรสภาพ):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(ยาเทียม):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8" t="n"/>
      <c r="L28" s="18" t="inlineStr">
        <is>
          <t>พ.ร.บ. ยา พ.ศ. 2510</t>
        </is>
      </c>
      <c r="M28" s="18" t="inlineStr">
        <is>
          <t>SAP</t>
        </is>
      </c>
      <c r="N28" s="18" t="inlineStr">
        <is>
          <t>ข้อ 33 ชุด 1 (เฉลยข้อ ค)</t>
        </is>
      </c>
      <c r="O28" s="18" t="inlineStr">
        <is>
          <t>Mock</t>
        </is>
      </c>
      <c r="P28" s="18" t="inlineStr">
        <is>
          <t>ชุด 1</t>
        </is>
      </c>
    </row>
    <row r="29">
      <c r="A29" s="18" t="n">
        <v>34</v>
      </c>
      <c r="B29" s="18" t="inlineStr">
        <is>
          <t>หากเภสัชกรยังไม่ได้เป็นผู้ประกอบวิชาชีพเภสัชกรรม ข้อใดกล่าวถูกต้อง</t>
        </is>
      </c>
      <c r="C29" s="18" t="n"/>
      <c r="D29" s="18" t="inlineStr">
        <is>
          <t>เขาจะไม่สามารถพัฒนาตำรับ triamcinolone lotion นี้ขึ้นมาได้</t>
        </is>
      </c>
      <c r="E29" s="18" t="inlineStr">
        <is>
          <t>เขาจะไม่สามารถเป็นเจ้าของโรงงานผลิต triamcinolone lotion นี้ขึ้นมาได้</t>
        </is>
      </c>
      <c r="F29" s="18" t="inlineStr">
        <is>
          <t>เขาจะไม่สามารถระบุชื่อว่าเป็นผู้พัฒนา triamcinolone lotion ตำรับได้</t>
        </is>
      </c>
      <c r="G29" s="18" t="inlineStr">
        <is>
          <t>เขาจะไม่สามารถทำหน้าที่เป็นเภสัชกรควบคุมการผลิต triamcinolone lotion นี้ขึ้นมาได้</t>
        </is>
      </c>
      <c r="H29" s="18" t="inlineStr">
        <is>
          <t>เขาจะไม่สามารถทำหน้าที่เป็นผู้เดินเรื่องขึ้นทะเบียนตำรับนี้</t>
        </is>
      </c>
      <c r="I29" s="18" t="n">
        <v>4</v>
      </c>
      <c r="J29" s="18"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(เขาจะไม่สามารถเป็นเจ้าของโรงงานผลิต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(เขาจะไม่สามารถระบุชื่อว่าเป็นผู้พัฒนา triamcinolone lotion ตำรับได้): ข้อนี้ไม่ใช่คำตอบที่ถูกต้องสำหรับภาวะ พ.ร.บ. ยา พ.ศ. 2510 เนื่องจากกลไกการออกฤทธิ์, efficacy หรือข้อบ่งใช้ไม่ตรงกับโจทย์ที่กำหนด
• ข้อ จ. (เขาจะไม่สามารถทำหน้าที่เป็นผู้เดินเรื่องขึ้นทะเบียนตำรับนี้):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8" t="n"/>
      <c r="L29" s="18" t="inlineStr">
        <is>
          <t>พ.ร.บ. ยา พ.ศ. 2510</t>
        </is>
      </c>
      <c r="M29" s="18" t="inlineStr">
        <is>
          <t>SAP</t>
        </is>
      </c>
      <c r="N29" s="18" t="inlineStr">
        <is>
          <t>ข้อ 34 ชุด 1 (เฉลยข้อ ง)</t>
        </is>
      </c>
      <c r="O29" s="18" t="inlineStr">
        <is>
          <t>Mock</t>
        </is>
      </c>
      <c r="P29" s="18" t="inlineStr">
        <is>
          <t>ชุด 1</t>
        </is>
      </c>
    </row>
    <row r="30">
      <c r="A30" s="18" t="n">
        <v>35</v>
      </c>
      <c r="B30" s="18" t="inlineStr">
        <is>
          <t>เจ้าของโรงงานผลิต triamcinolone cream 0.1% จำหน่ายในขนาดบรรจุ 15 g จัดเป็นยาพวกใด</t>
        </is>
      </c>
      <c r="C30" s="18" t="n"/>
      <c r="D30" s="18" t="inlineStr">
        <is>
          <t>ยาอันตราย</t>
        </is>
      </c>
      <c r="E30" s="18" t="inlineStr">
        <is>
          <t>ยาควบคุมพิเศษ</t>
        </is>
      </c>
      <c r="F30" s="18" t="inlineStr">
        <is>
          <t>ยาสามัญประจำบ้าน</t>
        </is>
      </c>
      <c r="G30" s="18" t="inlineStr">
        <is>
          <t>ยาแผนปัจจุบันบรรจุเสร็จ</t>
        </is>
      </c>
      <c r="H30" s="18" t="inlineStr">
        <is>
          <t>ยาใช้ภายนอกที่ไม่ใช่ยาอันตราย</t>
        </is>
      </c>
      <c r="I30" s="18" t="n">
        <v>1</v>
      </c>
      <c r="J30" s="1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8" t="n"/>
      <c r="L30" s="18" t="inlineStr">
        <is>
          <t>พ.ร.บ. ยา พ.ศ. 2510</t>
        </is>
      </c>
      <c r="M30" s="18" t="inlineStr">
        <is>
          <t>SAP</t>
        </is>
      </c>
      <c r="N30" s="18" t="inlineStr">
        <is>
          <t>ข้อ 35 ชุด 1 (เฉลยข้อ ก)</t>
        </is>
      </c>
      <c r="O30" s="18" t="inlineStr">
        <is>
          <t>Mock</t>
        </is>
      </c>
      <c r="P30" s="18" t="inlineStr">
        <is>
          <t>ชุด 1</t>
        </is>
      </c>
    </row>
    <row r="31">
      <c r="A31" s="18" t="n">
        <v>36</v>
      </c>
      <c r="B31" s="18" t="inlineStr">
        <is>
          <t>ยาตาข้อใดต่อไปนี้ เป็นยาสามัญประจำบ้าน</t>
        </is>
      </c>
      <c r="C31" s="18" t="n"/>
      <c r="D31" s="18" t="inlineStr">
        <is>
          <t>Diclofenac ED</t>
        </is>
      </c>
      <c r="E31" s="18" t="inlineStr">
        <is>
          <t>Chloramphenicol eye ointment</t>
        </is>
      </c>
      <c r="F31" s="18" t="inlineStr">
        <is>
          <t>Timolol ED</t>
        </is>
      </c>
      <c r="G31" s="18" t="inlineStr">
        <is>
          <t>Dexamethasone ED</t>
        </is>
      </c>
      <c r="H31" s="18" t="inlineStr">
        <is>
          <t>Tetracycline eye ointment</t>
        </is>
      </c>
      <c r="I31" s="18" t="n">
        <v>1</v>
      </c>
      <c r="J31" s="18"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ค. (Timolol ED): ข้อนี้ไม่ใช่คำตอบที่ถูกต้องสำหรับภาวะ พ.ร.บ. ยา พ.ศ. 2510 เนื่องจากกลไกการออกฤทธิ์, efficacy หรือข้อบ่งใช้ไม่ตรงกับโจทย์ที่กำหนด
• ข้อ ง. (Dexamethasone ED): เป็น long-acting potent glucocorticoid ไม่มี mineralocorticoid effect จึงไม่ทำให้น้ำคั่ง เหมาะสำหรับ brain edema, antiemetic, และ COVID-19 with hypoxemia
• ข้อ จ. (Tetracycline eye ointment):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8" t="n"/>
      <c r="L31" s="18" t="inlineStr">
        <is>
          <t>พ.ร.บ. ยา พ.ศ. 2510</t>
        </is>
      </c>
      <c r="M31" s="18" t="inlineStr">
        <is>
          <t>SAP</t>
        </is>
      </c>
      <c r="N31" s="18" t="inlineStr">
        <is>
          <t>ข้อ 36 ชุด 1 (เฉลยข้อ ไมมีคำตอบ)</t>
        </is>
      </c>
      <c r="O31" s="18" t="inlineStr">
        <is>
          <t>Mock</t>
        </is>
      </c>
      <c r="P31" s="18" t="inlineStr">
        <is>
          <t>ชุด 1</t>
        </is>
      </c>
    </row>
    <row r="32">
      <c r="A32" s="18" t="n">
        <v>37</v>
      </c>
      <c r="B32" s="18"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8" t="n"/>
      <c r="D32" s="18" t="inlineStr">
        <is>
          <t>ยาปลอม</t>
        </is>
      </c>
      <c r="E32" s="18" t="inlineStr">
        <is>
          <t>ยาสิ้นอายุ</t>
        </is>
      </c>
      <c r="F32" s="18" t="inlineStr">
        <is>
          <t>ยาเสื่อมคุณภาพ</t>
        </is>
      </c>
      <c r="G32" s="18" t="inlineStr">
        <is>
          <t>ยาผิดมาตรฐาน</t>
        </is>
      </c>
      <c r="H32" s="18" t="inlineStr">
        <is>
          <t>ยาต่ำกว่ามาตรฐาน</t>
        </is>
      </c>
      <c r="I32" s="18" t="n">
        <v>1</v>
      </c>
      <c r="J32" s="1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(ยาต่ำกว่ามาตรฐาน):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8" t="n"/>
      <c r="L32" s="18" t="inlineStr">
        <is>
          <t>พ.ร.บ. ยา พ.ศ. 2510</t>
        </is>
      </c>
      <c r="M32" s="18" t="inlineStr">
        <is>
          <t>SAP</t>
        </is>
      </c>
      <c r="N32" s="18" t="inlineStr">
        <is>
          <t>ข้อ 37 ชุด 1 (เฉลยข้อ ก)</t>
        </is>
      </c>
      <c r="O32" s="18" t="inlineStr">
        <is>
          <t>Mock</t>
        </is>
      </c>
      <c r="P32" s="18" t="inlineStr">
        <is>
          <t>ชุด 1</t>
        </is>
      </c>
    </row>
    <row r="33">
      <c r="A33" s="18" t="n">
        <v>38</v>
      </c>
      <c r="B33" s="18" t="inlineStr">
        <is>
          <t>ยาในข้อใดที่เภสัชกรสามารถจ่ายได้เมื่อได้รับใบสั่งยาจากแพทย์เท่านั้น</t>
        </is>
      </c>
      <c r="C33" s="18" t="n"/>
      <c r="D33" s="18" t="inlineStr">
        <is>
          <t>Celecoxib</t>
        </is>
      </c>
      <c r="E33" s="18" t="inlineStr">
        <is>
          <t>Tramadol</t>
        </is>
      </c>
      <c r="F33" s="18" t="inlineStr">
        <is>
          <t>Meloxicam</t>
        </is>
      </c>
      <c r="G33" s="18" t="inlineStr">
        <is>
          <t>Prednisolone</t>
        </is>
      </c>
      <c r="H33" s="18" t="inlineStr">
        <is>
          <t>Indomethacin</t>
        </is>
      </c>
      <c r="I33" s="18" t="n">
        <v>4</v>
      </c>
      <c r="J33" s="18"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8" t="n"/>
      <c r="L33" s="18" t="inlineStr">
        <is>
          <t>พ.ร.บ. ยา พ.ศ. 2510</t>
        </is>
      </c>
      <c r="M33" s="18" t="inlineStr">
        <is>
          <t>SAP</t>
        </is>
      </c>
      <c r="N33" s="18" t="inlineStr">
        <is>
          <t>ข้อ 38 ชุด 1 (เฉลยข้อ ง)</t>
        </is>
      </c>
      <c r="O33" s="18" t="inlineStr">
        <is>
          <t>Mock</t>
        </is>
      </c>
      <c r="P33" s="18" t="inlineStr">
        <is>
          <t>ชุด 1</t>
        </is>
      </c>
    </row>
    <row r="34">
      <c r="A34" s="18" t="n">
        <v>39</v>
      </c>
      <c r="B34" s="18" t="inlineStr">
        <is>
          <t>ถ้าเภสัชกรจ่ายยาในข้อ 38 โดยไม่มีใบสั่งแพทย์จะมีความผิดในข้อใด</t>
        </is>
      </c>
      <c r="C34" s="18" t="n"/>
      <c r="D34" s="18" t="inlineStr">
        <is>
          <t>จ่ายยาควบคุมพิเศษโดยไม่มีใบสั่งยา</t>
        </is>
      </c>
      <c r="E34" s="18" t="inlineStr">
        <is>
          <t>จ่ายยาอันตรายโดยไม่มีใบสั่งยา</t>
        </is>
      </c>
      <c r="F34" s="18" t="inlineStr">
        <is>
          <t>จ่ายยาประเภทวัตถุออกฤทธิ์ต่อจิตประสาทโดยไม่มีใบสั่งยา</t>
        </is>
      </c>
      <c r="G34" s="18" t="inlineStr">
        <is>
          <t>จ่ายยาประเภทยาเสพติดให้โทษประเภท 2 โดยไม่มีใบสั่งยา</t>
        </is>
      </c>
      <c r="H34" s="18" t="inlineStr">
        <is>
          <t>จ่ายยาประเภทยาเสพติดให้โทษประเภท 3 โดยไม่มีใบสั่งยา</t>
        </is>
      </c>
      <c r="I34" s="18" t="n">
        <v>1</v>
      </c>
      <c r="J34" s="18"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(จ่ายยาประเภทยาเสพติดให้โทษประเภท 2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(จ่ายยาประเภทยาเสพติดให้โทษประเภท 3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8" t="n"/>
      <c r="L34" s="18" t="inlineStr">
        <is>
          <t>พ.ร.บ. ยาเสพติดให้โทษ &amp; วัตถุออกฤทธิ์</t>
        </is>
      </c>
      <c r="M34" s="18" t="inlineStr">
        <is>
          <t>SAP</t>
        </is>
      </c>
      <c r="N34" s="18" t="inlineStr">
        <is>
          <t>ข้อ 39 ชุด 1 (เฉลยข้อ ก)</t>
        </is>
      </c>
      <c r="O34" s="18" t="inlineStr">
        <is>
          <t>Mock</t>
        </is>
      </c>
      <c r="P34" s="18" t="inlineStr">
        <is>
          <t>ชุด 1</t>
        </is>
      </c>
    </row>
    <row r="35">
      <c r="A35" s="18" t="n">
        <v>46</v>
      </c>
      <c r="B35" s="18" t="inlineStr">
        <is>
          <t>ผงน้ำตาลเกลือแร่จัดเป็นยาประเภทใด</t>
        </is>
      </c>
      <c r="C35" s="18" t="n"/>
      <c r="D35" s="18" t="inlineStr">
        <is>
          <t>ยาบรรจุเสร็จที่ไม่ใช่ยาอันตราย</t>
        </is>
      </c>
      <c r="E35" s="18" t="inlineStr">
        <is>
          <t>ยาสามัญประจำบ้าน</t>
        </is>
      </c>
      <c r="F35" s="18" t="inlineStr">
        <is>
          <t>ยาอันตราย</t>
        </is>
      </c>
      <c r="G35" s="18" t="inlineStr">
        <is>
          <t>ยาควบคุมพิเศษ</t>
        </is>
      </c>
      <c r="H35" s="18" t="inlineStr">
        <is>
          <t>ยาแผนโบราณ</t>
        </is>
      </c>
      <c r="I35" s="18" t="n">
        <v>2</v>
      </c>
      <c r="J35" s="18"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8" t="n"/>
      <c r="L35" s="18" t="inlineStr">
        <is>
          <t>พ.ร.บ. ยา พ.ศ. 2510</t>
        </is>
      </c>
      <c r="M35" s="18" t="inlineStr">
        <is>
          <t>SAP</t>
        </is>
      </c>
      <c r="N35" s="18" t="inlineStr">
        <is>
          <t>ข้อ 46 ชุด 1 (เฉลยข้อ ข)</t>
        </is>
      </c>
      <c r="O35" s="18" t="inlineStr">
        <is>
          <t>Mock</t>
        </is>
      </c>
      <c r="P35" s="18" t="inlineStr">
        <is>
          <t>ชุด 1</t>
        </is>
      </c>
    </row>
    <row r="36">
      <c r="A36" s="18" t="n">
        <v>47</v>
      </c>
      <c r="B36" s="18" t="inlineStr">
        <is>
          <t>ตารางแสดงการเกิด MI ในผู้ป่วยที่ใช้ยา atorvastatin และ simvastatin
ข้อใดถูก</t>
        </is>
      </c>
      <c r="C36" s="18" t="n"/>
      <c r="D36" s="18" t="inlineStr">
        <is>
          <t>เป็นประชากรที่เกิด MI ทั้งเก่าและใหม่</t>
        </is>
      </c>
      <c r="E36" s="18" t="inlineStr">
        <is>
          <t>Atorvastatin เกิด MI ต่ำกว่า simvastatin</t>
        </is>
      </c>
      <c r="F36" s="18" t="inlineStr">
        <is>
          <t>Simvastatin ลดการเกิด MI ก่อนถึง 100 ปี</t>
        </is>
      </c>
      <c r="G36" s="18" t="inlineStr">
        <is>
          <t>Simvastatin เกิด MI ต่ำกว่า atorvastatin</t>
        </is>
      </c>
      <c r="H36" s="18" t="inlineStr">
        <is>
          <t>ไม่มีข้อใดถูก</t>
        </is>
      </c>
      <c r="I36" s="18" t="n">
        <v>2</v>
      </c>
      <c r="J36" s="18"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ข้อนี้ไม่ใช่คำตอบที่ถูกต้องสำหรับภาวะ พ.ร.บ. ยา พ.ศ. 2510 เนื่องจากกลไกการออกฤทธิ์, efficacy หรือข้อบ่งใช้ไม่ตรงกับโจทย์ที่กำหนด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8" t="n"/>
      <c r="L36" s="18" t="inlineStr">
        <is>
          <t>พ.ร.บ. ยา พ.ศ. 2510</t>
        </is>
      </c>
      <c r="M36" s="18" t="inlineStr">
        <is>
          <t>SAP</t>
        </is>
      </c>
      <c r="N36" s="18" t="inlineStr">
        <is>
          <t>ข้อ 47 ชุด 1 (เฉลยข้อ ข)</t>
        </is>
      </c>
      <c r="O36" s="18" t="inlineStr">
        <is>
          <t>Mock</t>
        </is>
      </c>
      <c r="P36" s="18" t="inlineStr">
        <is>
          <t>ชุด 1</t>
        </is>
      </c>
    </row>
    <row r="37">
      <c r="A37" s="18" t="n">
        <v>48</v>
      </c>
      <c r="B37" s="18"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18" t="n"/>
      <c r="D37" s="18" t="inlineStr">
        <is>
          <t>ลิขสิทธิ์</t>
        </is>
      </c>
      <c r="E37" s="18" t="inlineStr">
        <is>
          <t>เครื่องหมายการค้า</t>
        </is>
      </c>
      <c r="F37" s="18" t="inlineStr">
        <is>
          <t>สิทธิบัตร</t>
        </is>
      </c>
      <c r="G37" s="18" t="inlineStr">
        <is>
          <t>ความลับทางการค้า</t>
        </is>
      </c>
      <c r="H37" s="18" t="inlineStr">
        <is>
          <t>สิทธิเหนือสิทธิบัตร</t>
        </is>
      </c>
      <c r="I37" s="18" t="n">
        <v>3</v>
      </c>
      <c r="J37" s="18"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ข้อนี้ไม่ใช่คำตอบที่ถูกต้องสำหรับภาวะ พ.ร.บ. ยา พ.ศ. 2510 เนื่องจากกลไกการออกฤทธิ์, efficacy หรือข้อบ่งใช้ไม่ตรงกับโจทย์ที่กำหนด
• ข้อ ข. (เครื่องหมายการค้า):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ง. (ความลับทางการค้า):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(สิทธิเหนือสิทธิบัตร):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8" t="n"/>
      <c r="L37" s="18" t="inlineStr">
        <is>
          <t>พ.ร.บ. ยา พ.ศ. 2510</t>
        </is>
      </c>
      <c r="M37" s="18" t="inlineStr">
        <is>
          <t>SAP</t>
        </is>
      </c>
      <c r="N37" s="18" t="inlineStr">
        <is>
          <t>ข้อ 48 ชุด 1 (เฉลยข้อ ค)</t>
        </is>
      </c>
      <c r="O37" s="18" t="inlineStr">
        <is>
          <t>Mock</t>
        </is>
      </c>
      <c r="P37" s="18" t="inlineStr">
        <is>
          <t>ชุด 1</t>
        </is>
      </c>
    </row>
    <row r="38">
      <c r="A38" s="18" t="n">
        <v>49</v>
      </c>
      <c r="B38" s="18" t="inlineStr">
        <is>
          <t>ข้อใดคือยาผิดมาตรฐาน</t>
        </is>
      </c>
      <c r="C38" s="18" t="n"/>
      <c r="D38" s="18" t="inlineStr">
        <is>
          <t>ผสม cotrimazole ร่วมกับ terbinafine เพื่อลดต้นทุน</t>
        </is>
      </c>
      <c r="E38" s="18" t="inlineStr">
        <is>
          <t>ในฉลากระบุวันหมดอายุ คือ มกราคม 2009 แต่ความจริงหมดอายุเมื่อ มกราคม 2019</t>
        </is>
      </c>
      <c r="F38" s="18" t="inlineStr">
        <is>
          <t>ยามี %LA = 87%</t>
        </is>
      </c>
      <c r="G38" s="18" t="inlineStr">
        <is>
          <t>ยาหมดอายุตามที่ระบุไว้ในฉลาก</t>
        </is>
      </c>
      <c r="H38" s="18" t="inlineStr">
        <is>
          <t>แจ้งที่อยู่ในการผลิต ไม่ตรงกับที่ขึ้นทะเบียนยา</t>
        </is>
      </c>
      <c r="I38" s="18" t="n">
        <v>3</v>
      </c>
      <c r="J38" s="18"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8" t="n"/>
      <c r="L38" s="18" t="inlineStr">
        <is>
          <t>พ.ร.บ. ยา พ.ศ. 2510</t>
        </is>
      </c>
      <c r="M38" s="18" t="inlineStr">
        <is>
          <t>SAP</t>
        </is>
      </c>
      <c r="N38" s="18" t="inlineStr">
        <is>
          <t>ข้อ 49 ชุด 1 (เฉลยข้อ ค)</t>
        </is>
      </c>
      <c r="O38" s="18" t="inlineStr">
        <is>
          <t>Mock</t>
        </is>
      </c>
      <c r="P38" s="18" t="inlineStr">
        <is>
          <t>ชุด 1</t>
        </is>
      </c>
    </row>
    <row r="39">
      <c r="A39" s="18" t="n">
        <v>50</v>
      </c>
      <c r="B39" s="18" t="inlineStr">
        <is>
          <t>Norfloxacin จัดอยู่ในบัญชียาหลักแห่งชาติบัญชีอะไร</t>
        </is>
      </c>
      <c r="C39" s="18" t="n"/>
      <c r="D39" s="18" t="inlineStr">
        <is>
          <t>บัญชี ก</t>
        </is>
      </c>
      <c r="E39" s="18" t="inlineStr">
        <is>
          <t>บัญชี ข</t>
        </is>
      </c>
      <c r="F39" s="18" t="inlineStr">
        <is>
          <t>บัญชี ค</t>
        </is>
      </c>
      <c r="G39" s="18" t="inlineStr">
        <is>
          <t>บัญชี ง</t>
        </is>
      </c>
      <c r="H39" s="18" t="inlineStr">
        <is>
          <t>บัญชี จ</t>
        </is>
      </c>
      <c r="I39" s="18" t="n">
        <v>1</v>
      </c>
      <c r="J39" s="18"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 ค):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 ง):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 จ):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8" t="n"/>
      <c r="L39" s="18" t="inlineStr">
        <is>
          <t>พ.ร.บ. ยา พ.ศ. 2510</t>
        </is>
      </c>
      <c r="M39" s="18" t="inlineStr">
        <is>
          <t>SAP</t>
        </is>
      </c>
      <c r="N39" s="18" t="inlineStr">
        <is>
          <t>ข้อ 50 ชุด 1 (เฉลยข้อ ก)</t>
        </is>
      </c>
      <c r="O39" s="18" t="inlineStr">
        <is>
          <t>Mock</t>
        </is>
      </c>
      <c r="P39" s="18" t="inlineStr">
        <is>
          <t>ชุด 1</t>
        </is>
      </c>
    </row>
    <row r="40">
      <c r="A40" s="18" t="n">
        <v>51</v>
      </c>
      <c r="B40" s="18" t="inlineStr">
        <is>
          <t>บัญชียา ก หมายถึง</t>
        </is>
      </c>
      <c r="C40" s="18" t="n"/>
      <c r="D40" s="18" t="inlineStr">
        <is>
          <t>รายการยาที่ต้องใช้โดยผู้เชี่ยวชาญ</t>
        </is>
      </c>
      <c r="E40" s="18" t="inlineStr">
        <is>
          <t>รายการยาที่จำเป็นต้องใช้ในสถานพยาบาลบางระดับ</t>
        </is>
      </c>
      <c r="F40" s="18" t="inlineStr">
        <is>
          <t>รายการยาสำหรับใช้เฉพาะโครงการพิเศษของกระทรวง</t>
        </is>
      </c>
      <c r="G40" s="18" t="inlineStr">
        <is>
          <t>รายการยาที่มีความจำเป็นสำหรับสถานพยาบาลทุกระดับ</t>
        </is>
      </c>
      <c r="H40" s="18"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18" t="n">
        <v>4</v>
      </c>
      <c r="J40" s="18"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8" t="n"/>
      <c r="L40" s="18" t="inlineStr">
        <is>
          <t>พ.ร.บ. ยา พ.ศ. 2510</t>
        </is>
      </c>
      <c r="M40" s="18" t="inlineStr">
        <is>
          <t>SAP</t>
        </is>
      </c>
      <c r="N40" s="18" t="inlineStr">
        <is>
          <t>ข้อ 51 ชุด 1 (เฉลยข้อ ง)</t>
        </is>
      </c>
      <c r="O40" s="18" t="inlineStr">
        <is>
          <t>Mock</t>
        </is>
      </c>
      <c r="P40" s="18" t="inlineStr">
        <is>
          <t>ชุด 1</t>
        </is>
      </c>
    </row>
    <row r="41">
      <c r="A41" s="18" t="n">
        <v>53</v>
      </c>
      <c r="B41" s="18"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18" t="n"/>
      <c r="D41" s="18" t="inlineStr">
        <is>
          <t>ได้ เนื่องจากได้รับอนุญาตขายยาแผนปัจจุบัน</t>
        </is>
      </c>
      <c r="E41" s="18" t="inlineStr">
        <is>
          <t>ได้ เนื่องจากเป็นยาบรรจุเสร็จที่ไม่ใช่ยาอันตรายหรือยาควบคุมพิเศษ</t>
        </is>
      </c>
      <c r="F41" s="18" t="inlineStr">
        <is>
          <t>ได้ เนื่องจากมีเภสัชกรประจำอยู่ตลอดเวลา</t>
        </is>
      </c>
      <c r="G41" s="18" t="inlineStr">
        <is>
          <t>ไม่ได้ เนื่องจากขายเฉพาะในสถานที่ที่ได้รับอนุญาตเท่านั้น</t>
        </is>
      </c>
      <c r="H41" s="18" t="inlineStr">
        <is>
          <t>ไม่ได้ เพราะไม่เห็นหน้าผู้ป่วย</t>
        </is>
      </c>
      <c r="I41" s="18" t="n">
        <v>4</v>
      </c>
      <c r="J41" s="18"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เพราะไม่เห็นหน้าผู้ป่วย):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8" t="n"/>
      <c r="L41" s="18" t="inlineStr">
        <is>
          <t>พ.ร.บ. ยา พ.ศ. 2510</t>
        </is>
      </c>
      <c r="M41" s="18" t="inlineStr">
        <is>
          <t>SAP</t>
        </is>
      </c>
      <c r="N41" s="18" t="inlineStr">
        <is>
          <t>ข้อ 53 ชุด 1 (เฉลยข้อ ง)</t>
        </is>
      </c>
      <c r="O41" s="18" t="inlineStr">
        <is>
          <t>Mock</t>
        </is>
      </c>
      <c r="P41" s="18" t="inlineStr">
        <is>
          <t>ชุด 1</t>
        </is>
      </c>
    </row>
    <row r="42">
      <c r="A42" s="18" t="n">
        <v>54</v>
      </c>
      <c r="B42" s="18" t="inlineStr">
        <is>
          <t>ถ้าจะทำการทดลองผลของยา isotretinoin ต่อหญิงตั้งครรภ์ ข้อใดไม่ควรใช้</t>
        </is>
      </c>
      <c r="C42" s="18" t="n"/>
      <c r="D42" s="18" t="inlineStr">
        <is>
          <t>Case-control</t>
        </is>
      </c>
      <c r="E42" s="18" t="inlineStr">
        <is>
          <t>Cohort</t>
        </is>
      </c>
      <c r="F42" s="18" t="inlineStr">
        <is>
          <t>RCT</t>
        </is>
      </c>
      <c r="G42" s="18" t="inlineStr">
        <is>
          <t>ข้อ ก และ ข</t>
        </is>
      </c>
      <c r="H42" s="18" t="inlineStr">
        <is>
          <t>ข้อ ข และ ค</t>
        </is>
      </c>
      <c r="I42" s="18" t="n">
        <v>5</v>
      </c>
      <c r="J42" s="18"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ข. (Cohort): ข้อนี้ไม่ใช่คำตอบที่ถูกต้องสำหรับภาวะ พ.ร.บ. ยา พ.ศ. 2510 เนื่องจากกลไกการออกฤทธิ์, efficacy หรือข้อบ่งใช้ไม่ตรงกับโจทย์ที่กำหนด
• ข้อ ค. (RCT):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8" t="n"/>
      <c r="L42" s="18" t="inlineStr">
        <is>
          <t>พ.ร.บ. ยา พ.ศ. 2510</t>
        </is>
      </c>
      <c r="M42" s="18" t="inlineStr">
        <is>
          <t>SAP</t>
        </is>
      </c>
      <c r="N42" s="18" t="inlineStr">
        <is>
          <t>ข้อ 54 ชุด 1 (เฉลยข้อ จ)</t>
        </is>
      </c>
      <c r="O42" s="18" t="inlineStr">
        <is>
          <t>Mock</t>
        </is>
      </c>
      <c r="P42" s="18" t="inlineStr">
        <is>
          <t>ชุด 1</t>
        </is>
      </c>
    </row>
    <row r="43">
      <c r="A43" s="18" t="n">
        <v>57</v>
      </c>
      <c r="B43" s="18"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18" t="n"/>
      <c r="D43" s="18" t="inlineStr">
        <is>
          <t>ผู้หญิงมีพฤติกรรมการให้ความร่วมมือในการใช้ยาดีกว่าผู้ชาย</t>
        </is>
      </c>
      <c r="E43" s="18"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18" t="inlineStr">
        <is>
          <t>ผู้ป่วยสูงอายุมีพฤติกรรมให้ความร่วมมือในการใช้ยาไม่เท่ากับผู้ป่วยวัยกลางคน</t>
        </is>
      </c>
      <c r="G43" s="18" t="inlineStr">
        <is>
          <t>คนมีการศึกษาสูงให้ความร่วมมือในการใช้ยากกว่าคนที่มีการศึกษาต่ำ</t>
        </is>
      </c>
      <c r="H43" s="18" t="inlineStr">
        <is>
          <t>การให้ยาน้ำ (ถ้าทำได้) จะทำให้ผู้ป่วยมีความร่วมมือในการใช้ยากกว่าการใช้ยาเม็ด</t>
        </is>
      </c>
      <c r="I43" s="18" t="n">
        <v>2</v>
      </c>
      <c r="J43" s="18"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(ผู้ป่วยสูงอายุมีพฤติกรรมให้ความร่วมมือในการใช้ยาไม่เท่ากับผู้ป่วยวัยกลางคน): ข้อนี้ไม่ใช่คำตอบที่ถูกต้องสำหรับภาวะ พ.ร.บ. ยา พ.ศ. 2510 เนื่องจากกลไกการออกฤทธิ์, efficacy หรือข้อบ่งใช้ไม่ตรงกับโจทย์ที่กำหนด
• ข้อ ง. (คนมีการศึกษาสูงให้ความร่วมมือในการใช้ยากกว่าคนที่มีการศึกษาต่ำ):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(การให้ยาน้ำ (ถ้าทำได้) จะทำให้ผู้ป่วยมีความร่วมมือในการใช้ยากกว่าการใช้ยาเม็ด):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8" t="n"/>
      <c r="L43" s="18" t="inlineStr">
        <is>
          <t>พ.ร.บ. ยา พ.ศ. 2510</t>
        </is>
      </c>
      <c r="M43" s="18" t="inlineStr">
        <is>
          <t>SAP</t>
        </is>
      </c>
      <c r="N43" s="18" t="inlineStr">
        <is>
          <t>ข้อ 57 ชุด 1 (เฉลยข้อ ข)</t>
        </is>
      </c>
      <c r="O43" s="18" t="inlineStr">
        <is>
          <t>Mock</t>
        </is>
      </c>
      <c r="P43" s="18" t="inlineStr">
        <is>
          <t>ชุด 1</t>
        </is>
      </c>
    </row>
    <row r="44">
      <c r="A44" s="18" t="n">
        <v>58</v>
      </c>
      <c r="B44" s="18"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18" t="n"/>
      <c r="D44" s="18" t="inlineStr">
        <is>
          <t>จัดซื้อด้วยเงินงบประมาณเท่านั้น</t>
        </is>
      </c>
      <c r="E44" s="18" t="inlineStr">
        <is>
          <t>จัดซื้อด้วยวิธีกรณีพิเศษจากองค์การเภสัชกรรมถ้าวงเงินเกิน 50,000บาท</t>
        </is>
      </c>
      <c r="F44" s="18" t="inlineStr">
        <is>
          <t>จัดซื้อโดยวิธีตกลงราคาจากองค์การเภสัชกรรมเท่านั้น ไม่จำกัดวงเงิน</t>
        </is>
      </c>
      <c r="G44" s="18" t="inlineStr">
        <is>
          <t>จัดซื้อโดยวิธีตกลงราคาจากบริษัทใดก็ได้ถ้าวงเงินไม่เกิน 50,000 บาท</t>
        </is>
      </c>
      <c r="H44" s="18" t="inlineStr">
        <is>
          <t>จัดซื้อด้วยวิธีกรณีพิเศษจากองค์การเภสัชกรรม ไม่จำกัดวงเงิน</t>
        </is>
      </c>
      <c r="I44" s="18" t="n">
        <v>5</v>
      </c>
      <c r="J44" s="18"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(จัดซื้อด้วยวิธีกรณีพิเศษจากองค์การเภสัชกรรมถ้าวงเงินเกิน 50,000บาท):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(จัดซื้อโดยวิธีตกลงราคาจากองค์การเภสัชกรรมเท่านั้น 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(จัดซื้อโดยวิธีตกลงราคาจากบริษัทใดก็ได้ถ้าวงเงินไม่เกิน 50,000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8" t="n"/>
      <c r="L44" s="18" t="inlineStr">
        <is>
          <t>พ.ร.บ. ยา พ.ศ. 2510</t>
        </is>
      </c>
      <c r="M44" s="18" t="inlineStr">
        <is>
          <t>SAP</t>
        </is>
      </c>
      <c r="N44" s="18" t="inlineStr">
        <is>
          <t>ข้อ 58 ชุด 1 (เฉลยข้อ จ)</t>
        </is>
      </c>
      <c r="O44" s="18" t="inlineStr">
        <is>
          <t>Mock</t>
        </is>
      </c>
      <c r="P44" s="18" t="inlineStr">
        <is>
          <t>ชุด 1</t>
        </is>
      </c>
    </row>
    <row r="45">
      <c r="A45" s="18" t="n">
        <v>60</v>
      </c>
      <c r="B45" s="18" t="inlineStr">
        <is>
          <t>Propylthiouracil จัดอยู่ในบัญชี ก ตามบัญชียาหลักแห่งชาติ 2542 ยาที่อยู่ในบัญชี ก หมายถึงข้อใด</t>
        </is>
      </c>
      <c r="C45" s="18" t="n"/>
      <c r="D45" s="18" t="inlineStr">
        <is>
          <t>รายการยาที่ต้องใช้โดยผู้เชี่ยวชาญ</t>
        </is>
      </c>
      <c r="E45" s="18" t="inlineStr">
        <is>
          <t>รายการยาที่จำเป็นต้องใช้ในสถานพยาบาลบางระดับ</t>
        </is>
      </c>
      <c r="F45" s="18" t="inlineStr">
        <is>
          <t>รายการยาสำหรับใช้เฉพาะโครงการพิเศษของกระทรวง</t>
        </is>
      </c>
      <c r="G45" s="18" t="inlineStr">
        <is>
          <t>รายการยาที่มีความจำเป็นสำหรับสถานพยาบาลทุกระดับ</t>
        </is>
      </c>
      <c r="H45" s="18"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18" t="n">
        <v>4</v>
      </c>
      <c r="J45" s="18"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8" t="n"/>
      <c r="L45" s="18" t="inlineStr">
        <is>
          <t>พ.ร.บ. ยา พ.ศ. 2510</t>
        </is>
      </c>
      <c r="M45" s="18" t="inlineStr">
        <is>
          <t>SAP</t>
        </is>
      </c>
      <c r="N45" s="18" t="inlineStr">
        <is>
          <t>ข้อ 60 ชุด 1 (เฉลยข้อ ง)</t>
        </is>
      </c>
      <c r="O45" s="18" t="inlineStr">
        <is>
          <t>Mock</t>
        </is>
      </c>
      <c r="P45" s="18" t="inlineStr">
        <is>
          <t>ชุด 1</t>
        </is>
      </c>
    </row>
    <row r="46">
      <c r="A46" s="18" t="n">
        <v>61</v>
      </c>
      <c r="B46" s="18"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18" t="n"/>
      <c r="D46" s="18" t="inlineStr">
        <is>
          <t>ยานี้ผลิตในประเทศไทย ได้รับอนุญาตทะเบียนยาในปี พ.ศ. 2557</t>
        </is>
      </c>
      <c r="E46" s="18" t="inlineStr">
        <is>
          <t>ยานี้ผลิตในประเทศไทย เมื่อวันที่ 8 ก.พ. 2557</t>
        </is>
      </c>
      <c r="F46" s="18" t="inlineStr">
        <is>
          <t>ยานี้ผลิตในประเทศไทยและหมดอายุในวันที่ 8 ก.พ. 2557</t>
        </is>
      </c>
      <c r="G46" s="18" t="inlineStr">
        <is>
          <t>ยานี้นำเข้ามาจากต่างประเทศ ได้รับอนุญาตทะเบียนยาในปี พ.ศ. 2557</t>
        </is>
      </c>
      <c r="H46" s="18" t="inlineStr">
        <is>
          <t>ยานี้นำเข้ามาจากต่างประเทศ และผลิตเมื่อวันที่ 8 ก.พ. 2557</t>
        </is>
      </c>
      <c r="I46" s="18" t="n">
        <v>4</v>
      </c>
      <c r="J46" s="18"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(ยานี้ผลิตในประเทศไทยและหมดอายุในวันที่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(ยานี้นำเข้ามาจากต่างประเทศ และผลิตเมื่อวันที่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8" t="n"/>
      <c r="L46" s="18" t="inlineStr">
        <is>
          <t>พ.ร.บ. ยา พ.ศ. 2510</t>
        </is>
      </c>
      <c r="M46" s="18" t="inlineStr">
        <is>
          <t>SAP</t>
        </is>
      </c>
      <c r="N46" s="18" t="inlineStr">
        <is>
          <t>ข้อ 61 ชุด 1 (เฉลยข้อ ง)</t>
        </is>
      </c>
      <c r="O46" s="18" t="inlineStr">
        <is>
          <t>Mock</t>
        </is>
      </c>
      <c r="P46" s="18" t="inlineStr">
        <is>
          <t>ชุด 1</t>
        </is>
      </c>
    </row>
    <row r="47">
      <c r="A47" s="18" t="n">
        <v>62</v>
      </c>
      <c r="B47" s="18"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18" t="n"/>
      <c r="D47" s="18" t="inlineStr">
        <is>
          <t>1 ชนิด</t>
        </is>
      </c>
      <c r="E47" s="18" t="inlineStr">
        <is>
          <t>2 ชนิด</t>
        </is>
      </c>
      <c r="F47" s="18" t="inlineStr">
        <is>
          <t>3 ชนิด</t>
        </is>
      </c>
      <c r="G47" s="18" t="inlineStr">
        <is>
          <t>4 ชนิด</t>
        </is>
      </c>
      <c r="H47" s="18" t="inlineStr">
        <is>
          <t>5 ชนิด</t>
        </is>
      </c>
      <c r="I47" s="18" t="n">
        <v>1</v>
      </c>
      <c r="J47" s="18"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ค. (3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ง. (4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จ. (5 ชนิด):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8" t="n"/>
      <c r="L47" s="18" t="inlineStr">
        <is>
          <t>พ.ร.บ. ยา พ.ศ. 2510</t>
        </is>
      </c>
      <c r="M47" s="18" t="inlineStr">
        <is>
          <t>SAP</t>
        </is>
      </c>
      <c r="N47" s="18" t="inlineStr">
        <is>
          <t>ข้อ 62 ชุด 1 (เฉลยข้อ ก)</t>
        </is>
      </c>
      <c r="O47" s="18" t="inlineStr">
        <is>
          <t>Mock</t>
        </is>
      </c>
      <c r="P47" s="18" t="inlineStr">
        <is>
          <t>ชุด 1</t>
        </is>
      </c>
    </row>
    <row r="48">
      <c r="A48" s="18" t="n">
        <v>69</v>
      </c>
      <c r="B48" s="18" t="inlineStr">
        <is>
          <t>ท่านควรอธิบายเกี่ยวกับยา ยารักษาสิว isotretinoin ที่ผู้ป่วยต้องการซื้ออย่างไร</t>
        </is>
      </c>
      <c r="C48" s="18" t="n"/>
      <c r="D48" s="18" t="inlineStr">
        <is>
          <t>ยานี้จัดเป็นยาควบคุมพิเศษตามกฎหมาย ต้องใช้ใบสั่งแพทย์ เภสัชกรไม่สามารถจ่ายเองได้</t>
        </is>
      </c>
      <c r="E48" s="18" t="inlineStr">
        <is>
          <t>ยานี้จัดเป็นยาควบคุมพิเศษตามกฎหมาย เภสัชกรจ่ายได้ ไม่ต้องใช้ใบสั่งแพทย์</t>
        </is>
      </c>
      <c r="F48" s="18" t="inlineStr">
        <is>
          <t>ยานี้จัดเป็นยาอันตราย เภสัชกรจ่ายได้ ไม่ต้องใช้ใบสั่งแพทย์</t>
        </is>
      </c>
      <c r="G48" s="18" t="inlineStr">
        <is>
          <t>ยานี้จัดเป็นยาอันตราย เภสัชกรสามารถจ่ายได้หากมีใบสั่งแพทย์</t>
        </is>
      </c>
      <c r="H48" s="18" t="inlineStr">
        <is>
          <t>ยานี้ไม่สามารถขายได้ในร้านยา ต้องซื้อจากคลินิกแพทย์หรือสถานพยาบาลเท่านั้น</t>
        </is>
      </c>
      <c r="I48" s="18" t="n">
        <v>5</v>
      </c>
      <c r="J48" s="18"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8" t="n"/>
      <c r="L48" s="18" t="inlineStr">
        <is>
          <t>พ.ร.บ. ยา พ.ศ. 2510</t>
        </is>
      </c>
      <c r="M48" s="18" t="inlineStr">
        <is>
          <t>SAP</t>
        </is>
      </c>
      <c r="N48" s="18" t="inlineStr">
        <is>
          <t>ข้อ 69 ชุด 1 (เฉลยข้อ จ)</t>
        </is>
      </c>
      <c r="O48" s="18" t="inlineStr">
        <is>
          <t>Mock</t>
        </is>
      </c>
      <c r="P48" s="18" t="inlineStr">
        <is>
          <t>ชุด 1</t>
        </is>
      </c>
    </row>
    <row r="49">
      <c r="A49" s="18" t="n">
        <v>70</v>
      </c>
      <c r="B49" s="18" t="inlineStr">
        <is>
          <t>Itraconazole เป็นยาประเภทใดตามกฎหมาย</t>
        </is>
      </c>
      <c r="C49" s="18" t="n"/>
      <c r="D49" s="18" t="inlineStr">
        <is>
          <t>ยาแผนปัจจุบันที่ไม่ใช่ยาอันตรายและยาควบคุมพิเศษ</t>
        </is>
      </c>
      <c r="E49" s="18" t="inlineStr">
        <is>
          <t>ยาอันตราย</t>
        </is>
      </c>
      <c r="F49" s="18" t="inlineStr">
        <is>
          <t>ยาสามัญประจำบ้าน</t>
        </is>
      </c>
      <c r="G49" s="18" t="inlineStr">
        <is>
          <t>ยาควบคุมพิเศษ</t>
        </is>
      </c>
      <c r="H49" s="18" t="inlineStr">
        <is>
          <t>ยาเสพติดให้โทษประเภทที่ 3</t>
        </is>
      </c>
      <c r="I49" s="18" t="n">
        <v>2</v>
      </c>
      <c r="J49" s="18"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8" t="n"/>
      <c r="L49" s="18" t="inlineStr">
        <is>
          <t>พ.ร.บ. ยา พ.ศ. 2510</t>
        </is>
      </c>
      <c r="M49" s="18" t="inlineStr">
        <is>
          <t>SAP</t>
        </is>
      </c>
      <c r="N49" s="18" t="inlineStr">
        <is>
          <t>ข้อ 70 ชุด 1 (เฉลยข้อ ข)</t>
        </is>
      </c>
      <c r="O49" s="18" t="inlineStr">
        <is>
          <t>Mock</t>
        </is>
      </c>
      <c r="P49" s="18" t="inlineStr">
        <is>
          <t>ชุด 1</t>
        </is>
      </c>
    </row>
    <row r="50">
      <c r="A50" s="18" t="n">
        <v>71</v>
      </c>
      <c r="B50" s="18" t="inlineStr">
        <is>
          <t>FBC ชื่อการค้าหนึ่ง มีเลขทะเบียน 2C039/46 ข้อใดผิด</t>
        </is>
      </c>
      <c r="C50" s="18" t="n"/>
      <c r="D50" s="18" t="inlineStr">
        <is>
          <t>ยาสำหรับมนุษย์</t>
        </is>
      </c>
      <c r="E50" s="18" t="inlineStr">
        <is>
          <t>ยาแบ่งบรรจุในประเทศ</t>
        </is>
      </c>
      <c r="F50" s="18" t="inlineStr">
        <is>
          <t>ยาขึ้นทะเบียนปี 2546</t>
        </is>
      </c>
      <c r="G50" s="18" t="inlineStr">
        <is>
          <t>ยานำเข้าจากต่างประเทศ</t>
        </is>
      </c>
      <c r="H50" s="18" t="inlineStr">
        <is>
          <t>ในปีที่ขึ้นทะเบียน ยานี้อยู่ในลำดับที่ 39</t>
        </is>
      </c>
      <c r="I50" s="18" t="n">
        <v>2</v>
      </c>
      <c r="J50" s="18"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(ยาขึ้นทะเบียนปี 2546):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จ. (ในปีที่ขึ้นทะเบียน ยานี้อยู่ในลำดับที่ 39):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8" t="n"/>
      <c r="L50" s="18" t="inlineStr">
        <is>
          <t>พ.ร.บ. ยา พ.ศ. 2510</t>
        </is>
      </c>
      <c r="M50" s="18" t="inlineStr">
        <is>
          <t>SAP</t>
        </is>
      </c>
      <c r="N50" s="18" t="inlineStr">
        <is>
          <t>ข้อ 71 ชุด 1 (เฉลยข้อ ข)</t>
        </is>
      </c>
      <c r="O50" s="18" t="inlineStr">
        <is>
          <t>Mock</t>
        </is>
      </c>
      <c r="P50" s="18" t="inlineStr">
        <is>
          <t>ชุด 1</t>
        </is>
      </c>
    </row>
    <row r="51">
      <c r="A51" s="18" t="n">
        <v>72</v>
      </c>
      <c r="B51" s="18"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18" t="n"/>
      <c r="D51" s="18" t="inlineStr">
        <is>
          <t>ยาผิดมาตรฐาน</t>
        </is>
      </c>
      <c r="E51" s="18" t="inlineStr">
        <is>
          <t>ยาปลอม</t>
        </is>
      </c>
      <c r="F51" s="18" t="inlineStr">
        <is>
          <t>ยาหมดอายุ</t>
        </is>
      </c>
      <c r="G51" s="18" t="inlineStr">
        <is>
          <t>ยาต้องห้าม</t>
        </is>
      </c>
      <c r="H51" s="18" t="inlineStr">
        <is>
          <t>ยาเสื่อมคุณภาพ</t>
        </is>
      </c>
      <c r="I51" s="18" t="n">
        <v>1</v>
      </c>
      <c r="J51" s="18"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(ยาหมดอายุ):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(ยาต้องห้าม):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8" t="n"/>
      <c r="L51" s="18" t="inlineStr">
        <is>
          <t>พ.ร.บ. ยา พ.ศ. 2510</t>
        </is>
      </c>
      <c r="M51" s="18" t="inlineStr">
        <is>
          <t>SAP</t>
        </is>
      </c>
      <c r="N51" s="18" t="inlineStr">
        <is>
          <t>ข้อ 72 ชุด 1 (เฉลยข้อ ก)</t>
        </is>
      </c>
      <c r="O51" s="18" t="inlineStr">
        <is>
          <t>Mock</t>
        </is>
      </c>
      <c r="P51" s="18" t="inlineStr">
        <is>
          <t>ชุด 1</t>
        </is>
      </c>
    </row>
    <row r="52">
      <c r="A52" s="18" t="n">
        <v>73</v>
      </c>
      <c r="B52" s="18" t="inlineStr">
        <is>
          <t>Lomotil® จัดเป็นยาประเภทใดตามกฎหมายและเภสัชกรสามารถจ่ายได้ในร้านยาหรือไม่</t>
        </is>
      </c>
      <c r="C52" s="18" t="n"/>
      <c r="D52" s="18" t="inlineStr">
        <is>
          <t>ยาอันตราย สามารถจ่ายในร้านยา ขย.1 ได้</t>
        </is>
      </c>
      <c r="E52" s="18" t="inlineStr">
        <is>
          <t>ยาแผนปัจจุบันบรรจุเสร็จ สามารถจ่ายในร้านยา ขย.1 และ ขย.2 ได้</t>
        </is>
      </c>
      <c r="F52" s="18" t="inlineStr">
        <is>
          <t>ยาสามัญประจำบ้าน สามารถจ่ายในร้านยา ขย.1 และขย.2 ได้</t>
        </is>
      </c>
      <c r="G52" s="18" t="inlineStr">
        <is>
          <t>ยาเสพติดให้โทษประเภทที่ 3 ห้ามจำหน่ายในร้านยา</t>
        </is>
      </c>
      <c r="H52" s="18" t="inlineStr">
        <is>
          <t>ยาเสพติดให้โทษประเภทที่ 3 สามารถจ่ายในร้านยา ขย.1 ได้ แต่ต้องมีใบอนุญาต</t>
        </is>
      </c>
      <c r="I52" s="18" t="n">
        <v>5</v>
      </c>
      <c r="J52" s="18"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สามารถจ่ายในร้านยา ขย.1 และขย.2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(ยาเสพติดให้โทษประเภทที่ 3 ห้ามจำหน่ายในร้านยา):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8" t="n"/>
      <c r="L52" s="18" t="inlineStr">
        <is>
          <t>พ.ร.บ. ยา พ.ศ. 2510</t>
        </is>
      </c>
      <c r="M52" s="18" t="inlineStr">
        <is>
          <t>SAP</t>
        </is>
      </c>
      <c r="N52" s="18" t="inlineStr">
        <is>
          <t>ข้อ 73 ชุด 1 (เฉลยข้อ จ)</t>
        </is>
      </c>
      <c r="O52" s="18" t="inlineStr">
        <is>
          <t>Mock</t>
        </is>
      </c>
      <c r="P52" s="18" t="inlineStr">
        <is>
          <t>ชุด 1</t>
        </is>
      </c>
    </row>
    <row r="53">
      <c r="A53" s="18" t="n">
        <v>74</v>
      </c>
      <c r="B53" s="18" t="inlineStr">
        <is>
          <t>การโฆษณาว่า indomethacin สามารถลดปวดได้ดีในผู้ป่วยโรคเกาท์ สามารถทำได้หรือไม่</t>
        </is>
      </c>
      <c r="C53" s="18" t="n"/>
      <c r="D53" s="18" t="inlineStr">
        <is>
          <t>ได้ เพราะไม่มีข้อห้ามทางกฎหมาย</t>
        </is>
      </c>
      <c r="E53" s="18" t="inlineStr">
        <is>
          <t>ได้ แต่ต้องขออนุญาตก่อน</t>
        </is>
      </c>
      <c r="F53" s="18" t="inlineStr">
        <is>
          <t>ไม่ได้ เพราะเป็นการอวดอ้างสรรพคุณ</t>
        </is>
      </c>
      <c r="G53" s="18" t="inlineStr">
        <is>
          <t>ไม่ได้ เพราะกฎหมายยาห้ามโฆษณาขายยาอันตราย</t>
        </is>
      </c>
      <c r="H53" s="18" t="inlineStr">
        <is>
          <t>ไม่ได้ เพราะกฎหมายยาห้ามโฆษณาขายยาควบคุมพิเศษ</t>
        </is>
      </c>
      <c r="I53" s="18" t="n">
        <v>4</v>
      </c>
      <c r="J53" s="18"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แต่ต้องขออนุญาตก่อน):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เพราะเป็นการอวดอ้างสรรพคุณ):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8" t="n"/>
      <c r="L53" s="18" t="inlineStr">
        <is>
          <t>พ.ร.บ. ยา พ.ศ. 2510</t>
        </is>
      </c>
      <c r="M53" s="18" t="inlineStr">
        <is>
          <t>SAP</t>
        </is>
      </c>
      <c r="N53" s="18" t="inlineStr">
        <is>
          <t>ข้อ 74 ชุด 1 (เฉลยข้อ ง)</t>
        </is>
      </c>
      <c r="O53" s="18" t="inlineStr">
        <is>
          <t>Mock</t>
        </is>
      </c>
      <c r="P53" s="18" t="inlineStr">
        <is>
          <t>ชุด 1</t>
        </is>
      </c>
    </row>
    <row r="54">
      <c r="A54" s="18" t="n">
        <v>75</v>
      </c>
      <c r="B54" s="18" t="inlineStr">
        <is>
          <t>ผู้ป่วยต้องการซื้อยา budesonide สามารถซื้อได้ที่ใด</t>
        </is>
      </c>
      <c r="C54" s="18" t="n"/>
      <c r="D54" s="18" t="inlineStr">
        <is>
          <t>ร้านสะดวกซื้อทั่วไป</t>
        </is>
      </c>
      <c r="E54" s="18" t="inlineStr">
        <is>
          <t>ร้านยา ข.ย. 2</t>
        </is>
      </c>
      <c r="F54" s="18" t="inlineStr">
        <is>
          <t>ร้านขายยาแผนปัจจุบัน โดยไม่ต้องมีใบสั่งแพทย์</t>
        </is>
      </c>
      <c r="G54" s="18" t="inlineStr">
        <is>
          <t>ร้านขายยาแผนปัจจุบัน โดยต้องมีใบสั่งแพทย์</t>
        </is>
      </c>
      <c r="H54" s="18" t="inlineStr">
        <is>
          <t>โรงพยาบาลเท่านั้น</t>
        </is>
      </c>
      <c r="I54" s="18" t="n">
        <v>3</v>
      </c>
      <c r="J54" s="18"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(ร้านยา ข.ย. 2):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(ร้านขายยาแผนปัจจุบัน โดยต้องมีใบสั่งแพทย์):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(โรงพยาบาลเท่านั้น):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8" t="n"/>
      <c r="L54" s="18" t="inlineStr">
        <is>
          <t>พ.ร.บ. ยา พ.ศ. 2510</t>
        </is>
      </c>
      <c r="M54" s="18" t="inlineStr">
        <is>
          <t>SAP</t>
        </is>
      </c>
      <c r="N54" s="18" t="inlineStr">
        <is>
          <t>ข้อ 75 ชุด 1 (เฉลยข้อ ค)</t>
        </is>
      </c>
      <c r="O54" s="18" t="inlineStr">
        <is>
          <t>Mock</t>
        </is>
      </c>
      <c r="P54" s="18" t="inlineStr">
        <is>
          <t>ชุด 1</t>
        </is>
      </c>
    </row>
    <row r="55">
      <c r="A55" s="18" t="n">
        <v>76</v>
      </c>
      <c r="B55" s="18" t="inlineStr">
        <is>
          <t>ข้อใดถูกต้องเกี่ยวกับการจัดซื้อ prednisolone ชนิดรับประทาน</t>
        </is>
      </c>
      <c r="C55" s="18" t="n"/>
      <c r="D55" s="18" t="inlineStr">
        <is>
          <t>เป็นยาควบคุมพิเศษ ต้องซื้อโดยวิธีตกลงราคาในกรณีที่ซื้อน้อยกว่า 100,000 บาท</t>
        </is>
      </c>
      <c r="E55" s="18" t="inlineStr">
        <is>
          <t>เป็นยาควบคุมพิเศษ ต้องซื้อโดยวิธีสอบราคาในกรณีที่ซื้อน้อยกว่า 100,000 บาท</t>
        </is>
      </c>
      <c r="F55" s="18" t="inlineStr">
        <is>
          <t>เป็นยาควบคุมพิเศษ ต้องซื้อโดยวิธีประกวดราคาในกรณีที่ซื้อน้อยกว่า 100,000 บาท</t>
        </is>
      </c>
      <c r="G55" s="18" t="inlineStr">
        <is>
          <t>เป็นยาอันตราย ต้องซื้อโดยวิธีตกลงราคาในกรณีที่ซื้อน้อยกว่า 100,000 บาท</t>
        </is>
      </c>
      <c r="H55" s="18" t="inlineStr">
        <is>
          <t>เป็นยาอันตราย ต้องซื้อโดยวิธีสอบราคาในกรณีที่ซื้อน้อยกว่า 100,000 บาท</t>
        </is>
      </c>
      <c r="I55" s="18" t="n">
        <v>1</v>
      </c>
      <c r="J55" s="18"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8" t="n"/>
      <c r="L55" s="18" t="inlineStr">
        <is>
          <t>พ.ร.บ. ยา พ.ศ. 2510</t>
        </is>
      </c>
      <c r="M55" s="18" t="inlineStr">
        <is>
          <t>SAP</t>
        </is>
      </c>
      <c r="N55" s="18" t="inlineStr">
        <is>
          <t>ข้อ 76 ชุด 1 (เฉลยข้อ ก)</t>
        </is>
      </c>
      <c r="O55" s="18" t="inlineStr">
        <is>
          <t>Mock</t>
        </is>
      </c>
      <c r="P55" s="18" t="inlineStr">
        <is>
          <t>ชุด 1</t>
        </is>
      </c>
    </row>
    <row r="56">
      <c r="A56" s="18" t="n">
        <v>77</v>
      </c>
      <c r="B56" s="18" t="inlineStr">
        <is>
          <t>Insulin จัดเป็นยาประเภทใด</t>
        </is>
      </c>
      <c r="C56" s="18" t="n"/>
      <c r="D56" s="18" t="inlineStr">
        <is>
          <t>ยาสำคัญประจำบ้าน</t>
        </is>
      </c>
      <c r="E56" s="18" t="inlineStr">
        <is>
          <t>ยาควบคุมพิเศษ</t>
        </is>
      </c>
      <c r="F56" s="18" t="inlineStr">
        <is>
          <t>ยาอันตราย</t>
        </is>
      </c>
      <c r="G56" s="18" t="inlineStr">
        <is>
          <t>ยาบรรจุเสร็จที่ไม่ใช่ยาอันตรายและยาควบคุมพิเศษ</t>
        </is>
      </c>
      <c r="H56" s="18" t="inlineStr">
        <is>
          <t>ไม่มีข้อถูก</t>
        </is>
      </c>
      <c r="I56" s="18" t="n">
        <v>3</v>
      </c>
      <c r="J56" s="18"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8" t="n"/>
      <c r="L56" s="18" t="inlineStr">
        <is>
          <t>พ.ร.บ. ยา พ.ศ. 2510</t>
        </is>
      </c>
      <c r="M56" s="18" t="inlineStr">
        <is>
          <t>SAP</t>
        </is>
      </c>
      <c r="N56" s="18" t="inlineStr">
        <is>
          <t>ข้อ 77 ชุด 1 (เฉลยข้อ ค)</t>
        </is>
      </c>
      <c r="O56" s="18" t="inlineStr">
        <is>
          <t>Mock</t>
        </is>
      </c>
      <c r="P56" s="18" t="inlineStr">
        <is>
          <t>ชุด 1</t>
        </is>
      </c>
    </row>
    <row r="57">
      <c r="A57" s="18" t="n">
        <v>78</v>
      </c>
      <c r="B57" s="18" t="inlineStr">
        <is>
          <t>การโฆษณาคุมกำเนิดเป็นยาสำหรับคุมกำเนิด กระทำได้หรือไม่ เพราะเหตุใด</t>
        </is>
      </c>
      <c r="C57" s="18" t="n"/>
      <c r="D57" s="18" t="inlineStr">
        <is>
          <t>กระทำได้ เพราะไม่มีข้อห้ามใดในกฎหมายยา</t>
        </is>
      </c>
      <c r="E57" s="18" t="inlineStr">
        <is>
          <t>กระทำได้แต่ต้องให้รัฐมนตรีอนุญาตก่อน</t>
        </is>
      </c>
      <c r="F57" s="18" t="inlineStr">
        <is>
          <t>กระทำไม่ได้ เพราะกฎหมายห้ามโฆษณาสรรพคุณยาอันตรายและยาควบคุมพิเศษ</t>
        </is>
      </c>
      <c r="G57" s="18" t="inlineStr">
        <is>
          <t>กระทำไม่ได้ เพราะกฎหมายห้ามมิให้แสดงสรรพคุณว่าเป็นยาคุมกำเนิดหรือยาบำรุงกาม</t>
        </is>
      </c>
      <c r="H57" s="18" t="inlineStr">
        <is>
          <t>ข้อ ค และ ง ถูกต้อง</t>
        </is>
      </c>
      <c r="I57" s="18" t="n">
        <v>5</v>
      </c>
      <c r="J57" s="18"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(กระทำได้แต่ต้องให้รัฐมนตรีอนุญาตก่อน):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8" t="n"/>
      <c r="L57" s="18" t="inlineStr">
        <is>
          <t>พ.ร.บ. ยา พ.ศ. 2510</t>
        </is>
      </c>
      <c r="M57" s="18" t="inlineStr">
        <is>
          <t>SAP</t>
        </is>
      </c>
      <c r="N57" s="18" t="inlineStr">
        <is>
          <t>ข้อ 78 ชุด 1 (เฉลยข้อ จ)</t>
        </is>
      </c>
      <c r="O57" s="18" t="inlineStr">
        <is>
          <t>Mock</t>
        </is>
      </c>
      <c r="P57" s="18" t="inlineStr">
        <is>
          <t>ชุด 1</t>
        </is>
      </c>
    </row>
    <row r="58">
      <c r="A58" s="18" t="n">
        <v>79</v>
      </c>
      <c r="B58" s="18" t="inlineStr">
        <is>
          <t>ยาในข้อใดมีประเภทตามกฎหมายเช่นเดียวกับ cotrimoxazole</t>
        </is>
      </c>
      <c r="C58" s="18" t="n"/>
      <c r="D58" s="18" t="inlineStr">
        <is>
          <t>Amitriptyline, brown mixture ขนาด 120 ml</t>
        </is>
      </c>
      <c r="E58" s="18" t="inlineStr">
        <is>
          <t>Tramadol, alprazolam</t>
        </is>
      </c>
      <c r="F58" s="18" t="inlineStr">
        <is>
          <t>Fluoxetine, topical steroid</t>
        </is>
      </c>
      <c r="G58" s="18" t="inlineStr">
        <is>
          <t>Methotrexate, Benadryl</t>
        </is>
      </c>
      <c r="H58" s="18" t="inlineStr">
        <is>
          <t>Isotretinoin, Imodium</t>
        </is>
      </c>
      <c r="I58" s="18" t="n">
        <v>1</v>
      </c>
      <c r="J58" s="18"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8" t="n"/>
      <c r="L58" s="18" t="inlineStr">
        <is>
          <t>พ.ร.บ. ยา พ.ศ. 2510</t>
        </is>
      </c>
      <c r="M58" s="18" t="inlineStr">
        <is>
          <t>SAP</t>
        </is>
      </c>
      <c r="N58" s="18" t="inlineStr">
        <is>
          <t>ข้อ 79 ชุด 1 (เฉลยข้อ ไมมีคำตอบ)</t>
        </is>
      </c>
      <c r="O58" s="18" t="inlineStr">
        <is>
          <t>Mock</t>
        </is>
      </c>
      <c r="P58" s="18" t="inlineStr">
        <is>
          <t>ชุด 1</t>
        </is>
      </c>
    </row>
    <row r="59">
      <c r="A59" s="18" t="n">
        <v>80</v>
      </c>
      <c r="B59" s="18" t="inlineStr">
        <is>
          <t>ข้อใดถูกต้องสำหรับยา haloperidol</t>
        </is>
      </c>
      <c r="C59" s="18" t="n"/>
      <c r="D59" s="18" t="inlineStr">
        <is>
          <t>จัดอยู่ในประเภทอันตราย เภสัชกรสามารถจ่ายได้ในร้านยา</t>
        </is>
      </c>
      <c r="E59" s="18" t="inlineStr">
        <is>
          <t>จัดอยู่ในประเภทยาควบคุมพิเศษ เภสัชกรสามารถจ่ายได้หากมีใบสั่งแพทย์</t>
        </is>
      </c>
      <c r="F59" s="18" t="inlineStr">
        <is>
          <t>จัดอยู่ในประเภทอันตราย จ่ายได้เฉพาะในโรงพยาบาล</t>
        </is>
      </c>
      <c r="G59" s="18" t="inlineStr">
        <is>
          <t>จัดอยู่ในประเภทยาเสพติดให้โทษประเภทที่ 3 ต้องทำบัญชีรายงานคณะกรรมการอาหารและยา</t>
        </is>
      </c>
      <c r="H59" s="18" t="inlineStr">
        <is>
          <t>จัดอยู่ในประเภทวัตถุออกฤทธิ์ต่อจิตประสาท</t>
        </is>
      </c>
      <c r="I59" s="18" t="n">
        <v>2</v>
      </c>
      <c r="J59" s="18"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(จัดอยู่ในประเภทยาเสพติดให้โทษประเภทที่ 3 ต้องทำบัญชีรายงานคณะกรรมการอาหารและยา):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8" t="n"/>
      <c r="L59" s="18" t="inlineStr">
        <is>
          <t>พ.ร.บ. ยาเสพติดให้โทษ &amp; วัตถุออกฤทธิ์</t>
        </is>
      </c>
      <c r="M59" s="18" t="inlineStr">
        <is>
          <t>SAP</t>
        </is>
      </c>
      <c r="N59" s="18" t="inlineStr">
        <is>
          <t>ข้อ 80 ชุด 1 (เฉลยข้อ ข)</t>
        </is>
      </c>
      <c r="O59" s="18" t="inlineStr">
        <is>
          <t>Mock</t>
        </is>
      </c>
      <c r="P59" s="18" t="inlineStr">
        <is>
          <t>ชุด 1</t>
        </is>
      </c>
    </row>
    <row r="60">
      <c r="A60" s="18" t="n">
        <v>81</v>
      </c>
      <c r="B60" s="18" t="inlineStr">
        <is>
          <t>ยา risperidone มีเลขทะเบียนดังนี้: 1A253/49 จากเลขทะเบียนดังกล่าว ข้อใดมีความหมายถูกต้อง</t>
        </is>
      </c>
      <c r="C60" s="18" t="n"/>
      <c r="D60" s="18" t="inlineStr">
        <is>
          <t>เป็นยาเดี่ยวสำหรับมนุษย์ ผลิตในประเทศ</t>
        </is>
      </c>
      <c r="E60" s="18" t="inlineStr">
        <is>
          <t>เป็นยาแผนปัจจุบัน นำเข้าจากต่างประเทศ</t>
        </is>
      </c>
      <c r="F60" s="18" t="inlineStr">
        <is>
          <t>เป็นยาแผนปัจจุบัน แบ่งบรรจุ</t>
        </is>
      </c>
      <c r="G60" s="18" t="inlineStr">
        <is>
          <t>เป็นยาผสม ขึ้นทะเบียนในปี พ.ศ.2549</t>
        </is>
      </c>
      <c r="H60" s="18" t="inlineStr">
        <is>
          <t>เป็นยาเดี่ยว ขึ้นทะเบียนแบบมีเงื่อนไข</t>
        </is>
      </c>
      <c r="I60" s="18" t="n">
        <v>1</v>
      </c>
      <c r="J60" s="18"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(เป็นยาแผนปัจจุบัน แบ่งบรรจุ):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(เป็นยาผสม ขึ้นทะเบียนในปี พ.ศ.2549):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(เป็นยาเดี่ยว ขึ้นทะเบียนแบบมีเงื่อนไข):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8" t="n"/>
      <c r="L60" s="18" t="inlineStr">
        <is>
          <t>พ.ร.บ. ยา พ.ศ. 2510</t>
        </is>
      </c>
      <c r="M60" s="18" t="inlineStr">
        <is>
          <t>SAP</t>
        </is>
      </c>
      <c r="N60" s="18" t="inlineStr">
        <is>
          <t>ข้อ 81 ชุด 1 (เฉลยข้อ ก)</t>
        </is>
      </c>
      <c r="O60" s="18" t="inlineStr">
        <is>
          <t>Mock</t>
        </is>
      </c>
      <c r="P60" s="18" t="inlineStr">
        <is>
          <t>ชุด 1</t>
        </is>
      </c>
    </row>
    <row r="61">
      <c r="A61" s="18" t="n">
        <v>82</v>
      </c>
      <c r="B61" s="18"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18" t="n"/>
      <c r="D61" s="18" t="inlineStr">
        <is>
          <t>จ่ายได้ เพราะเป็นยาอันตราย</t>
        </is>
      </c>
      <c r="E61" s="18" t="inlineStr">
        <is>
          <t>จ่ายได้ เพราะเป็นยาบรรจุเสร็จที่ไม่ใช่ยาอันตรายหรือยาควบคุมพิเศษ</t>
        </is>
      </c>
      <c r="F61" s="18" t="inlineStr">
        <is>
          <t>จ่ายไม่ได้ เพราะเป็นวัตถุออกฤทธิ์ต่อจิตประสาทประเภทที่ 4</t>
        </is>
      </c>
      <c r="G61" s="18" t="inlineStr">
        <is>
          <t>จ่ายไม่ได้ เพราะเป็นยาเสพติดให้โทษประเภทที่ 3</t>
        </is>
      </c>
      <c r="H61" s="18" t="inlineStr">
        <is>
          <t>จ่ายไม่ได้ เพราะเป็นยาควบคุมพิเศษ</t>
        </is>
      </c>
      <c r="I61" s="18" t="n">
        <v>5</v>
      </c>
      <c r="J61" s="18"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(จ่ายไม่ได้ เพราะเป็นยาเสพติดให้โทษประเภทที่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8" t="n"/>
      <c r="L61" s="18" t="inlineStr">
        <is>
          <t>พ.ร.บ. ยา พ.ศ. 2510</t>
        </is>
      </c>
      <c r="M61" s="18" t="inlineStr">
        <is>
          <t>SAP</t>
        </is>
      </c>
      <c r="N61" s="18" t="inlineStr">
        <is>
          <t>ข้อ 82 ชุด 1 (เฉลยข้อ จ)</t>
        </is>
      </c>
      <c r="O61" s="18" t="inlineStr">
        <is>
          <t>Mock</t>
        </is>
      </c>
      <c r="P61" s="18" t="inlineStr">
        <is>
          <t>ชุด 1</t>
        </is>
      </c>
    </row>
    <row r="62">
      <c r="A62" s="18" t="n">
        <v>83</v>
      </c>
      <c r="B62" s="18" t="inlineStr">
        <is>
          <t>ยาลดกรดในข้อใดที่เป็นยาสามัญประจำบ้าน</t>
        </is>
      </c>
      <c r="C62" s="18" t="n"/>
      <c r="D62" s="18" t="inlineStr">
        <is>
          <t>Sucralfate</t>
        </is>
      </c>
      <c r="E62" s="18" t="inlineStr">
        <is>
          <t>Aluminium hydroxide gel</t>
        </is>
      </c>
      <c r="F62" s="18" t="inlineStr">
        <is>
          <t>Cimetidine</t>
        </is>
      </c>
      <c r="G62" s="18" t="inlineStr">
        <is>
          <t>ยาธาตุน้ำแดง</t>
        </is>
      </c>
      <c r="H62" s="18" t="inlineStr">
        <is>
          <t>Bismuth compound</t>
        </is>
      </c>
      <c r="I62" s="18" t="n">
        <v>2</v>
      </c>
      <c r="J62" s="18"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(ยาธาตุน้ำแดง): ข้อนี้ไม่ใช่คำตอบที่ถูกต้องสำหรับภาวะ พ.ร.บ. ยา พ.ศ. 2510 เนื่องจากกลไกการออกฤทธิ์, efficacy หรือข้อบ่งใช้ไม่ตรงกับโจทย์ที่กำหนด
• ข้อ จ. (Bismuth compound):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8" t="n"/>
      <c r="L62" s="18" t="inlineStr">
        <is>
          <t>พ.ร.บ. ยา พ.ศ. 2510</t>
        </is>
      </c>
      <c r="M62" s="18" t="inlineStr">
        <is>
          <t>SAP</t>
        </is>
      </c>
      <c r="N62" s="18" t="inlineStr">
        <is>
          <t>ข้อ 83 ชุด 1 (เฉลยข้อ ข ง)</t>
        </is>
      </c>
      <c r="O62" s="18" t="inlineStr">
        <is>
          <t>Mock</t>
        </is>
      </c>
      <c r="P62" s="18" t="inlineStr">
        <is>
          <t>ชุด 1</t>
        </is>
      </c>
    </row>
    <row r="63">
      <c r="A63" s="18" t="n">
        <v>84</v>
      </c>
      <c r="B63" s="18" t="inlineStr">
        <is>
          <t>Bromhexine จัดอยู่ในยาประเภทใดตาม พรบ. ยา 2510</t>
        </is>
      </c>
      <c r="C63" s="18" t="n"/>
      <c r="D63" s="18" t="inlineStr">
        <is>
          <t>ยาสามัญประจำบ้าน</t>
        </is>
      </c>
      <c r="E63" s="18" t="inlineStr">
        <is>
          <t>ยาบรรจุเสร็จที่ไม่ใช่ยาอันตรายและยาควบคุมพิเศษ</t>
        </is>
      </c>
      <c r="F63" s="18" t="inlineStr">
        <is>
          <t>ยาอันตราย</t>
        </is>
      </c>
      <c r="G63" s="18" t="inlineStr">
        <is>
          <t>ยาควบคุมพิเศษ</t>
        </is>
      </c>
      <c r="H63" s="18" t="inlineStr">
        <is>
          <t>ไม่มีข้อถูก</t>
        </is>
      </c>
      <c r="I63" s="18" t="n">
        <v>2</v>
      </c>
      <c r="J63" s="18"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8" t="n"/>
      <c r="L63" s="18" t="inlineStr">
        <is>
          <t>พ.ร.บ. ยา พ.ศ. 2510</t>
        </is>
      </c>
      <c r="M63" s="18" t="inlineStr">
        <is>
          <t>SAP</t>
        </is>
      </c>
      <c r="N63" s="18" t="inlineStr">
        <is>
          <t>ข้อ 84 ชุด 1 (เฉลยข้อ ข)</t>
        </is>
      </c>
      <c r="O63" s="18" t="inlineStr">
        <is>
          <t>Mock</t>
        </is>
      </c>
      <c r="P63" s="18" t="inlineStr">
        <is>
          <t>ชุด 1</t>
        </is>
      </c>
    </row>
    <row r="64">
      <c r="A64" s="18" t="n">
        <v>85</v>
      </c>
      <c r="B64" s="18" t="inlineStr">
        <is>
          <t>ข้างขวดยา GPO vir S 40 เขียนว่า 2A 2/46 (NC)
ข้อใดกล่าวไม่ถูกต้อง</t>
        </is>
      </c>
      <c r="C64" s="18" t="n"/>
      <c r="D64" s="18" t="inlineStr">
        <is>
          <t>ยานี้จดทะเบียนยาแบบมีเงื่อนไข</t>
        </is>
      </c>
      <c r="E64" s="18" t="inlineStr">
        <is>
          <t>เป็นยาแผนปัจจุบันสำหรับมนุษย์</t>
        </is>
      </c>
      <c r="F64" s="18" t="inlineStr">
        <is>
          <t>เป็นยาผสม</t>
        </is>
      </c>
      <c r="G64" s="18" t="inlineStr">
        <is>
          <t>เป็นยาแบ่งบรรจุ</t>
        </is>
      </c>
      <c r="H64" s="18" t="inlineStr">
        <is>
          <t>เป็นยาใหม่</t>
        </is>
      </c>
      <c r="I64" s="18" t="n">
        <v>4</v>
      </c>
      <c r="J64" s="18"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ข้อ ข. (เป็นยาแผนปัจจุบันสำหรับมนุษย์):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(เป็นยาใหม่):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8" t="n"/>
      <c r="L64" s="18" t="inlineStr">
        <is>
          <t>พ.ร.บ. ยา พ.ศ. 2510</t>
        </is>
      </c>
      <c r="M64" s="18" t="inlineStr">
        <is>
          <t>SAP</t>
        </is>
      </c>
      <c r="N64" s="18" t="inlineStr">
        <is>
          <t>ข้อ 85 ชุด 1 (เฉลยข้อ ง)</t>
        </is>
      </c>
      <c r="O64" s="18" t="inlineStr">
        <is>
          <t>Mock</t>
        </is>
      </c>
      <c r="P64" s="18" t="inlineStr">
        <is>
          <t>ชุด 1</t>
        </is>
      </c>
    </row>
    <row r="65">
      <c r="A65" s="18" t="n">
        <v>86</v>
      </c>
      <c r="B65" s="18" t="inlineStr">
        <is>
          <t>ยาต้านไวรัสเอชไอวีเป็นยาประเภทใดตามกฎหมายไทย</t>
        </is>
      </c>
      <c r="C65" s="18" t="n"/>
      <c r="D65" s="18" t="inlineStr">
        <is>
          <t>ยากำพร้า</t>
        </is>
      </c>
      <c r="E65" s="18" t="inlineStr">
        <is>
          <t>ยาควบคุมพิเศษ</t>
        </is>
      </c>
      <c r="F65" s="18" t="inlineStr">
        <is>
          <t>ยาสามัญประจำบ้าน</t>
        </is>
      </c>
      <c r="G65" s="18" t="inlineStr">
        <is>
          <t>ยาอันตราย</t>
        </is>
      </c>
      <c r="H65" s="18" t="inlineStr">
        <is>
          <t>ถูกทั้งข้อ ก. และ ข.</t>
        </is>
      </c>
      <c r="I65" s="18" t="n">
        <v>2</v>
      </c>
      <c r="J65" s="18"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8" t="n"/>
      <c r="L65" s="18" t="inlineStr">
        <is>
          <t>พ.ร.บ. ยา พ.ศ. 2510</t>
        </is>
      </c>
      <c r="M65" s="18" t="inlineStr">
        <is>
          <t>SAP</t>
        </is>
      </c>
      <c r="N65" s="18" t="inlineStr">
        <is>
          <t>ข้อ 86 ชุด 1 (เฉลยข้อ ข)</t>
        </is>
      </c>
      <c r="O65" s="18" t="inlineStr">
        <is>
          <t>Mock</t>
        </is>
      </c>
      <c r="P65" s="18" t="inlineStr">
        <is>
          <t>ชุด 1</t>
        </is>
      </c>
    </row>
    <row r="66">
      <c r="A66" s="18" t="n">
        <v>87</v>
      </c>
      <c r="B66" s="18" t="inlineStr">
        <is>
          <t>ยาในข้อใดไม่จัดอยู่ในประเภททายาตามกฎหมายประเภทเดียวกับ ciprofloxacin</t>
        </is>
      </c>
      <c r="C66" s="18" t="n"/>
      <c r="D66" s="18" t="inlineStr">
        <is>
          <t>Oristat tablets</t>
        </is>
      </c>
      <c r="E66" s="18" t="inlineStr">
        <is>
          <t>Topical 0.05% isotretinoin</t>
        </is>
      </c>
      <c r="F66" s="18" t="inlineStr">
        <is>
          <t>0.1% TA cream</t>
        </is>
      </c>
      <c r="G66" s="18" t="inlineStr">
        <is>
          <t>Carbocystein tablets</t>
        </is>
      </c>
      <c r="H66" s="18" t="inlineStr">
        <is>
          <t>Fluoxitine tablets</t>
        </is>
      </c>
      <c r="I66" s="18" t="n">
        <v>4</v>
      </c>
      <c r="J66" s="18"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ข้อนี้ไม่ใช่คำตอบที่ถูกต้องสำหรับภาวะ พ.ร.บ. ยา พ.ศ. 2510 เนื่องจากกลไกการออกฤทธิ์, efficacy หรือข้อบ่งใช้ไม่ตรงกับโจทย์ที่กำหนด
• ข้อ ข. (Topical 0.05% isotretinoin): ข้อนี้ไม่ใช่คำตอบที่ถูกต้องสำหรับภาวะ พ.ร.บ. ยา พ.ศ. 2510 เนื่องจากกลไกการออกฤทธิ์, efficacy หรือข้อบ่งใช้ไม่ตรงกับโจทย์ที่กำหนด
• ข้อ ค. (0.1% TA cream): ข้อนี้ไม่ใช่คำตอบที่ถูกต้องสำหรับภาวะ พ.ร.บ. ยา พ.ศ. 2510 เนื่องจากกลไกการออกฤทธิ์, efficacy หรือข้อบ่งใช้ไม่ตรงกับโจทย์ที่กำหนด
• ข้อ จ. (Fluoxitine tablets):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8" t="n"/>
      <c r="L66" s="18" t="inlineStr">
        <is>
          <t>พ.ร.บ. ยา พ.ศ. 2510</t>
        </is>
      </c>
      <c r="M66" s="18" t="inlineStr">
        <is>
          <t>SAP</t>
        </is>
      </c>
      <c r="N66" s="18" t="inlineStr">
        <is>
          <t>ข้อ 87 ชุด 1 (เฉลยข้อ ง)</t>
        </is>
      </c>
      <c r="O66" s="18" t="inlineStr">
        <is>
          <t>Mock</t>
        </is>
      </c>
      <c r="P66" s="18" t="inlineStr">
        <is>
          <t>ชุด 1</t>
        </is>
      </c>
    </row>
    <row r="67">
      <c r="A67" s="18" t="n">
        <v>88</v>
      </c>
      <c r="B67" s="18" t="inlineStr">
        <is>
          <t>เภสัชกรไม่ควรหยิบ ciprofloxacin จากขวดใดให้ คนไข้</t>
        </is>
      </c>
      <c r="C67" s="18" t="n"/>
      <c r="D67" s="18" t="inlineStr">
        <is>
          <t>ขวดที่มียาเม็ดเปลี่ยนสี</t>
        </is>
      </c>
      <c r="E67" s="18" t="inlineStr">
        <is>
          <t>ขวดที่มียาเม็ดบิ่น</t>
        </is>
      </c>
      <c r="F67" s="18" t="inlineStr">
        <is>
          <t>ที่ขวดเขียนว่า Mfd. 02/2010</t>
        </is>
      </c>
      <c r="G67" s="18" t="inlineStr">
        <is>
          <t>ที่ขวดเขียนว่า Exp. 02/2015</t>
        </is>
      </c>
      <c r="H67" s="18" t="inlineStr">
        <is>
          <t>ขวดที่ฉลากมีรอยเปื้อน</t>
        </is>
      </c>
      <c r="I67" s="18" t="n">
        <v>1</v>
      </c>
      <c r="J67" s="18"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(ที่ขวดเขียนว่า Mfd. 02/2010): ข้อนี้ไม่ใช่คำตอบที่ถูกต้องสำหรับภาวะ พ.ร.บ. ยา พ.ศ. 2510 เนื่องจากกลไกการออกฤทธิ์, efficacy หรือข้อบ่งใช้ไม่ตรงกับโจทย์ที่กำหนด
• ข้อ ง. (ที่ขวดเขียนว่า Exp. 02/2015): ข้อนี้ไม่ใช่คำตอบที่ถูกต้องสำหรับภาวะ พ.ร.บ. ยา พ.ศ. 2510 เนื่องจากกลไกการออกฤทธิ์, efficacy หรือข้อบ่งใช้ไม่ตรงกับโจทย์ที่กำหนด
• ข้อ จ. (ขวดที่ฉลากมีรอยเปื้อน):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8" t="n"/>
      <c r="L67" s="18" t="inlineStr">
        <is>
          <t>พ.ร.บ. ยา พ.ศ. 2510</t>
        </is>
      </c>
      <c r="M67" s="18" t="inlineStr">
        <is>
          <t>SAP</t>
        </is>
      </c>
      <c r="N67" s="18" t="inlineStr">
        <is>
          <t>ข้อ 88 ชุด 1 (เฉลยข้อ ก ง)</t>
        </is>
      </c>
      <c r="O67" s="18" t="inlineStr">
        <is>
          <t>Mock</t>
        </is>
      </c>
      <c r="P67" s="18" t="inlineStr">
        <is>
          <t>ชุด 1</t>
        </is>
      </c>
    </row>
    <row r="68">
      <c r="A68" s="18" t="n">
        <v>95</v>
      </c>
      <c r="B68" s="18" t="inlineStr">
        <is>
          <t>Sucralfate เป็นยาในบัญชียาหลักแห่งชาติ ในหมวดบัญชี ค หมายถึงข้อใด</t>
        </is>
      </c>
      <c r="C68" s="18" t="n"/>
      <c r="D68" s="18"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18"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18" t="inlineStr">
        <is>
          <t>รายการยาที่ต้องใช้ในโรคเฉพาะทาง โดยผู้ชำนาญ หรือผู้ที่ได้รับมอบหมายจากผู้อำนวยการของสถานพยาบาลนั้น ๆ</t>
        </is>
      </c>
      <c r="G68" s="18"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18"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18" t="n">
        <v>3</v>
      </c>
      <c r="J68" s="18"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8" t="n"/>
      <c r="L68" s="18" t="inlineStr">
        <is>
          <t>พ.ร.บ. ยา พ.ศ. 2510</t>
        </is>
      </c>
      <c r="M68" s="18" t="inlineStr">
        <is>
          <t>SAP</t>
        </is>
      </c>
      <c r="N68" s="18" t="inlineStr">
        <is>
          <t>ข้อ 95 ชุด 1 (เฉลยข้อ ค)</t>
        </is>
      </c>
      <c r="O68" s="18" t="inlineStr">
        <is>
          <t>Mock</t>
        </is>
      </c>
      <c r="P68" s="18" t="inlineStr">
        <is>
          <t>ชุด 1</t>
        </is>
      </c>
    </row>
    <row r="69">
      <c r="A69" s="18" t="n">
        <v>96</v>
      </c>
      <c r="B69" s="18" t="inlineStr">
        <is>
          <t>องค์การเภสัชกรรมมีการผลิตและมีจำหน่ายยา praziquantel เภสัชกรประจำโรงพยาบาลทำการสั่งซื้อยาอย่างไร</t>
        </is>
      </c>
      <c r="C69" s="18" t="n"/>
      <c r="D69" s="18" t="inlineStr">
        <is>
          <t>ตกลงราคาถ้าวงเงินไม่เกิน 100,000 บาท</t>
        </is>
      </c>
      <c r="E69" s="18" t="inlineStr">
        <is>
          <t>สอบราคาถ้าวงเงินไม่เกิน 100,000 บาท</t>
        </is>
      </c>
      <c r="F69" s="18" t="inlineStr">
        <is>
          <t>ประกวดราคาถ้าวงเงินไม่เกิน 100,000 บาท</t>
        </is>
      </c>
      <c r="G69" s="18" t="inlineStr">
        <is>
          <t>วิธีพิเศษไม่จำกัดวงเงิน</t>
        </is>
      </c>
      <c r="H69" s="18" t="inlineStr">
        <is>
          <t>วิธีกรณีพิเศษไม่จำกัดวงเงิน</t>
        </is>
      </c>
      <c r="I69" s="18" t="n">
        <v>5</v>
      </c>
      <c r="J69" s="18"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ข. (สอบราคาถ้าวงเงินไม่เกิน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(ประกวดราคาถ้าวงเงินไม่เกิน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(วิธีพิเศษไม่จำกัดวงเงิน):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8" t="n"/>
      <c r="L69" s="18" t="inlineStr">
        <is>
          <t>พ.ร.บ. ยา พ.ศ. 2510</t>
        </is>
      </c>
      <c r="M69" s="18" t="inlineStr">
        <is>
          <t>SAP</t>
        </is>
      </c>
      <c r="N69" s="18" t="inlineStr">
        <is>
          <t>ข้อ 96 ชุด 1 (เฉลยข้อ จ)</t>
        </is>
      </c>
      <c r="O69" s="18" t="inlineStr">
        <is>
          <t>Mock</t>
        </is>
      </c>
      <c r="P69" s="18" t="inlineStr">
        <is>
          <t>ชุด 1</t>
        </is>
      </c>
    </row>
    <row r="70">
      <c r="A70" s="18" t="n">
        <v>97</v>
      </c>
      <c r="B70" s="18" t="inlineStr">
        <is>
          <t>ถ้ายา antacid วิเคราะห์พบว่า มีตัวยาสำคัญ 3.05 mg/100 ml แต่ในฉลากยาระบุว่า 4.4 mg/100 ml ถามว่าจัดเป็นยากลุ่มใด</t>
        </is>
      </c>
      <c r="C70" s="18" t="n"/>
      <c r="D70" s="18" t="inlineStr">
        <is>
          <t>ยาปลอม</t>
        </is>
      </c>
      <c r="E70" s="18" t="inlineStr">
        <is>
          <t>ยาปนเปื้อน</t>
        </is>
      </c>
      <c r="F70" s="18" t="inlineStr">
        <is>
          <t>ยาผิดมาตรฐาน</t>
        </is>
      </c>
      <c r="G70" s="18" t="inlineStr">
        <is>
          <t>ยาอันตราย</t>
        </is>
      </c>
      <c r="H70" s="18" t="inlineStr">
        <is>
          <t>ยาเรียกคืน</t>
        </is>
      </c>
      <c r="I70" s="18" t="n">
        <v>1</v>
      </c>
      <c r="J70" s="1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8" t="n"/>
      <c r="L70" s="18" t="inlineStr">
        <is>
          <t>พ.ร.บ. ยา พ.ศ. 2510</t>
        </is>
      </c>
      <c r="M70" s="18" t="inlineStr">
        <is>
          <t>SAP</t>
        </is>
      </c>
      <c r="N70" s="18" t="inlineStr">
        <is>
          <t>ข้อ 97 ชุด 1 (เฉลยข้อ ก)</t>
        </is>
      </c>
      <c r="O70" s="18" t="inlineStr">
        <is>
          <t>Mock</t>
        </is>
      </c>
      <c r="P70" s="18" t="inlineStr">
        <is>
          <t>ชุด 1</t>
        </is>
      </c>
    </row>
    <row r="71">
      <c r="A71" s="18" t="n">
        <v>98</v>
      </c>
      <c r="B71" s="18" t="inlineStr">
        <is>
          <t>ข้อใดถูก</t>
        </is>
      </c>
      <c r="C71" s="18" t="n"/>
      <c r="D71" s="18" t="inlineStr">
        <is>
          <t>ยาสามัญประจำบ้าน ต้องบอกเฉพาะชื่อสามัญ ห้ามเขียนชื่อการค้า</t>
        </is>
      </c>
      <c r="E71" s="18" t="inlineStr">
        <is>
          <t>ยาสามัญประจำบ้าน ต้องเขียนคำว่า "ยาสามัญประจำบ้าน" ตัวสีแดงระบุไว้</t>
        </is>
      </c>
      <c r="F71" s="18" t="inlineStr">
        <is>
          <t>องค์การเภสัชกรรมต้องขออนุญาตผลิตยาในกรณีที่ไม่ใช่ยาสามัญประจำบ้าน</t>
        </is>
      </c>
      <c r="G71" s="18" t="inlineStr">
        <is>
          <t>โฆษณาได้แต่ต้องขออนุญาตก่อน รวมถึงในกรณีที่โฆษณากับผู้ประกอบโรคศิลป์ผ่านสื่อต่างๆ</t>
        </is>
      </c>
      <c r="H71" s="18" t="inlineStr">
        <is>
          <t>ยาสามัญประจำบ้าน ในกรณีไม่มีพื้นที่เพียงพอไม่ต้องเขียนคำว่า "ยาสามัญประจำบ้าน" ได้แต่ต้องขออนุญาต</t>
        </is>
      </c>
      <c r="I71" s="18" t="n">
        <v>4</v>
      </c>
      <c r="J71" s="18"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(ยาสามัญประจำบ้าน ต้องเขียนคำว่า "ยาสามัญประจำบ้าน" ตัวสีแดงระบุไว้): ข้อนี้ไม่ใช่คำตอบที่ถูกต้องสำหรับภาวะ พ.ร.บ. ยา พ.ศ. 2510 เนื่องจากกลไกการออกฤทธิ์, efficacy หรือข้อบ่งใช้ไม่ตรงกับโจทย์ที่กำหนด
• ข้อ ค. (องค์การเภสัชกรรมต้องขออนุญาตผลิตยาในกรณีที่ไม่ใช่ยาสามัญประจำบ้าน):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(ยาสามัญประจำบ้าน ในกรณีไม่มีพื้นที่เพียงพอไม่ต้องเขียนคำว่า "ยาสามัญประจำบ้าน" ได้แต่ต้องขออนุญาต):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8" t="n"/>
      <c r="L71" s="18" t="inlineStr">
        <is>
          <t>พ.ร.บ. ยา พ.ศ. 2510</t>
        </is>
      </c>
      <c r="M71" s="18" t="inlineStr">
        <is>
          <t>SAP</t>
        </is>
      </c>
      <c r="N71" s="18" t="inlineStr">
        <is>
          <t>ข้อ 98 ชุด 1 (เฉลยข้อ ง)</t>
        </is>
      </c>
      <c r="O71" s="18" t="inlineStr">
        <is>
          <t>Mock</t>
        </is>
      </c>
      <c r="P71" s="18" t="inlineStr">
        <is>
          <t>ชุด 1</t>
        </is>
      </c>
    </row>
    <row r="72">
      <c r="A72" s="18" t="n">
        <v>99</v>
      </c>
      <c r="B72" s="18" t="inlineStr">
        <is>
          <t>เภสัชกรร้านยา สามารถจ่ายยาแก่ผู้ป่วยรายนี้ ตามกรณีใดได้ โดยไม่ผิด ตาม พ.ร.บ. ยา 2510</t>
        </is>
      </c>
      <c r="C72" s="18" t="n"/>
      <c r="D72" s="18" t="inlineStr">
        <is>
          <t>จ่ายยา diclofenac tab 25 mg ที่เลยวันหมดอายุตามฉลากไปแล้ว 2 วัน</t>
        </is>
      </c>
      <c r="E72" s="18" t="inlineStr">
        <is>
          <t>จ่ายยา piroxicam cap 10 mg ที่ยังไม่ถึงวันหมดอายุตามฉลาก แต่ลักษณะเม็ดยากระด่างกระดำ</t>
        </is>
      </c>
      <c r="F72" s="18" t="inlineStr">
        <is>
          <t>จ่ายยาเม็ด tolperisone 50 mg และ diclofenac 25 mg ใส่ในซองเดียวกัน อย่างละ 1 เม็ด หลังอาหาร</t>
        </is>
      </c>
      <c r="G72" s="18"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18" t="inlineStr">
        <is>
          <t>นำยา rofecoxib 25 mg ซึ่งซื้อมาจากร้านค้าปลอดภาษีที่สิงคโปร์และมีราคาถูกกว่าทำในประเทศไทยมาขายที่ร้านยา</t>
        </is>
      </c>
      <c r="I72" s="18" t="n">
        <v>4</v>
      </c>
      <c r="J72" s="18"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(นำยา rofecoxib 25 mg ซึ่งซื้อมาจากร้านค้าปลอดภาษีที่สิงคโปร์และมีราคาถูกกว่าทำในประเทศไทยมาขายที่ร้านยา):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8" t="n"/>
      <c r="L72" s="18" t="inlineStr">
        <is>
          <t>พ.ร.บ. ยา พ.ศ. 2510</t>
        </is>
      </c>
      <c r="M72" s="18" t="inlineStr">
        <is>
          <t>SAP</t>
        </is>
      </c>
      <c r="N72" s="18" t="inlineStr">
        <is>
          <t>ข้อ 99 ชุด 1 (เฉลยข้อ ง)</t>
        </is>
      </c>
      <c r="O72" s="18" t="inlineStr">
        <is>
          <t>Mock</t>
        </is>
      </c>
      <c r="P72" s="18" t="inlineStr">
        <is>
          <t>ชุด 1</t>
        </is>
      </c>
    </row>
    <row r="73">
      <c r="A73" s="18" t="n">
        <v>100</v>
      </c>
      <c r="B73" s="18"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18" t="n"/>
      <c r="D73" s="18" t="inlineStr">
        <is>
          <t>Cost minimization analysis (CMA)</t>
        </is>
      </c>
      <c r="E73" s="18" t="inlineStr">
        <is>
          <t>Cost benefit analysis</t>
        </is>
      </c>
      <c r="F73" s="18" t="inlineStr">
        <is>
          <t>Cost utility analysis</t>
        </is>
      </c>
      <c r="G73" s="18" t="inlineStr">
        <is>
          <t>Cost effectiveness analysis (CEA)</t>
        </is>
      </c>
      <c r="H73" s="18" t="inlineStr">
        <is>
          <t>ถูกทุกข้อ</t>
        </is>
      </c>
      <c r="I73" s="18" t="n">
        <v>4</v>
      </c>
      <c r="J73" s="18"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ข.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8" t="n"/>
      <c r="L73" s="18" t="inlineStr">
        <is>
          <t>พ.ร.บ. ยา พ.ศ. 2510</t>
        </is>
      </c>
      <c r="M73" s="18" t="inlineStr">
        <is>
          <t>SAP</t>
        </is>
      </c>
      <c r="N73" s="18" t="inlineStr">
        <is>
          <t>ข้อ 100 ชุด 1 (เฉลยข้อ ง)</t>
        </is>
      </c>
      <c r="O73" s="18" t="inlineStr">
        <is>
          <t>Mock</t>
        </is>
      </c>
      <c r="P73" s="18" t="inlineStr">
        <is>
          <t>ชุด 1</t>
        </is>
      </c>
    </row>
    <row r="74">
      <c r="A74" s="18" t="n">
        <v>101</v>
      </c>
      <c r="B74" s="18" t="inlineStr">
        <is>
          <t>เภสัชกรที่ร้านขายยาไม่สามารถจ่ายยาต่อไปนี้ให้ผู้ป่วยรายนี้ได้</t>
        </is>
      </c>
      <c r="C74" s="18" t="n"/>
      <c r="D74" s="18" t="inlineStr">
        <is>
          <t>ยา allopurinol เนื่องจากเป็นยาอันตราย</t>
        </is>
      </c>
      <c r="E74" s="18" t="inlineStr">
        <is>
          <t>ยา colchicine เนื่องจากเป็นยาอันตราย</t>
        </is>
      </c>
      <c r="F74" s="18" t="inlineStr">
        <is>
          <t>ยา etoricoxib เนื่องจากเป็นยาควบคุมพิเศษ</t>
        </is>
      </c>
      <c r="G74" s="18" t="inlineStr">
        <is>
          <t>ยา prednisolone เนื่องจากเป็นยาควบคุมพิเศษ</t>
        </is>
      </c>
      <c r="H74" s="18" t="inlineStr">
        <is>
          <t>เภสัชกรสามารถจ่ายยาได้ทุกข้อ</t>
        </is>
      </c>
      <c r="I74" s="18" t="n">
        <v>4</v>
      </c>
      <c r="J74" s="18"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8" t="n"/>
      <c r="L74" s="18" t="inlineStr">
        <is>
          <t>พ.ร.บ. ยา พ.ศ. 2510</t>
        </is>
      </c>
      <c r="M74" s="18" t="inlineStr">
        <is>
          <t>SAP</t>
        </is>
      </c>
      <c r="N74" s="18" t="inlineStr">
        <is>
          <t>ข้อ 101 ชุด 1 (เฉลยข้อ ง)</t>
        </is>
      </c>
      <c r="O74" s="18" t="inlineStr">
        <is>
          <t>Mock</t>
        </is>
      </c>
      <c r="P74" s="18" t="inlineStr">
        <is>
          <t>ชุด 1</t>
        </is>
      </c>
    </row>
    <row r="75">
      <c r="A75" s="18" t="n">
        <v>104</v>
      </c>
      <c r="B75" s="18"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18" t="n"/>
      <c r="D75" s="18" t="inlineStr">
        <is>
          <t>Cohort study</t>
        </is>
      </c>
      <c r="E75" s="18" t="inlineStr">
        <is>
          <t>Crossover study</t>
        </is>
      </c>
      <c r="F75" s="18" t="inlineStr">
        <is>
          <t>Control study</t>
        </is>
      </c>
      <c r="G75" s="18" t="inlineStr">
        <is>
          <t>Case-control study</t>
        </is>
      </c>
      <c r="H75" s="18" t="inlineStr">
        <is>
          <t>Cross-section study</t>
        </is>
      </c>
      <c r="I75" s="18" t="n">
        <v>3</v>
      </c>
      <c r="J75" s="18"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ข. (Crossover study): ข้อนี้ไม่ใช่คำตอบที่ถูกต้องสำหรับภาวะ พ.ร.บ. ยา พ.ศ. 2510 เนื่องจากกลไกการออกฤทธิ์, efficacy หรือข้อบ่งใช้ไม่ตรงกับโจทย์ที่กำหนด
• ข้อ ง. (Case-control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(Cross-section study):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8" t="n"/>
      <c r="L75" s="18" t="inlineStr">
        <is>
          <t>พ.ร.บ. ยา พ.ศ. 2510</t>
        </is>
      </c>
      <c r="M75" s="18" t="inlineStr">
        <is>
          <t>SAP</t>
        </is>
      </c>
      <c r="N75" s="18" t="inlineStr">
        <is>
          <t>ข้อ 104 ชุด 1 (เฉลยข้อ ค)</t>
        </is>
      </c>
      <c r="O75" s="18" t="inlineStr">
        <is>
          <t>Mock</t>
        </is>
      </c>
      <c r="P75" s="18" t="inlineStr">
        <is>
          <t>ชุด 1</t>
        </is>
      </c>
    </row>
    <row r="76">
      <c r="A76" s="18" t="n">
        <v>107</v>
      </c>
      <c r="B76" s="18" t="inlineStr">
        <is>
          <t>เด็กทารกได้รับการฉีดวัคซีน หลังจากนั้นเด็กมีอาการไข้สูง 39 °C ชัก จะมาเรียกร้องค่าเสียหายได้หรือไม่ เพราะเหตุใด</t>
        </is>
      </c>
      <c r="C76" s="18" t="n"/>
      <c r="D76" s="18" t="inlineStr">
        <is>
          <t>ได้ ผู้บริโภคมีสิทธิที่จะได้รับการพิจารณาและได้รับค่าเสียหาย</t>
        </is>
      </c>
      <c r="E76" s="18" t="inlineStr">
        <is>
          <t>ได้ ผู้บริโภคมีสิทธิที่จะปฏิเสธไม่รับวัคซีน</t>
        </is>
      </c>
      <c r="F76" s="18" t="inlineStr">
        <is>
          <t>ไม่ได้ เนื่องจากผู้บริโภคมีสิทธิที่จะทราบผลดี ผลเสีย แต่ไม่ทำ</t>
        </is>
      </c>
      <c r="G76" s="18" t="inlineStr">
        <is>
          <t>ไม่ได้ เนื่องจากอาการข้างเคียงที่เกิดขึ้นพบน้อย</t>
        </is>
      </c>
      <c r="H76" s="18" t="inlineStr">
        <is>
          <t>ไม่ได้ เนื่องจากไม่มีความผิดในการรักษา</t>
        </is>
      </c>
      <c r="I76" s="18" t="n">
        <v>5</v>
      </c>
      <c r="J76" s="18"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ผู้บริโภคมีสิทธิที่จะปฏิเสธไม่รับวัคซีน):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เนื่องจากผู้บริโภคมีสิทธิที่จะทราบผลดี ผลเสีย แต่ไม่ทำ):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เนื่องจากอาการข้างเคียงที่เกิดขึ้นพบน้อย):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18" t="n"/>
      <c r="L76" s="18" t="inlineStr">
        <is>
          <t>พ.ร.บ. ยา พ.ศ. 2510</t>
        </is>
      </c>
      <c r="M76" s="18" t="inlineStr">
        <is>
          <t>SAP</t>
        </is>
      </c>
      <c r="N76" s="18" t="inlineStr">
        <is>
          <t>ข้อ 107 ชุด 1 (เฉลยข้อ จ)</t>
        </is>
      </c>
      <c r="O76" s="18" t="inlineStr">
        <is>
          <t>Mock</t>
        </is>
      </c>
      <c r="P76" s="18" t="inlineStr">
        <is>
          <t>ชุด 1</t>
        </is>
      </c>
    </row>
    <row r="77">
      <c r="A77" s="18" t="n">
        <v>108</v>
      </c>
      <c r="B77" s="18"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18" t="n"/>
      <c r="D77" s="18" t="inlineStr">
        <is>
          <t>ยาปลอม</t>
        </is>
      </c>
      <c r="E77" s="18" t="inlineStr">
        <is>
          <t>ยาปนเปื้อน</t>
        </is>
      </c>
      <c r="F77" s="18" t="inlineStr">
        <is>
          <t>ยาผิดมาตรฐาน</t>
        </is>
      </c>
      <c r="G77" s="18" t="inlineStr">
        <is>
          <t>ยาด้อยคุณภาพ</t>
        </is>
      </c>
      <c r="H77" s="18" t="inlineStr">
        <is>
          <t>ยาเสื่อมคุณภาพ</t>
        </is>
      </c>
      <c r="I77" s="18" t="n">
        <v>1</v>
      </c>
      <c r="J77" s="1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(ยาด้อยคุณภาพ):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18" t="n"/>
      <c r="L77" s="18" t="inlineStr">
        <is>
          <t>พ.ร.บ. ยา พ.ศ. 2510</t>
        </is>
      </c>
      <c r="M77" s="18" t="inlineStr">
        <is>
          <t>SAP</t>
        </is>
      </c>
      <c r="N77" s="18" t="inlineStr">
        <is>
          <t>ข้อ 108 ชุด 1 (เฉลยข้อ ก)</t>
        </is>
      </c>
      <c r="O77" s="18" t="inlineStr">
        <is>
          <t>Mock</t>
        </is>
      </c>
      <c r="P77" s="18" t="inlineStr">
        <is>
          <t>ชุด 1</t>
        </is>
      </c>
    </row>
    <row r="78">
      <c r="A78" s="18" t="n">
        <v>109</v>
      </c>
      <c r="B78" s="18" t="inlineStr">
        <is>
          <t>ข้อใดไม่ใช่ใช้อำนาจของสารวัตรอาหารและยา ในการปฏิบัติหน้าที่ตามพระราชบัญญัติยา</t>
        </is>
      </c>
      <c r="C78" s="18" t="n"/>
      <c r="D78" s="18" t="inlineStr">
        <is>
          <t>ยึดหรืออายัดยา</t>
        </is>
      </c>
      <c r="E78" s="18" t="inlineStr">
        <is>
          <t>เข้าไปตรวจร้านยานอกเวลาทำการ</t>
        </is>
      </c>
      <c r="F78" s="18" t="inlineStr">
        <is>
          <t>นำยาไปทำลายตามข้อกำหนดกระทรวง</t>
        </is>
      </c>
      <c r="G78" s="18" t="inlineStr">
        <is>
          <t>นำยาไปเป็นตัวอย่างเพื่อการตรวจวิเคราะห์</t>
        </is>
      </c>
      <c r="H78" s="18" t="inlineStr">
        <is>
          <t>ให้ร้านยาเรียกเก็บคืนภายในเวลาที่กำหนด</t>
        </is>
      </c>
      <c r="I78" s="18" t="n">
        <v>2</v>
      </c>
      <c r="J78" s="18"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(นำยาไปทำลายตามข้อกำหนดกระทรวง):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ง. (นำยาไปเป็นตัวอย่างเพื่อการตรวจวิเคราะห์):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จ. (ให้ร้านยาเรียกเก็บคืนภายในเวลาที่กำหนด):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18" t="n"/>
      <c r="L78" s="18" t="inlineStr">
        <is>
          <t>พ.ร.บ. ยา พ.ศ. 2510</t>
        </is>
      </c>
      <c r="M78" s="18" t="inlineStr">
        <is>
          <t>SAP</t>
        </is>
      </c>
      <c r="N78" s="18" t="inlineStr">
        <is>
          <t>ข้อ 109 ชุด 1 (เฉลยข้อ ข)</t>
        </is>
      </c>
      <c r="O78" s="18" t="inlineStr">
        <is>
          <t>Mock</t>
        </is>
      </c>
      <c r="P78" s="18" t="inlineStr">
        <is>
          <t>ชุด 1</t>
        </is>
      </c>
    </row>
    <row r="79">
      <c r="A79" s="18" t="n">
        <v>110</v>
      </c>
      <c r="B79" s="18" t="inlineStr">
        <is>
          <t>ตามกฎหมายไทยในปัจจุบัน ยากลุ่มใดที่ต้องใช้ใบสั่งแพทย์ในการจ่ายยา</t>
        </is>
      </c>
      <c r="C79" s="18" t="n"/>
      <c r="D79" s="18" t="inlineStr">
        <is>
          <t>Antipsychotic drugs</t>
        </is>
      </c>
      <c r="E79" s="18" t="inlineStr">
        <is>
          <t>Hypnotic drugs กลุ่ม BZD</t>
        </is>
      </c>
      <c r="F79" s="18" t="inlineStr">
        <is>
          <t>Antidepressant กลุ่ม SSRI</t>
        </is>
      </c>
      <c r="G79" s="18" t="inlineStr">
        <is>
          <t>Melatonin receptor agonist</t>
        </is>
      </c>
      <c r="H79" s="18" t="inlineStr">
        <is>
          <t>ถูกทุกข้อ</t>
        </is>
      </c>
      <c r="I79" s="18" t="n">
        <v>1</v>
      </c>
      <c r="J79" s="18"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ข้อนี้ไม่ใช่คำตอบที่ถูกต้องสำหรับภาวะ พ.ร.บ. ยา พ.ศ. 2510 เนื่องจากกลไกการออกฤทธิ์, efficacy หรือข้อบ่งใช้ไม่ตรงกับโจทย์ที่กำหนด
• ข้อ ค. (Antidepressant กลุ่ม SSRI): ข้อนี้ไม่ใช่คำตอบที่ถูกต้องสำหรับภาวะ พ.ร.บ. ยา พ.ศ. 2510 เนื่องจากกลไกการออกฤทธิ์, efficacy หรือข้อบ่งใช้ไม่ตรงกับโจทย์ที่กำหนด
• ข้อ ง. (Melatonin receptor agonist):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18" t="n"/>
      <c r="L79" s="18" t="inlineStr">
        <is>
          <t>พ.ร.บ. ยา พ.ศ. 2510</t>
        </is>
      </c>
      <c r="M79" s="18" t="inlineStr">
        <is>
          <t>SAP</t>
        </is>
      </c>
      <c r="N79" s="18" t="inlineStr">
        <is>
          <t>ข้อ 110 ชุด 1 (เฉลยข้อ ก ข)</t>
        </is>
      </c>
      <c r="O79" s="18" t="inlineStr">
        <is>
          <t>Mock</t>
        </is>
      </c>
      <c r="P79" s="18" t="inlineStr">
        <is>
          <t>ชุด 1</t>
        </is>
      </c>
    </row>
    <row r="80">
      <c r="A80" s="18" t="n">
        <v>111</v>
      </c>
      <c r="B80" s="18" t="inlineStr">
        <is>
          <t>เหตุใดร้านขายยาจึงขาย Phenobarbital ไม่ได้</t>
        </is>
      </c>
      <c r="C80" s="18" t="n"/>
      <c r="D80" s="18" t="inlineStr">
        <is>
          <t>เพราะยังไม่มีใบอนุญาตมีจำหน่ายวัตถุออกฤทธิ์ต่อจิตประสาทประเภท 3</t>
        </is>
      </c>
      <c r="E80" s="18" t="inlineStr">
        <is>
          <t>เพราะยังไม่มีใบอนุญาตมีจำหน่ายวัตถุออกฤทธิ์ต่อจิตประสาทประเภท 4</t>
        </is>
      </c>
      <c r="F80" s="18" t="inlineStr">
        <is>
          <t>เพราะยังไม่มีใบอนุญาตมีจำหน่ายยาอันตราย</t>
        </is>
      </c>
      <c r="G80" s="18" t="inlineStr">
        <is>
          <t>เพราะยังไม่มีใบอนุญาตมีจำหน่ายยาควบคุมพิเศษ</t>
        </is>
      </c>
      <c r="H80" s="18" t="inlineStr">
        <is>
          <t>ไม่มีข้อใดถูก</t>
        </is>
      </c>
      <c r="I80" s="18" t="n">
        <v>2</v>
      </c>
      <c r="J80" s="18"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18" t="n"/>
      <c r="L80" s="18" t="inlineStr">
        <is>
          <t>พ.ร.บ. ยาเสพติดให้โทษ &amp; วัตถุออกฤทธิ์</t>
        </is>
      </c>
      <c r="M80" s="18" t="inlineStr">
        <is>
          <t>SAP</t>
        </is>
      </c>
      <c r="N80" s="18" t="inlineStr">
        <is>
          <t>ข้อ 111 ชุด 1 (เฉลยข้อ ข)</t>
        </is>
      </c>
      <c r="O80" s="18" t="inlineStr">
        <is>
          <t>Mock</t>
        </is>
      </c>
      <c r="P80" s="18" t="inlineStr">
        <is>
          <t>ชุด 1</t>
        </is>
      </c>
    </row>
    <row r="81">
      <c r="A81" s="18" t="n">
        <v>112</v>
      </c>
      <c r="B81" s="18" t="inlineStr">
        <is>
          <t>ข้อใดถูกต้องเกี่ยวกับยา fluoxetine</t>
        </is>
      </c>
      <c r="C81" s="18" t="n"/>
      <c r="D81" s="18" t="inlineStr">
        <is>
          <t>จัดอยู่ในประเภทอันตราย เภสัชกรสามารถจ่ายได้ในร้านยา</t>
        </is>
      </c>
      <c r="E81" s="18" t="inlineStr">
        <is>
          <t>จัดอยู่ในประเภทควบคุมพิเศษ เภสัชกรไม่สามารถจ่ายได้</t>
        </is>
      </c>
      <c r="F81" s="18" t="inlineStr">
        <is>
          <t>จัดอยู่ในประเภทอันตราย จ่ายได้เฉพาะในโรงพยาบาล</t>
        </is>
      </c>
      <c r="G81" s="18" t="inlineStr">
        <is>
          <t>จัดอยู่ในประเภทยาเสพติดให้โทษประเภท 4 ต้องทำบัญชีรายงานคณะกรรมการอาหารและยา</t>
        </is>
      </c>
      <c r="H81" s="18" t="inlineStr">
        <is>
          <t>จัดอยู่ในประเภทวัตถุออกฤทธิ์ต่อจิตประสาท</t>
        </is>
      </c>
      <c r="I81" s="18" t="n">
        <v>1</v>
      </c>
      <c r="J81" s="18"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(จัดอยู่ในประเภทยาเสพติดให้โทษประเภท 4 ต้องทำบัญชีรายงานคณะกรรมการอาหารและยา):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18" t="n"/>
      <c r="L81" s="18" t="inlineStr">
        <is>
          <t>พ.ร.บ. ยา พ.ศ. 2510</t>
        </is>
      </c>
      <c r="M81" s="18" t="inlineStr">
        <is>
          <t>SAP</t>
        </is>
      </c>
      <c r="N81" s="18" t="inlineStr">
        <is>
          <t>ข้อ 112 ชุด 1 (เฉลยข้อ ก)</t>
        </is>
      </c>
      <c r="O81" s="18" t="inlineStr">
        <is>
          <t>Mock</t>
        </is>
      </c>
      <c r="P81" s="18" t="inlineStr">
        <is>
          <t>ชุด 1</t>
        </is>
      </c>
    </row>
    <row r="82">
      <c r="A82" s="18" t="n">
        <v>113</v>
      </c>
      <c r="B82" s="18" t="inlineStr">
        <is>
          <t>Clozapine จัดเป็นยาในข้อใด</t>
        </is>
      </c>
      <c r="C82" s="18" t="n"/>
      <c r="D82" s="18" t="inlineStr">
        <is>
          <t>ยาอันตราย</t>
        </is>
      </c>
      <c r="E82" s="18" t="inlineStr">
        <is>
          <t>ยาบรรจุเสร็จ</t>
        </is>
      </c>
      <c r="F82" s="18" t="inlineStr">
        <is>
          <t>วัตถุออกฤทธิ์ต่อจิตประสาท</t>
        </is>
      </c>
      <c r="G82" s="18" t="inlineStr">
        <is>
          <t>ยาเสพติด</t>
        </is>
      </c>
      <c r="H82" s="18" t="inlineStr">
        <is>
          <t>ยาควบคุมพิเศษ</t>
        </is>
      </c>
      <c r="I82" s="18" t="n">
        <v>5</v>
      </c>
      <c r="J82" s="18"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18" t="n"/>
      <c r="L82" s="18" t="inlineStr">
        <is>
          <t>พ.ร.บ. ยา พ.ศ. 2510</t>
        </is>
      </c>
      <c r="M82" s="18" t="inlineStr">
        <is>
          <t>SAP</t>
        </is>
      </c>
      <c r="N82" s="18" t="inlineStr">
        <is>
          <t>ข้อ 113 ชุด 1 (เฉลยข้อ จ)</t>
        </is>
      </c>
      <c r="O82" s="18" t="inlineStr">
        <is>
          <t>Mock</t>
        </is>
      </c>
      <c r="P82" s="18" t="inlineStr">
        <is>
          <t>ชุด 1</t>
        </is>
      </c>
    </row>
    <row r="83">
      <c r="A83" s="18" t="n">
        <v>114</v>
      </c>
      <c r="B83" s="18" t="inlineStr">
        <is>
          <t>Flunarizine จัดเป็นยาในข้อใด</t>
        </is>
      </c>
      <c r="C83" s="18" t="n"/>
      <c r="D83" s="18" t="inlineStr">
        <is>
          <t>ยาอันตราย</t>
        </is>
      </c>
      <c r="E83" s="18" t="inlineStr">
        <is>
          <t>ยาบรรจุเสร็จ</t>
        </is>
      </c>
      <c r="F83" s="18" t="inlineStr">
        <is>
          <t>วัตถุออกฤทธิ์ต่อจิตประสาท</t>
        </is>
      </c>
      <c r="G83" s="18" t="inlineStr">
        <is>
          <t>ยาเสพติด</t>
        </is>
      </c>
      <c r="H83" s="18" t="inlineStr">
        <is>
          <t>ยาควบคุมพิเศษ</t>
        </is>
      </c>
      <c r="I83" s="18" t="n">
        <v>1</v>
      </c>
      <c r="J83" s="1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18" t="n"/>
      <c r="L83" s="18" t="inlineStr">
        <is>
          <t>พ.ร.บ. ยา พ.ศ. 2510</t>
        </is>
      </c>
      <c r="M83" s="18" t="inlineStr">
        <is>
          <t>SAP</t>
        </is>
      </c>
      <c r="N83" s="18" t="inlineStr">
        <is>
          <t>ข้อ 114 ชุด 1 (เฉลยข้อ ก)</t>
        </is>
      </c>
      <c r="O83" s="18" t="inlineStr">
        <is>
          <t>Mock</t>
        </is>
      </c>
      <c r="P83" s="18" t="inlineStr">
        <is>
          <t>ชุด 1</t>
        </is>
      </c>
    </row>
    <row r="84">
      <c r="A84" s="18" t="n">
        <v>115</v>
      </c>
      <c r="B84" s="18" t="inlineStr">
        <is>
          <t>ข้อใดไม่ใช่บทบาทเภสัชกรในการจ่ายยา clozapine</t>
        </is>
      </c>
      <c r="C84" s="18" t="n"/>
      <c r="D84" s="18" t="inlineStr">
        <is>
          <t>ต้องอยู่ประจำร้านเวลาเปิดการ</t>
        </is>
      </c>
      <c r="E84" s="18" t="inlineStr">
        <is>
          <t>ต้องจ่ายยาตามใบสั่งแพทย์</t>
        </is>
      </c>
      <c r="F84" s="18" t="inlineStr">
        <is>
          <t>ต้องควบคุมการจัดยาให้เป็นสัดส่วน</t>
        </is>
      </c>
      <c r="G84" s="18" t="inlineStr">
        <is>
          <t>ต้องควบคุมบัญชีซื้อ-จ่าย</t>
        </is>
      </c>
      <c r="H84" s="18" t="inlineStr">
        <is>
          <t>ต้องควบคุมการแบ่งบรรจุและฉลาก</t>
        </is>
      </c>
      <c r="I84" s="18" t="n">
        <v>5</v>
      </c>
      <c r="J84" s="18"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ข. (ต้องจ่ายยาตามใบสั่งแพทย์):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(ต้องควบคุมการจัดยาให้เป็นสัดส่วน): ข้อนี้ไม่ใช่คำตอบที่ถูกต้องสำหรับภาวะ พ.ร.บ. ยา พ.ศ. 2510 เนื่องจากกลไกการออกฤทธิ์, efficacy หรือข้อบ่งใช้ไม่ตรงกับโจทย์ที่กำหนด
• ข้อ ง. (ต้องควบคุมบัญชีซื้อ-จ่าย):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18" t="n"/>
      <c r="L84" s="18" t="inlineStr">
        <is>
          <t>พ.ร.บ. ยา พ.ศ. 2510</t>
        </is>
      </c>
      <c r="M84" s="18" t="inlineStr">
        <is>
          <t>SAP</t>
        </is>
      </c>
      <c r="N84" s="18" t="inlineStr">
        <is>
          <t>ข้อ 115 ชุด 1 (เฉลยข้อ จ)</t>
        </is>
      </c>
      <c r="O84" s="18" t="inlineStr">
        <is>
          <t>Mock</t>
        </is>
      </c>
      <c r="P84" s="18" t="inlineStr">
        <is>
          <t>ชุด 1</t>
        </is>
      </c>
    </row>
    <row r="85">
      <c r="A85" s="18" t="n">
        <v>116</v>
      </c>
      <c r="B85" s="18" t="inlineStr">
        <is>
          <t>ข้อใดผิด</t>
        </is>
      </c>
      <c r="C85" s="18" t="n"/>
      <c r="D85" s="18" t="inlineStr">
        <is>
          <t>imipramine เป็นยาอันตราย</t>
        </is>
      </c>
      <c r="E85" s="18" t="inlineStr">
        <is>
          <t>วัตถุออกฤทธิ์ต่อจิตประสาท ประเภท 3 ห้ามขายในร้านยา</t>
        </is>
      </c>
      <c r="F85" s="18" t="inlineStr">
        <is>
          <t>ยาจิตเภทเป็นยาควบคุมพิเศษ</t>
        </is>
      </c>
      <c r="G85" s="18" t="inlineStr">
        <is>
          <t>ยาสงบระงับ (tranquilizer) เป็นยาอันตราย ยกเว้นประกาศเป็นยาควบคุมพิเศษ</t>
        </is>
      </c>
      <c r="H85" s="18" t="inlineStr">
        <is>
          <t>ยาสงบระงับ (tranquilizer) เป็นยาอันตราย ยกเว้นประกาศเป็นวัตถุออกฤทธิ์ต่อจิตประสาท</t>
        </is>
      </c>
      <c r="I85" s="18" t="n">
        <v>2</v>
      </c>
      <c r="J85" s="18"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18" t="n"/>
      <c r="L85" s="18" t="inlineStr">
        <is>
          <t>พ.ร.บ. ยา พ.ศ. 2510</t>
        </is>
      </c>
      <c r="M85" s="18" t="inlineStr">
        <is>
          <t>SAP</t>
        </is>
      </c>
      <c r="N85" s="18" t="inlineStr">
        <is>
          <t>ข้อ 116 ชุด 1 (เฉลยข้อ ข)</t>
        </is>
      </c>
      <c r="O85" s="18" t="inlineStr">
        <is>
          <t>Mock</t>
        </is>
      </c>
      <c r="P85" s="18" t="inlineStr">
        <is>
          <t>ชุด 1</t>
        </is>
      </c>
    </row>
    <row r="86">
      <c r="A86" s="18" t="n">
        <v>117</v>
      </c>
      <c r="B86" s="18" t="inlineStr">
        <is>
          <t>ท่านสามารถจ่ายยา diazepam 5 mg tablet ได้หรือไม่</t>
        </is>
      </c>
      <c r="C86" s="18" t="n"/>
      <c r="D86" s="18" t="inlineStr">
        <is>
          <t>ได้ เพราะเป็นการจ่ายยาต่อเนื่องจากแพทย์ (refill medication)</t>
        </is>
      </c>
      <c r="E86" s="18" t="inlineStr">
        <is>
          <t>ได้ เพราะบ้านผู้ป่วยอยู่ห่างจากโรงพยาบาล 10 กิโลเมตร</t>
        </is>
      </c>
      <c r="F86" s="18" t="inlineStr">
        <is>
          <t>ไม่ได้ เพราะไม่อนุญาตให้ขายยานี้ในร้านยา</t>
        </is>
      </c>
      <c r="G86" s="18" t="inlineStr">
        <is>
          <t>ไม่ได้ เพราะยานี้ต้องจ่ายตามใบสั่งยา</t>
        </is>
      </c>
      <c r="H86" s="18" t="inlineStr">
        <is>
          <t>ไม่ได้ เพราะเป็นยาควบคุมพิเศษ</t>
        </is>
      </c>
      <c r="I86" s="18" t="n">
        <v>2</v>
      </c>
      <c r="J86" s="18"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เพราะไม่อนุญาตให้ขายยานี้ในร้านยา):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เพราะยานี้ต้องจ่ายตามใบสั่งยา):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18" t="n"/>
      <c r="L86" s="18" t="inlineStr">
        <is>
          <t>พ.ร.บ. ยา พ.ศ. 2510</t>
        </is>
      </c>
      <c r="M86" s="18" t="inlineStr">
        <is>
          <t>SAP</t>
        </is>
      </c>
      <c r="N86" s="18" t="inlineStr">
        <is>
          <t>ข้อ 117 ชุด 1 (เฉลยข้อ ข)</t>
        </is>
      </c>
      <c r="O86" s="18" t="inlineStr">
        <is>
          <t>Mock</t>
        </is>
      </c>
      <c r="P86" s="18" t="inlineStr">
        <is>
          <t>ชุด 1</t>
        </is>
      </c>
    </row>
    <row r="87">
      <c r="A87" s="18" t="n">
        <v>118</v>
      </c>
      <c r="B87" s="18" t="inlineStr">
        <is>
          <t>จากข้อกำหนดเกณฑ์ขั้นตอนของร้านยาคุณภาพของสภาเภสัชกรรม ข้อใดไม่อยู่ในเกณฑ์ดังกล่าว</t>
        </is>
      </c>
      <c r="C87" s="18" t="n"/>
      <c r="D87" s="18"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18"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18" t="inlineStr">
        <is>
          <t>มีเภสัชกรเป็นผู้ส่งมอบยาให้แก่ผู้มารับบริการโดยตรง</t>
        </is>
      </c>
      <c r="G87" s="18" t="inlineStr">
        <is>
          <t>ห้ามส่งมอบยาอันตรายให้เด็กอายุต่ำกว่า 12 ปี ในทุกกรณี</t>
        </is>
      </c>
      <c r="H87" s="18" t="inlineStr">
        <is>
          <t>ไม่มีคำตอบที่ต้องการ</t>
        </is>
      </c>
      <c r="I87" s="18" t="n">
        <v>4</v>
      </c>
      <c r="J87" s="18"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(มีเภสัชกรเป็นผู้ส่งมอบยาให้แก่ผู้มารับบริการโดยตรง):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(ไม่มีคำตอบที่ต้องการ):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18" t="n"/>
      <c r="L87" s="18" t="inlineStr">
        <is>
          <t>พ.ร.บ. วิชาชีพเภสัชกรรม 2537</t>
        </is>
      </c>
      <c r="M87" s="18" t="inlineStr">
        <is>
          <t>SAP</t>
        </is>
      </c>
      <c r="N87" s="18" t="inlineStr">
        <is>
          <t>ข้อ 118 ชุด 1 (เฉลยข้อ ง)</t>
        </is>
      </c>
      <c r="O87" s="18" t="inlineStr">
        <is>
          <t>Mock</t>
        </is>
      </c>
      <c r="P87" s="18" t="inlineStr">
        <is>
          <t>ชุด 1</t>
        </is>
      </c>
    </row>
    <row r="88">
      <c r="A88" s="18" t="n">
        <v>119</v>
      </c>
      <c r="B88" s="18" t="inlineStr">
        <is>
          <t>บริษัทเตรียมสคลิปโฆษณายา norfloxacin เพื่อเตรียมออกอากาศทางทีวี ข้อใดกล่าวถูกต้อง เมื่ออ้างถึงพรบ. ยา 2510</t>
        </is>
      </c>
      <c r="C88" s="18" t="n"/>
      <c r="D88" s="18" t="inlineStr">
        <is>
          <t>สามารถมีการร้องรำทำเพลงประกอบโฆษณา norfloxacin ชนิดเม็ดได้</t>
        </is>
      </c>
      <c r="E88" s="18" t="inlineStr">
        <is>
          <t>สามารถมีเภสัชกรบอกสรรพคุณของยาได้</t>
        </is>
      </c>
      <c r="F88" s="18" t="inlineStr">
        <is>
          <t>การโฆษณานี้ สามารถมีรายการแถม คือซื้อ norfloxacin 100 เม็ด แถมยา paracetamol 1 แผง</t>
        </is>
      </c>
      <c r="G88" s="18" t="inlineStr">
        <is>
          <t>ยานี้จะโฆษณาผ่านทางทีวีเพื่อแสดงสรรพคุณยาไม่ได้เลย</t>
        </is>
      </c>
      <c r="H88" s="18"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18" t="n">
        <v>4</v>
      </c>
      <c r="J88" s="18"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(สามารถมีเภสัชกรบอกสรรพคุณของยาได้):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18" t="n"/>
      <c r="L88" s="18" t="inlineStr">
        <is>
          <t>พ.ร.บ. ยา พ.ศ. 2510</t>
        </is>
      </c>
      <c r="M88" s="18" t="inlineStr">
        <is>
          <t>SAP</t>
        </is>
      </c>
      <c r="N88" s="18" t="inlineStr">
        <is>
          <t>ข้อ 119 ชุด 1 (เฉลยข้อ ง)</t>
        </is>
      </c>
      <c r="O88" s="18" t="inlineStr">
        <is>
          <t>Mock</t>
        </is>
      </c>
      <c r="P88" s="18" t="inlineStr">
        <is>
          <t>ชุด 1</t>
        </is>
      </c>
    </row>
    <row r="89">
      <c r="A89" s="18" t="n">
        <v>120</v>
      </c>
      <c r="B89" s="18"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18" t="n"/>
      <c r="D89" s="18" t="inlineStr">
        <is>
          <t>ยาสมุนไพร</t>
        </is>
      </c>
      <c r="E89" s="18" t="inlineStr">
        <is>
          <t>ยาสามัญประจำบ้าน</t>
        </is>
      </c>
      <c r="F89" s="18" t="inlineStr">
        <is>
          <t>ยาแผนโบราณ</t>
        </is>
      </c>
      <c r="G89" s="18" t="inlineStr">
        <is>
          <t>ยาปลอม</t>
        </is>
      </c>
      <c r="H89" s="18" t="inlineStr">
        <is>
          <t>ยาแผนไทย</t>
        </is>
      </c>
      <c r="I89" s="18" t="n">
        <v>1</v>
      </c>
      <c r="J89" s="18"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(ยาปลอม):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(ยาแผนไทย):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18" t="n"/>
      <c r="L89" s="18" t="inlineStr">
        <is>
          <t>พ.ร.บ. ผลิตภัณฑ์สมุนไพร &amp; เครื่องสำอาง</t>
        </is>
      </c>
      <c r="M89" s="18" t="inlineStr">
        <is>
          <t>SAP</t>
        </is>
      </c>
      <c r="N89" s="18" t="inlineStr">
        <is>
          <t>ข้อ 120 ชุด 1 (เฉลยข้อ ก)</t>
        </is>
      </c>
      <c r="O89" s="18" t="inlineStr">
        <is>
          <t>Mock</t>
        </is>
      </c>
      <c r="P89" s="18" t="inlineStr">
        <is>
          <t>ชุด 1</t>
        </is>
      </c>
    </row>
    <row r="90">
      <c r="A90" s="18" t="n">
        <v>121</v>
      </c>
      <c r="B90" s="18"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18" t="n"/>
      <c r="D90" s="18" t="inlineStr">
        <is>
          <t>Unit cost analysis</t>
        </is>
      </c>
      <c r="E90" s="18" t="inlineStr">
        <is>
          <t>Cost effectiveness analysis</t>
        </is>
      </c>
      <c r="F90" s="18" t="inlineStr">
        <is>
          <t>Cost minimization analysis</t>
        </is>
      </c>
      <c r="G90" s="18" t="inlineStr">
        <is>
          <t>Cost benefit analysis</t>
        </is>
      </c>
      <c r="H90" s="18" t="inlineStr">
        <is>
          <t>Cost utility analysis</t>
        </is>
      </c>
      <c r="I90" s="18" t="n">
        <v>2</v>
      </c>
      <c r="J90" s="18"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18" t="n"/>
      <c r="L90" s="18" t="inlineStr">
        <is>
          <t>พ.ร.บ. ยา พ.ศ. 2510</t>
        </is>
      </c>
      <c r="M90" s="18" t="inlineStr">
        <is>
          <t>SAP</t>
        </is>
      </c>
      <c r="N90" s="18" t="inlineStr">
        <is>
          <t>ข้อ 121 ชุด 1 (เฉลยข้อ ข)</t>
        </is>
      </c>
      <c r="O90" s="18" t="inlineStr">
        <is>
          <t>Mock</t>
        </is>
      </c>
      <c r="P90" s="18" t="inlineStr">
        <is>
          <t>ชุด 1</t>
        </is>
      </c>
    </row>
    <row r="91">
      <c r="A91" s="18" t="n">
        <v>122</v>
      </c>
      <c r="B91" s="18" t="inlineStr">
        <is>
          <t>การพิจารณายาในโรงพยาบาล ยาใดจะไม่ถูกพิจารณาเข้าโรงพยาบาล เมื่อเปรียบเทียบกับ Utility</t>
        </is>
      </c>
      <c r="C91" s="18" t="n"/>
      <c r="D91" s="18" t="inlineStr">
        <is>
          <t>ยา A เป็นเงิน 25,000 บาท Utility เท่ากับ 0.5</t>
        </is>
      </c>
      <c r="E91" s="18" t="inlineStr">
        <is>
          <t>ยา B เป็นเงิน 50,000 บาท Utility เท่ากับ 0.5</t>
        </is>
      </c>
      <c r="F91" s="18" t="inlineStr">
        <is>
          <t>ยา C เป็นเงิน 55,000 บาท Utility เท่ากับ 0.6</t>
        </is>
      </c>
      <c r="G91" s="18" t="inlineStr">
        <is>
          <t>ยา D เป็นเงิน 70,000 บาท Utility เท่ากับ 0.7</t>
        </is>
      </c>
      <c r="H91" s="18" t="inlineStr">
        <is>
          <t>ยา E เป็นเงิน 80,000 บาท Utility เท่ากับ 0.8</t>
        </is>
      </c>
      <c r="I91" s="18" t="n">
        <v>5</v>
      </c>
      <c r="J91" s="18"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 B เป็นเงิน 50,000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C เป็นเงิน 55,000 บาท Utility เท่ากับ 0.6):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 D เป็นเงิน 70,000 บาท Utility เท่ากับ 0.7):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18" t="n"/>
      <c r="L91" s="18" t="inlineStr">
        <is>
          <t>พ.ร.บ. ยา พ.ศ. 2510</t>
        </is>
      </c>
      <c r="M91" s="18" t="inlineStr">
        <is>
          <t>SAP</t>
        </is>
      </c>
      <c r="N91" s="18" t="inlineStr">
        <is>
          <t>ข้อ 122 ชุด 1 (เฉลยข้อ จ)</t>
        </is>
      </c>
      <c r="O91" s="18" t="inlineStr">
        <is>
          <t>Mock</t>
        </is>
      </c>
      <c r="P91" s="18" t="inlineStr">
        <is>
          <t>ชุด 1</t>
        </is>
      </c>
    </row>
    <row r="92">
      <c r="A92" s="18" t="n">
        <v>123</v>
      </c>
      <c r="B92" s="18" t="inlineStr">
        <is>
          <t>ข้อใดไม่ผิดหลักจรรยาบรรณวิชาชีพเภสัชกรรม</t>
        </is>
      </c>
      <c r="C92" s="18" t="n"/>
      <c r="D92" s="18" t="inlineStr">
        <is>
          <t>ใช้มอเตอร์ไซค์รับจ้างไปส่งยาและรับเงินมา</t>
        </is>
      </c>
      <c r="E92" s="18" t="inlineStr">
        <is>
          <t>แนะนำให้ภรรยามาตรวจเพราะเป็นโรคติดต่อทางเพศสัมพันธ์</t>
        </is>
      </c>
      <c r="F92" s="18" t="inlineStr">
        <is>
          <t>เภสัชกรจ่ายยาสุนไพร ล้างลำไส้ผู้ป่วย เพราะเชื่อว่าไม่เป็นอันตราย</t>
        </is>
      </c>
      <c r="G92" s="18" t="inlineStr">
        <is>
          <t>เภสัชกรโทรไปบอกภรรยาผู้ป่วยโดยเภสัชกรค้นเบอร์จากที่ผู้ป่วยให้ไว้เอง เพื่อตามภรรยาผู้ป่วยมารับการรักษา</t>
        </is>
      </c>
      <c r="H92" s="18" t="inlineStr">
        <is>
          <t>เภสัชกรแนะนำไม่ให้ผู้ป่วยไปคลินิกอีก เพราะหมอจ่ายยาแล้วทำให้ผู้ป่วยแพ้ยา</t>
        </is>
      </c>
      <c r="I92" s="18" t="n">
        <v>2</v>
      </c>
      <c r="J92" s="18"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(เภสัชกรจ่ายยาสุนไพร ล้างลำไส้ผู้ป่วย เพราะเชื่อว่าไม่เป็นอันตราย):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(เภสัชกรโทรไปบอกภรรยาผู้ป่วยโดยเภสัชกรค้นเบอร์จากที่ผู้ป่วยให้ไว้เอง เพื่อตามภรรยาผู้ป่วยมารับการรักษา):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(เภสัชกรแนะนำไม่ให้ผู้ป่วยไปคลินิกอีก เพราะหมอจ่ายยาแล้วทำให้ผู้ป่วยแพ้ยา):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18" t="n"/>
      <c r="L92" s="18" t="inlineStr">
        <is>
          <t>พ.ร.บ. วิชาชีพเภสัชกรรม 2537</t>
        </is>
      </c>
      <c r="M92" s="18" t="inlineStr">
        <is>
          <t>SAP</t>
        </is>
      </c>
      <c r="N92" s="18" t="inlineStr">
        <is>
          <t>ข้อ 123 ชุด 1 (เฉลยข้อ ข)</t>
        </is>
      </c>
      <c r="O92" s="18" t="inlineStr">
        <is>
          <t>Mock</t>
        </is>
      </c>
      <c r="P92" s="18" t="inlineStr">
        <is>
          <t>ชุด 1</t>
        </is>
      </c>
    </row>
    <row r="93">
      <c r="A93" s="18" t="n">
        <v>124</v>
      </c>
      <c r="B93" s="18" t="inlineStr">
        <is>
          <t>ข้อใดถูกต้องตามหลักบัญชียาหลัก</t>
        </is>
      </c>
      <c r="C93" s="18" t="n"/>
      <c r="D93" s="18" t="inlineStr">
        <is>
          <t>Azithromycin เป็นยาบัญชี ง. ที่มีหลาย indication แต่ที่มีเหมาะสมเพียงไม่กี่ indication</t>
        </is>
      </c>
      <c r="E93" s="18" t="inlineStr">
        <is>
          <t>Doxycycline เป็นยาบัญชี ข. ใช้แทน tetracycline ในกรณีโรคติดเชื้อ</t>
        </is>
      </c>
      <c r="F93" s="18" t="inlineStr">
        <is>
          <t>Flavoxxate เป็นยาบัญชี ค. สามสามารถใช้ได้โดยผู้เชี่ยวชาญเท่านั้น</t>
        </is>
      </c>
      <c r="G93" s="18" t="inlineStr">
        <is>
          <t>Norfloxacin เป็นยาบัญชี ข. ใช้แทน ofloxacin ในกรณีโรคติดเชื้อ</t>
        </is>
      </c>
      <c r="H93" s="18" t="inlineStr">
        <is>
          <t>Phenazopyridine เป็นยาบัญชี ก. โดยสถานบริการทุกระดับสามารถเข้าถึงได้</t>
        </is>
      </c>
      <c r="I93" s="18" t="n">
        <v>2</v>
      </c>
      <c r="J93" s="18"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(Norfloxacin เป็นยาบัญชี ข. ใช้แทน ofloxacin ในกรณีโรคติดเชื้อ): ข้อนี้ไม่ใช่คำตอบที่ถูกต้องสำหรับภาวะ พ.ร.บ. ยา พ.ศ. 2510 เนื่องจากกลไกการออกฤทธิ์, efficacy หรือข้อบ่งใช้ไม่ตรงกับโจทย์ที่กำหนด
• ข้อ จ. (Phenazopyridine เป็นยาบัญชี ก. โดยสถานบริการทุกระดับสามารถเข้าถึงได้):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18" t="n"/>
      <c r="L93" s="18" t="inlineStr">
        <is>
          <t>พ.ร.บ. ยา พ.ศ. 2510</t>
        </is>
      </c>
      <c r="M93" s="18" t="inlineStr">
        <is>
          <t>SAP</t>
        </is>
      </c>
      <c r="N93" s="18" t="inlineStr">
        <is>
          <t>ข้อ 124 ชุด 1 (เฉลยข้อ ข)</t>
        </is>
      </c>
      <c r="O93" s="18" t="inlineStr">
        <is>
          <t>Mock</t>
        </is>
      </c>
      <c r="P93" s="18" t="inlineStr">
        <is>
          <t>ชุด 1</t>
        </is>
      </c>
    </row>
    <row r="94">
      <c r="A94" s="18" t="n">
        <v>125</v>
      </c>
      <c r="B94" s="18" t="inlineStr">
        <is>
          <t>ข้อใดถูกต้องเกี่ยวกับยา benzoyl peroxide</t>
        </is>
      </c>
      <c r="C94" s="18" t="n"/>
      <c r="D94" s="18" t="inlineStr">
        <is>
          <t>เป็นยาควบคุมพิเศษ</t>
        </is>
      </c>
      <c r="E94" s="18" t="inlineStr">
        <is>
          <t>เป็นยาแผนปัจจุบัน</t>
        </is>
      </c>
      <c r="F94" s="18" t="inlineStr">
        <is>
          <t>เป็นวัตถุออกฤทธิ์ต่อจิตประสาท</t>
        </is>
      </c>
      <c r="G94" s="18" t="inlineStr">
        <is>
          <t>เป็นวัตถุเสพติดให้โทษประเภท 3</t>
        </is>
      </c>
      <c r="H94" s="18" t="inlineStr">
        <is>
          <t>เป็นยาสามัญประจำบ้าน</t>
        </is>
      </c>
      <c r="I94" s="18" t="n">
        <v>1</v>
      </c>
      <c r="J94" s="18"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(เป็นวัตถุเสพติดให้โทษประเภท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18" t="n"/>
      <c r="L94" s="18" t="inlineStr">
        <is>
          <t>พ.ร.บ. ยา พ.ศ. 2510</t>
        </is>
      </c>
      <c r="M94" s="18" t="inlineStr">
        <is>
          <t>SAP</t>
        </is>
      </c>
      <c r="N94" s="18" t="inlineStr">
        <is>
          <t>ข้อ 125 ชุด 1 (เฉลยข้อ ไมมีคำตอบ)</t>
        </is>
      </c>
      <c r="O94" s="18" t="inlineStr">
        <is>
          <t>Mock</t>
        </is>
      </c>
      <c r="P94" s="18" t="inlineStr">
        <is>
          <t>ชุด 1</t>
        </is>
      </c>
    </row>
    <row r="95">
      <c r="A95" s="18" t="n">
        <v>126</v>
      </c>
      <c r="B95" s="18" t="inlineStr">
        <is>
          <t>ข้อใดคۆیาผิดมาตรฐานฐาน</t>
        </is>
      </c>
      <c r="C95" s="18" t="n"/>
      <c r="D95" s="18" t="inlineStr">
        <is>
          <t>ผสม cotrimazole ร่วมกับ terbenafine เพื่อลดต้นทุน</t>
        </is>
      </c>
      <c r="E95" s="18" t="inlineStr">
        <is>
          <t>ในฉลากระบุวันหมดอายุ คือ มกราคม 2009 แต่ความจริงหมดอายุเมื่อ มกราคม 2019</t>
        </is>
      </c>
      <c r="F95" s="18" t="inlineStr">
        <is>
          <t>ยามี %LA = 87%</t>
        </is>
      </c>
      <c r="G95" s="18" t="inlineStr">
        <is>
          <t>ยาหมดอายุตามที่ระบุไว้ในฉลาก</t>
        </is>
      </c>
      <c r="H95" s="18" t="inlineStr">
        <is>
          <t>แจ้งที่อยู่ในการผลิต ไม่ตรงกับที่ขึ้นทะเบียนยา</t>
        </is>
      </c>
      <c r="I95" s="18" t="n">
        <v>3</v>
      </c>
      <c r="J95" s="18"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18" t="n"/>
      <c r="L95" s="18" t="inlineStr">
        <is>
          <t>พ.ร.บ. ยา พ.ศ. 2510</t>
        </is>
      </c>
      <c r="M95" s="18" t="inlineStr">
        <is>
          <t>SAP</t>
        </is>
      </c>
      <c r="N95" s="18" t="inlineStr">
        <is>
          <t>ข้อ 126 ชุด 1 (เฉลยข้อ ค)</t>
        </is>
      </c>
      <c r="O95" s="18" t="inlineStr">
        <is>
          <t>Mock</t>
        </is>
      </c>
      <c r="P95" s="18" t="inlineStr">
        <is>
          <t>ชุด 1</t>
        </is>
      </c>
    </row>
    <row r="96">
      <c r="A96" s="18" t="n">
        <v>127</v>
      </c>
      <c r="B96" s="18" t="inlineStr">
        <is>
          <t>ยาที่ใช้ในโรคผิวหนังของชายผู้นี้ รายการใดที่ผู้ป่วยไม่สามารถเรียกซื้อได้จากเภสัชกรหากไม่มีใบสั่งยาจากแพทย์</t>
        </is>
      </c>
      <c r="C96" s="18" t="n"/>
      <c r="D96" s="18" t="inlineStr">
        <is>
          <t>Coal tar shampoo</t>
        </is>
      </c>
      <c r="E96" s="18" t="inlineStr">
        <is>
          <t>Dexamethasone cream</t>
        </is>
      </c>
      <c r="F96" s="18" t="inlineStr">
        <is>
          <t>Betamethasone + salicylic ointment</t>
        </is>
      </c>
      <c r="G96" s="18" t="inlineStr">
        <is>
          <t>Hydroxyzine tablet 25 mg</t>
        </is>
      </c>
      <c r="H96" s="18" t="inlineStr">
        <is>
          <t>Methotrexate tab 2.5 mg</t>
        </is>
      </c>
      <c r="I96" s="18" t="n">
        <v>5</v>
      </c>
      <c r="J96" s="18"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ข้อนี้ไม่ใช่คำตอบที่ถูกต้องสำหรับภาวะ พ.ร.บ. ยา พ.ศ. 2510 เนื่องจากกลไกการออกฤทธิ์, efficacy หรือข้อบ่งใช้ไม่ตรงกับโจทย์ที่กำหนด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ง. (Hydroxyzine tablet 25 mg):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18" t="n"/>
      <c r="L96" s="18" t="inlineStr">
        <is>
          <t>พ.ร.บ. ยา พ.ศ. 2510</t>
        </is>
      </c>
      <c r="M96" s="18" t="inlineStr">
        <is>
          <t>SAP</t>
        </is>
      </c>
      <c r="N96" s="18" t="inlineStr">
        <is>
          <t>ข้อ 127 ชุด 1 (เฉลยข้อ จ)</t>
        </is>
      </c>
      <c r="O96" s="18" t="inlineStr">
        <is>
          <t>Mock</t>
        </is>
      </c>
      <c r="P96" s="18" t="inlineStr">
        <is>
          <t>ชุด 1</t>
        </is>
      </c>
    </row>
    <row r="97">
      <c r="A97" s="18" t="n">
        <v>130</v>
      </c>
      <c r="B97" s="18" t="inlineStr">
        <is>
          <t>จากบัญชียาหลักแห่งชาติ ยา cisplatin จัดอยู่ในบัญชี ค. มีความหมายว่าอย่างไร</t>
        </is>
      </c>
      <c r="C97" s="18" t="n"/>
      <c r="D97" s="18"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18"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18" t="inlineStr">
        <is>
          <t>รายการยาที่ต้องใช้ในโรคเฉพาะทาง โดยผู้ชำนาญ หรือผู้ที่ได้รับมอบหมายจากผู้อำนวยการของสถานพยาบาล</t>
        </is>
      </c>
      <c r="G97" s="18"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18" t="inlineStr">
        <is>
          <t>รายการยาสำหรับโครงการพิเศษของรัฐ เพื่อใช้ในยามฉุกเฉิน</t>
        </is>
      </c>
      <c r="I97" s="18" t="n">
        <v>3</v>
      </c>
      <c r="J97" s="18"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(รายการยาสำหรับโครงการพิเศษของรัฐ เพื่อใช้ในยามฉุกเฉิน):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18" t="n"/>
      <c r="L97" s="18" t="inlineStr">
        <is>
          <t>พ.ร.บ. ยา พ.ศ. 2510</t>
        </is>
      </c>
      <c r="M97" s="18" t="inlineStr">
        <is>
          <t>SAP</t>
        </is>
      </c>
      <c r="N97" s="18" t="inlineStr">
        <is>
          <t>ข้อ 130 ชุด 1 (เฉลยข้อ ค)</t>
        </is>
      </c>
      <c r="O97" s="18" t="inlineStr">
        <is>
          <t>Mock</t>
        </is>
      </c>
      <c r="P97" s="18" t="inlineStr">
        <is>
          <t>ชุด 1</t>
        </is>
      </c>
    </row>
    <row r="98">
      <c r="A98" s="18" t="n">
        <v>131</v>
      </c>
      <c r="B98" s="18"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18" t="n"/>
      <c r="D98" s="18" t="inlineStr">
        <is>
          <t>Cost effectiveness analysis (CEA)</t>
        </is>
      </c>
      <c r="E98" s="18" t="inlineStr">
        <is>
          <t>Cost minimization analysis (CMA)</t>
        </is>
      </c>
      <c r="F98" s="18" t="inlineStr">
        <is>
          <t>Cost benefit analysis</t>
        </is>
      </c>
      <c r="G98" s="18" t="inlineStr">
        <is>
          <t>Cost utility analysis</t>
        </is>
      </c>
      <c r="H98" s="18" t="inlineStr">
        <is>
          <t>ถูกทุกข้อ</t>
        </is>
      </c>
      <c r="I98" s="18" t="n">
        <v>1</v>
      </c>
      <c r="J98" s="18"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18" t="n"/>
      <c r="L98" s="18" t="inlineStr">
        <is>
          <t>พ.ร.บ. ยา พ.ศ. 2510</t>
        </is>
      </c>
      <c r="M98" s="18" t="inlineStr">
        <is>
          <t>SAP</t>
        </is>
      </c>
      <c r="N98" s="18" t="inlineStr">
        <is>
          <t>ข้อ 131 ชุด 1 (เฉลยข้อ ก)</t>
        </is>
      </c>
      <c r="O98" s="18" t="inlineStr">
        <is>
          <t>Mock</t>
        </is>
      </c>
      <c r="P98" s="18" t="inlineStr">
        <is>
          <t>ชุด 1</t>
        </is>
      </c>
    </row>
    <row r="99">
      <c r="A99" s="18" t="n">
        <v>132</v>
      </c>
      <c r="B99" s="18" t="inlineStr">
        <is>
          <t>ข้อความต่อไปนี้ 2A 33/28 น่าจะปรากฏอยู่บนฉลากของยาใด</t>
        </is>
      </c>
      <c r="C99" s="18" t="n"/>
      <c r="D99" s="18" t="inlineStr">
        <is>
          <t>Prednisolone</t>
        </is>
      </c>
      <c r="E99" s="18" t="inlineStr">
        <is>
          <t>Cyclophosphamide</t>
        </is>
      </c>
      <c r="F99" s="18" t="inlineStr">
        <is>
          <t>Enalapril</t>
        </is>
      </c>
      <c r="G99" s="18" t="inlineStr">
        <is>
          <t>Calcium carbonate</t>
        </is>
      </c>
      <c r="H99" s="18" t="inlineStr">
        <is>
          <t>Obimin AF</t>
        </is>
      </c>
      <c r="I99" s="18" t="n">
        <v>5</v>
      </c>
      <c r="J99" s="18"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ข้อนี้ไม่ใช่คำตอบที่ถูกต้องสำหรับภาวะ พ.ร.บ. ยา พ.ศ. 2510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18" t="n"/>
      <c r="L99" s="18" t="inlineStr">
        <is>
          <t>พ.ร.บ. ยา พ.ศ. 2510</t>
        </is>
      </c>
      <c r="M99" s="18" t="inlineStr">
        <is>
          <t>SAP</t>
        </is>
      </c>
      <c r="N99" s="18" t="inlineStr">
        <is>
          <t>ข้อ 132 ชุด 1 (เฉลยข้อ จ)</t>
        </is>
      </c>
      <c r="O99" s="18" t="inlineStr">
        <is>
          <t>Mock</t>
        </is>
      </c>
      <c r="P99" s="18" t="inlineStr">
        <is>
          <t>ชุด 1</t>
        </is>
      </c>
    </row>
    <row r="100">
      <c r="A100" s="18" t="n">
        <v>133</v>
      </c>
      <c r="B100" s="18" t="inlineStr">
        <is>
          <t>Augmentin เป็นยาประเภทใดตามกฎหมาย</t>
        </is>
      </c>
      <c r="C100" s="18" t="n"/>
      <c r="D100" s="18" t="inlineStr">
        <is>
          <t>ยาอันตราย</t>
        </is>
      </c>
      <c r="E100" s="18" t="inlineStr">
        <is>
          <t>ยาควบคุมพิเศษ</t>
        </is>
      </c>
      <c r="F100" s="18" t="inlineStr">
        <is>
          <t>ยาสามัญประจำบ้าน</t>
        </is>
      </c>
      <c r="G100" s="18" t="inlineStr">
        <is>
          <t>วัตถุออกฤทธิ์ต่อจิตและประสาท</t>
        </is>
      </c>
      <c r="H100" s="18" t="inlineStr">
        <is>
          <t>ยาเสพติดให้โทษ</t>
        </is>
      </c>
      <c r="I100" s="18" t="n">
        <v>1</v>
      </c>
      <c r="J100" s="1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18" t="n"/>
      <c r="L100" s="18" t="inlineStr">
        <is>
          <t>พ.ร.บ. ยา พ.ศ. 2510</t>
        </is>
      </c>
      <c r="M100" s="18" t="inlineStr">
        <is>
          <t>SAP</t>
        </is>
      </c>
      <c r="N100" s="18" t="inlineStr">
        <is>
          <t>ข้อ 133 ชุด 1 (เฉลยข้อ ก)</t>
        </is>
      </c>
      <c r="O100" s="18" t="inlineStr">
        <is>
          <t>Mock</t>
        </is>
      </c>
      <c r="P100" s="18" t="inlineStr">
        <is>
          <t>ชุด 1</t>
        </is>
      </c>
    </row>
    <row r="101">
      <c r="A101" s="15" t="inlineStr">
        <is>
          <t>100</t>
        </is>
      </c>
      <c r="B101" s="18"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18" t="inlineStr"/>
      <c r="D101" s="18" t="inlineStr">
        <is>
          <t>Accurate</t>
        </is>
      </c>
      <c r="E101" s="18" t="inlineStr">
        <is>
          <t>Contemporary</t>
        </is>
      </c>
      <c r="F101" s="18" t="inlineStr">
        <is>
          <t>Enduring</t>
        </is>
      </c>
      <c r="G101" s="18" t="inlineStr">
        <is>
          <t>Legible</t>
        </is>
      </c>
      <c r="H101" s="18" t="inlineStr">
        <is>
          <t>Original</t>
        </is>
      </c>
      <c r="I101" s="15" t="inlineStr">
        <is>
          <t>1</t>
        </is>
      </c>
      <c r="J101" s="18"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ข้อนี้ไม่ใช่คำตอบที่ถูกต้องสำหรับภาวะ พ.ร.บ. ยา พ.ศ. 2510 เนื่องจากกลไกการออกฤทธิ์, efficacy หรือข้อบ่งใช้ไม่ตรงกับโจทย์ที่กำหนด
• ข้อ ค. (Contemporary): ข้อนี้ไม่ใช่คำตอบที่ถูกต้องสำหรับภาวะ พ.ร.บ. ยา พ.ศ. 2510 เนื่องจากกลไกการออกฤทธิ์, efficacy หรือข้อบ่งใช้ไม่ตรงกับโจทย์ที่กำหนด
• ข้อ ง. (Enduring): ข้อนี้ไม่ใช่คำตอบที่ถูกต้องสำหรับภาวะ พ.ร.บ. ยา พ.ศ. 2510 เนื่องจากกลไกการออกฤทธิ์, efficacy หรือข้อบ่งใช้ไม่ตรงกับโจทย์ที่กำหนด
• ข้อ จ. (Legible):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18" t="inlineStr"/>
      <c r="L101" s="18" t="inlineStr">
        <is>
          <t>พ.ร.บ. ยา พ.ศ. 2510</t>
        </is>
      </c>
      <c r="M101" s="18" t="inlineStr">
        <is>
          <t>Law &amp; Regulations &amp; Ethics</t>
        </is>
      </c>
      <c r="N101" s="18" t="inlineStr">
        <is>
          <t>Mock PLE-CC 1 ข้อ 8</t>
        </is>
      </c>
      <c r="O101" s="18" t="inlineStr">
        <is>
          <t>Mock</t>
        </is>
      </c>
      <c r="P101" s="18" t="inlineStr">
        <is>
          <t>Mock RxCU83</t>
        </is>
      </c>
      <c r="Q101" s="18" t="inlineStr"/>
    </row>
    <row r="102">
      <c r="A102" s="15" t="inlineStr">
        <is>
          <t>101</t>
        </is>
      </c>
      <c r="B102" s="18"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18" t="inlineStr"/>
      <c r="D102" s="18" t="inlineStr">
        <is>
          <t>สิทธิประกันสุขภาพแห่งชาติ</t>
        </is>
      </c>
      <c r="E102" s="18" t="inlineStr">
        <is>
          <t>สิทธิประกันสังคม</t>
        </is>
      </c>
      <c r="F102" s="18" t="inlineStr">
        <is>
          <t>สิทธิข้าราชการ</t>
        </is>
      </c>
      <c r="G102" s="18" t="inlineStr">
        <is>
          <t>สิทธิ 30 บาท</t>
        </is>
      </c>
      <c r="H102" s="18" t="inlineStr">
        <is>
          <t>สิทธิบัตรทอง</t>
        </is>
      </c>
      <c r="I102" s="15" t="inlineStr">
        <is>
          <t>1</t>
        </is>
      </c>
      <c r="J102" s="18"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ค. (สิทธิประกันสังคม):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(สิทธิข้าราชการ):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 30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18" t="inlineStr"/>
      <c r="L102" s="18" t="inlineStr">
        <is>
          <t>พ.ร.บ. ยา พ.ศ. 2510</t>
        </is>
      </c>
      <c r="M102" s="18" t="inlineStr">
        <is>
          <t>Law &amp; Regulations &amp; Ethics</t>
        </is>
      </c>
      <c r="N102" s="18" t="inlineStr">
        <is>
          <t>Mock PLE-CC 1 ข้อ 11</t>
        </is>
      </c>
      <c r="O102" s="18" t="inlineStr">
        <is>
          <t>Mock</t>
        </is>
      </c>
      <c r="P102" s="18" t="inlineStr">
        <is>
          <t>Mock RxCU83</t>
        </is>
      </c>
      <c r="Q102" s="18" t="inlineStr"/>
    </row>
    <row r="103">
      <c r="A103" s="15" t="inlineStr">
        <is>
          <t>102</t>
        </is>
      </c>
      <c r="B103" s="18" t="inlineStr">
        <is>
          <t>ต้องแจ้งให้คำแนะนำให้แพทย์ให้ยาได้ครั้งละประมาณเท่าไหร่จึงจะได้ประสิทธิภาพใกล้เคียงเดิม</t>
        </is>
      </c>
      <c r="C103" s="18" t="inlineStr"/>
      <c r="D103" s="18" t="inlineStr">
        <is>
          <t>3 ml</t>
        </is>
      </c>
      <c r="E103" s="18" t="inlineStr">
        <is>
          <t>6 ml</t>
        </is>
      </c>
      <c r="F103" s="18" t="inlineStr">
        <is>
          <t>9 ml</t>
        </is>
      </c>
      <c r="G103" s="18" t="inlineStr">
        <is>
          <t>12 ml</t>
        </is>
      </c>
      <c r="H103" s="18"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15" t="inlineStr">
        <is>
          <t>1</t>
        </is>
      </c>
      <c r="J103" s="18"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ข้อนี้ไม่ใช่คำตอบที่ถูกต้องสำหรับภาวะ พ.ร.บ. ยา พ.ศ. 2510 เนื่องจากกลไกการออกฤทธิ์, efficacy หรือข้อบ่งใช้ไม่ตรงกับโจทย์ที่กำหนด
• ข้อ ค. (6 ml): ข้อนี้ไม่ใช่คำตอบที่ถูกต้องสำหรับภาวะ พ.ร.บ. ยา พ.ศ. 2510 เนื่องจากกลไกการออกฤทธิ์, efficacy หรือข้อบ่งใช้ไม่ตรงกับโจทย์ที่กำหนด
• ข้อ ง. (9 ml): ข้อนี้ไม่ใช่คำตอบที่ถูกต้องสำหรับภาวะ พ.ร.บ. ยา พ.ศ. 2510 เนื่องจากกลไกการออกฤทธิ์, efficacy หรือข้อบ่งใช้ไม่ตรงกับโจทย์ที่กำหนด
• ข้อ จ. (12 ml):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18" t="inlineStr"/>
      <c r="L103" s="18" t="inlineStr">
        <is>
          <t>พ.ร.บ. ยา พ.ศ. 2510</t>
        </is>
      </c>
      <c r="M103" s="18" t="inlineStr">
        <is>
          <t>Law &amp; Regulations &amp; Ethics</t>
        </is>
      </c>
      <c r="N103" s="18" t="inlineStr">
        <is>
          <t>PLE_CC1_2567_Key ข้อ 13</t>
        </is>
      </c>
      <c r="O103" s="18" t="inlineStr">
        <is>
          <t>ข้อสอบจริง</t>
        </is>
      </c>
      <c r="P103" s="18" t="inlineStr">
        <is>
          <t>ปี 2567</t>
        </is>
      </c>
      <c r="Q103" s="18" t="inlineStr"/>
    </row>
    <row r="104">
      <c r="A104" s="15" t="inlineStr">
        <is>
          <t>103</t>
        </is>
      </c>
      <c r="B104" s="18"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18" t="inlineStr"/>
      <c r="D104" s="18" t="inlineStr">
        <is>
          <t>amitriptyline</t>
        </is>
      </c>
      <c r="E104" s="18" t="inlineStr">
        <is>
          <t>paracetamol</t>
        </is>
      </c>
      <c r="F104" s="18" t="inlineStr">
        <is>
          <t>ketorolac</t>
        </is>
      </c>
      <c r="G104" s="18" t="inlineStr">
        <is>
          <t>pethidine</t>
        </is>
      </c>
      <c r="H104" s="18" t="inlineStr">
        <is>
          <t>fentanyl</t>
        </is>
      </c>
      <c r="I104" s="15" t="inlineStr">
        <is>
          <t>1</t>
        </is>
      </c>
      <c r="J104" s="18"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18" t="inlineStr"/>
      <c r="L104" s="18" t="inlineStr">
        <is>
          <t>พ.ร.บ. วิชาชีพเภสัชกรรม 2537</t>
        </is>
      </c>
      <c r="M104" s="18" t="inlineStr">
        <is>
          <t>Law &amp; Regulations &amp; Ethics</t>
        </is>
      </c>
      <c r="N104" s="18" t="inlineStr">
        <is>
          <t>PLE_CC1_2567_Set1_Key ข้อ 15</t>
        </is>
      </c>
      <c r="O104" s="18" t="inlineStr">
        <is>
          <t>ข้อสอบจริง</t>
        </is>
      </c>
      <c r="P104" s="18" t="inlineStr">
        <is>
          <t>ปี 2567</t>
        </is>
      </c>
      <c r="Q104" s="18" t="inlineStr"/>
    </row>
    <row r="105">
      <c r="A105" s="15" t="inlineStr">
        <is>
          <t>104</t>
        </is>
      </c>
      <c r="B105" s="18"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18" t="inlineStr"/>
      <c r="D105" s="18" t="inlineStr">
        <is>
          <t>Law &amp; Regulations &amp; Ethics</t>
        </is>
      </c>
      <c r="E105" s="18" t="inlineStr">
        <is>
          <t>พ.ร.บ. ยา พ.ศ. 2510 (การจำหน่ายยาอันตรายและยาควบคุมพิเศษ)</t>
        </is>
      </c>
      <c r="F105" s="18" t="inlineStr">
        <is>
          <t>พ.ร.บ. ยาเสพติดให้โทษ พ.ศ. 2522 (ยาเสพติดให้โทษประเภท 2 และ 3)</t>
        </is>
      </c>
      <c r="G105" s="18" t="inlineStr">
        <is>
          <t>พ.ร.บ. วัตถุที่ออกฤทธิ์ต่อจิตและประสาท พ.ศ. 2559 (ประเภท 2 และ 4)</t>
        </is>
      </c>
      <c r="H105" s="18" t="inlineStr">
        <is>
          <t>พ.ร.บ. วิชาชีพเภสัชกรรม พ.ศ. 2537 และข้อบังคับจรรยาบรรณวิชาชีพ</t>
        </is>
      </c>
      <c r="I105" s="15" t="inlineStr">
        <is>
          <t>1</t>
        </is>
      </c>
      <c r="J105" s="18"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18" t="inlineStr"/>
      <c r="L105" s="18" t="inlineStr">
        <is>
          <t>พ.ร.บ. ยา พ.ศ. 2510</t>
        </is>
      </c>
      <c r="M105" s="18" t="inlineStr">
        <is>
          <t>Law &amp; Regulations &amp; Ethics</t>
        </is>
      </c>
      <c r="N105" s="18" t="inlineStr">
        <is>
          <t>PLE-CC1 ปี 2566 Day 1 ข้อ 5</t>
        </is>
      </c>
      <c r="O105" s="18" t="inlineStr">
        <is>
          <t>ข้อสอบจริง</t>
        </is>
      </c>
      <c r="P105" s="18" t="inlineStr">
        <is>
          <t>ปี 2566</t>
        </is>
      </c>
    </row>
    <row r="106">
      <c r="A106" s="15" t="inlineStr">
        <is>
          <t>105</t>
        </is>
      </c>
      <c r="B106" s="18" t="inlineStr">
        <is>
          <t>กฎหมายออกยาที่ไม่ต้องทำบัญชีขย11. ตัวเลือก</t>
        </is>
      </c>
      <c r="C106" s="18" t="inlineStr"/>
      <c r="D106" s="18" t="inlineStr">
        <is>
          <t>Law &amp; Regulations &amp; Ethics</t>
        </is>
      </c>
      <c r="E106" s="18" t="inlineStr">
        <is>
          <t>พ.ร.บ. วิชาชีพเภสัชกรรม พ.ศ. 2537 และข้อบังคับจรรยาบรรณวิชาชีพ</t>
        </is>
      </c>
      <c r="F106" s="18" t="inlineStr">
        <is>
          <t>พ.ร.บ. ผลิตภัณฑ์สมุนไพร พ.ศ. 2562</t>
        </is>
      </c>
      <c r="G106" s="18" t="inlineStr">
        <is>
          <t>พ.ร.บ. เครื่องสำอาง พ.ศ. 2558</t>
        </is>
      </c>
      <c r="H106" s="18" t="inlineStr">
        <is>
          <t>พ.ร.บ. หลักประกันสุขภาพแห่งชาติ พ.ศ. 2545</t>
        </is>
      </c>
      <c r="I106" s="15" t="inlineStr">
        <is>
          <t>1</t>
        </is>
      </c>
      <c r="J106"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18" t="inlineStr"/>
      <c r="L106" s="18" t="inlineStr">
        <is>
          <t>พ.ร.บ. ยา พ.ศ. 2510</t>
        </is>
      </c>
      <c r="M106" s="18" t="inlineStr">
        <is>
          <t>Law &amp; Regulations &amp; Ethics</t>
        </is>
      </c>
      <c r="N106" s="18" t="inlineStr">
        <is>
          <t>PLE-CC1 ปี 2566 Day 2 ข้อ 24</t>
        </is>
      </c>
      <c r="O106" s="18" t="inlineStr">
        <is>
          <t>ข้อสอบจริง</t>
        </is>
      </c>
      <c r="P106" s="18" t="inlineStr">
        <is>
          <t>ปี 2566</t>
        </is>
      </c>
    </row>
    <row r="107">
      <c r="A107" s="15" t="inlineStr">
        <is>
          <t>106</t>
        </is>
      </c>
      <c r="B107" s="18" t="inlineStr">
        <is>
          <t>ขายได้เพราะร้านขายยาแผนปัจจุบันตามกฎหมายยาได้รับการยกเว้นไม่ต้องขออนุญาต</t>
        </is>
      </c>
      <c r="C107" s="18" t="inlineStr"/>
      <c r="D107" s="18" t="inlineStr">
        <is>
          <t>Law &amp; Regulations &amp; Ethics</t>
        </is>
      </c>
      <c r="E107" s="18" t="inlineStr">
        <is>
          <t>พ.ร.บ. หลักประกันสุขภาพแห่งชาติ พ.ศ. 2545</t>
        </is>
      </c>
      <c r="F107" s="18" t="inlineStr">
        <is>
          <t>การปฏิบัติทางเภสัชกรรมชุมชน (Good Pharmacy Practice: GPP)</t>
        </is>
      </c>
      <c r="G107" s="18" t="inlineStr">
        <is>
          <t>บัญชียาหลักแห่งชาติ (National List of Essential Medicines: NLEM)</t>
        </is>
      </c>
      <c r="H107" s="18" t="inlineStr">
        <is>
          <t>เกณฑ์จริยธรรมว่าด้วยการส่งเสริมการขายยาของกระทรวงสาธารณสุข</t>
        </is>
      </c>
      <c r="I107" s="15" t="inlineStr">
        <is>
          <t>5</t>
        </is>
      </c>
      <c r="J107" s="18"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18" t="inlineStr"/>
      <c r="L107" s="18" t="inlineStr">
        <is>
          <t>พ.ร.บ. ยา พ.ศ. 2510</t>
        </is>
      </c>
      <c r="M107" s="18" t="inlineStr">
        <is>
          <t>Law &amp; Regulations &amp; Ethics</t>
        </is>
      </c>
      <c r="N107" s="18" t="inlineStr">
        <is>
          <t>PLE-CC1 ปี 2566 Day 2 ข้อ 5</t>
        </is>
      </c>
      <c r="O107" s="18" t="inlineStr">
        <is>
          <t>ข้อสอบจริง</t>
        </is>
      </c>
      <c r="P107" s="18" t="inlineStr">
        <is>
          <t>ปี 2566</t>
        </is>
      </c>
    </row>
    <row r="108">
      <c r="A108" s="15" t="inlineStr">
        <is>
          <t>107</t>
        </is>
      </c>
      <c r="B108" s="18"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18" t="inlineStr"/>
      <c r="D108" s="18" t="inlineStr">
        <is>
          <t>Law &amp; Regulations &amp; Ethics</t>
        </is>
      </c>
      <c r="E108" s="18" t="inlineStr">
        <is>
          <t>เกณฑ์จริยธรรมว่าด้วยการส่งเสริมการขายยาของกระทรวงสาธารณสุข</t>
        </is>
      </c>
      <c r="F108" s="18" t="inlineStr">
        <is>
          <t>พ.ร.บ. ยา พ.ศ. 2510 (การจำหน่ายยาอันตรายและยาควบคุมพิเศษ)</t>
        </is>
      </c>
      <c r="G108" s="18" t="inlineStr">
        <is>
          <t>พ.ร.บ. ยาเสพติดให้โทษ พ.ศ. 2522 (ยาเสพติดให้โทษประเภท 2 และ 3)</t>
        </is>
      </c>
      <c r="H108" s="18" t="inlineStr">
        <is>
          <t>พ.ร.บ. วัตถุที่ออกฤทธิ์ต่อจิตและประสาท พ.ศ. 2559 (ประเภท 2 และ 4)</t>
        </is>
      </c>
      <c r="I108" s="15" t="inlineStr">
        <is>
          <t>1</t>
        </is>
      </c>
      <c r="J108"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18" t="inlineStr"/>
      <c r="L108" s="18" t="inlineStr">
        <is>
          <t>พ.ร.บ. ยา พ.ศ. 2510</t>
        </is>
      </c>
      <c r="M108" s="18" t="inlineStr">
        <is>
          <t>Law &amp; Regulations &amp; Ethics</t>
        </is>
      </c>
      <c r="N108" s="18" t="inlineStr">
        <is>
          <t>PLE-CC1 ปี 2566 Day 2 ข้อ 73</t>
        </is>
      </c>
      <c r="O108" s="18" t="inlineStr">
        <is>
          <t>ข้อสอบจริง</t>
        </is>
      </c>
      <c r="P108" s="18" t="inlineStr">
        <is>
          <t>ปี 2566</t>
        </is>
      </c>
    </row>
    <row r="109">
      <c r="A109" s="15" t="inlineStr">
        <is>
          <t>108</t>
        </is>
      </c>
      <c r="B109" s="18" t="inlineStr">
        <is>
          <t>ยาใดไม;ตองทำ ขย. 11 ตาม พรบ. ยา 2510 ยา$อง'ขย. 11 )างงตามประกาศ อย. เ3อง รายการยา4นตราย$อง'6ญ8การขายยา ไ:แ&lt;</t>
        </is>
      </c>
      <c r="C109" s="18" t="inlineStr"/>
      <c r="D109" s="18" t="inlineStr">
        <is>
          <t>Law &amp; Regulations &amp; Ethics</t>
        </is>
      </c>
      <c r="E109" s="18" t="inlineStr">
        <is>
          <t>พ.ร.บ. วัตถุที่ออกฤทธิ์ต่อจิตและประสาท พ.ศ. 2559 (ประเภท 2 และ 4)</t>
        </is>
      </c>
      <c r="F109" s="18" t="inlineStr">
        <is>
          <t>พ.ร.บ. วิชาชีพเภสัชกรรม พ.ศ. 2537 และข้อบังคับจรรยาบรรณวิชาชีพ</t>
        </is>
      </c>
      <c r="G109" s="18" t="inlineStr">
        <is>
          <t>พ.ร.บ. ผลิตภัณฑ์สมุนไพร พ.ศ. 2562</t>
        </is>
      </c>
      <c r="H109" s="18" t="inlineStr">
        <is>
          <t>พ.ร.บ. เครื่องสำอาง พ.ศ. 2558</t>
        </is>
      </c>
      <c r="I109" s="15" t="inlineStr">
        <is>
          <t>1</t>
        </is>
      </c>
      <c r="J109"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18" t="inlineStr"/>
      <c r="L109" s="18" t="inlineStr">
        <is>
          <t>พ.ร.บ. ยา พ.ศ. 2510</t>
        </is>
      </c>
      <c r="M109" s="18" t="inlineStr">
        <is>
          <t>Law &amp; Regulations &amp; Ethics</t>
        </is>
      </c>
      <c r="N109" s="18" t="inlineStr">
        <is>
          <t>PLE_CC1_2565_Day1_Key ข้อ 76</t>
        </is>
      </c>
      <c r="O109" s="18" t="inlineStr">
        <is>
          <t>ข้อสอบจริง</t>
        </is>
      </c>
      <c r="P109" s="18" t="inlineStr">
        <is>
          <t>ปี 2565</t>
        </is>
      </c>
    </row>
    <row r="110">
      <c r="A110" s="15" t="inlineStr">
        <is>
          <t>109</t>
        </is>
      </c>
      <c r="B110" s="18" t="inlineStr">
        <is>
          <t>ยาใดไม;ตองทำ ขย. 11 ตาม พรบ. ยา 2510</t>
        </is>
      </c>
      <c r="C110" s="18" t="inlineStr"/>
      <c r="D110" s="18" t="inlineStr">
        <is>
          <t>Tramadol เดี่ยวและผสม</t>
        </is>
      </c>
      <c r="E110" s="18" t="inlineStr">
        <is>
          <t>Dextromethorphan เดี่ยวและผสม</t>
        </is>
      </c>
      <c r="F110" s="18" t="inlineStr">
        <is>
          <t>CPM เดี่ยวและผสม เฉพาะยาน้ำ</t>
        </is>
      </c>
      <c r="G110" s="18" t="inlineStr">
        <is>
          <t>Cetirizine เดี่ยวและผสม เฉพาะยาน้ำ</t>
        </is>
      </c>
      <c r="H110" s="18" t="inlineStr">
        <is>
          <t>Diphenhydramine เดี่ยวและผสม เฉพาะยาน้ำ ิ</t>
        </is>
      </c>
      <c r="I110" s="15" t="inlineStr">
        <is>
          <t>1</t>
        </is>
      </c>
      <c r="J110" s="18"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ง. (CPM เดี่ยวและผสม เฉพาะยาน้ำ): ข้อนี้ไม่ใช่คำตอบที่ถูกต้องสำหรับภาวะ พ.ร.บ. ยา พ.ศ. 2510 เนื่องจากกลไกการออกฤทธิ์, efficacy หรือข้อบ่งใช้ไม่ตรงกับโจทย์ที่กำหนด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18" t="inlineStr"/>
      <c r="L110" s="18" t="inlineStr">
        <is>
          <t>พ.ร.บ. ยา พ.ศ. 2510</t>
        </is>
      </c>
      <c r="M110" s="18" t="inlineStr">
        <is>
          <t>Law &amp; Regulations &amp; Ethics</t>
        </is>
      </c>
      <c r="N110" s="18" t="inlineStr">
        <is>
          <t>PLE_CC1_2565_Day1_Key ข้อ 76</t>
        </is>
      </c>
      <c r="O110" s="18" t="inlineStr">
        <is>
          <t>ข้อสอบจริง</t>
        </is>
      </c>
      <c r="P110" s="18" t="inlineStr">
        <is>
          <t>ปี 2565</t>
        </is>
      </c>
      <c r="Q110" s="18" t="inlineStr"/>
    </row>
    <row r="111">
      <c r="A111" s="15" t="inlineStr">
        <is>
          <t>110</t>
        </is>
      </c>
      <c r="B111" s="18" t="inlineStr">
        <is>
          <t>พรบ.ยา ฉบับ 6 ปh 2562 ใบสำคัญการขึ้นทะเบียนตำรับปh 2565 ขอใดถูก</t>
        </is>
      </c>
      <c r="C111" s="18" t="inlineStr"/>
      <c r="D111" s="18" t="inlineStr">
        <is>
          <t>5 ปhตั้งแต;วันที่ออกใบสำคัญการขึ้นทะเบียน</t>
        </is>
      </c>
      <c r="E111" s="18" t="inlineStr">
        <is>
          <t>7 ปhตั้งแต;วันที่ออกใบสำคัญการขึ้นทะเบียน</t>
        </is>
      </c>
      <c r="F111" s="18" t="inlineStr">
        <is>
          <t>9 ปhตั้งแต;วันที่ออกใบสำคัญการขึ้นทะเบียน</t>
        </is>
      </c>
      <c r="G111" s="18" t="inlineStr">
        <is>
          <t>วันที่ 31 ธันวาคม ของปhที่ 5 หลังจากออกใบสำคัญการขึ้นทะเบียน</t>
        </is>
      </c>
      <c r="H111" s="18"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15" t="inlineStr">
        <is>
          <t>1</t>
        </is>
      </c>
      <c r="J111" s="18"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ค. (7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ง. (9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(วันที่ 31 ธันวาคม ของปhที่ 5 หลังจากออกใบสำคัญการขึ้นทะเบียน):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18" t="inlineStr"/>
      <c r="L111" s="18" t="inlineStr">
        <is>
          <t>พ.ร.บ. ยา พ.ศ. 2510</t>
        </is>
      </c>
      <c r="M111" s="18" t="inlineStr">
        <is>
          <t>Law &amp; Regulations &amp; Ethics</t>
        </is>
      </c>
      <c r="N111" s="18" t="inlineStr">
        <is>
          <t>PLE_CC1_2565_Day1_Key ข้อ 79</t>
        </is>
      </c>
      <c r="O111" s="18" t="inlineStr">
        <is>
          <t>ข้อสอบจริง</t>
        </is>
      </c>
      <c r="P111" s="18" t="inlineStr">
        <is>
          <t>ปี 2565</t>
        </is>
      </c>
      <c r="Q111" s="18" t="inlineStr"/>
    </row>
    <row r="112">
      <c r="A112" s="15" t="inlineStr">
        <is>
          <t>111</t>
        </is>
      </c>
      <c r="B112" s="18" t="inlineStr">
        <is>
          <t>ขอใดไม;จัดอยู;ในพรบ.สมุนไพร</t>
        </is>
      </c>
      <c r="C112" s="18" t="inlineStr"/>
      <c r="D112" s="18" t="inlineStr">
        <is>
          <t>ยาแผนโบราณที่ใชกับมนุษยç</t>
        </is>
      </c>
      <c r="E112" s="18" t="inlineStr">
        <is>
          <t>ยาแผนโบราณที่ใชกับสัตวç</t>
        </is>
      </c>
      <c r="F112" s="18" t="inlineStr">
        <is>
          <t>ยาแผนจีน</t>
        </is>
      </c>
      <c r="G112" s="18" t="inlineStr">
        <is>
          <t>จำ choice ไม;ได</t>
        </is>
      </c>
      <c r="H112" s="18" t="inlineStr">
        <is>
          <t>* จำ choice ไม;ได# *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15" t="inlineStr">
        <is>
          <t>1</t>
        </is>
      </c>
      <c r="J112" s="18"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(ยาแผนโบราณที่ใชกับสัตวç):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(ยาแผนจีน):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(จำ choice ไม;ได):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18" t="inlineStr"/>
      <c r="L112" s="18" t="inlineStr">
        <is>
          <t>พ.ร.บ. ผลิตภัณฑ์สมุนไพร &amp; เครื่องสำอาง</t>
        </is>
      </c>
      <c r="M112" s="18" t="inlineStr">
        <is>
          <t>Law &amp; Regulations &amp; Ethics</t>
        </is>
      </c>
      <c r="N112" s="18" t="inlineStr">
        <is>
          <t>PLE_CC1_2565_Day1_Key ข้อ 81</t>
        </is>
      </c>
      <c r="O112" s="18" t="inlineStr">
        <is>
          <t>ข้อสอบจริง</t>
        </is>
      </c>
      <c r="P112" s="18" t="inlineStr">
        <is>
          <t>ปี 2565</t>
        </is>
      </c>
      <c r="Q112" s="18" t="inlineStr"/>
    </row>
    <row r="113">
      <c r="A113" s="15" t="inlineStr">
        <is>
          <t>112</t>
        </is>
      </c>
      <c r="B113" s="18"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18" t="inlineStr"/>
      <c r="D113" s="18" t="inlineStr">
        <is>
          <t>Law &amp; Regulations &amp; Ethics</t>
        </is>
      </c>
      <c r="E113" s="18" t="inlineStr">
        <is>
          <t>พ.ร.บ. ผลิตภัณฑ์สมุนไพร พ.ศ. 2562</t>
        </is>
      </c>
      <c r="F113" s="18" t="inlineStr">
        <is>
          <t>พ.ร.บ. เครื่องสำอาง พ.ศ. 2558</t>
        </is>
      </c>
      <c r="G113" s="18" t="inlineStr">
        <is>
          <t>พ.ร.บ. หลักประกันสุขภาพแห่งชาติ พ.ศ. 2545</t>
        </is>
      </c>
      <c r="H113" s="18" t="inlineStr">
        <is>
          <t>การปฏิบัติทางเภสัชกรรมชุมชน (Good Pharmacy Practice: GPP)</t>
        </is>
      </c>
      <c r="I113" s="15" t="inlineStr">
        <is>
          <t>1</t>
        </is>
      </c>
      <c r="J113"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18" t="inlineStr"/>
      <c r="L113" s="18" t="inlineStr">
        <is>
          <t>พ.ร.บ. ยา พ.ศ. 2510</t>
        </is>
      </c>
      <c r="M113" s="18" t="inlineStr">
        <is>
          <t>Law &amp; Regulations &amp; Ethics</t>
        </is>
      </c>
      <c r="N113" s="18" t="inlineStr">
        <is>
          <t>PLE_CC1_2565_Day1_Key ข้อ 83</t>
        </is>
      </c>
      <c r="O113" s="18" t="inlineStr">
        <is>
          <t>ข้อสอบจริง</t>
        </is>
      </c>
      <c r="P113" s="18" t="inlineStr">
        <is>
          <t>ปี 2565</t>
        </is>
      </c>
    </row>
    <row r="114">
      <c r="A114" s="15" t="inlineStr">
        <is>
          <t>113</t>
        </is>
      </c>
      <c r="B114" s="18" t="inlineStr">
        <is>
          <t>กฎหมาย (12 ข`อ)</t>
        </is>
      </c>
      <c r="C114" s="18" t="inlineStr"/>
      <c r="D114" s="18" t="inlineStr">
        <is>
          <t>Law &amp; Regulations &amp; Ethics</t>
        </is>
      </c>
      <c r="E114" s="18" t="inlineStr">
        <is>
          <t>การปฏิบัติทางเภสัชกรรมชุมชน (Good Pharmacy Practice: GPP)</t>
        </is>
      </c>
      <c r="F114" s="18" t="inlineStr">
        <is>
          <t>บัญชียาหลักแห่งชาติ (National List of Essential Medicines: NLEM)</t>
        </is>
      </c>
      <c r="G114" s="18" t="inlineStr">
        <is>
          <t>เกณฑ์จริยธรรมว่าด้วยการส่งเสริมการขายยาของกระทรวงสาธารณสุข</t>
        </is>
      </c>
      <c r="H114" s="18" t="inlineStr">
        <is>
          <t>พ.ร.บ. ยา พ.ศ. 2510 (การจำหน่ายยาอันตรายและยาควบคุมพิเศษ)</t>
        </is>
      </c>
      <c r="I114" s="15" t="inlineStr">
        <is>
          <t>1</t>
        </is>
      </c>
      <c r="J114"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18" t="inlineStr"/>
      <c r="L114" s="18" t="inlineStr">
        <is>
          <t>พ.ร.บ. ยา พ.ศ. 2510</t>
        </is>
      </c>
      <c r="M114" s="18" t="inlineStr">
        <is>
          <t>Law &amp; Regulations &amp; Ethics</t>
        </is>
      </c>
      <c r="N114" s="18" t="inlineStr">
        <is>
          <t>PLE_CC1_2565_Day1_Key ข้อ 19</t>
        </is>
      </c>
      <c r="O114" s="18" t="inlineStr">
        <is>
          <t>ข้อสอบจริง</t>
        </is>
      </c>
      <c r="P114" s="18" t="inlineStr">
        <is>
          <t>ปี 2565</t>
        </is>
      </c>
    </row>
    <row r="115">
      <c r="A115" s="15" t="inlineStr">
        <is>
          <t>114</t>
        </is>
      </c>
      <c r="B115" s="18" t="inlineStr">
        <is>
          <t>ยา C xxx/xx (NC) เปQนยาประเภทใดตามกฎหมาย SดTายาUไVเWาXยามYZบ[บ</t>
        </is>
      </c>
      <c r="C115" s="18" t="inlineStr"/>
      <c r="D115" s="18" t="inlineStr">
        <is>
          <t>ยาควบคุมพิเศษ</t>
        </is>
      </c>
      <c r="E115" s="18" t="inlineStr">
        <is>
          <t>ยาควบคุมเฉพาะสถานพยาบาล</t>
        </is>
      </c>
      <c r="F115" s="18" t="inlineStr">
        <is>
          <t>ยาอันตรายแบบมีเงื่อนไข</t>
        </is>
      </c>
      <c r="G115" s="18" t="inlineStr">
        <is>
          <t>ยาอันตรายแบบไม-มีเงื่อนไข</t>
        </is>
      </c>
      <c r="H115" s="18" t="inlineStr">
        <is>
          <t>* จำ choice ไม-ได$ *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15" t="inlineStr">
        <is>
          <t>1</t>
        </is>
      </c>
      <c r="J115" s="18"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18" t="inlineStr"/>
      <c r="L115" s="18" t="inlineStr">
        <is>
          <t>พ.ร.บ. ยา พ.ศ. 2510</t>
        </is>
      </c>
      <c r="M115" s="18" t="inlineStr">
        <is>
          <t>Law &amp; Regulations &amp; Ethics</t>
        </is>
      </c>
      <c r="N115" s="18" t="inlineStr">
        <is>
          <t>PLE_CC1_2565_Day2_Key ข้อ 69</t>
        </is>
      </c>
      <c r="O115" s="18" t="inlineStr">
        <is>
          <t>ข้อสอบจริง</t>
        </is>
      </c>
      <c r="P115" s="18" t="inlineStr">
        <is>
          <t>ปี 2565</t>
        </is>
      </c>
      <c r="Q115" s="18" t="inlineStr"/>
    </row>
    <row r="116">
      <c r="A116" s="15" t="inlineStr">
        <is>
          <t>115</t>
        </is>
      </c>
      <c r="B116" s="18"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18" t="inlineStr"/>
      <c r="D116" s="18" t="inlineStr">
        <is>
          <t>Law &amp; Regulations &amp; Ethics</t>
        </is>
      </c>
      <c r="E116" s="18" t="inlineStr">
        <is>
          <t>พ.ร.บ. วิชาชีพเภสัชกรรม พ.ศ. 2537 และข้อบังคับจรรยาบรรณวิชาชีพ</t>
        </is>
      </c>
      <c r="F116" s="18" t="inlineStr">
        <is>
          <t>พ.ร.บ. ผลิตภัณฑ์สมุนไพร พ.ศ. 2562</t>
        </is>
      </c>
      <c r="G116" s="18" t="inlineStr">
        <is>
          <t>พ.ร.บ. เครื่องสำอาง พ.ศ. 2558</t>
        </is>
      </c>
      <c r="H116" s="18" t="inlineStr">
        <is>
          <t>พ.ร.บ. หลักประกันสุขภาพแห่งชาติ พ.ศ. 2545</t>
        </is>
      </c>
      <c r="I116" s="15" t="inlineStr">
        <is>
          <t>1</t>
        </is>
      </c>
      <c r="J116"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18" t="inlineStr"/>
      <c r="L116" s="18" t="inlineStr">
        <is>
          <t>พ.ร.บ. ยา พ.ศ. 2510</t>
        </is>
      </c>
      <c r="M116" s="18" t="inlineStr">
        <is>
          <t>Law &amp; Regulations &amp; Ethics</t>
        </is>
      </c>
      <c r="N116" s="18" t="inlineStr">
        <is>
          <t>PLE_CC1_2564_All_Key ข้อ 27</t>
        </is>
      </c>
      <c r="O116" s="18" t="inlineStr">
        <is>
          <t>ข้อสอบจริง</t>
        </is>
      </c>
      <c r="P116" s="18" t="inlineStr">
        <is>
          <t>ปี 2564</t>
        </is>
      </c>
    </row>
    <row r="117">
      <c r="A117" s="15" t="inlineStr">
        <is>
          <t>116</t>
        </is>
      </c>
      <c r="B117" s="18"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18" t="inlineStr"/>
      <c r="D117" s="18" t="inlineStr">
        <is>
          <t>Law &amp; Regulations &amp; Ethics</t>
        </is>
      </c>
      <c r="E117" s="18" t="inlineStr">
        <is>
          <t>พ.ร.บ. หลักประกันสุขภาพแห่งชาติ พ.ศ. 2545</t>
        </is>
      </c>
      <c r="F117" s="18" t="inlineStr">
        <is>
          <t>การปฏิบัติทางเภสัชกรรมชุมชน (Good Pharmacy Practice: GPP)</t>
        </is>
      </c>
      <c r="G117" s="18" t="inlineStr">
        <is>
          <t>บัญชียาหลักแห่งชาติ (National List of Essential Medicines: NLEM)</t>
        </is>
      </c>
      <c r="H117" s="18" t="inlineStr">
        <is>
          <t>เกณฑ์จริยธรรมว่าด้วยการส่งเสริมการขายยาของกระทรวงสาธารณสุข</t>
        </is>
      </c>
      <c r="I117" s="15" t="inlineStr">
        <is>
          <t>3</t>
        </is>
      </c>
      <c r="J117" s="18"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18" t="inlineStr"/>
      <c r="L117" s="18" t="inlineStr">
        <is>
          <t>พ.ร.บ. ยา พ.ศ. 2510</t>
        </is>
      </c>
      <c r="M117" s="18" t="inlineStr">
        <is>
          <t>Law &amp; Regulations &amp; Ethics</t>
        </is>
      </c>
      <c r="N117" s="18" t="inlineStr">
        <is>
          <t>PLE_CC1_2564_All_Key ข้อ 32</t>
        </is>
      </c>
      <c r="O117" s="18" t="inlineStr">
        <is>
          <t>ข้อสอบจริง</t>
        </is>
      </c>
      <c r="P117" s="18" t="inlineStr">
        <is>
          <t>ปี 2564</t>
        </is>
      </c>
    </row>
    <row r="118">
      <c r="A118" s="15" t="inlineStr">
        <is>
          <t>117</t>
        </is>
      </c>
      <c r="B118" s="18" t="inlineStr">
        <is>
          <t>พบ ค. ลูกจ้างกำลังจัดยาหลายขนาน ฉลากมีเขียนแค่สรรพคุณ (แก้ปวด) ข. ผิดพรบ. ยา ยังไง</t>
        </is>
      </c>
      <c r="C118" s="18" t="inlineStr"/>
      <c r="D118" s="18" t="inlineStr">
        <is>
          <t>Law &amp; Regulations &amp; Ethics</t>
        </is>
      </c>
      <c r="E118" s="18" t="inlineStr">
        <is>
          <t>เกณฑ์จริยธรรมว่าด้วยการส่งเสริมการขายยาของกระทรวงสาธารณสุข</t>
        </is>
      </c>
      <c r="F118" s="18" t="inlineStr">
        <is>
          <t>ผิดพรบ. ยา พ.ศ. 2510</t>
        </is>
      </c>
      <c r="G118" s="18" t="inlineStr">
        <is>
          <t>พ.ร.บ. ยาเสพติดให้โทษ พ.ศ. 2522 (ยาเสพติดให้โทษประเภท 2 และ 3)</t>
        </is>
      </c>
      <c r="H118" s="18" t="inlineStr">
        <is>
          <t>พ.ร.บ. วัตถุที่ออกฤทธิ์ต่อจิตและประสาท พ.ศ. 2559 (ประเภท 2 และ 4)</t>
        </is>
      </c>
      <c r="I118" s="15" t="inlineStr">
        <is>
          <t>1</t>
        </is>
      </c>
      <c r="J118"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(ผิดพรบ. ยา พ.ศ. 2510):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18" t="inlineStr"/>
      <c r="L118" s="18" t="inlineStr">
        <is>
          <t>พ.ร.บ. ยา พ.ศ. 2510</t>
        </is>
      </c>
      <c r="M118" s="18" t="inlineStr">
        <is>
          <t>Law &amp; Regulations &amp; Ethics</t>
        </is>
      </c>
      <c r="N118" s="18" t="inlineStr">
        <is>
          <t>PLE_CC1_2564_All_Key ข้อ 57</t>
        </is>
      </c>
      <c r="O118" s="18" t="inlineStr">
        <is>
          <t>ข้อสอบจริง</t>
        </is>
      </c>
      <c r="P118" s="18" t="inlineStr">
        <is>
          <t>ปี 2564</t>
        </is>
      </c>
    </row>
    <row r="119">
      <c r="A119" s="15" t="inlineStr">
        <is>
          <t>118</t>
        </is>
      </c>
      <c r="B119" s="18"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18" t="inlineStr"/>
      <c r="D119" s="18" t="inlineStr">
        <is>
          <t>Law &amp; Regulations &amp; Ethics</t>
        </is>
      </c>
      <c r="E119" s="18" t="inlineStr">
        <is>
          <t>พ.ร.บ. วัตถุที่ออกฤทธิ์ต่อจิตและประสาท พ.ศ. 2559 (ประเภท 2 และ 4)</t>
        </is>
      </c>
      <c r="F119" s="18" t="inlineStr">
        <is>
          <t>พ.ร.บ. วิชาชีพเภสัชกรรม พ.ศ. 2537 และข้อบังคับจรรยาบรรณวิชาชีพ</t>
        </is>
      </c>
      <c r="G119" s="18" t="inlineStr">
        <is>
          <t>พ.ร.บ. ผลิตภัณฑ์สมุนไพร พ.ศ. 2562</t>
        </is>
      </c>
      <c r="H119" s="18" t="inlineStr">
        <is>
          <t>พ.ร.บ. เครื่องสำอาง พ.ศ. 2558</t>
        </is>
      </c>
      <c r="I119" s="15" t="inlineStr">
        <is>
          <t>1</t>
        </is>
      </c>
      <c r="J119" s="18"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18" t="inlineStr"/>
      <c r="L119" s="18" t="inlineStr">
        <is>
          <t>พ.ร.บ. ผลิตภัณฑ์สมุนไพร &amp; เครื่องสำอาง</t>
        </is>
      </c>
      <c r="M119" s="18" t="inlineStr">
        <is>
          <t>Law &amp; Regulations &amp; Ethics</t>
        </is>
      </c>
      <c r="N119" s="18" t="inlineStr">
        <is>
          <t>PLE_CC1_2564_All_Key ข้อ 5</t>
        </is>
      </c>
      <c r="O119" s="18" t="inlineStr">
        <is>
          <t>ข้อสอบจริง</t>
        </is>
      </c>
      <c r="P119" s="18" t="inlineStr">
        <is>
          <t>ปี 2564</t>
        </is>
      </c>
    </row>
    <row r="120">
      <c r="A120" s="15" t="inlineStr">
        <is>
          <t>119</t>
        </is>
      </c>
      <c r="B120" s="18"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18" t="inlineStr"/>
      <c r="D120" s="18" t="inlineStr">
        <is>
          <t>Law &amp; Regulations &amp; Ethics</t>
        </is>
      </c>
      <c r="E120" s="18" t="inlineStr">
        <is>
          <t>1 สัปดาห์</t>
        </is>
      </c>
      <c r="F120" s="18" t="inlineStr">
        <is>
          <t>2 สัปดาห์</t>
        </is>
      </c>
      <c r="G120" s="18" t="inlineStr">
        <is>
          <t>1 เดือน</t>
        </is>
      </c>
      <c r="H120" s="18" t="inlineStr">
        <is>
          <t>บัญชียาหลักแห่งชาติ (National List of Essential Medicines: NLEM)</t>
        </is>
      </c>
      <c r="I120" s="15" t="inlineStr">
        <is>
          <t>1</t>
        </is>
      </c>
      <c r="J120" s="18"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(1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18" t="inlineStr"/>
      <c r="L120" s="18" t="inlineStr">
        <is>
          <t>พ.ร.บ. ยา พ.ศ. 2510</t>
        </is>
      </c>
      <c r="M120" s="18" t="inlineStr">
        <is>
          <t>Law &amp; Regulations &amp; Ethics</t>
        </is>
      </c>
      <c r="N120" s="18" t="inlineStr">
        <is>
          <t>PLE_CC1_2564_All_Key ข้อ 107</t>
        </is>
      </c>
      <c r="O120" s="18" t="inlineStr">
        <is>
          <t>ข้อสอบจริง</t>
        </is>
      </c>
      <c r="P120" s="18" t="inlineStr">
        <is>
          <t>ปี 2564</t>
        </is>
      </c>
    </row>
    <row r="121">
      <c r="A121" s="15" t="inlineStr">
        <is>
          <t>120</t>
        </is>
      </c>
      <c r="B121" s="18" t="inlineStr">
        <is>
          <t>เภสัชกรรับให้คำปรึกษาและขายยาทางอินเทอร์เน็ต ขั้นต่ำ 1,000 บาท ผิดจรรยาบรรณข้อไหน</t>
        </is>
      </c>
      <c r="C121" s="18" t="inlineStr"/>
      <c r="D121" s="18" t="inlineStr">
        <is>
          <t>Law &amp; Regulations &amp; Ethics</t>
        </is>
      </c>
      <c r="E121" s="18" t="inlineStr">
        <is>
          <t>ผู้ประกอบวิชาชีพย่อมดำรงตนให้สมควรในสังคมโดยธรรมและเคารพต่อกฎหมาย</t>
        </is>
      </c>
      <c r="F121" s="18" t="inlineStr">
        <is>
          <t>ผู้ประกอบวิชาชีพย่อมประกอบอาชีพด้วยเจตนาดี โดยไม่คำนึงถึงฐานะ เชื้อชาติ ศาสนา สังคม หรือลัทธิการเมือง</t>
        </is>
      </c>
      <c r="G121" s="18" t="inlineStr">
        <is>
          <t>ผู้ประกอบวิชาชีพต้องไม่ชักจูงหรือชักชวนให้มารับบริการทางวิชาชีพเภสัชกรรมเพื่อประโยชน์ตน</t>
        </is>
      </c>
      <c r="H121" s="18"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15" t="inlineStr">
        <is>
          <t>1</t>
        </is>
      </c>
      <c r="J121" s="18"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(ผู้ประกอบวิชาชีพย่อมประกอบอาชีพด้วยเจตนาดี โดยไม่คำนึงถึงฐานะ เชื้อชาติ ศาสนา สังคม หรือลัทธิการเมือง):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(ผู้ประกอบวิชาชีพต้องไม่ชักจูงหรือชักชวนให้มารับบริการทางวิชาชีพเภสัชกรรมเพื่อประโยชน์ตน):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18" t="inlineStr"/>
      <c r="L121" s="18" t="inlineStr">
        <is>
          <t>พ.ร.บ. วิชาชีพเภสัชกรรม 2537</t>
        </is>
      </c>
      <c r="M121" s="18" t="inlineStr">
        <is>
          <t>Law &amp; Regulations &amp; Ethics</t>
        </is>
      </c>
      <c r="N121" s="18" t="inlineStr">
        <is>
          <t>PLE_CC1_2564_All_Key ข้อ 146</t>
        </is>
      </c>
      <c r="O121" s="18" t="inlineStr">
        <is>
          <t>ข้อสอบจริง</t>
        </is>
      </c>
      <c r="P121" s="18" t="inlineStr">
        <is>
          <t>ปี 2564</t>
        </is>
      </c>
    </row>
    <row r="122">
      <c r="A122" s="15" t="inlineStr">
        <is>
          <t>121</t>
        </is>
      </c>
      <c r="B122" s="18"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18" t="inlineStr"/>
      <c r="D122" s="18" t="inlineStr">
        <is>
          <t>Law &amp; Regulations &amp; Ethics</t>
        </is>
      </c>
      <c r="E122" s="18" t="inlineStr">
        <is>
          <t>พ.ร.บ. ยาเสพติดให้โทษ พ.ศ. 2522 (ยาเสพติดให้โทษประเภท 2 และ 3)</t>
        </is>
      </c>
      <c r="F122" s="18" t="inlineStr">
        <is>
          <t>พ.ร.บ. วัตถุที่ออกฤทธิ์ต่อจิตและประสาท พ.ศ. 2559 (ประเภท 2 และ 4)</t>
        </is>
      </c>
      <c r="G122" s="18" t="inlineStr">
        <is>
          <t>พ.ร.บ. วิชาชีพเภสัชกรรม พ.ศ. 2537 และข้อบังคับจรรยาบรรณวิชาชีพ</t>
        </is>
      </c>
      <c r="H122" s="18" t="inlineStr">
        <is>
          <t>พ.ร.บ. ผลิตภัณฑ์สมุนไพร พ.ศ. 2562</t>
        </is>
      </c>
      <c r="I122" s="15" t="inlineStr">
        <is>
          <t>1</t>
        </is>
      </c>
      <c r="J122" s="18"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18" t="inlineStr"/>
      <c r="L122" s="18" t="inlineStr">
        <is>
          <t>พ.ร.บ. วิชาชีพเภสัชกรรม 2537</t>
        </is>
      </c>
      <c r="M122" s="18" t="inlineStr">
        <is>
          <t>Law &amp; Regulations &amp; Ethics</t>
        </is>
      </c>
      <c r="N122" s="18" t="inlineStr">
        <is>
          <t>PLE_CC1_2564_All_Key ข้อ 1</t>
        </is>
      </c>
      <c r="O122" s="18" t="inlineStr">
        <is>
          <t>ข้อสอบจริง</t>
        </is>
      </c>
      <c r="P122" s="18" t="inlineStr">
        <is>
          <t>ปี 2564</t>
        </is>
      </c>
    </row>
    <row r="123">
      <c r="A123" s="15" t="inlineStr">
        <is>
          <t>122</t>
        </is>
      </c>
      <c r="B123" s="18"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18" t="inlineStr"/>
      <c r="D123" s="18" t="inlineStr">
        <is>
          <t>Law &amp; Regulations &amp; Ethics</t>
        </is>
      </c>
      <c r="E123" s="18" t="inlineStr">
        <is>
          <t>พ.ร.บ. ผลิตภัณฑ์สมุนไพร พ.ศ. 2562</t>
        </is>
      </c>
      <c r="F123" s="18" t="inlineStr">
        <is>
          <t>พ.ร.บ. เครื่องสำอาง พ.ศ. 2558</t>
        </is>
      </c>
      <c r="G123" s="18" t="inlineStr">
        <is>
          <t>พ.ร.บ. หลักประกันสุขภาพแห่งชาติ พ.ศ. 2545</t>
        </is>
      </c>
      <c r="H123" s="18" t="inlineStr">
        <is>
          <t>การปฏิบัติทางเภสัชกรรมชุมชน (Good Pharmacy Practice: GPP)</t>
        </is>
      </c>
      <c r="I123" s="15" t="inlineStr">
        <is>
          <t>1</t>
        </is>
      </c>
      <c r="J123"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18" t="inlineStr"/>
      <c r="L123" s="18" t="inlineStr">
        <is>
          <t>พ.ร.บ. ยา พ.ศ. 2510</t>
        </is>
      </c>
      <c r="M123" s="18" t="inlineStr">
        <is>
          <t>Law &amp; Regulations &amp; Ethics</t>
        </is>
      </c>
      <c r="N123" s="18" t="inlineStr">
        <is>
          <t>PLE_CC1_2564_All_Key ข้อ 151</t>
        </is>
      </c>
      <c r="O123" s="18" t="inlineStr">
        <is>
          <t>ข้อสอบจริง</t>
        </is>
      </c>
      <c r="P123" s="18" t="inlineStr">
        <is>
          <t>ปี 2564</t>
        </is>
      </c>
    </row>
    <row r="124">
      <c r="A124" s="15" t="inlineStr">
        <is>
          <t>123</t>
        </is>
      </c>
      <c r="B124" s="18" t="inlineStr">
        <is>
          <t>สินค้าได้สัดอยู่ในพรบ.คุ้มครอษผู้บริโภคพ.ศ.2522</t>
        </is>
      </c>
      <c r="C124" s="18" t="inlineStr"/>
      <c r="D124" s="18" t="inlineStr">
        <is>
          <t>Law &amp; Regulations &amp; Ethics</t>
        </is>
      </c>
      <c r="E124" s="18" t="inlineStr">
        <is>
          <t>อินอูลิน</t>
        </is>
      </c>
      <c r="F124" s="18" t="inlineStr">
        <is>
          <t>เข็มหีดอินอูลิน</t>
        </is>
      </c>
      <c r="G124" s="18" t="inlineStr">
        <is>
          <t>เครื่อษวัดความดัน ษ. เครื่อษออกกำลัษกาย ส. ผ้าอนามัย</t>
        </is>
      </c>
      <c r="H124" s="18" t="inlineStr">
        <is>
          <t>พ.ร.บ. ยา พ.ศ. 2510 (การจำหน่ายยาอันตรายและยาควบคุมพิเศษ)</t>
        </is>
      </c>
      <c r="I124" s="15" t="inlineStr">
        <is>
          <t>1</t>
        </is>
      </c>
      <c r="J124"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(เข็มหีดอินอูลิน):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(เครื่อษวัดความดัน ษ. เครื่อษออกกำลัษกาย ส. ผ้าอนามัย):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18" t="inlineStr"/>
      <c r="L124" s="18" t="inlineStr">
        <is>
          <t>พ.ร.บ. ยา พ.ศ. 2510</t>
        </is>
      </c>
      <c r="M124" s="18" t="inlineStr">
        <is>
          <t>Law &amp; Regulations &amp; Ethics</t>
        </is>
      </c>
      <c r="N124" s="18" t="inlineStr">
        <is>
          <t>PLE_CC1_2563_Q ข้อ 1</t>
        </is>
      </c>
      <c r="O124" s="18" t="inlineStr">
        <is>
          <t>ข้อสอบจริง</t>
        </is>
      </c>
      <c r="P124" s="18" t="inlineStr">
        <is>
          <t>ปี 2563</t>
        </is>
      </c>
    </row>
    <row r="125">
      <c r="A125" s="15" t="inlineStr">
        <is>
          <t>124</t>
        </is>
      </c>
      <c r="B125" s="18" t="inlineStr">
        <is>
          <t>มีคนสนใสตำรับนี้เป็นสำนวนมาก ทาษโรษพยาบาลสึษผลิตและออกสำหน่าย ถูกหรือผิดกฎหมาย อย่าษไร</t>
        </is>
      </c>
      <c r="C125" s="18" t="inlineStr"/>
      <c r="D125" s="18" t="inlineStr">
        <is>
          <t>Law &amp; Regulations &amp; Ethics</t>
        </is>
      </c>
      <c r="E125" s="18" t="inlineStr">
        <is>
          <t>ไม่ผิด เพราะโรษพยาบาลสามารถสำหน่ายยาที่ผลิตเอษได้</t>
        </is>
      </c>
      <c r="F125" s="18" t="inlineStr">
        <is>
          <t>ไม่ผิด เพราะโรษพยาบาลเป็นข้อยกเว้นที่ไม่ต้อษขอขึ้นทะเบียนตำรับ</t>
        </is>
      </c>
      <c r="G125" s="18"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18" t="inlineStr">
        <is>
          <t>พ.ร.บ. วิชาชีพเภสัชกรรม พ.ศ. 2537 และข้อบังคับจรรยาบรรณวิชาชีพ</t>
        </is>
      </c>
      <c r="I125" s="15" t="inlineStr">
        <is>
          <t>1</t>
        </is>
      </c>
      <c r="J125"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เพราะโรษพยาบาลเป็นข้อยกเว้นที่ไม่ต้อษขอขึ้นทะเบียนตำรับ):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18" t="inlineStr"/>
      <c r="L125" s="18" t="inlineStr">
        <is>
          <t>พ.ร.บ. ยา พ.ศ. 2510</t>
        </is>
      </c>
      <c r="M125" s="18" t="inlineStr">
        <is>
          <t>Law &amp; Regulations &amp; Ethics</t>
        </is>
      </c>
      <c r="N125" s="18" t="inlineStr">
        <is>
          <t>PLE_CC1_2563_Q ข้อ 3</t>
        </is>
      </c>
      <c r="O125" s="18" t="inlineStr">
        <is>
          <t>ข้อสอบจริง</t>
        </is>
      </c>
      <c r="P125" s="18" t="inlineStr">
        <is>
          <t>ปี 2563</t>
        </is>
      </c>
    </row>
    <row r="126">
      <c r="A126" s="15" t="inlineStr">
        <is>
          <t>125</t>
        </is>
      </c>
      <c r="B126" s="18" t="inlineStr">
        <is>
          <t>นาย ก ผิดกฎหมายหรือไม่ ถ้าผิด ผิดอย่าษไร</t>
        </is>
      </c>
      <c r="C126" s="18" t="inlineStr"/>
      <c r="D126" s="18" t="inlineStr">
        <is>
          <t>Law &amp; Regulations &amp; Ethics</t>
        </is>
      </c>
      <c r="E126" s="18" t="inlineStr">
        <is>
          <t>ผิด เพราะ ขายยาควบคุมพิเศษโดยไม่ได้รับอนุญาต</t>
        </is>
      </c>
      <c r="F126" s="18" t="inlineStr">
        <is>
          <t>ผิด เพราะ ขายยาเสพติด</t>
        </is>
      </c>
      <c r="G126" s="18"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18" t="inlineStr">
        <is>
          <t>พ.ร.บ. หลักประกันสุขภาพแห่งชาติ พ.ศ. 2545</t>
        </is>
      </c>
      <c r="I126" s="15" t="inlineStr">
        <is>
          <t>1</t>
        </is>
      </c>
      <c r="J126"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18" t="inlineStr"/>
      <c r="L126" s="18" t="inlineStr">
        <is>
          <t>พ.ร.บ. ยา พ.ศ. 2510</t>
        </is>
      </c>
      <c r="M126" s="18" t="inlineStr">
        <is>
          <t>Law &amp; Regulations &amp; Ethics</t>
        </is>
      </c>
      <c r="N126" s="18" t="inlineStr">
        <is>
          <t>PLE_CC1_2563_Q ข้อ 8</t>
        </is>
      </c>
      <c r="O126" s="18" t="inlineStr">
        <is>
          <t>ข้อสอบจริง</t>
        </is>
      </c>
      <c r="P126" s="18" t="inlineStr">
        <is>
          <t>ปี 2563</t>
        </is>
      </c>
    </row>
    <row r="127">
      <c r="A127" s="15" t="inlineStr">
        <is>
          <t>126</t>
        </is>
      </c>
      <c r="B127" s="18" t="inlineStr">
        <is>
          <t>ข้อใดเป็นการขายยาอย่าษถูกต้อษตามกฎหมาย</t>
        </is>
      </c>
      <c r="C127" s="18" t="inlineStr"/>
      <c r="D127" s="18" t="inlineStr">
        <is>
          <t>Law &amp; Regulations &amp; Ethics</t>
        </is>
      </c>
      <c r="E127" s="18" t="inlineStr">
        <is>
          <t>CPM 100 เม็ด และ Tramadol 10 เม็ด</t>
        </is>
      </c>
      <c r="F127" s="18" t="inlineStr">
        <is>
          <t>CPM 30 เม็ด และ CPM syrup 60 มล. 4 ขวด</t>
        </is>
      </c>
      <c r="G127" s="18" t="inlineStr">
        <is>
          <t>Tramadol 20 เม็ด CPM syrup 140 มล. 2 ขวด ษ. Dextromethorphan 20 เม็ด CPM syrup 120 มล. 2 ขวด ส. Dextromethorphan syrup 120 มล 2 ขวด cpm syrup 120 มล. 2 ขวด</t>
        </is>
      </c>
      <c r="H127" s="18" t="inlineStr">
        <is>
          <t>เกณฑ์จริยธรรมว่าด้วยการส่งเสริมการขายยาของกระทรวงสาธารณสุข</t>
        </is>
      </c>
      <c r="I127" s="15" t="inlineStr">
        <is>
          <t>1</t>
        </is>
      </c>
      <c r="J127"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ข้อนี้ไม่ใช่คำตอบที่ถูกต้องสำหรับภาวะ พ.ร.บ. ยา พ.ศ. 2510 เนื่องจากกลไกการออกฤทธิ์, efficacy หรือข้อบ่งใช้ไม่ตรงกับโจทย์ที่กำหนด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18" t="inlineStr"/>
      <c r="L127" s="18" t="inlineStr">
        <is>
          <t>พ.ร.บ. ยา พ.ศ. 2510</t>
        </is>
      </c>
      <c r="M127" s="18" t="inlineStr">
        <is>
          <t>Law &amp; Regulations &amp; Ethics</t>
        </is>
      </c>
      <c r="N127" s="18" t="inlineStr">
        <is>
          <t>PLE_CC1_2563_Q ข้อ 11</t>
        </is>
      </c>
      <c r="O127" s="18" t="inlineStr">
        <is>
          <t>ข้อสอบจริง</t>
        </is>
      </c>
      <c r="P127" s="18" t="inlineStr">
        <is>
          <t>ปี 2563</t>
        </is>
      </c>
    </row>
    <row r="128">
      <c r="A128" s="15" t="inlineStr">
        <is>
          <t>127</t>
        </is>
      </c>
      <c r="B128" s="18"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18" t="inlineStr"/>
      <c r="D128" s="18" t="inlineStr">
        <is>
          <t>Law &amp; Regulations &amp; Ethics</t>
        </is>
      </c>
      <c r="E128" s="18" t="inlineStr">
        <is>
          <t>ผิด เนื่อษสากเป็นการผลิตยาโดยไม่ได้รับอนุญาต</t>
        </is>
      </c>
      <c r="F128" s="18" t="inlineStr">
        <is>
          <t>ผิด เนื่อษสากไม่คำนึษถึษความปลอดภัยขอษผู้ป่วย</t>
        </is>
      </c>
      <c r="G128" s="18"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18" t="inlineStr">
        <is>
          <t>พ.ร.บ. วัตถุที่ออกฤทธิ์ต่อจิตและประสาท พ.ศ. 2559 (ประเภท 2 และ 4)</t>
        </is>
      </c>
      <c r="I128" s="15" t="inlineStr">
        <is>
          <t>1</t>
        </is>
      </c>
      <c r="J128" s="18"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เนื่อษสากไม่คำนึษถึษความปลอดภัยขอษผู้ป่วย):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18" t="inlineStr"/>
      <c r="L128" s="18" t="inlineStr">
        <is>
          <t>พ.ร.บ. ยา พ.ศ. 2510</t>
        </is>
      </c>
      <c r="M128" s="18" t="inlineStr">
        <is>
          <t>Law &amp; Regulations &amp; Ethics</t>
        </is>
      </c>
      <c r="N128" s="18" t="inlineStr">
        <is>
          <t>PLE_CC1_2563_Q ข้อ 12</t>
        </is>
      </c>
      <c r="O128" s="18" t="inlineStr">
        <is>
          <t>ข้อสอบจริง</t>
        </is>
      </c>
      <c r="P128" s="18" t="inlineStr">
        <is>
          <t>ปี 2563</t>
        </is>
      </c>
    </row>
    <row r="129">
      <c r="A129" s="18" t="n">
        <v>127</v>
      </c>
      <c r="B129" s="18" t="inlineStr">
        <is>
          <t>นางสาว ธ ขายยารายการที่ 1 ผิดกฎหมายหรือไม่ ~ emsis</t>
        </is>
      </c>
      <c r="C129" s="18" t="n"/>
      <c r="D129" s="18" t="inlineStr">
        <is>
          <t>ไม่ผิด เนื่องจากได้รับอนุญาตให้ขายได้</t>
        </is>
      </c>
      <c r="E129" s="18" t="inlineStr">
        <is>
          <t>ไม่ผิด เนื่องจากได้รับการยกเว้นให้ไม่ต้องขออนุญาต</t>
        </is>
      </c>
      <c r="F129" s="18" t="inlineStr">
        <is>
          <t>ผิด เนื่องจากขายยาชุด</t>
        </is>
      </c>
      <c r="G129" s="18" t="inlineStr">
        <is>
          <t>ผิด เนื่องจากขายยาตำรับลับ</t>
        </is>
      </c>
      <c r="H129" s="18" t="inlineStr">
        <is>
          <t>ผิด เนื่องจากขายยานอกสถานที่ที่ได้รับอนุญาต</t>
        </is>
      </c>
      <c r="I129" s="18" t="n">
        <v>1</v>
      </c>
      <c r="J129" s="18"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เนื่องจากขายยาชุด):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เนื่องจากขายยาตำรับลับ):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เนื่องจากขายยานอกสถานที่ที่ได้รับอนุญาต):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18" t="n"/>
      <c r="L129" s="18" t="inlineStr">
        <is>
          <t>พ.ร.บ. ยา พ.ศ. 2510</t>
        </is>
      </c>
      <c r="M129" s="18" t="inlineStr">
        <is>
          <t>SAP</t>
        </is>
      </c>
      <c r="N129" s="18" t="inlineStr">
        <is>
          <t>ข้อ 78 (PLE_CC1_2562_Key.md)</t>
        </is>
      </c>
      <c r="O129" s="18" t="inlineStr">
        <is>
          <t>ข้อสอบจริง</t>
        </is>
      </c>
      <c r="P129" s="18" t="inlineStr">
        <is>
          <t>ปี 2562</t>
        </is>
      </c>
    </row>
    <row r="130">
      <c r="A130" s="18" t="n">
        <v>128</v>
      </c>
      <c r="B130" s="18"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18" t="n"/>
      <c r="D130" s="18" t="inlineStr">
        <is>
          <t>ไม่ผิด เพราะเป็นไม่ต้องขออนุญาต</t>
        </is>
      </c>
      <c r="E130" s="18" t="inlineStr">
        <is>
          <t>ไม่ผิด เพราะมีเลขอนุญาตการโฆษณา</t>
        </is>
      </c>
      <c r="F130" s="18" t="inlineStr">
        <is>
          <t>ผิด เพราะ โฆษณาขายยาที่ห้ามขาย</t>
        </is>
      </c>
      <c r="G130" s="18" t="inlineStr">
        <is>
          <t>ผิด เพราะ โฆษณาโอ้อวดสรรพคุณเกินจริง</t>
        </is>
      </c>
      <c r="H130" s="18" t="inlineStr">
        <is>
          <t>ผิด เพราะ โฆษณายารักษาโรคที่ห้ามโฆษณาตามรัฐมนตรีกำหนด</t>
        </is>
      </c>
      <c r="I130" s="18" t="n">
        <v>1</v>
      </c>
      <c r="J130" s="18"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โฆษณาขายยาที่ห้ามขาย):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โฆษณาโอ้อวดสรรพคุณเกินจริง):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โฆษณายารักษาโรคที่ห้ามโฆษณาตามรัฐมนตรีกำหนด):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18" t="n"/>
      <c r="L130" s="18" t="inlineStr">
        <is>
          <t>พ.ร.บ. ยา พ.ศ. 2510</t>
        </is>
      </c>
      <c r="M130" s="18" t="inlineStr">
        <is>
          <t>SAP</t>
        </is>
      </c>
      <c r="N130" s="18" t="inlineStr">
        <is>
          <t>ข้อ 80 (PLE_CC1_2562_Key.md)</t>
        </is>
      </c>
      <c r="O130" s="18" t="inlineStr">
        <is>
          <t>ข้อสอบจริง</t>
        </is>
      </c>
      <c r="P130" s="18" t="inlineStr">
        <is>
          <t>ปี 2562</t>
        </is>
      </c>
    </row>
    <row r="131">
      <c r="A131" s="18" t="n">
        <v>129</v>
      </c>
      <c r="B131" s="18" t="inlineStr">
        <is>
          <t>ต่อมาพบว่าผู้ป่วยเป็น absence seizure ยาในข้อใดมีประสิทธิภาพในการรักษามากที่สุด X ~ ↑</t>
        </is>
      </c>
      <c r="C131" s="18" t="n"/>
      <c r="D131" s="18" t="inlineStr">
        <is>
          <t>Valproate</t>
        </is>
      </c>
      <c r="E131" s="18" t="inlineStr">
        <is>
          <t>Carbamazepine</t>
        </is>
      </c>
      <c r="F131" s="18" t="inlineStr">
        <is>
          <t>Topiramate</t>
        </is>
      </c>
      <c r="G131" s="18" t="inlineStr">
        <is>
          <t>Phenytoin</t>
        </is>
      </c>
      <c r="H131" s="18" t="inlineStr">
        <is>
          <t>Pregabalin</t>
        </is>
      </c>
      <c r="I131" s="18" t="n">
        <v>1</v>
      </c>
      <c r="J131" s="18"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18" t="n"/>
      <c r="L131" s="18" t="inlineStr">
        <is>
          <t>พ.ร.บ. ยา พ.ศ. 2510</t>
        </is>
      </c>
      <c r="M131" s="18" t="inlineStr">
        <is>
          <t>SAP</t>
        </is>
      </c>
      <c r="N131" s="18" t="inlineStr">
        <is>
          <t>ข้อ 101 (PLE_CC1_2562_Key.md)</t>
        </is>
      </c>
      <c r="O131" s="18" t="inlineStr">
        <is>
          <t>ข้อสอบจริง</t>
        </is>
      </c>
      <c r="P131" s="18" t="inlineStr">
        <is>
          <t>ปี 2562</t>
        </is>
      </c>
    </row>
    <row r="132">
      <c r="A132" s="18" t="n">
        <v>130</v>
      </c>
      <c r="B132" s="18" t="inlineStr">
        <is>
          <t>ผู้ป่วยจะได้รับประสิทธิผลจากการรักษาเต็มที่เมื่อรับประทานยาต่อเนื่องนานเท่าไหร่ X ↑ ิscie-2dec</t>
        </is>
      </c>
      <c r="C132" s="18" t="n"/>
      <c r="D132" s="18" t="inlineStr">
        <is>
          <t>3 วัน</t>
        </is>
      </c>
      <c r="E132" s="18" t="inlineStr">
        <is>
          <t>7 วัน</t>
        </is>
      </c>
      <c r="F132" s="18" t="inlineStr">
        <is>
          <t>2 สัปดาห์</t>
        </is>
      </c>
      <c r="G132" s="18" t="inlineStr">
        <is>
          <t>4 สัปดาห์</t>
        </is>
      </c>
      <c r="H132" s="18" t="inlineStr">
        <is>
          <t>12 สัปดาห์</t>
        </is>
      </c>
      <c r="I132" s="18" t="n">
        <v>1</v>
      </c>
      <c r="J132" s="18"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(12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18" t="n"/>
      <c r="L132" s="18" t="inlineStr">
        <is>
          <t>พ.ร.บ. ยา พ.ศ. 2510</t>
        </is>
      </c>
      <c r="M132" s="18" t="inlineStr">
        <is>
          <t>SAP</t>
        </is>
      </c>
      <c r="N132" s="18" t="inlineStr">
        <is>
          <t>ข้อ 3 (PLE_CC1_2562_Key.md)</t>
        </is>
      </c>
      <c r="O132" s="18" t="inlineStr">
        <is>
          <t>ข้อสอบจริง</t>
        </is>
      </c>
      <c r="P132" s="18" t="inlineStr">
        <is>
          <t>ปี 2562</t>
        </is>
      </c>
    </row>
    <row r="133">
      <c r="A133" s="18" t="n">
        <v>131</v>
      </c>
      <c r="B133" s="18" t="inlineStr">
        <is>
          <t>นายจ. ผิดกฎหมายไหม X ิum wed wes sin ิnicenzas ~ .8. ↳20 .Osila. sw wiv . en 2510 led realiseswa . Intwineness 2537</t>
        </is>
      </c>
      <c r="C133" s="18" t="n"/>
      <c r="D133" s="18" t="inlineStr">
        <is>
          <t>ไม่ผิด เพราะขายยาสามัญประจำบ้าน</t>
        </is>
      </c>
      <c r="E133" s="18" t="inlineStr">
        <is>
          <t>ไม่ผิด เพราะไม่ใช่ผู้รับอนุญาต</t>
        </is>
      </c>
      <c r="F133" s="18" t="inlineStr">
        <is>
          <t>ผิด เพราะขายยาผิดมาตรฐาน</t>
        </is>
      </c>
      <c r="G133" s="18" t="inlineStr">
        <is>
          <t>ผิด เพราะขายควบคุมพิเศษ</t>
        </is>
      </c>
      <c r="H133" s="18" t="inlineStr">
        <is>
          <t>ผิด เพราะประกอบวิชาชีพเภสัชกรรมโดยไม่ได้รับอนุญาตวิชาชีพ</t>
        </is>
      </c>
      <c r="I133" s="18" t="n">
        <v>1</v>
      </c>
      <c r="J133" s="18"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เพราะขายควบคุมพิเศษ):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เพราะประกอบวิชาชีพเภสัชกรรมโดยไม่ได้รับอนุญาตวิชาชีพ):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18" t="n"/>
      <c r="L133" s="18" t="inlineStr">
        <is>
          <t>พ.ร.บ. ยา พ.ศ. 2510</t>
        </is>
      </c>
      <c r="M133" s="18" t="inlineStr">
        <is>
          <t>SAP</t>
        </is>
      </c>
      <c r="N133" s="18" t="inlineStr">
        <is>
          <t>ข้อ 32 (PLE_CC1_2562_Key.md)</t>
        </is>
      </c>
      <c r="O133" s="18" t="inlineStr">
        <is>
          <t>ข้อสอบจริง</t>
        </is>
      </c>
      <c r="P133" s="18" t="inlineStr">
        <is>
          <t>ปี 2562</t>
        </is>
      </c>
    </row>
    <row r="134">
      <c r="A134" s="18" t="n">
        <v>132</v>
      </c>
      <c r="B134" s="18" t="inlineStr">
        <is>
          <t>นาง ม. ผิดกฎหมายไหม Wimri z8 inne dinevritwidensaCartate oma X ②Miss . Edison. Wereesinens interns</t>
        </is>
      </c>
      <c r="C134" s="18" t="n"/>
      <c r="D134" s="18" t="inlineStr">
        <is>
          <t>ไม่ผิด เพราะไม่ได้เป็นคนขาย</t>
        </is>
      </c>
      <c r="E134" s="18" t="inlineStr">
        <is>
          <t>ไม่ผิด เพราะขายยาสามัญประจำบ้าน</t>
        </is>
      </c>
      <c r="F134" s="18" t="inlineStr">
        <is>
          <t>ผิด เพราะว่าขายยาอันตรายโดยไม่มีเภสัช</t>
        </is>
      </c>
      <c r="G134" s="18" t="inlineStr">
        <is>
          <t>ผิด เพราะว่าขายยาอันตรายขณะเภสัชไม่อยู่</t>
        </is>
      </c>
      <c r="H134" s="18" t="inlineStr">
        <is>
          <t>ผิด เพราะว่าขายยาควบคุมพิเศษโดยไม่มีใบสั่งแพทย์</t>
        </is>
      </c>
      <c r="I134" s="18" t="n">
        <v>1</v>
      </c>
      <c r="J134" s="18"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18" t="n"/>
      <c r="L134" s="18" t="inlineStr">
        <is>
          <t>พ.ร.บ. ยา พ.ศ. 2510</t>
        </is>
      </c>
      <c r="M134" s="18" t="inlineStr">
        <is>
          <t>SAP</t>
        </is>
      </c>
      <c r="N134" s="18" t="inlineStr">
        <is>
          <t>ข้อ 33 (PLE_CC1_2562_Key.md)</t>
        </is>
      </c>
      <c r="O134" s="18" t="inlineStr">
        <is>
          <t>ข้อสอบจริง</t>
        </is>
      </c>
      <c r="P134" s="18" t="inlineStr">
        <is>
          <t>ปี 2562</t>
        </is>
      </c>
    </row>
    <row r="135">
      <c r="A135" s="18" t="n">
        <v>133</v>
      </c>
      <c r="B135" s="18" t="inlineStr">
        <is>
          <t>เภสัชกรผิดจรรยาบรรณหรือไม่ isistere s findone X Indigen mediatime dis wer . 27 2510 Wald 39</t>
        </is>
      </c>
      <c r="C135" s="18" t="n"/>
      <c r="D135" s="18" t="inlineStr">
        <is>
          <t>ไม่ผิด</t>
        </is>
      </c>
      <c r="E135" s="18" t="inlineStr">
        <is>
          <t>ผิด เพราะว่าไม่เคารพกฎหมาย</t>
        </is>
      </c>
      <c r="F135" s="18" t="inlineStr">
        <is>
          <t>ผิด เรื่องความปลอดภัยของผู้ป่วย</t>
        </is>
      </c>
      <c r="G135" s="18" t="inlineStr">
        <is>
          <t>ผิด เพราะสนับสนุนให้ประกอบวิชาชีพผิดกฎหมาย</t>
        </is>
      </c>
      <c r="H135" s="18" t="inlineStr">
        <is>
          <t>ผิด ว่าทำให้เสื่อมเสียวิชาชีพ</t>
        </is>
      </c>
      <c r="I135" s="18" t="n">
        <v>1</v>
      </c>
      <c r="J135" s="18"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เรื่องความปลอดภัยของผู้ป่วย):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(ผิด เพราะสนับสนุนให้ประกอบวิชาชีพผิดกฎหมาย):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ว่าทำให้เสื่อมเสียวิชาชีพ):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18" t="n"/>
      <c r="L135" s="18" t="inlineStr">
        <is>
          <t>พ.ร.บ. วิชาชีพเภสัชกรรม 2537</t>
        </is>
      </c>
      <c r="M135" s="18" t="inlineStr">
        <is>
          <t>SAP</t>
        </is>
      </c>
      <c r="N135" s="18" t="inlineStr">
        <is>
          <t>ข้อ 38 (PLE_CC1_2562_Key.md)</t>
        </is>
      </c>
      <c r="O135" s="18" t="inlineStr">
        <is>
          <t>ข้อสอบจริง</t>
        </is>
      </c>
      <c r="P135" s="18" t="inlineStr">
        <is>
          <t>ปี 2562</t>
        </is>
      </c>
    </row>
    <row r="136">
      <c r="A136" s="18" t="n">
        <v>134</v>
      </c>
      <c r="B136" s="18"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18" t="n"/>
      <c r="D136" s="18" t="inlineStr">
        <is>
          <t>Cost utility มุมมองผู้จ่ายเงิน</t>
        </is>
      </c>
      <c r="E136" s="18" t="inlineStr">
        <is>
          <t>Cost effective มุมมองผู้จ่ายเงิน</t>
        </is>
      </c>
      <c r="F136" s="18" t="inlineStr">
        <is>
          <t>Cost effective มุมมองสังคม</t>
        </is>
      </c>
      <c r="G136" s="18" t="inlineStr">
        <is>
          <t>Cost utility มุมมองผู้ป่วย</t>
        </is>
      </c>
      <c r="H136" s="18" t="inlineStr">
        <is>
          <t>Cost utility มุมมองสังคม</t>
        </is>
      </c>
      <c r="I136" s="18" t="n">
        <v>1</v>
      </c>
      <c r="J136" s="18"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ค. (Cost effective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มุมมองผู้ป่วย):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18" t="n"/>
      <c r="L136" s="18" t="inlineStr">
        <is>
          <t>พ.ร.บ. ยา พ.ศ. 2510</t>
        </is>
      </c>
      <c r="M136" s="18" t="inlineStr">
        <is>
          <t>SAP</t>
        </is>
      </c>
      <c r="N136" s="18" t="inlineStr">
        <is>
          <t>ข้อ 52 (PLE_CC1_2562_Key.md)</t>
        </is>
      </c>
      <c r="O136" s="18" t="inlineStr">
        <is>
          <t>ข้อสอบจริง</t>
        </is>
      </c>
      <c r="P136" s="18" t="inlineStr">
        <is>
          <t>ปี 2562</t>
        </is>
      </c>
    </row>
    <row r="137">
      <c r="A137" s="18" t="n">
        <v>135</v>
      </c>
      <c r="B137" s="18" t="inlineStr">
        <is>
          <t>จากรูปยาในโครงสร(างมีกลไกการออกฤทธิ์อย.างไร</t>
        </is>
      </c>
      <c r="C137" s="18" t="n"/>
      <c r="D137" s="18" t="inlineStr">
        <is>
          <t>มีผลต.อดีเอนเอ</t>
        </is>
      </c>
      <c r="E137" s="18" t="inlineStr">
        <is>
          <t>มีผลต.อผนังเซลล</t>
        </is>
      </c>
      <c r="F137" s="18" t="inlineStr">
        <is>
          <t>มีผลต.อไมโครทูบูล</t>
        </is>
      </c>
      <c r="G137" s="18" t="inlineStr">
        <is>
          <t>มีผลต.อเยื่อหุ(มเซลล</t>
        </is>
      </c>
      <c r="H137" s="18" t="inlineStr">
        <is>
          <t>มีผลเป5นพิษต.อเซลล imidazole inanition</t>
        </is>
      </c>
      <c r="I137" s="18" t="n">
        <v>1</v>
      </c>
      <c r="J137" s="18"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ค. (มีผลต.อไมโครทูบูล): ข้อนี้ไม่ใช่คำตอบที่ถูกต้องสำหรับภาวะ พ.ร.บ. ยา พ.ศ. 2510 เนื่องจากกลไกการออกฤทธิ์, efficacy หรือข้อบ่งใช้ไม่ตรงกับโจทย์ที่กำหนด
• ข้อ ง. (มีผลต.อเยื่อหุ(มเซลล):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จ. (มีผลเป5นพิษต.อเซลล imidazole inanition):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18" t="n"/>
      <c r="L137" s="18" t="inlineStr">
        <is>
          <t>พ.ร.บ. ยา พ.ศ. 2510</t>
        </is>
      </c>
      <c r="M137" s="18" t="inlineStr">
        <is>
          <t>SAP</t>
        </is>
      </c>
      <c r="N137" s="18" t="inlineStr">
        <is>
          <t>ข้อ 41 (PLE_CC1_2561_Key.md)</t>
        </is>
      </c>
      <c r="O137" s="18" t="inlineStr">
        <is>
          <t>ข้อสอบจริง</t>
        </is>
      </c>
      <c r="P137" s="18" t="inlineStr">
        <is>
          <t>ปี 2561</t>
        </is>
      </c>
    </row>
    <row r="138">
      <c r="A138" s="18" t="n">
        <v>136</v>
      </c>
      <c r="B138" s="18"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18" t="n"/>
      <c r="D138" s="18" t="inlineStr">
        <is>
          <t>เติม tragacanth ในตำรับ O/W</t>
        </is>
      </c>
      <c r="E138" s="18" t="inlineStr">
        <is>
          <t>เติม sodium chloride ในตำรับ O/W</t>
        </is>
      </c>
      <c r="F138" s="18" t="inlineStr">
        <is>
          <t>เติม sodium benzoate ในตำรับ O/W</t>
        </is>
      </c>
      <c r="G138" s="18" t="inlineStr">
        <is>
          <t>ใช(เครื่อง ball mill ในการเตรียมตำรับ O/W</t>
        </is>
      </c>
      <c r="H138" s="18" t="inlineStr">
        <is>
          <t>เติม hydroxyethyl cellulose ในตำรับ O/W</t>
        </is>
      </c>
      <c r="I138" s="18" t="n">
        <v>1</v>
      </c>
      <c r="J138" s="18"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sodium benzoate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ง. (ใช(เครื่อง ball mill ในการเตรียมตำรับ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จ. (เติม hydroxyethyl cellulose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18" t="n"/>
      <c r="L138" s="18" t="inlineStr">
        <is>
          <t>พ.ร.บ. ยา พ.ศ. 2510</t>
        </is>
      </c>
      <c r="M138" s="18" t="inlineStr">
        <is>
          <t>SAP</t>
        </is>
      </c>
      <c r="N138" s="18" t="inlineStr">
        <is>
          <t>ข้อ 43 (PLE_CC1_2561_Key.md)</t>
        </is>
      </c>
      <c r="O138" s="18" t="inlineStr">
        <is>
          <t>ข้อสอบจริง</t>
        </is>
      </c>
      <c r="P138" s="18" t="inlineStr">
        <is>
          <t>ปี 2561</t>
        </is>
      </c>
    </row>
    <row r="139">
      <c r="A139" s="18" t="n">
        <v>137</v>
      </c>
      <c r="B139" s="18" t="inlineStr">
        <is>
          <t>ยา naproxen มีกลไกการออกฤทธิ์อย.างไร</t>
        </is>
      </c>
      <c r="C139" s="18" t="n"/>
      <c r="D139" s="18" t="inlineStr">
        <is>
          <t>ลดการสร(าง leukotriene</t>
        </is>
      </c>
      <c r="E139" s="18" t="inlineStr">
        <is>
          <t>ลดการสร(าง thromboxane A2</t>
        </is>
      </c>
      <c r="F139" s="18" t="inlineStr">
        <is>
          <t>ยับยั้งการทำงานของ prostaglandin</t>
        </is>
      </c>
      <c r="G139" s="18" t="inlineStr">
        <is>
          <t>ยับยั้งการทำงานของเอนไซม lipo-oxygenase</t>
        </is>
      </c>
      <c r="H139" s="18" t="inlineStr">
        <is>
          <t>ยับยั้งการทำงานของเอนไซม cyclo-oxyganase</t>
        </is>
      </c>
      <c r="I139" s="18" t="n">
        <v>1</v>
      </c>
      <c r="J139" s="18"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ข้อนี้ไม่ใช่คำตอบที่ถูกต้องสำหรับภาวะ พ.ร.บ. ยา พ.ศ. 2510 เนื่องจากกลไกการออกฤทธิ์, efficacy หรือข้อบ่งใช้ไม่ตรงกับโจทย์ที่กำหนด
• ข้อ ค. (ยับยั้งการทำงานของ prostaglandin): ข้อนี้ไม่ใช่คำตอบที่ถูกต้องสำหรับภาวะ พ.ร.บ. ยา พ.ศ. 2510 เนื่องจากกลไกการออกฤทธิ์, efficacy หรือข้อบ่งใช้ไม่ตรงกับโจทย์ที่กำหนด
• ข้อ ง. (ยับยั้งการทำงานของเอนไซม lipo-oxygenase): ข้อนี้ไม่ใช่คำตอบที่ถูกต้องสำหรับภาวะ พ.ร.บ. ยา พ.ศ. 2510 เนื่องจากกลไกการออกฤทธิ์, efficacy หรือข้อบ่งใช้ไม่ตรงกับโจทย์ที่กำหนด
• ข้อ จ. (ยับยั้งการทำงานของเอนไซม cyclo-oxyganase):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18" t="n"/>
      <c r="L139" s="18" t="inlineStr">
        <is>
          <t>พ.ร.บ. ยา พ.ศ. 2510</t>
        </is>
      </c>
      <c r="M139" s="18" t="inlineStr">
        <is>
          <t>SAP</t>
        </is>
      </c>
      <c r="N139" s="18" t="inlineStr">
        <is>
          <t>ข้อ 49 (PLE_CC1_2561_Key.md)</t>
        </is>
      </c>
      <c r="O139" s="18" t="inlineStr">
        <is>
          <t>ข้อสอบจริง</t>
        </is>
      </c>
      <c r="P139" s="18" t="inlineStr">
        <is>
          <t>ปี 2561</t>
        </is>
      </c>
    </row>
    <row r="140">
      <c r="A140" s="18" t="n">
        <v>138</v>
      </c>
      <c r="B140" s="18"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18" t="n"/>
      <c r="D140" s="18" t="inlineStr">
        <is>
          <t>เปลี่ยนเป5นยา celecoxib</t>
        </is>
      </c>
      <c r="E140" s="18" t="inlineStr">
        <is>
          <t>เปลี่ยนเป5นยา tramadol</t>
        </is>
      </c>
      <c r="F140" s="18" t="inlineStr">
        <is>
          <t>เปลี่ยนเป5นยา methotrexate</t>
        </is>
      </c>
      <c r="G140" s="18" t="inlineStr">
        <is>
          <t>Naproxen 250 mg + antacid</t>
        </is>
      </c>
      <c r="H140" s="18" t="inlineStr">
        <is>
          <t>Naproxen 500 mg + omeprazole mum</t>
        </is>
      </c>
      <c r="I140" s="18" t="n">
        <v>1</v>
      </c>
      <c r="J140" s="18"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18" t="n"/>
      <c r="L140" s="18" t="inlineStr">
        <is>
          <t>พ.ร.บ. ยา พ.ศ. 2510</t>
        </is>
      </c>
      <c r="M140" s="18" t="inlineStr">
        <is>
          <t>SAP</t>
        </is>
      </c>
      <c r="N140" s="18" t="inlineStr">
        <is>
          <t>ข้อ 50 (PLE_CC1_2561_Key.md)</t>
        </is>
      </c>
      <c r="O140" s="18" t="inlineStr">
        <is>
          <t>ข้อสอบจริง</t>
        </is>
      </c>
      <c r="P140" s="18" t="inlineStr">
        <is>
          <t>ปี 2561</t>
        </is>
      </c>
    </row>
    <row r="141">
      <c r="A141" s="18" t="n">
        <v>139</v>
      </c>
      <c r="B141" s="18" t="inlineStr">
        <is>
          <t>อาการใดเป5นอาการรุนแรง ควรไปพบแพทยอย.างเร.งด.วนสำหรับ ผู(ปcวยรายนี้</t>
        </is>
      </c>
      <c r="C141" s="18" t="n"/>
      <c r="D141" s="18" t="inlineStr">
        <is>
          <t>ปวดท(อง</t>
        </is>
      </c>
      <c r="E141" s="18" t="inlineStr">
        <is>
          <t>ปวดศีรษะ</t>
        </is>
      </c>
      <c r="F141" s="18" t="inlineStr">
        <is>
          <t>เบื่ออาหาร</t>
        </is>
      </c>
      <c r="G141" s="18" t="inlineStr">
        <is>
          <t>ปVสสาวะขุ.น</t>
        </is>
      </c>
      <c r="H141" s="18" t="inlineStr">
        <is>
          <t>มีไข( หนาวสั่น</t>
        </is>
      </c>
      <c r="I141" s="18" t="n">
        <v>1</v>
      </c>
      <c r="J141" s="18"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(เบื่ออาหาร):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(ปVสสาวะขุ.น): ข้อนี้ไม่ใช่คำตอบที่ถูกต้องสำหรับภาวะ พ.ร.บ. ยา พ.ศ. 2510 เนื่องจากกลไกการออกฤทธิ์, efficacy หรือข้อบ่งใช้ไม่ตรงกับโจทย์ที่กำหนด
• ข้อ จ. (มีไข( หนาวสั่น):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18" t="n"/>
      <c r="L141" s="18" t="inlineStr">
        <is>
          <t>พ.ร.บ. ยา พ.ศ. 2510</t>
        </is>
      </c>
      <c r="M141" s="18" t="inlineStr">
        <is>
          <t>SAP</t>
        </is>
      </c>
      <c r="N141" s="18" t="inlineStr">
        <is>
          <t>ข้อ 78 (PLE_CC1_2561_Key.md)</t>
        </is>
      </c>
      <c r="O141" s="18" t="inlineStr">
        <is>
          <t>ข้อสอบจริง</t>
        </is>
      </c>
      <c r="P141" s="18" t="inlineStr">
        <is>
          <t>ปี 2561</t>
        </is>
      </c>
    </row>
    <row r="142">
      <c r="A142" s="18" t="n">
        <v>140</v>
      </c>
      <c r="B142" s="18" t="inlineStr">
        <is>
          <t>เภสัชกรควรแนะนำการใช(ยา isotretinoin แก.ผู(ปcวยอย.างไร</t>
        </is>
      </c>
      <c r="C142" s="18" t="n"/>
      <c r="D142" s="18" t="inlineStr">
        <is>
          <t>กินตอนท(องว.าง</t>
        </is>
      </c>
      <c r="E142" s="18" t="inlineStr">
        <is>
          <t>กินห.างกันอย.างน(อยสองชั่วโมง</t>
        </is>
      </c>
      <c r="F142" s="18" t="inlineStr">
        <is>
          <t>ใช(ครีมกันแดด SPF อย.างน(อย 30</t>
        </is>
      </c>
      <c r="G142" s="18" t="inlineStr">
        <is>
          <t>อาจทำให( คอนแทคเลนสเปลี่ยนสี</t>
        </is>
      </c>
      <c r="H142" s="18" t="inlineStr">
        <is>
          <t>ต(องมีการตรวจค.าไตอย.างสม่ำเสมอ</t>
        </is>
      </c>
      <c r="I142" s="18" t="n">
        <v>1</v>
      </c>
      <c r="J142" s="18"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ข้อนี้ไม่ใช่คำตอบที่ถูกต้องสำหรับภาวะ พ.ร.บ. ยา พ.ศ. 2510 เนื่องจากกลไกการออกฤทธิ์, efficacy หรือข้อบ่งใช้ไม่ตรงกับโจทย์ที่กำหนด
• ข้อ ค. (ใช(ครีมกันแดด SPF อย.างน(อย 30): ข้อนี้ไม่ใช่คำตอบที่ถูกต้องสำหรับภาวะ พ.ร.บ. ยา พ.ศ. 2510 เนื่องจากกลไกการออกฤทธิ์, efficacy หรือข้อบ่งใช้ไม่ตรงกับโจทย์ที่กำหนด
• ข้อ ง. (อาจทำให( คอนแทคเลนสเปลี่ยนสี): ข้อนี้ไม่ใช่คำตอบที่ถูกต้องสำหรับภาวะ พ.ร.บ. ยา พ.ศ. 2510 เนื่องจากกลไกการออกฤทธิ์, efficacy หรือข้อบ่งใช้ไม่ตรงกับโจทย์ที่กำหนด
• ข้อ จ. (ต(องมีการตรวจค.าไตอย.างสม่ำเสมอ):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18" t="n"/>
      <c r="L142" s="18" t="inlineStr">
        <is>
          <t>พ.ร.บ. ยา พ.ศ. 2510</t>
        </is>
      </c>
      <c r="M142" s="18" t="inlineStr">
        <is>
          <t>SAP</t>
        </is>
      </c>
      <c r="N142" s="18" t="inlineStr">
        <is>
          <t>ข้อ 81 (PLE_CC1_2561_Key.md)</t>
        </is>
      </c>
      <c r="O142" s="18" t="inlineStr">
        <is>
          <t>ข้อสอบจริง</t>
        </is>
      </c>
      <c r="P142" s="18" t="inlineStr">
        <is>
          <t>ปี 2561</t>
        </is>
      </c>
    </row>
    <row r="143">
      <c r="A143" s="18" t="n">
        <v>141</v>
      </c>
      <c r="B143" s="18"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18" t="n"/>
      <c r="D143" s="18" t="inlineStr">
        <is>
          <t>เพิ่ม NaOH</t>
        </is>
      </c>
      <c r="E143" s="18" t="inlineStr">
        <is>
          <t>เติม Span 60</t>
        </is>
      </c>
      <c r="F143" s="18" t="inlineStr">
        <is>
          <t>เติม Tween 20</t>
        </is>
      </c>
      <c r="G143" s="18" t="inlineStr">
        <is>
          <t>ลดวัฏภาคน้ำมัน</t>
        </is>
      </c>
      <c r="H143" s="18" t="inlineStr">
        <is>
          <t>เพิ่มปริมาณ BHT</t>
        </is>
      </c>
      <c r="I143" s="18" t="n">
        <v>1</v>
      </c>
      <c r="J143" s="18"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Tween 20): ข้อนี้ไม่ใช่คำตอบที่ถูกต้องสำหรับภาวะ พ.ร.บ. ยา พ.ศ. 2510 เนื่องจากกลไกการออกฤทธิ์, efficacy หรือข้อบ่งใช้ไม่ตรงกับโจทย์ที่กำหนด
• ข้อ ง. (ลดวัฏภาคน้ำมัน):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18" t="n"/>
      <c r="L143" s="18" t="inlineStr">
        <is>
          <t>พ.ร.บ. ยา พ.ศ. 2510</t>
        </is>
      </c>
      <c r="M143" s="18" t="inlineStr">
        <is>
          <t>SAP</t>
        </is>
      </c>
      <c r="N143" s="18" t="inlineStr">
        <is>
          <t>ข้อ 89 (PLE_CC1_2561_Key.md)</t>
        </is>
      </c>
      <c r="O143" s="18" t="inlineStr">
        <is>
          <t>ข้อสอบจริง</t>
        </is>
      </c>
      <c r="P143" s="18" t="inlineStr">
        <is>
          <t>ปี 2561</t>
        </is>
      </c>
    </row>
    <row r="144">
      <c r="A144" s="18" t="n">
        <v>142</v>
      </c>
      <c r="B144" s="18" t="inlineStr">
        <is>
          <t>ถ(าวิเคราะหยา A ด(วย HPLC ได( retention time ของ standard เท.ากับยา A หมายความว.าอย.างไร</t>
        </is>
      </c>
      <c r="C144" s="18" t="n"/>
      <c r="D144" s="18" t="inlineStr">
        <is>
          <t>ยา A กับ standard มีปริมาณเท.ากัน</t>
        </is>
      </c>
      <c r="E144" s="18" t="inlineStr">
        <is>
          <t>ยากับ standard เป5นสารคนละตัวกัน</t>
        </is>
      </c>
      <c r="F144" s="18" t="inlineStr">
        <is>
          <t>ยา A เป5น by product ของ standard</t>
        </is>
      </c>
      <c r="G144" s="18" t="inlineStr">
        <is>
          <t>เวลาที่ standard กับยา A อยู.ใน column เท.ากัน</t>
        </is>
      </c>
      <c r="H144" s="18" t="inlineStr">
        <is>
          <t>ยา A มีความชอบพอกับ stationary phase ใน column</t>
        </is>
      </c>
      <c r="I144" s="18" t="n">
        <v>1</v>
      </c>
      <c r="J144" s="18"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A เป5น by product ของ standard): ข้อนี้ไม่ใช่คำตอบที่ถูกต้องสำหรับภาวะ พ.ร.บ. ยา พ.ศ. 2510 เนื่องจากกลไกการออกฤทธิ์, efficacy หรือข้อบ่งใช้ไม่ตรงกับโจทย์ที่กำหนด
• ข้อ ง. (เวลาที่ standard กับยา A อยู.ใน column เท.ากัน):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A มีความชอบพอกับ stationary phase ใน column):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18" t="n"/>
      <c r="L144" s="18" t="inlineStr">
        <is>
          <t>พ.ร.บ. ยา พ.ศ. 2510</t>
        </is>
      </c>
      <c r="M144" s="18" t="inlineStr">
        <is>
          <t>SAP</t>
        </is>
      </c>
      <c r="N144" s="18" t="inlineStr">
        <is>
          <t>ข้อ 112 (PLE_CC1_2561_Key.md)</t>
        </is>
      </c>
      <c r="O144" s="18" t="inlineStr">
        <is>
          <t>ข้อสอบจริง</t>
        </is>
      </c>
      <c r="P144" s="18" t="inlineStr">
        <is>
          <t>ปี 2561</t>
        </is>
      </c>
    </row>
    <row r="145">
      <c r="A145" s="18" t="n">
        <v>143</v>
      </c>
      <c r="B145" s="18" t="inlineStr">
        <is>
          <t>ยา HCTZ 25 mg/tab น้ำหนักเม็ดยา 1 เม็ดเท.ากับ 100 mg ควร ทดสอบในหัวข้อ uniformity of dosage unit USP41 อย.างไร mm i I 8</t>
        </is>
      </c>
      <c r="C145" s="18" t="n"/>
      <c r="D145" s="18" t="inlineStr">
        <is>
          <t>ค.ายา</t>
        </is>
      </c>
      <c r="E145" s="18" t="inlineStr">
        <is>
          <t>ค.าตรวจเลือด</t>
        </is>
      </c>
      <c r="F145" s="18" t="inlineStr">
        <is>
          <t>ค.าเครื่องมือแพทย</t>
        </is>
      </c>
      <c r="G145" s="18" t="inlineStr">
        <is>
          <t>ค.าความเจ็บปวด</t>
        </is>
      </c>
      <c r="H145" s="18" t="inlineStr">
        <is>
          <t>ค.าสูญเสียประสิทธิภาพการทำงาน</t>
        </is>
      </c>
      <c r="I145" s="18" t="n">
        <v>1</v>
      </c>
      <c r="J145" s="18"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ข้อนี้ไม่ใช่คำตอบที่ถูกต้องสำหรับภาวะ พ.ร.บ. ยา พ.ศ. 2510 เนื่องจากกลไกการออกฤทธิ์, efficacy หรือข้อบ่งใช้ไม่ตรงกับโจทย์ที่กำหนด
• ข้อ ค. (ค.าเครื่องมือแพทย):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(ค.าความเจ็บปวด): ข้อนี้ไม่ใช่คำตอบที่ถูกต้องสำหรับภาวะ พ.ร.บ. ยา พ.ศ. 2510 เนื่องจากกลไกการออกฤทธิ์, efficacy หรือข้อบ่งใช้ไม่ตรงกับโจทย์ที่กำหนด
• ข้อ จ. (ค.าสูญเสียประสิทธิภาพการทำงาน):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18" t="n"/>
      <c r="L145" s="18" t="inlineStr">
        <is>
          <t>พ.ร.บ. ยา พ.ศ. 2510</t>
        </is>
      </c>
      <c r="M145" s="18" t="inlineStr">
        <is>
          <t>SAP</t>
        </is>
      </c>
      <c r="N145" s="18" t="inlineStr">
        <is>
          <t>ข้อ 114 (PLE_CC1_2561_Key.md)</t>
        </is>
      </c>
      <c r="O145" s="18" t="inlineStr">
        <is>
          <t>ข้อสอบจริง</t>
        </is>
      </c>
      <c r="P145" s="18" t="inlineStr">
        <is>
          <t>ปี 2561</t>
        </is>
      </c>
    </row>
    <row r="146">
      <c r="A146" s="18" t="n">
        <v>144</v>
      </c>
      <c r="B146" s="18"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18" t="n"/>
      <c r="D146" s="18" t="inlineStr">
        <is>
          <t>ศึกษาแบบ Case control โดยหาค.า RR</t>
        </is>
      </c>
      <c r="E146" s="18" t="inlineStr">
        <is>
          <t>ศึกษาแบบ Case control โดยหาค.า OR</t>
        </is>
      </c>
      <c r="F146" s="18" t="inlineStr">
        <is>
          <t>ศึกษาแบบ Cohort study โดยหาค.า RR</t>
        </is>
      </c>
      <c r="G146" s="18" t="inlineStr">
        <is>
          <t>ศึกษาแบบ Cohort study โดยหาค.า OR</t>
        </is>
      </c>
      <c r="H146" s="18" t="inlineStr">
        <is>
          <t>ศึกษาแบบ Cross sectional วัดผลเป5น prevalence e r e ere t</t>
        </is>
      </c>
      <c r="I146" s="18" t="n">
        <v>1</v>
      </c>
      <c r="J146" s="18"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ค. (ศึกษาแบบ Cohort study โดยหาค.า RR): ข้อนี้ไม่ใช่คำตอบที่ถูกต้องสำหรับภาวะ พ.ร.บ. ยา พ.ศ. 2510 เนื่องจากกลไกการออกฤทธิ์, efficacy หรือข้อบ่งใช้ไม่ตรงกับโจทย์ที่กำหนด
• ข้อ ง. (ศึกษาแบบ Cohort study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จ. (ศึกษาแบบ Cross sectional วัดผลเป5น prevalence e r e ere 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18" t="n"/>
      <c r="L146" s="18" t="inlineStr">
        <is>
          <t>พ.ร.บ. ยา พ.ศ. 2510</t>
        </is>
      </c>
      <c r="M146" s="18" t="inlineStr">
        <is>
          <t>SAP</t>
        </is>
      </c>
      <c r="N146" s="18" t="inlineStr">
        <is>
          <t>ข้อ 121 (PLE_CC1_2561_Key.md)</t>
        </is>
      </c>
      <c r="O146" s="18" t="inlineStr">
        <is>
          <t>ข้อสอบจริง</t>
        </is>
      </c>
      <c r="P146" s="18" t="inlineStr">
        <is>
          <t>ปี 2561</t>
        </is>
      </c>
    </row>
    <row r="147">
      <c r="A147" s="18" t="n">
        <v>145</v>
      </c>
      <c r="B147" s="18"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18" t="n"/>
      <c r="D147" s="18" t="inlineStr">
        <is>
          <t>ยา A ลดอัตราการตายได้มากกว่า Enalapril ร้อยละ 80%</t>
        </is>
      </c>
      <c r="E147" s="18" t="inlineStr">
        <is>
          <t>ยา A ลดอัตราการตายได้มากกว่า Enalapril ร้อยละ 20%</t>
        </is>
      </c>
      <c r="F147" s="18" t="inlineStr">
        <is>
          <t>ยา A ลดอัตราการตายได้น้อยกว่า Enalapril ร้อยละ 80%</t>
        </is>
      </c>
      <c r="G147" s="18" t="inlineStr">
        <is>
          <t>ยา A ลดอัตราการตายได้น้อยกว่า Enalapril ร้อยละ 20%</t>
        </is>
      </c>
      <c r="H147" s="18" t="inlineStr">
        <is>
          <t>ยา A ลดอัตราการตายได้ร้อยละ 20% ของ Enalapril</t>
        </is>
      </c>
      <c r="I147" s="18" t="n">
        <v>1</v>
      </c>
      <c r="J147" s="18"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18" t="n"/>
      <c r="L147" s="18" t="inlineStr">
        <is>
          <t>พ.ร.บ. ยา พ.ศ. 2510</t>
        </is>
      </c>
      <c r="M147" s="18" t="inlineStr">
        <is>
          <t>SAP</t>
        </is>
      </c>
      <c r="N147" s="18" t="inlineStr">
        <is>
          <t>ข้อ 6 (PLE_CC1_2560 22 April Set 1.md)</t>
        </is>
      </c>
      <c r="O147" s="18" t="inlineStr">
        <is>
          <t>ข้อสอบจริง</t>
        </is>
      </c>
      <c r="P147" s="18" t="inlineStr">
        <is>
          <t>ปี 2560</t>
        </is>
      </c>
    </row>
    <row r="148">
      <c r="A148" s="18" t="n">
        <v>146</v>
      </c>
      <c r="B148" s="18" t="inlineStr">
        <is>
          <t>ต้องรักษานานเท่าไหร่ จะได้ประสิทธิภาพการรักษาสูงสุด</t>
        </is>
      </c>
      <c r="C148" s="18" t="n"/>
      <c r="D148" s="18" t="inlineStr">
        <is>
          <t>3 วัน</t>
        </is>
      </c>
      <c r="E148" s="18" t="inlineStr">
        <is>
          <t>5 วัน</t>
        </is>
      </c>
      <c r="F148" s="18" t="inlineStr">
        <is>
          <t>2 wk</t>
        </is>
      </c>
      <c r="G148" s="18" t="inlineStr">
        <is>
          <t>4 wk</t>
        </is>
      </c>
      <c r="H148" s="18" t="inlineStr">
        <is>
          <t>6 wk</t>
        </is>
      </c>
      <c r="I148" s="18" t="n">
        <v>1</v>
      </c>
      <c r="J148" s="18"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wk): ข้อนี้ไม่ใช่คำตอบที่ถูกต้องสำหรับภาวะ พ.ร.บ. ยา พ.ศ. 2510 เนื่องจากกลไกการออกฤทธิ์, efficacy หรือข้อบ่งใช้ไม่ตรงกับโจทย์ที่กำหนด
• ข้อ ง. (4 wk): ข้อนี้ไม่ใช่คำตอบที่ถูกต้องสำหรับภาวะ พ.ร.บ. ยา พ.ศ. 2510 เนื่องจากกลไกการออกฤทธิ์, efficacy หรือข้อบ่งใช้ไม่ตรงกับโจทย์ที่กำหนด
• ข้อ จ. (6 wk):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18" t="n"/>
      <c r="L148" s="18" t="inlineStr">
        <is>
          <t>พ.ร.บ. ยา พ.ศ. 2510</t>
        </is>
      </c>
      <c r="M148" s="18" t="inlineStr">
        <is>
          <t>SAP</t>
        </is>
      </c>
      <c r="N148" s="18" t="inlineStr">
        <is>
          <t>ข้อ 8 (PLE_CC1_2560 22 April Set 1.md)</t>
        </is>
      </c>
      <c r="O148" s="18" t="inlineStr">
        <is>
          <t>ข้อสอบจริง</t>
        </is>
      </c>
      <c r="P148" s="18" t="inlineStr">
        <is>
          <t>ปี 2560</t>
        </is>
      </c>
    </row>
    <row r="149">
      <c r="A149" s="18" t="n">
        <v>147</v>
      </c>
      <c r="B149" s="18" t="inlineStr">
        <is>
          <t>ภญ.กานดา มีความผิดตามจรรยาบรรณวิชาชีพเภสัชกรรมหรือไม่ เพราะเหตุใด</t>
        </is>
      </c>
      <c r="C149" s="18" t="n"/>
      <c r="D149" s="18" t="inlineStr">
        <is>
          <t>ไม่ผิด เพราะไม่ได้กระท้าความผิดโดยตรงต่อนายชิดชัย</t>
        </is>
      </c>
      <c r="E149" s="18" t="inlineStr">
        <is>
          <t>ไม่ผิด เพราะใบอนุญาตขายยาให้การคุ้มกันต่อลูกจ้าง หรือตัวแทนผู้รับอนุญาต</t>
        </is>
      </c>
      <c r="F149" s="18" t="inlineStr">
        <is>
          <t>ผิด เพราะไม่ปิดบังตู้ยาอันตราย หรือยาควบคุมพิเศษ เหมือนเป็นการชักชวนให้ผู้ป่วยมารับ บริการ</t>
        </is>
      </c>
      <c r="G149" s="18" t="inlineStr">
        <is>
          <t>ผิด เพราะไม่รักษามาตรฐานการประกอบวิชาชีพเภสัชกรรม</t>
        </is>
      </c>
      <c r="H149" s="18" t="inlineStr">
        <is>
          <t>ผิด เพราะถือเป็นการให้ค้ารับรองที่เป็นเท็จ หรือให้ความเห็นโดยไม่สุจริตทางอ้อมว่ามีเภสัชกร</t>
        </is>
      </c>
      <c r="I149" s="18" t="n">
        <v>1</v>
      </c>
      <c r="J149" s="18"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เพราะถือเป็นการให้ค้ารับรองที่เป็นเท็จ หรือให้ความเห็นโดยไม่สุจริตทางอ้อมว่ามีเภสัชกร):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18" t="n"/>
      <c r="L149" s="18" t="inlineStr">
        <is>
          <t>พ.ร.บ. วิชาชีพเภสัชกรรม 2537</t>
        </is>
      </c>
      <c r="M149" s="18" t="inlineStr">
        <is>
          <t>SAP</t>
        </is>
      </c>
      <c r="N149" s="18" t="inlineStr">
        <is>
          <t>ข้อ 1 (PLE_CC1_2560 22 April Set 1.md)</t>
        </is>
      </c>
      <c r="O149" s="18" t="inlineStr">
        <is>
          <t>ข้อสอบจริง</t>
        </is>
      </c>
      <c r="P149" s="18" t="inlineStr">
        <is>
          <t>ปี 2560</t>
        </is>
      </c>
    </row>
    <row r="150">
      <c r="A150" s="18" t="n">
        <v>148</v>
      </c>
      <c r="B150" s="18" t="inlineStr">
        <is>
          <t>ผู้รับอนุญาต ท้าผิดพรบ.วิชาชีพเภสัชกรรมหรือไม่อย่างไร</t>
        </is>
      </c>
      <c r="C150" s="18" t="n"/>
      <c r="D150" s="18" t="inlineStr">
        <is>
          <t>ผิด เพราะการกระท้าส่งผลต่อผู้ป่วยโดยตรง</t>
        </is>
      </c>
      <c r="E150" s="18" t="inlineStr">
        <is>
          <t>ผิด เพราะเป็นผู้จ่ายยาเอง</t>
        </is>
      </c>
      <c r="F150" s="18" t="inlineStr">
        <is>
          <t>ผิด เพราะ ไม่เป็นตามจรรณยาบรรณเภสัชชุมชน</t>
        </is>
      </c>
      <c r="G150" s="18" t="inlineStr">
        <is>
          <t>ไม่ผิด เพราะขนิษฐาไม่ใช่เภสัชฯ และพรบ. วิชาชีพมีไว้ส้าหรับเภสัชเท่านั น</t>
        </is>
      </c>
      <c r="H150" s="18" t="inlineStr">
        <is>
          <t>ไม่ผิด หากพิสูจน์ได้ว่าเภสัชยินยอม</t>
        </is>
      </c>
      <c r="I150" s="18" t="n">
        <v>1</v>
      </c>
      <c r="J150" s="18"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ไม่เป็นตามจรรณยาบรรณเภสัชชุมชน):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เพราะขนิษฐาไม่ใช่เภสัชฯ และพรบ. วิชาชีพมีไว้ส้าหรับเภสัชเท่านั 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หากพิสูจน์ได้ว่าเภสัชยินยอม):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18" t="n"/>
      <c r="L150" s="18" t="inlineStr">
        <is>
          <t>พ.ร.บ. ยา พ.ศ. 2510</t>
        </is>
      </c>
      <c r="M150" s="18" t="inlineStr">
        <is>
          <t>SAP</t>
        </is>
      </c>
      <c r="N150" s="18" t="inlineStr">
        <is>
          <t>ข้อ 2 (PLE_CC1_2560 22 April Set 1.md)</t>
        </is>
      </c>
      <c r="O150" s="18" t="inlineStr">
        <is>
          <t>ข้อสอบจริง</t>
        </is>
      </c>
      <c r="P150" s="18" t="inlineStr">
        <is>
          <t>ปี 2560</t>
        </is>
      </c>
    </row>
    <row r="151">
      <c r="A151" s="18" t="n">
        <v>149</v>
      </c>
      <c r="B151" s="18" t="inlineStr">
        <is>
          <t>เภสัชกรผิด พ.ร.บ.ยา มั ย เพราะอะไร</t>
        </is>
      </c>
      <c r="C151" s="18" t="n"/>
      <c r="D151" s="18" t="inlineStr">
        <is>
          <t>ผิด เพราะไม่อยู่ปฏิบัติงานในเวลาปฏิบัติการ รวมโดย Phongsathorn Phlaisaithong Rx 9 UP 25 | P a g e</t>
        </is>
      </c>
      <c r="E151" s="18" t="inlineStr">
        <is>
          <t>บัญชียาหลักแห่งชาติ (National List of Essential Medicines: NLEM)</t>
        </is>
      </c>
      <c r="F151" s="18" t="inlineStr">
        <is>
          <t>เกณฑ์จริยธรรมว่าด้วยการส่งเสริมการขายยาของกระทรวงสาธารณสุข</t>
        </is>
      </c>
      <c r="G151" s="18" t="inlineStr">
        <is>
          <t>พ.ร.บ. ยา พ.ศ. 2510 (การจำหน่ายยาอันตรายและยาควบคุมพิเศษ)</t>
        </is>
      </c>
      <c r="H151" s="18" t="inlineStr">
        <is>
          <t>พ.ร.บ. ยาเสพติดให้โทษ พ.ศ. 2522 (ยาเสพติดให้โทษประเภท 2 และ 3)</t>
        </is>
      </c>
      <c r="I151" s="18" t="n">
        <v>1</v>
      </c>
      <c r="J151" s="18"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18" t="n"/>
      <c r="L151" s="18" t="inlineStr">
        <is>
          <t>พ.ร.บ. ยา พ.ศ. 2510</t>
        </is>
      </c>
      <c r="M151" s="18" t="inlineStr">
        <is>
          <t>SAP</t>
        </is>
      </c>
      <c r="N151" s="18" t="inlineStr">
        <is>
          <t>ข้อ 3 (PLE_CC1_2560 22 April Set 1.md)</t>
        </is>
      </c>
      <c r="O151" s="18" t="inlineStr">
        <is>
          <t>ข้อสอบจริง</t>
        </is>
      </c>
      <c r="P151" s="18" t="inlineStr">
        <is>
          <t>ปี 2560</t>
        </is>
      </c>
    </row>
    <row r="152">
      <c r="A152" s="18" t="n">
        <v>150</v>
      </c>
      <c r="B152" s="18" t="inlineStr">
        <is>
          <t>นางขนิษฐา มีความผิดตามพรบ.ยา ปี 2510 และฉบับแก้ไขเพิ่มเติมข้อใด</t>
        </is>
      </c>
      <c r="C152" s="18" t="n"/>
      <c r="D152" s="18" t="inlineStr">
        <is>
          <t>ไม่สามารถจัดหาเภสัชกรมาปฏิบัติหน้าที่ได้ตลอดเวลาที่เปิดท้าการ</t>
        </is>
      </c>
      <c r="E152" s="18" t="inlineStr">
        <is>
          <t>ขายยาโดยไม่ได้รับอนุญาติ</t>
        </is>
      </c>
      <c r="F152" s="18" t="inlineStr">
        <is>
          <t>ไม่อยู่ปฏิบัติหน้าที่ในเวลาปฏิบัติการ</t>
        </is>
      </c>
      <c r="G152" s="18" t="inlineStr">
        <is>
          <t>ขายยาอันตรายและยาควบคุมพิเศษ</t>
        </is>
      </c>
      <c r="H152" s="18" t="inlineStr">
        <is>
          <t>ไม่ปฏิบัติตามพรบ.วิชาชีพเภสัชกรรม</t>
        </is>
      </c>
      <c r="I152" s="18" t="n">
        <v>1</v>
      </c>
      <c r="J152" s="18"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(ไม่อยู่ปฏิบัติหน้าที่ในเวลาปฏิบัติการ):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18" t="n"/>
      <c r="L152" s="18" t="inlineStr">
        <is>
          <t>พ.ร.บ. ยา พ.ศ. 2510</t>
        </is>
      </c>
      <c r="M152" s="18" t="inlineStr">
        <is>
          <t>SAP</t>
        </is>
      </c>
      <c r="N152" s="18" t="inlineStr">
        <is>
          <t>ข้อ 4 (PLE_CC1_2560 22 April Set 1.md)</t>
        </is>
      </c>
      <c r="O152" s="18" t="inlineStr">
        <is>
          <t>ข้อสอบจริง</t>
        </is>
      </c>
      <c r="P152" s="18" t="inlineStr">
        <is>
          <t>ปี 2560</t>
        </is>
      </c>
    </row>
    <row r="153">
      <c r="A153" s="18" t="n">
        <v>151</v>
      </c>
      <c r="B153" s="18"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18" t="n"/>
      <c r="D153" s="18" t="inlineStr">
        <is>
          <t>พ.ร.บ. วิชาชีพเภสัชกรรม พ.ศ. 2537 และข้อบังคับจรรยาบรรณวิชาชีพ</t>
        </is>
      </c>
      <c r="E153" s="18" t="inlineStr">
        <is>
          <t>พ.ร.บ. ผลิตภัณฑ์สมุนไพร พ.ศ. 2562</t>
        </is>
      </c>
      <c r="F153" s="18" t="inlineStr">
        <is>
          <t>พ.ร.บ. เครื่องสำอาง พ.ศ. 2558</t>
        </is>
      </c>
      <c r="G153" s="18" t="inlineStr">
        <is>
          <t>พ.ร.บ. หลักประกันสุขภาพแห่งชาติ พ.ศ. 2545</t>
        </is>
      </c>
      <c r="H153" s="18" t="inlineStr">
        <is>
          <t>การปฏิบัติทางเภสัชกรรมชุมชน (Good Pharmacy Practice: GPP)</t>
        </is>
      </c>
      <c r="I153" s="18" t="n">
        <v>1</v>
      </c>
      <c r="J153"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18" t="n"/>
      <c r="L153" s="18" t="inlineStr">
        <is>
          <t>พ.ร.บ. ยา พ.ศ. 2510</t>
        </is>
      </c>
      <c r="M153" s="18" t="inlineStr">
        <is>
          <t>SAP</t>
        </is>
      </c>
      <c r="N153" s="18" t="inlineStr">
        <is>
          <t>ข้อ 13 (PLE_CC1_2560 22 April Set 2.md)</t>
        </is>
      </c>
      <c r="O153" s="18" t="inlineStr">
        <is>
          <t>ข้อสอบจริง</t>
        </is>
      </c>
      <c r="P153" s="18" t="inlineStr">
        <is>
          <t>ปี 2560</t>
        </is>
      </c>
    </row>
    <row r="154">
      <c r="A154" s="18" t="n">
        <v>152</v>
      </c>
      <c r="B154" s="18" t="inlineStr">
        <is>
          <t>ยาใหม่ อย. กำหนดให้ต้องติดความปลอดภัยนานเท่าใด</t>
        </is>
      </c>
      <c r="C154" s="18" t="n"/>
      <c r="D154" s="18" t="inlineStr">
        <is>
          <t>3 เดือน</t>
        </is>
      </c>
      <c r="E154" s="18" t="inlineStr">
        <is>
          <t>6 เดือน</t>
        </is>
      </c>
      <c r="F154" s="18" t="inlineStr">
        <is>
          <t>12 เดือน</t>
        </is>
      </c>
      <c r="G154" s="18" t="inlineStr">
        <is>
          <t>18 เดือน</t>
        </is>
      </c>
      <c r="H154" s="18" t="inlineStr">
        <is>
          <t>24 เดือน ห้ามนำไปทำซ้ำทุกกรณี เว้นแต่จะได้รับอนุญาต กรณีศึกษา 3 Indian ink: positive AntiHIV: positive HBeAg: positive AntiHBsAg: positive Dx. Cryptococcal menigitis</t>
        </is>
      </c>
      <c r="I154" s="18" t="n">
        <v>1</v>
      </c>
      <c r="J154" s="18"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(12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(18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(24 เดือน ห้ามนำไปทำซ้ำทุกกรณี เว้นแต่จะได้รับอนุญาต กรณีศึกษา 3 Indian ink: positive AntiHIV: positive HBeAg: positive AntiHBsAg: positive Dx. Cryptococcal menigitis):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18" t="n"/>
      <c r="L154" s="18" t="inlineStr">
        <is>
          <t>พ.ร.บ. ยา พ.ศ. 2510</t>
        </is>
      </c>
      <c r="M154" s="18" t="inlineStr">
        <is>
          <t>SAP</t>
        </is>
      </c>
      <c r="N154" s="18" t="inlineStr">
        <is>
          <t>ข้อ 18 (PLE_CC1_2558_Key.md)</t>
        </is>
      </c>
      <c r="O154" s="18" t="inlineStr">
        <is>
          <t>ข้อสอบจริง</t>
        </is>
      </c>
      <c r="P154" s="18" t="inlineStr">
        <is>
          <t>ปี 2558</t>
        </is>
      </c>
    </row>
    <row r="155">
      <c r="A155" s="18" t="n">
        <v>153</v>
      </c>
      <c r="B155" s="18" t="inlineStr">
        <is>
          <t>ผู้ป่วยสามารถเบิกจ่ายค่ารักษาพยาบาลผู้ป่วยนอกได้ ตามสิทธิใด</t>
        </is>
      </c>
      <c r="C155" s="18" t="n"/>
      <c r="D155" s="18" t="inlineStr">
        <is>
          <t>Capitation</t>
        </is>
      </c>
      <c r="E155" s="18" t="inlineStr">
        <is>
          <t>Pay for Performance</t>
        </is>
      </c>
      <c r="F155" s="18" t="inlineStr">
        <is>
          <t>Diagnosis related group</t>
        </is>
      </c>
      <c r="G155" s="18" t="inlineStr">
        <is>
          <t>Fee for Service</t>
        </is>
      </c>
      <c r="H155" s="18" t="inlineStr">
        <is>
          <t>Fee schedule</t>
        </is>
      </c>
      <c r="I155" s="18" t="n">
        <v>1</v>
      </c>
      <c r="J155" s="18"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ข้อนี้ไม่ใช่คำตอบที่ถูกต้องสำหรับภาวะ พ.ร.บ. ยา พ.ศ. 2510 เนื่องจากกลไกการออกฤทธิ์, efficacy หรือข้อบ่งใช้ไม่ตรงกับโจทย์ที่กำหนด
• ข้อ ค. (Diagnosis related group): ข้อนี้ไม่ใช่คำตอบที่ถูกต้องสำหรับภาวะ พ.ร.บ. ยา พ.ศ. 2510 เนื่องจากกลไกการออกฤทธิ์, efficacy หรือข้อบ่งใช้ไม่ตรงกับโจทย์ที่กำหนด
• ข้อ ง. (Fee for Service): ข้อนี้ไม่ใช่คำตอบที่ถูกต้องสำหรับภาวะ พ.ร.บ. ยา พ.ศ. 2510 เนื่องจากกลไกการออกฤทธิ์, efficacy หรือข้อบ่งใช้ไม่ตรงกับโจทย์ที่กำหนด
• ข้อ จ. (Fee schedule):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18" t="n"/>
      <c r="L155" s="18" t="inlineStr">
        <is>
          <t>พ.ร.บ. ยา พ.ศ. 2510</t>
        </is>
      </c>
      <c r="M155" s="18" t="inlineStr">
        <is>
          <t>SAP</t>
        </is>
      </c>
      <c r="N155" s="18" t="inlineStr">
        <is>
          <t>ข้อ 35 (PLE_CC1_2558_Key.md)</t>
        </is>
      </c>
      <c r="O155" s="18" t="inlineStr">
        <is>
          <t>ข้อสอบจริง</t>
        </is>
      </c>
      <c r="P155" s="18" t="inlineStr">
        <is>
          <t>ปี 2558</t>
        </is>
      </c>
    </row>
    <row r="156">
      <c r="A156" s="18" t="n">
        <v>154</v>
      </c>
      <c r="B156" s="18"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18" t="n"/>
      <c r="D156" s="18" t="inlineStr">
        <is>
          <t>Cost-effective</t>
        </is>
      </c>
      <c r="E156" s="18" t="inlineStr">
        <is>
          <t>Cost-benefit</t>
        </is>
      </c>
      <c r="F156" s="18" t="inlineStr">
        <is>
          <t>Cost-utility</t>
        </is>
      </c>
      <c r="G156" s="18" t="inlineStr">
        <is>
          <t>Cost-minimize</t>
        </is>
      </c>
      <c r="H156" s="18" t="inlineStr">
        <is>
          <t>Cost analysis ห้ามนำไปทำซ้ำทุกกรณี เว้นแต่จะได้รับอนุญาต กรณีศึกษา 10</t>
        </is>
      </c>
      <c r="I156" s="18" t="n">
        <v>1</v>
      </c>
      <c r="J156" s="18"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ข้อนี้ไม่ใช่คำตอบที่ถูกต้องสำหรับภาวะ พ.ร.บ. ยา พ.ศ. 2510 เนื่องจากกลไกการออกฤทธิ์, efficacy หรือข้อบ่งใช้ไม่ตรงกับโจทย์ที่กำหนด
• ข้อ ค. (Cost-utility): ข้อนี้ไม่ใช่คำตอบที่ถูกต้องสำหรับภาวะ พ.ร.บ. ยา พ.ศ. 2510 เนื่องจากกลไกการออกฤทธิ์, efficacy หรือข้อบ่งใช้ไม่ตรงกับโจทย์ที่กำหนด
• ข้อ ง. (Cost-minimize): ข้อนี้ไม่ใช่คำตอบที่ถูกต้องสำหรับภาวะ พ.ร.บ. ยา พ.ศ. 2510 เนื่องจากกลไกการออกฤทธิ์, efficacy หรือข้อบ่งใช้ไม่ตรงกับโจทย์ที่กำหนด
• ข้อ จ. (Cost analysis ห้ามนำไปทำซ้ำทุกกรณี เว้นแต่จะได้รับอนุญาต กรณีศึกษา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18" t="n"/>
      <c r="L156" s="18" t="inlineStr">
        <is>
          <t>พ.ร.บ. ยา พ.ศ. 2510</t>
        </is>
      </c>
      <c r="M156" s="18" t="inlineStr">
        <is>
          <t>SAP</t>
        </is>
      </c>
      <c r="N156" s="18" t="inlineStr">
        <is>
          <t>ข้อ 76 (PLE_CC1_2558_Key.md)</t>
        </is>
      </c>
      <c r="O156" s="18" t="inlineStr">
        <is>
          <t>ข้อสอบจริง</t>
        </is>
      </c>
      <c r="P156" s="18" t="inlineStr">
        <is>
          <t>ปี 2558</t>
        </is>
      </c>
    </row>
    <row r="157">
      <c r="A157" s="18" t="n">
        <v>155</v>
      </c>
      <c r="B157" s="18" t="inlineStr">
        <is>
          <t>อย. ได้รับรายงานอาการไม่พึงประสงค์ คลื่นไส้ อาเจียน ตับอักเสบ จากขี้เหล็ก จัดเป็นการรายงานแบบใด</t>
        </is>
      </c>
      <c r="C157" s="18" t="n"/>
      <c r="D157" s="18" t="inlineStr">
        <is>
          <t>Spontaneous report</t>
        </is>
      </c>
      <c r="E157" s="18" t="inlineStr">
        <is>
          <t>Intervention</t>
        </is>
      </c>
      <c r="F157" s="18" t="inlineStr">
        <is>
          <t>Safety program</t>
        </is>
      </c>
      <c r="G157" s="18" t="inlineStr">
        <is>
          <t>Intensive report</t>
        </is>
      </c>
      <c r="H157" s="18" t="inlineStr">
        <is>
          <t>Therapeutic monitoring ห้ามนำไปทำซ้ำทุกกรณี เว้นแต่จะได้รับอนุญาต</t>
        </is>
      </c>
      <c r="I157" s="18" t="n">
        <v>1</v>
      </c>
      <c r="J157" s="18"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ข้อนี้ไม่ใช่คำตอบที่ถูกต้องสำหรับภาวะ พ.ร.บ. ยา พ.ศ. 2510 เนื่องจากกลไกการออกฤทธิ์, efficacy หรือข้อบ่งใช้ไม่ตรงกับโจทย์ที่กำหนด
• ข้อ ค. (Safety program): ข้อนี้ไม่ใช่คำตอบที่ถูกต้องสำหรับภาวะ พ.ร.บ. ยา พ.ศ. 2510 เนื่องจากกลไกการออกฤทธิ์, efficacy หรือข้อบ่งใช้ไม่ตรงกับโจทย์ที่กำหนด
• ข้อ ง. (Intensive report): ข้อนี้ไม่ใช่คำตอบที่ถูกต้องสำหรับภาวะ พ.ร.บ. ยา พ.ศ. 2510 เนื่องจากกลไกการออกฤทธิ์, efficacy หรือข้อบ่งใช้ไม่ตรงกับโจทย์ที่กำหนด
• ข้อ จ. (Therapeutic monitoring ห้ามนำไปทำซ้ำทุกกรณี เว้นแต่จะได้รับอนุญาต):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18" t="n"/>
      <c r="L157" s="18" t="inlineStr">
        <is>
          <t>พ.ร.บ. ยา พ.ศ. 2510</t>
        </is>
      </c>
      <c r="M157" s="18" t="inlineStr">
        <is>
          <t>SAP</t>
        </is>
      </c>
      <c r="N157" s="18" t="inlineStr">
        <is>
          <t>ข้อ 6 (PLE_CC1_2558_Key.md)</t>
        </is>
      </c>
      <c r="O157" s="18" t="inlineStr">
        <is>
          <t>ข้อสอบจริง</t>
        </is>
      </c>
      <c r="P157" s="18" t="inlineStr">
        <is>
          <t>ปี 2558</t>
        </is>
      </c>
    </row>
    <row r="158">
      <c r="A158" s="18" t="n">
        <v>156</v>
      </c>
      <c r="B158" s="18" t="inlineStr">
        <is>
          <t>การมีสิทธิเหนือสิทธิบัตร มีประโยชน์อย่างไร</t>
        </is>
      </c>
      <c r="C158" s="18" t="n"/>
      <c r="D158" s="18" t="inlineStr">
        <is>
          <t>ทำให้คนไข้เข้าถึงยาได้ง่าย</t>
        </is>
      </c>
      <c r="E158" s="18" t="inlineStr">
        <is>
          <t>คุ้มครองเจ้าของยาต้นแบบ</t>
        </is>
      </c>
      <c r="F158" s="18" t="inlineStr">
        <is>
          <t>เพื่อลดต้นทุนการผลิต</t>
        </is>
      </c>
      <c r="G158" s="18" t="inlineStr">
        <is>
          <t>เพื่อจำกัดการใช้ยาอย่างถูกต้อง</t>
        </is>
      </c>
      <c r="H158" s="18"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18" t="n">
        <v>1</v>
      </c>
      <c r="J158" s="18"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(เพื่อลดต้นทุนการผลิต): ข้อนี้ไม่ใช่คำตอบที่ถูกต้องสำหรับภาวะ พ.ร.บ. ยา พ.ศ. 2510 เนื่องจากกลไกการออกฤทธิ์, efficacy หรือข้อบ่งใช้ไม่ตรงกับโจทย์ที่กำหนด
• ข้อ ง. (เพื่อจำกัดการใช้ยาอย่างถูกต้อง):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18" t="n"/>
      <c r="L158" s="18" t="inlineStr">
        <is>
          <t>พ.ร.บ. ยา พ.ศ. 2510</t>
        </is>
      </c>
      <c r="M158" s="18" t="inlineStr">
        <is>
          <t>SAP</t>
        </is>
      </c>
      <c r="N158" s="18" t="inlineStr">
        <is>
          <t>ข้อ 62 (PLE_CC1_2558_Key.md)</t>
        </is>
      </c>
      <c r="O158" s="18" t="inlineStr">
        <is>
          <t>ข้อสอบจริง</t>
        </is>
      </c>
      <c r="P158" s="18" t="inlineStr">
        <is>
          <t>ปี 2558</t>
        </is>
      </c>
    </row>
    <row r="159">
      <c r="A159" s="18" t="n">
        <v>157</v>
      </c>
      <c r="B159" s="18"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18" t="n"/>
      <c r="D159" s="18" t="inlineStr">
        <is>
          <t>A และ B</t>
        </is>
      </c>
      <c r="E159" s="18" t="inlineStr">
        <is>
          <t>A และ C</t>
        </is>
      </c>
      <c r="F159" s="18" t="inlineStr">
        <is>
          <t>B และ C</t>
        </is>
      </c>
      <c r="G159" s="18" t="inlineStr">
        <is>
          <t>A B และ C</t>
        </is>
      </c>
      <c r="H159" s="18" t="inlineStr">
        <is>
          <t>ไม่มีข้อใดถูก</t>
        </is>
      </c>
      <c r="I159" s="18" t="n">
        <v>1</v>
      </c>
      <c r="J159" s="18"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ค.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ง. (A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18" t="n"/>
      <c r="L159" s="18" t="inlineStr">
        <is>
          <t>พ.ร.บ. ยา พ.ศ. 2510</t>
        </is>
      </c>
      <c r="M159" s="18" t="inlineStr">
        <is>
          <t>SAP</t>
        </is>
      </c>
      <c r="N159" s="18" t="inlineStr">
        <is>
          <t>ข้อ 63 (Pharmtutor_2024_Set1.md)</t>
        </is>
      </c>
      <c r="O159" s="18" t="inlineStr">
        <is>
          <t>Mock</t>
        </is>
      </c>
      <c r="P159" s="18" t="inlineStr">
        <is>
          <t>Mock Pharmtutor 2024</t>
        </is>
      </c>
    </row>
    <row r="160">
      <c r="A160" s="18" t="n">
        <v>158</v>
      </c>
      <c r="B160" s="18"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18" t="n"/>
      <c r="D160" s="18" t="inlineStr">
        <is>
          <t>ผ่าน เนื่องจากผลการทดสอบผ่านเกณฑ์ทุกหัวข้อ content for injections USP39, P.532</t>
        </is>
      </c>
      <c r="E160" s="18" t="inlineStr">
        <is>
          <t>ไม่ผ่าน เนื่องจากผลการทดสอบในหัวข้อ assay ต่ำกว่าที่กำหนด</t>
        </is>
      </c>
      <c r="F160" s="18" t="inlineStr">
        <is>
          <t>ไม่ผ่าน เนื่องจากผลการทดสอบในหัวข้อ organic Impurities มากกว่าที่กำหนด</t>
        </is>
      </c>
      <c r="G160" s="18" t="inlineStr">
        <is>
          <t>ไม่ผ่าน เนื่องจากผลการทดสอบในหัวข้อ container content ต่ำกว่าที่กำหนด</t>
        </is>
      </c>
      <c r="H160" s="18" t="inlineStr">
        <is>
          <t>ไม่ผ่าน เนื่องจากผลการทดสอบในหัวข้อ particulate Matter มีจำนวน particles เกินกว่าที่กำหนด</t>
        </is>
      </c>
      <c r="I160" s="18" t="n">
        <v>1</v>
      </c>
      <c r="J160" s="18"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(ไม่ผ่าน เนื่องจากผลการทดสอบในหัวข้อ organic Impurities มากกว่าที่กำหนด):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(ไม่ผ่าน เนื่องจากผลการทดสอบในหัวข้อ container content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(ไม่ผ่าน เนื่องจากผลการทดสอบในหัวข้อ particulate Matter มีจำนวน particles เกินกว่าที่กำหนด):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18" t="n"/>
      <c r="L160" s="18" t="inlineStr">
        <is>
          <t>พ.ร.บ. ยา พ.ศ. 2510</t>
        </is>
      </c>
      <c r="M160" s="18" t="inlineStr">
        <is>
          <t>SAP</t>
        </is>
      </c>
      <c r="N160" s="18" t="inlineStr">
        <is>
          <t>ข้อ 96 (Pharmtutor_2024_Set1.md)</t>
        </is>
      </c>
      <c r="O160" s="18" t="inlineStr">
        <is>
          <t>Mock</t>
        </is>
      </c>
      <c r="P160" s="18" t="inlineStr">
        <is>
          <t>Mock Pharmtutor 2024</t>
        </is>
      </c>
    </row>
    <row r="161">
      <c r="A161" s="18" t="n">
        <v>159</v>
      </c>
      <c r="B161" s="18"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18" t="n"/>
      <c r="D161" s="18" t="inlineStr">
        <is>
          <t>นายสมชาย</t>
        </is>
      </c>
      <c r="E161" s="18" t="inlineStr">
        <is>
          <t>นายอวบ</t>
        </is>
      </c>
      <c r="F161" s="18" t="inlineStr">
        <is>
          <t>เภสัชกรกล้วย</t>
        </is>
      </c>
      <c r="G161" s="18" t="inlineStr">
        <is>
          <t>เภสัชกรกล้วย นายสมชาย</t>
        </is>
      </c>
      <c r="H161" s="18" t="inlineStr">
        <is>
          <t>เภสัชกรกล้วย นายอวบ นายสมชาย</t>
        </is>
      </c>
      <c r="I161" s="18" t="n">
        <v>1</v>
      </c>
      <c r="J161" s="18"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(เภสัชกรกล้วย):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(เภสัชกรกล้วย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(เภสัชกรกล้วย นายอวบ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18" t="n"/>
      <c r="L161" s="18" t="inlineStr">
        <is>
          <t>พ.ร.บ. ยา พ.ศ. 2510</t>
        </is>
      </c>
      <c r="M161" s="18" t="inlineStr">
        <is>
          <t>SAP</t>
        </is>
      </c>
      <c r="N161" s="18" t="inlineStr">
        <is>
          <t>ข้อ 111 (Pharmtutor_2024_Set1.md)</t>
        </is>
      </c>
      <c r="O161" s="18" t="inlineStr">
        <is>
          <t>Mock</t>
        </is>
      </c>
      <c r="P161" s="18" t="inlineStr">
        <is>
          <t>Mock Pharmtutor 2024</t>
        </is>
      </c>
    </row>
    <row r="162">
      <c r="A162" s="18" t="n">
        <v>160</v>
      </c>
      <c r="B162" s="18" t="inlineStr">
        <is>
          <t>หากต้องการสืบค้นประสิทธิภาพของยาในกลุ่ม HMG-CoA reductase ว่ายาชนิดใดมีค่าครึ่งชีวิตต่ำที่สุด ควนสืบค้นจากหนังสือเล่มใด</t>
        </is>
      </c>
      <c r="C162" s="18" t="n"/>
      <c r="D162" s="18" t="inlineStr">
        <is>
          <t>Drug Information Handbook</t>
        </is>
      </c>
      <c r="E162" s="18" t="inlineStr">
        <is>
          <t>Handbook of Pharmacotherapy</t>
        </is>
      </c>
      <c r="F162" s="18" t="inlineStr">
        <is>
          <t>Drug injectable and Compatibility</t>
        </is>
      </c>
      <c r="G162" s="18" t="inlineStr">
        <is>
          <t>Drug facts and comparisons</t>
        </is>
      </c>
      <c r="H162" s="18" t="inlineStr">
        <is>
          <t>Drug interaction handbook</t>
        </is>
      </c>
      <c r="I162" s="18" t="n">
        <v>1</v>
      </c>
      <c r="J162" s="18"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ข้อนี้ไม่ใช่คำตอบที่ถูกต้องสำหรับภาวะ พ.ร.บ. ยา พ.ศ. 2510 เนื่องจากกลไกการออกฤทธิ์, efficacy หรือข้อบ่งใช้ไม่ตรงกับโจทย์ที่กำหนด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ข้อนี้ไม่ใช่คำตอบที่ถูกต้องสำหรับภาวะ พ.ร.บ. ยา พ.ศ. 2510 เนื่องจากกลไกการออกฤทธิ์, efficacy หรือข้อบ่งใช้ไม่ตรงกับโจทย์ที่กำหนด
• ข้อ จ. (Drug interaction handbook):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18" t="n"/>
      <c r="L162" s="18" t="inlineStr">
        <is>
          <t>พ.ร.บ. ยา พ.ศ. 2510</t>
        </is>
      </c>
      <c r="M162" s="18" t="inlineStr">
        <is>
          <t>SAP</t>
        </is>
      </c>
      <c r="N162" s="18" t="inlineStr">
        <is>
          <t>ข้อ 118 (Pharmtutor_2024_Set1.md)</t>
        </is>
      </c>
      <c r="O162" s="18" t="inlineStr">
        <is>
          <t>Mock</t>
        </is>
      </c>
      <c r="P162" s="18" t="inlineStr">
        <is>
          <t>Mock Pharmtutor 2024</t>
        </is>
      </c>
    </row>
    <row r="163">
      <c r="A163" s="18" t="n">
        <v>161</v>
      </c>
      <c r="B163" s="18"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18" t="n"/>
      <c r="D163" s="18" t="inlineStr">
        <is>
          <t>3% ของเงินเดือน</t>
        </is>
      </c>
      <c r="E163" s="18" t="inlineStr">
        <is>
          <t>4% ของเงินเดือน</t>
        </is>
      </c>
      <c r="F163" s="18" t="inlineStr">
        <is>
          <t>5% ของเิงนเดือน</t>
        </is>
      </c>
      <c r="G163" s="18" t="inlineStr">
        <is>
          <t>4% ของเงินเดือน โดยคิดที่ฐานเงินเดือนไม่เกิน 15,000 บาท</t>
        </is>
      </c>
      <c r="H163" s="18"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18" t="n">
        <v>1</v>
      </c>
      <c r="J163" s="18"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(5%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ของเงินเดือน โดยคิดที่ฐานเงินเดือนไม่เกิน 15,000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18" t="n"/>
      <c r="L163" s="18" t="inlineStr">
        <is>
          <t>พ.ร.บ. ยา พ.ศ. 2510</t>
        </is>
      </c>
      <c r="M163" s="18" t="inlineStr">
        <is>
          <t>SAP</t>
        </is>
      </c>
      <c r="N163" s="18" t="inlineStr">
        <is>
          <t>ข้อ 120 (Pharmtutor_2024_Set1.md)</t>
        </is>
      </c>
      <c r="O163" s="18" t="inlineStr">
        <is>
          <t>Mock</t>
        </is>
      </c>
      <c r="P163" s="18" t="inlineStr">
        <is>
          <t>Mock Pharmtutor 2024</t>
        </is>
      </c>
    </row>
    <row r="164">
      <c r="A164" s="18" t="n">
        <v>162</v>
      </c>
      <c r="B164" s="18"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18" t="n"/>
      <c r="D164" s="18" t="inlineStr">
        <is>
          <t>กระเจี๊ยบแดง</t>
        </is>
      </c>
      <c r="E164" s="18" t="inlineStr">
        <is>
          <t>ขลู่</t>
        </is>
      </c>
      <c r="F164" s="18" t="inlineStr">
        <is>
          <t>เหง้าขิงแก่</t>
        </is>
      </c>
      <c r="G164" s="18" t="inlineStr">
        <is>
          <t>ข่าอ่อน</t>
        </is>
      </c>
      <c r="H164" s="18" t="inlineStr">
        <is>
          <t>ขมิ้นขาว</t>
        </is>
      </c>
      <c r="I164" s="18" t="n">
        <v>1</v>
      </c>
      <c r="J164" s="18"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(เหง้าขิงแก่):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(ข่าอ่อน):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(ขมิ้นขาว):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18" t="n"/>
      <c r="L164" s="18" t="inlineStr">
        <is>
          <t>พ.ร.บ. ผลิตภัณฑ์สมุนไพร &amp; เครื่องสำอาง</t>
        </is>
      </c>
      <c r="M164" s="18" t="inlineStr">
        <is>
          <t>SAP</t>
        </is>
      </c>
      <c r="N164" s="18" t="inlineStr">
        <is>
          <t>ข้อ 26 (Pharmtutor_2024_Set2.md)</t>
        </is>
      </c>
      <c r="O164" s="18" t="inlineStr">
        <is>
          <t>Mock</t>
        </is>
      </c>
      <c r="P164" s="18" t="inlineStr">
        <is>
          <t>Mock Pharmtutor 2024</t>
        </is>
      </c>
    </row>
    <row r="165">
      <c r="A165" s="18" t="n">
        <v>163</v>
      </c>
      <c r="B165" s="18" t="inlineStr">
        <is>
          <t>หากต้องการเพิ่มประสิทธิภาพเทคนิคการวิเคราะห์ High-performance liquid chromatography ข้อใดไม่ควรปฎิบัติ</t>
        </is>
      </c>
      <c r="C165" s="18" t="n"/>
      <c r="D165" s="18" t="inlineStr">
        <is>
          <t>เพิ่มความยาว column</t>
        </is>
      </c>
      <c r="E165" s="18" t="inlineStr">
        <is>
          <t>ลด flow rate</t>
        </is>
      </c>
      <c r="F165" s="18" t="inlineStr">
        <is>
          <t>ปรับอัตราส่วน mobile phase</t>
        </is>
      </c>
      <c r="G165" s="18" t="inlineStr">
        <is>
          <t>ปรับสภาวะเพื่อลดค่า resolution ระหว่างสารที่ต้องการวิเคราะห์และสารปนเปื้อน</t>
        </is>
      </c>
      <c r="H165" s="18" t="inlineStr">
        <is>
          <t>เลือก column ที่มีจำนวน theoretical plates สูงที่สุด</t>
        </is>
      </c>
      <c r="I165" s="18" t="n">
        <v>1</v>
      </c>
      <c r="J165" s="18"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(ปรับอัตราส่วน mobile phase): ข้อนี้ไม่ใช่คำตอบที่ถูกต้องสำหรับภาวะ พ.ร.บ. ยา พ.ศ. 2510 เนื่องจากกลไกการออกฤทธิ์, efficacy หรือข้อบ่งใช้ไม่ตรงกับโจทย์ที่กำหนด
• ข้อ ง. (ปรับสภาวะเพื่อลดค่า resolution ระหว่างสารที่ต้องการวิเคราะห์และสารปนเปื้อน):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(เลือก column ที่มีจำนวน theoretical plates สูงที่สุด):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18" t="n"/>
      <c r="L165" s="18" t="inlineStr">
        <is>
          <t>พ.ร.บ. ยา พ.ศ. 2510</t>
        </is>
      </c>
      <c r="M165" s="18" t="inlineStr">
        <is>
          <t>SAP</t>
        </is>
      </c>
      <c r="N165" s="18" t="inlineStr">
        <is>
          <t>ข้อ 89 (Pharmtutor_2024_Set2.md)</t>
        </is>
      </c>
      <c r="O165" s="18" t="inlineStr">
        <is>
          <t>Mock</t>
        </is>
      </c>
      <c r="P165" s="18" t="inlineStr">
        <is>
          <t>Mock Pharmtutor 2024</t>
        </is>
      </c>
    </row>
    <row r="166">
      <c r="A166" s="18" t="n">
        <v>164</v>
      </c>
      <c r="B166" s="18"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18" t="n"/>
      <c r="D166" s="18" t="inlineStr">
        <is>
          <t>การศึกษาการใช้ยา oral semaglutide เทียบกับ placebo ผลลัพธ์ของการศึกษาแตกต่างกันทางคลินิก แต่ไม่มีนัยสำคัญทางสถิติ</t>
        </is>
      </c>
      <c r="E166" s="18"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18" t="inlineStr">
        <is>
          <t>หาก Q test มีค่า &lt; 0.05 แสดงถึงผลของการศึกษาไม่มีความแตกต่างกัน</t>
        </is>
      </c>
      <c r="G166" s="18"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18" t="inlineStr">
        <is>
          <t>จากการศึกษาข้างต้น หากต้องการผลการศึกษาที่ชัดเจน ควรทำ network meta-analysis เพื่อคำนวณต่อไป</t>
        </is>
      </c>
      <c r="I166" s="18" t="n">
        <v>1</v>
      </c>
      <c r="J166" s="18"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(หาก Q test มีค่า &lt; 0.05 แสดงถึงผลของการศึกษาไม่มีความแตกต่างกัน):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18" t="n"/>
      <c r="L166" s="18" t="inlineStr">
        <is>
          <t>พ.ร.บ. ยา พ.ศ. 2510</t>
        </is>
      </c>
      <c r="M166" s="18" t="inlineStr">
        <is>
          <t>SAP</t>
        </is>
      </c>
      <c r="N166" s="18" t="inlineStr">
        <is>
          <t>ข้อ 111 (Pharmtutor_2024_Set2.md)</t>
        </is>
      </c>
      <c r="O166" s="18" t="inlineStr">
        <is>
          <t>Mock</t>
        </is>
      </c>
      <c r="P166" s="18" t="inlineStr">
        <is>
          <t>Mock Pharmtutor 2024</t>
        </is>
      </c>
    </row>
    <row r="167">
      <c r="A167" s="18" t="n">
        <v>165</v>
      </c>
      <c r="B167" s="18" t="inlineStr">
        <is>
          <t>Isotretenoin ข้อใดถูกต้องตามกฎหมาย</t>
        </is>
      </c>
      <c r="C167" s="18" t="n"/>
      <c r="D167" s="18" t="inlineStr">
        <is>
          <t>ขายได้ในร้านยา หากมีใบสั่งแพทย์</t>
        </is>
      </c>
      <c r="E167" s="18" t="inlineStr">
        <is>
          <t>ขายได้ในร้านยา โดยไม่ต้องมีใบสั่งแพทย์</t>
        </is>
      </c>
      <c r="F167" s="18" t="inlineStr">
        <is>
          <t>ขายไม่ได้ในร้านยา แม้มีใบสั่งแพทย์</t>
        </is>
      </c>
      <c r="G167" s="18" t="inlineStr">
        <is>
          <t>ขายไม่ได้ในร้านยา เนื่องจากเป็นวัตถุออกฤทธิ์ต่อจิตและประสาท</t>
        </is>
      </c>
      <c r="H167" s="18" t="inlineStr">
        <is>
          <t>ขายไม่ได้ในร้านยา เนื่องจากเป็นยาเสพติดให้โทษ ตะลุยโจทย์เภสัชจุฬาฯ สอบผ่าน 100%</t>
        </is>
      </c>
      <c r="I167" s="18" t="n">
        <v>1</v>
      </c>
      <c r="J167" s="18"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(ขายไม่ได้ในร้านยา แม้มีใบสั่งแพทย์):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(ขายไม่ได้ในร้านยา เนื่องจากเป็นวัตถุออกฤทธิ์ต่อจิตและประสาท):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(ขายไม่ได้ในร้านยา เนื่องจากเป็นยาเสพติดให้โทษ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18" t="n"/>
      <c r="L167" s="18" t="inlineStr">
        <is>
          <t>พ.ร.บ. ยา พ.ศ. 2510</t>
        </is>
      </c>
      <c r="M167" s="18" t="inlineStr">
        <is>
          <t>SAP</t>
        </is>
      </c>
      <c r="N167" s="18" t="inlineStr">
        <is>
          <t>ข้อ 2 (LAW-CU-71.md)</t>
        </is>
      </c>
      <c r="O167" s="18" t="inlineStr">
        <is>
          <t>Mock</t>
        </is>
      </c>
      <c r="P167" s="18" t="inlineStr">
        <is>
          <t>Mock กฎหมาย CU71</t>
        </is>
      </c>
    </row>
    <row r="168">
      <c r="A168" s="18" t="n">
        <v>166</v>
      </c>
      <c r="B168" s="18" t="inlineStr">
        <is>
          <t>Budesonide inhaler จัดเป็นยาใดตามกฎหมาย</t>
        </is>
      </c>
      <c r="C168" s="18" t="n"/>
      <c r="D168" s="18" t="inlineStr">
        <is>
          <t>ยาอันตราย</t>
        </is>
      </c>
      <c r="E168" s="18" t="inlineStr">
        <is>
          <t>ยาควบคุมพิเศษ</t>
        </is>
      </c>
      <c r="F168" s="18" t="inlineStr">
        <is>
          <t>ยาใช้เฉพาะที่ แบบควบคุมพิเศษ</t>
        </is>
      </c>
      <c r="G168" s="18" t="inlineStr">
        <is>
          <t>วัตถุออกฤทธิ์ต่อจิตและประสาท</t>
        </is>
      </c>
      <c r="H168" s="18" t="inlineStr">
        <is>
          <t>ยาเสพติดให้โทษ ประเภทที่ 3 ตะลุยโจทย์เภสัชจุฬาฯ สอบผ่าน 100%</t>
        </is>
      </c>
      <c r="I168" s="18" t="n">
        <v>1</v>
      </c>
      <c r="J168" s="1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ประเภทที่ 3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18" t="n"/>
      <c r="L168" s="18" t="inlineStr">
        <is>
          <t>พ.ร.บ. ยา พ.ศ. 2510</t>
        </is>
      </c>
      <c r="M168" s="18" t="inlineStr">
        <is>
          <t>SAP</t>
        </is>
      </c>
      <c r="N168" s="18" t="inlineStr">
        <is>
          <t>ข้อ 3 (LAW-CU-71.md)</t>
        </is>
      </c>
      <c r="O168" s="18" t="inlineStr">
        <is>
          <t>Mock</t>
        </is>
      </c>
      <c r="P168" s="18" t="inlineStr">
        <is>
          <t>Mock กฎหมาย CU71</t>
        </is>
      </c>
    </row>
    <row r="169">
      <c r="A169" s="18" t="n">
        <v>167</v>
      </c>
      <c r="B169" s="18"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18" t="n"/>
      <c r="D169" s="18" t="inlineStr">
        <is>
          <t>พ.ร.บ. ยาเสพติดให้โทษ พ.ศ. 2522 (ยาเสพติดให้โทษประเภท 2 และ 3)</t>
        </is>
      </c>
      <c r="E169" s="18" t="inlineStr">
        <is>
          <t>พ.ร.บ. วัตถุที่ออกฤทธิ์ต่อจิตและประสาท พ.ศ. 2559 (ประเภท 2 และ 4)</t>
        </is>
      </c>
      <c r="F169" s="18" t="inlineStr">
        <is>
          <t>พ.ร.บ. วิชาชีพเภสัชกรรม พ.ศ. 2537 และข้อบังคับจรรยาบรรณวิชาชีพ</t>
        </is>
      </c>
      <c r="G169" s="18" t="inlineStr">
        <is>
          <t>พ.ร.บ. ผลิตภัณฑ์สมุนไพร พ.ศ. 2562</t>
        </is>
      </c>
      <c r="H169" s="18" t="inlineStr">
        <is>
          <t>พ.ร.บ. เครื่องสำอาง พ.ศ. 2558</t>
        </is>
      </c>
      <c r="I169" s="18" t="n">
        <v>1</v>
      </c>
      <c r="J169"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18" t="n"/>
      <c r="L169" s="18" t="inlineStr">
        <is>
          <t>พ.ร.บ. ยา พ.ศ. 2510</t>
        </is>
      </c>
      <c r="M169" s="18" t="inlineStr">
        <is>
          <t>SAP</t>
        </is>
      </c>
      <c r="N169" s="18" t="inlineStr">
        <is>
          <t>ข้อ 1 (LAW-CU-71.md)</t>
        </is>
      </c>
      <c r="O169" s="18" t="inlineStr">
        <is>
          <t>Mock</t>
        </is>
      </c>
      <c r="P169" s="18" t="inlineStr">
        <is>
          <t>Mock กฎหมาย CU71</t>
        </is>
      </c>
    </row>
    <row r="170">
      <c r="A170" s="18" t="n">
        <v>168</v>
      </c>
      <c r="B170" s="18"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18" t="n"/>
      <c r="D170" s="18" t="inlineStr">
        <is>
          <t>ข้อใดต่อไปนี้เป็นยาเสื่อมคุณภาพตามกฎหมาย</t>
        </is>
      </c>
      <c r="E170" s="18" t="inlineStr">
        <is>
          <t>ยาหยอดตาที่มีตัวยาสำคัญมากกว่าเกณฑ์สูงสุด 12 %</t>
        </is>
      </c>
      <c r="F170" s="18" t="inlineStr">
        <is>
          <t>ยาหยอดตาที่มีส่วนผสมของยาอื่นปนเปื้อน 12%</t>
        </is>
      </c>
      <c r="G170" s="18" t="inlineStr">
        <is>
          <t>ยาหยอดตาซึ่งเขียนสถานที่ผลิตไม่ตรงกับความเป็นจริง</t>
        </is>
      </c>
      <c r="H170" s="18" t="inlineStr">
        <is>
          <t>ยาหยอดตาที่เปิดใช้งานมาแล้ว 2 เดือน</t>
        </is>
      </c>
      <c r="I170" s="18" t="n">
        <v>1</v>
      </c>
      <c r="J170" s="18"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(ยาหยอดตาที่มีส่วนผสมของยาอื่นปนเปื้อน 12%):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(ยาหยอดตาซึ่งเขียนสถานที่ผลิตไม่ตรงกับความเป็นจริง):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(ยาหยอดตาที่เปิดใช้งานมาแล้ว 2 เดือน):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18" t="n"/>
      <c r="L170" s="18" t="inlineStr">
        <is>
          <t>พ.ร.บ. ยา พ.ศ. 2510</t>
        </is>
      </c>
      <c r="M170" s="18" t="inlineStr">
        <is>
          <t>SAP</t>
        </is>
      </c>
      <c r="N170" s="18" t="inlineStr">
        <is>
          <t>ข้อ 2 (LAW-CU-71.md)</t>
        </is>
      </c>
      <c r="O170" s="18" t="inlineStr">
        <is>
          <t>Mock</t>
        </is>
      </c>
      <c r="P170" s="18" t="inlineStr">
        <is>
          <t>Mock กฎหมาย CU71</t>
        </is>
      </c>
    </row>
    <row r="171">
      <c r="A171" s="18" t="n">
        <v>169</v>
      </c>
      <c r="B171" s="18" t="inlineStr">
        <is>
          <t>ข้อใดไม่ใช่ norfloxacin ที่จัดเป็นยาปลอมตามกฎหมาย</t>
        </is>
      </c>
      <c r="C171" s="18" t="n"/>
      <c r="D171" s="18" t="inlineStr">
        <is>
          <t>มีการผสมตัวยา ciprofloxacin ด้วย</t>
        </is>
      </c>
      <c r="E171" s="18" t="inlineStr">
        <is>
          <t>ตรวจพบปริมาณ norfloxacin เพียง 70% เท่านั้น</t>
        </is>
      </c>
      <c r="F171" s="18" t="inlineStr">
        <is>
          <t>ที่ฉลากระบุว่าเป็นยา ofloxacin</t>
        </is>
      </c>
      <c r="G171" s="18" t="inlineStr">
        <is>
          <t>ที่ฉลากแสดงเครื่องหมายของผู้ผลิตซึ่งมิใช่ความจริง</t>
        </is>
      </c>
      <c r="H171" s="18" t="inlineStr">
        <is>
          <t>ลักษณะเม็ดยา norfloxacin เปลี่ยนจากสีขาว เป็น สีฟ้าอ่อน ตะลุยโจทย์เภสัชจุฬาฯ สอบผ่าน 100%</t>
        </is>
      </c>
      <c r="I171" s="18" t="n">
        <v>1</v>
      </c>
      <c r="J171" s="18"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 เปลี่ยนจากสีขาว เป็น สีฟ้าอ่อน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18" t="n"/>
      <c r="L171" s="18" t="inlineStr">
        <is>
          <t>พ.ร.บ. ยา พ.ศ. 2510</t>
        </is>
      </c>
      <c r="M171" s="18" t="inlineStr">
        <is>
          <t>SAP</t>
        </is>
      </c>
      <c r="N171" s="18" t="inlineStr">
        <is>
          <t>ข้อ 2 (LAW-CU-71.md)</t>
        </is>
      </c>
      <c r="O171" s="18" t="inlineStr">
        <is>
          <t>Mock</t>
        </is>
      </c>
      <c r="P171" s="18" t="inlineStr">
        <is>
          <t>Mock กฎหมาย CU71</t>
        </is>
      </c>
    </row>
    <row r="172">
      <c r="A172" s="18" t="n">
        <v>170</v>
      </c>
      <c r="B172" s="18" t="inlineStr">
        <is>
          <t>หากท่านต้องการขายยา glibencamide ทางอินเตอร์เนต สามารถทำได้หรือไม่ตามกฎหมาย</t>
        </is>
      </c>
      <c r="C172" s="18" t="n"/>
      <c r="D172" s="18" t="inlineStr">
        <is>
          <t>ทำได้ เนื่องจากกฎหมายไม่ได้ระบุข้อห้ามไว้</t>
        </is>
      </c>
      <c r="E172" s="18" t="inlineStr">
        <is>
          <t>ทำได้ เนื่องจากเป็นยาแผนปัจจุบันบรรจุเสร็จฯ</t>
        </is>
      </c>
      <c r="F172" s="18" t="inlineStr">
        <is>
          <t>ทำไม่ได้ เนื่องจากเป็นยาอันตราย ต้องขายในสถานที่ที่ขออนุญาตไว้เท่านั้น</t>
        </is>
      </c>
      <c r="G172" s="18" t="inlineStr">
        <is>
          <t>ทำไม่ได้ เนื่องจากเป็นยาควบคุมพิเศษ ต้องขายในสถานที่ที่ขออนุญาตไว้เท่านั้น</t>
        </is>
      </c>
      <c r="H172" s="18" t="inlineStr">
        <is>
          <t>ทำไม่ได้ เนื่องจากเป็นกฎหมายระบุว่า ห้ามขายยาทุกชนิดนอกร้านขายยา ตะลุยโจทย์เภสัชจุฬาฯ สอบผ่าน 100%</t>
        </is>
      </c>
      <c r="I172" s="18" t="n">
        <v>1</v>
      </c>
      <c r="J172" s="18"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ข้อนี้ไม่ใช่คำตอบที่ถูกต้องสำหรับภาวะ พ.ร.บ. ยา พ.ศ. 2510 เนื่องจากกลไกการออกฤทธิ์, efficacy หรือข้อบ่งใช้ไม่ตรงกับโจทย์ที่กำหนด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18" t="n"/>
      <c r="L172" s="18" t="inlineStr">
        <is>
          <t>พ.ร.บ. ยา พ.ศ. 2510</t>
        </is>
      </c>
      <c r="M172" s="18" t="inlineStr">
        <is>
          <t>SAP</t>
        </is>
      </c>
      <c r="N172" s="18" t="inlineStr">
        <is>
          <t>ข้อ 4 (LAW-CU-71.md)</t>
        </is>
      </c>
      <c r="O172" s="18" t="inlineStr">
        <is>
          <t>Mock</t>
        </is>
      </c>
      <c r="P172" s="18" t="inlineStr">
        <is>
          <t>Mock กฎหมาย CU71</t>
        </is>
      </c>
    </row>
    <row r="173">
      <c r="A173" s="18" t="n">
        <v>171</v>
      </c>
      <c r="B173" s="18"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18" t="n"/>
      <c r="D173" s="18" t="inlineStr">
        <is>
          <t>พ.ร.บ. วิชาชีพเภสัชกรรม พ.ศ. 2537 และข้อบังคับจรรยาบรรณวิชาชีพ</t>
        </is>
      </c>
      <c r="E173" s="18" t="inlineStr">
        <is>
          <t>พ.ร.บ. ผลิตภัณฑ์สมุนไพร พ.ศ. 2562</t>
        </is>
      </c>
      <c r="F173" s="18" t="inlineStr">
        <is>
          <t>พ.ร.บ. เครื่องสำอาง พ.ศ. 2558</t>
        </is>
      </c>
      <c r="G173" s="18" t="inlineStr">
        <is>
          <t>พ.ร.บ. หลักประกันสุขภาพแห่งชาติ พ.ศ. 2545</t>
        </is>
      </c>
      <c r="H173" s="18" t="inlineStr">
        <is>
          <t>การปฏิบัติทางเภสัชกรรมชุมชน (Good Pharmacy Practice: GPP)</t>
        </is>
      </c>
      <c r="I173" s="18" t="n">
        <v>1</v>
      </c>
      <c r="J173"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18" t="n"/>
      <c r="L173" s="18" t="inlineStr">
        <is>
          <t>พ.ร.บ. วิชาชีพเภสัชกรรม 2537</t>
        </is>
      </c>
      <c r="M173" s="18" t="inlineStr">
        <is>
          <t>SAP</t>
        </is>
      </c>
      <c r="N173" s="18" t="inlineStr">
        <is>
          <t>ข้อ 2 (LAW-CU-71.md)</t>
        </is>
      </c>
      <c r="O173" s="18" t="inlineStr">
        <is>
          <t>Mock</t>
        </is>
      </c>
      <c r="P173" s="18" t="inlineStr">
        <is>
          <t>Mock กฎหมาย CU71</t>
        </is>
      </c>
    </row>
    <row r="174">
      <c r="A174" s="18" t="n">
        <v>172</v>
      </c>
      <c r="B174" s="18" t="inlineStr">
        <is>
          <t>ดำรงตนให้สมควรในสังคมโดยธรรมและเคารพต่อกฎหมายของบ้านเมือง</t>
        </is>
      </c>
      <c r="C174" s="18" t="n"/>
      <c r="D174" s="18" t="inlineStr">
        <is>
          <t>พ.ร.บ. หลักประกันสุขภาพแห่งชาติ พ.ศ. 2545</t>
        </is>
      </c>
      <c r="E174" s="18" t="inlineStr">
        <is>
          <t>การปฏิบัติทางเภสัชกรรมชุมชน (Good Pharmacy Practice: GPP)</t>
        </is>
      </c>
      <c r="F174" s="18" t="inlineStr">
        <is>
          <t>บัญชียาหลักแห่งชาติ (National List of Essential Medicines: NLEM)</t>
        </is>
      </c>
      <c r="G174" s="18" t="inlineStr">
        <is>
          <t>เกณฑ์จริยธรรมว่าด้วยการส่งเสริมการขายยาของกระทรวงสาธารณสุข</t>
        </is>
      </c>
      <c r="H174" s="18" t="inlineStr">
        <is>
          <t>พ.ร.บ. ยา พ.ศ. 2510 (การจำหน่ายยาอันตรายและยาควบคุมพิเศษ)</t>
        </is>
      </c>
      <c r="I174" s="18" t="n">
        <v>1</v>
      </c>
      <c r="J174"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18" t="n"/>
      <c r="L174" s="18" t="inlineStr">
        <is>
          <t>พ.ร.บ. ยา พ.ศ. 2510</t>
        </is>
      </c>
      <c r="M174" s="18" t="inlineStr">
        <is>
          <t>SAP</t>
        </is>
      </c>
      <c r="N174" s="18" t="inlineStr">
        <is>
          <t>ข้อ 1 (LAW-CU-71.md)</t>
        </is>
      </c>
      <c r="O174" s="18" t="inlineStr">
        <is>
          <t>Mock</t>
        </is>
      </c>
      <c r="P174" s="18" t="inlineStr">
        <is>
          <t>Mock กฎหมาย CU71</t>
        </is>
      </c>
    </row>
    <row r="175">
      <c r="A175" s="18" t="n">
        <v>173</v>
      </c>
      <c r="B175" s="18" t="inlineStr">
        <is>
          <t>ปฏิบัติต่อผู้มารับบริการโดยสุภาพและปราศจากการบังคับขู่เข็ญ จรรยาบรรณ</t>
        </is>
      </c>
      <c r="C175" s="18" t="n"/>
      <c r="D175" s="18" t="inlineStr">
        <is>
          <t>เกณฑ์จริยธรรมว่าด้วยการส่งเสริมการขายยาของกระทรวงสาธารณสุข</t>
        </is>
      </c>
      <c r="E175" s="18" t="inlineStr">
        <is>
          <t>พ.ร.บ. ยา พ.ศ. 2510 (การจำหน่ายยาอันตรายและยาควบคุมพิเศษ)</t>
        </is>
      </c>
      <c r="F175" s="18" t="inlineStr">
        <is>
          <t>พ.ร.บ. ยาเสพติดให้โทษ พ.ศ. 2522 (ยาเสพติดให้โทษประเภท 2 และ 3)</t>
        </is>
      </c>
      <c r="G175" s="18" t="inlineStr">
        <is>
          <t>พ.ร.บ. วัตถุที่ออกฤทธิ์ต่อจิตและประสาท พ.ศ. 2559 (ประเภท 2 และ 4)</t>
        </is>
      </c>
      <c r="H175" s="18" t="inlineStr">
        <is>
          <t>พ.ร.บ. วิชาชีพเภสัชกรรม พ.ศ. 2537 และข้อบังคับจรรยาบรรณวิชาชีพ</t>
        </is>
      </c>
      <c r="I175" s="18" t="n">
        <v>1</v>
      </c>
      <c r="J175"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18" t="n"/>
      <c r="L175" s="18" t="inlineStr">
        <is>
          <t>พ.ร.บ. วิชาชีพเภสัชกรรม 2537</t>
        </is>
      </c>
      <c r="M175" s="18" t="inlineStr">
        <is>
          <t>SAP</t>
        </is>
      </c>
      <c r="N175" s="18" t="inlineStr">
        <is>
          <t>ข้อ 8 (LAW-CU-71.md)</t>
        </is>
      </c>
      <c r="O175" s="18" t="inlineStr">
        <is>
          <t>Mock</t>
        </is>
      </c>
      <c r="P175" s="18" t="inlineStr">
        <is>
          <t>Mock กฎหมาย CU71</t>
        </is>
      </c>
    </row>
    <row r="176">
      <c r="A176" s="18" t="n">
        <v>174</v>
      </c>
      <c r="B176" s="18" t="inlineStr">
        <is>
          <t>ไม่ใช้หรือสนับสนุนให้มีการประกอบวิชาชีพโดยผิดกฎหมาย</t>
        </is>
      </c>
      <c r="C176" s="18" t="n"/>
      <c r="D176" s="18" t="inlineStr">
        <is>
          <t>พ.ร.บ. วัตถุที่ออกฤทธิ์ต่อจิตและประสาท พ.ศ. 2559 (ประเภท 2 และ 4)</t>
        </is>
      </c>
      <c r="E176" s="18" t="inlineStr">
        <is>
          <t>พ.ร.บ. วิชาชีพเภสัชกรรม พ.ศ. 2537 และข้อบังคับจรรยาบรรณวิชาชีพ</t>
        </is>
      </c>
      <c r="F176" s="18" t="inlineStr">
        <is>
          <t>พ.ร.บ. ผลิตภัณฑ์สมุนไพร พ.ศ. 2562</t>
        </is>
      </c>
      <c r="G176" s="18" t="inlineStr">
        <is>
          <t>พ.ร.บ. เครื่องสำอาง พ.ศ. 2558</t>
        </is>
      </c>
      <c r="H176" s="18" t="inlineStr">
        <is>
          <t>พ.ร.บ. หลักประกันสุขภาพแห่งชาติ พ.ศ. 2545</t>
        </is>
      </c>
      <c r="I176" s="18" t="n">
        <v>1</v>
      </c>
      <c r="J176"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18" t="n"/>
      <c r="L176" s="18" t="inlineStr">
        <is>
          <t>พ.ร.บ. ยา พ.ศ. 2510</t>
        </is>
      </c>
      <c r="M176" s="18" t="inlineStr">
        <is>
          <t>SAP</t>
        </is>
      </c>
      <c r="N176" s="18" t="inlineStr">
        <is>
          <t>ข้อ 13 (LAW-CU-71.md)</t>
        </is>
      </c>
      <c r="O176" s="18" t="inlineStr">
        <is>
          <t>Mock</t>
        </is>
      </c>
      <c r="P176" s="18" t="inlineStr">
        <is>
          <t>Mock กฎหมาย CU71</t>
        </is>
      </c>
    </row>
    <row r="177">
      <c r="A177" s="18" t="n">
        <v>175</v>
      </c>
      <c r="B177" s="18"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18" t="n"/>
      <c r="D177" s="18" t="inlineStr">
        <is>
          <t>ผู้ป่วยทุกคนมีสิทธิพื้นฐานที่จะได้รับบริการด้านสุขภาพตามที่บัญญัติไว้ในรัฐธรรมนูญ</t>
        </is>
      </c>
      <c r="E177" s="18"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18"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18"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18"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18" t="n">
        <v>1</v>
      </c>
      <c r="J177" s="18"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18" t="n"/>
      <c r="L177" s="18" t="inlineStr">
        <is>
          <t>พ.ร.บ. ยา พ.ศ. 2510</t>
        </is>
      </c>
      <c r="M177" s="18" t="inlineStr">
        <is>
          <t>SAP</t>
        </is>
      </c>
      <c r="N177" s="18" t="inlineStr">
        <is>
          <t>ข้อ 1 (LAW-CU-71.md)</t>
        </is>
      </c>
      <c r="O177" s="18" t="inlineStr">
        <is>
          <t>Mock</t>
        </is>
      </c>
      <c r="P177" s="18" t="inlineStr">
        <is>
          <t>Mock กฎหมาย CU71</t>
        </is>
      </c>
    </row>
    <row r="178">
      <c r="A178" s="18" t="n">
        <v>176</v>
      </c>
      <c r="B178" s="18"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18" t="n"/>
      <c r="D178" s="18" t="inlineStr">
        <is>
          <t>เภสัชกรต้องประกอบวิชาชีพ โดยคำนึงถึงความปลอดภัยและเศรษฐานะของผู้ป่วยหรือผู้มารับบริการ</t>
        </is>
      </c>
      <c r="E178" s="18" t="inlineStr">
        <is>
          <t>เภสัชกรต้องไม่ประพฤติหรือกระทำการใดๆ อันเป็นเหตุให้เสื่อมเสียเกียรติศักดิ์แห่งวิชาชีพ</t>
        </is>
      </c>
      <c r="F178" s="18" t="inlineStr">
        <is>
          <t>เภสัชกรต้องไม่เปิดเผยความลับของผู้มารับบริการ เว้นแต่ได้รับความยินยอมจากผู้รับบริการ</t>
        </is>
      </c>
      <c r="G178" s="18" t="inlineStr">
        <is>
          <t>เภสัชกรต้องไม่ใช้หรือสนับสนุนให้มีการประกอบวิชาชีพโดยผิดกฎหมาย</t>
        </is>
      </c>
      <c r="H178" s="18"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18" t="n">
        <v>1</v>
      </c>
      <c r="J178" s="18"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(เภสัชกรต้องไม่เปิดเผยความลับของผู้มารับบริการ เว้นแต่ได้รับความยินยอมจากผู้รับบริการ):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18" t="n"/>
      <c r="L178" s="18" t="inlineStr">
        <is>
          <t>พ.ร.บ. วิชาชีพเภสัชกรรม 2537</t>
        </is>
      </c>
      <c r="M178" s="18" t="inlineStr">
        <is>
          <t>SAP</t>
        </is>
      </c>
      <c r="N178" s="18" t="inlineStr">
        <is>
          <t>ข้อ 2 (LAW-CU-71.md)</t>
        </is>
      </c>
      <c r="O178" s="18" t="inlineStr">
        <is>
          <t>Mock</t>
        </is>
      </c>
      <c r="P178" s="18" t="inlineStr">
        <is>
          <t>Mock กฎหมาย CU71</t>
        </is>
      </c>
    </row>
    <row r="179">
      <c r="A179" s="18" t="n">
        <v>177</v>
      </c>
      <c r="B179" s="18"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18" t="n"/>
      <c r="D179" s="18" t="inlineStr">
        <is>
          <t>พ.ร.บ. ยาเสพติดให้โทษ พ.ศ. 2522 (ยาเสพติดให้โทษประเภท 2 และ 3)</t>
        </is>
      </c>
      <c r="E179" s="18" t="inlineStr">
        <is>
          <t>พ.ร.บ. วัตถุที่ออกฤทธิ์ต่อจิตและประสาท พ.ศ. 2559 (ประเภท 2 และ 4)</t>
        </is>
      </c>
      <c r="F179" s="18" t="inlineStr">
        <is>
          <t>พ.ร.บ. วิชาชีพเภสัชกรรม พ.ศ. 2537 และข้อบังคับจรรยาบรรณวิชาชีพ</t>
        </is>
      </c>
      <c r="G179" s="18" t="inlineStr">
        <is>
          <t>พ.ร.บ. ผลิตภัณฑ์สมุนไพร พ.ศ. 2562</t>
        </is>
      </c>
      <c r="H179" s="18" t="inlineStr">
        <is>
          <t>พ.ร.บ. เครื่องสำอาง พ.ศ. 2558</t>
        </is>
      </c>
      <c r="I179" s="18" t="n">
        <v>1</v>
      </c>
      <c r="J179"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18" t="n"/>
      <c r="L179" s="18" t="inlineStr">
        <is>
          <t>พ.ร.บ. ยา พ.ศ. 2510</t>
        </is>
      </c>
      <c r="M179" s="18" t="inlineStr">
        <is>
          <t>SAP</t>
        </is>
      </c>
      <c r="N179" s="18" t="inlineStr">
        <is>
          <t>ข้อ 34 (PLE_CC1_2557.md)</t>
        </is>
      </c>
      <c r="O179" s="18" t="inlineStr">
        <is>
          <t>ข้อสอบจริง</t>
        </is>
      </c>
      <c r="P179" s="18" t="inlineStr">
        <is>
          <t>ปี 2557</t>
        </is>
      </c>
    </row>
    <row r="180">
      <c r="A180" s="18" t="n">
        <v>178</v>
      </c>
      <c r="B180" s="18"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18" t="n"/>
      <c r="D180" s="18" t="inlineStr">
        <is>
          <t>พ.ร.บ. ผลิตภัณฑ์สมุนไพร พ.ศ. 2562</t>
        </is>
      </c>
      <c r="E180" s="18" t="inlineStr">
        <is>
          <t>พ.ร.บ. เครื่องสำอาง พ.ศ. 2558</t>
        </is>
      </c>
      <c r="F180" s="18" t="inlineStr">
        <is>
          <t>พ.ร.บ. หลักประกันสุขภาพแห่งชาติ พ.ศ. 2545</t>
        </is>
      </c>
      <c r="G180" s="18" t="inlineStr">
        <is>
          <t>การปฏิบัติทางเภสัชกรรมชุมชน (Good Pharmacy Practice: GPP)</t>
        </is>
      </c>
      <c r="H180" s="18" t="inlineStr">
        <is>
          <t>บัญชียาหลักแห่งชาติ (National List of Essential Medicines: NLEM)</t>
        </is>
      </c>
      <c r="I180" s="18" t="n">
        <v>1</v>
      </c>
      <c r="J180"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18" t="n"/>
      <c r="L180" s="18" t="inlineStr">
        <is>
          <t>พ.ร.บ. ยา พ.ศ. 2510</t>
        </is>
      </c>
      <c r="M180" s="18" t="inlineStr">
        <is>
          <t>SAP</t>
        </is>
      </c>
      <c r="N180" s="18" t="inlineStr">
        <is>
          <t>ข้อ 55 (PLE_CC1_2557.md)</t>
        </is>
      </c>
      <c r="O180" s="18" t="inlineStr">
        <is>
          <t>ข้อสอบจริง</t>
        </is>
      </c>
      <c r="P180" s="18" t="inlineStr">
        <is>
          <t>ปี 2557</t>
        </is>
      </c>
    </row>
    <row r="181">
      <c r="A181" s="18" t="n">
        <v>179</v>
      </c>
      <c r="B181" s="18"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18" t="n"/>
      <c r="D181" s="18" t="inlineStr">
        <is>
          <t>การปฏิบัติทางเภสัชกรรมชุมชน (Good Pharmacy Practice: GPP)</t>
        </is>
      </c>
      <c r="E181" s="18" t="inlineStr">
        <is>
          <t>บัญชียาหลักแห่งชาติ (National List of Essential Medicines: NLEM)</t>
        </is>
      </c>
      <c r="F181" s="18" t="inlineStr">
        <is>
          <t>เกณฑ์จริยธรรมว่าด้วยการส่งเสริมการขายยาของกระทรวงสาธารณสุข</t>
        </is>
      </c>
      <c r="G181" s="18" t="inlineStr">
        <is>
          <t>พ.ร.บ. ยา พ.ศ. 2510 (การจำหน่ายยาอันตรายและยาควบคุมพิเศษ)</t>
        </is>
      </c>
      <c r="H181" s="18" t="inlineStr">
        <is>
          <t>พ.ร.บ. ยาเสพติดให้โทษ พ.ศ. 2522 (ยาเสพติดให้โทษประเภท 2 และ 3)</t>
        </is>
      </c>
      <c r="I181" s="18" t="n">
        <v>1</v>
      </c>
      <c r="J181"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18" t="n"/>
      <c r="L181" s="18" t="inlineStr">
        <is>
          <t>พ.ร.บ. ยา พ.ศ. 2510</t>
        </is>
      </c>
      <c r="M181" s="18" t="inlineStr">
        <is>
          <t>SAP</t>
        </is>
      </c>
      <c r="N181" s="18" t="inlineStr">
        <is>
          <t>ข้อ 83 (PLE_CC1_2557.md)</t>
        </is>
      </c>
      <c r="O181" s="18" t="inlineStr">
        <is>
          <t>ข้อสอบจริง</t>
        </is>
      </c>
      <c r="P181" s="18" t="inlineStr">
        <is>
          <t>ปี 2557</t>
        </is>
      </c>
    </row>
    <row r="182">
      <c r="A182" s="18" t="n">
        <v>180</v>
      </c>
      <c r="B182" s="18"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18" t="n"/>
      <c r="D182" s="18" t="inlineStr">
        <is>
          <t>พ.ร.บ. ยา พ.ศ. 2510 (การจำหน่ายยาอันตรายและยาควบคุมพิเศษ)</t>
        </is>
      </c>
      <c r="E182" s="18" t="inlineStr">
        <is>
          <t>พ.ร.บ. ยาเสพติดให้โทษ พ.ศ. 2522 (ยาเสพติดให้โทษประเภท 2 และ 3)</t>
        </is>
      </c>
      <c r="F182" s="18" t="inlineStr">
        <is>
          <t>พ.ร.บ. วัตถุที่ออกฤทธิ์ต่อจิตและประสาท พ.ศ. 2559 (ประเภท 2 และ 4)</t>
        </is>
      </c>
      <c r="G182" s="18" t="inlineStr">
        <is>
          <t>พ.ร.บ. วิชาชีพเภสัชกรรม พ.ศ. 2537 และข้อบังคับจรรยาบรรณวิชาชีพ</t>
        </is>
      </c>
      <c r="H182" s="18" t="inlineStr">
        <is>
          <t>พ.ร.บ. ผลิตภัณฑ์สมุนไพร พ.ศ. 2562</t>
        </is>
      </c>
      <c r="I182" s="18" t="n">
        <v>1</v>
      </c>
      <c r="J182"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18" t="n"/>
      <c r="L182" s="18" t="inlineStr">
        <is>
          <t>พ.ร.บ. วิชาชีพเภสัชกรรม 2537</t>
        </is>
      </c>
      <c r="M182" s="18" t="inlineStr">
        <is>
          <t>SAP</t>
        </is>
      </c>
      <c r="N182" s="18" t="inlineStr">
        <is>
          <t>ข้อ 24 (PLE_CC1_2557.md)</t>
        </is>
      </c>
      <c r="O182" s="18" t="inlineStr">
        <is>
          <t>ข้อสอบจริง</t>
        </is>
      </c>
      <c r="P182" s="18" t="inlineStr">
        <is>
          <t>ปี 2557</t>
        </is>
      </c>
    </row>
    <row r="183">
      <c r="A183" s="18" t="n">
        <v>181</v>
      </c>
      <c r="B183" s="18"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18" t="n"/>
      <c r="D183" s="18" t="inlineStr">
        <is>
          <t>พ.ร.บ. วิชาชีพเภสัชกรรม พ.ศ. 2537 และข้อบังคับจรรยาบรรณวิชาชีพ</t>
        </is>
      </c>
      <c r="E183" s="18" t="inlineStr">
        <is>
          <t>พ.ร.บ. ผลิตภัณฑ์สมุนไพร พ.ศ. 2562</t>
        </is>
      </c>
      <c r="F183" s="18" t="inlineStr">
        <is>
          <t>พ.ร.บ. เครื่องสำอาง พ.ศ. 2558</t>
        </is>
      </c>
      <c r="G183" s="18" t="inlineStr">
        <is>
          <t>พ.ร.บ. หลักประกันสุขภาพแห่งชาติ พ.ศ. 2545</t>
        </is>
      </c>
      <c r="H183" s="18" t="inlineStr">
        <is>
          <t>การปฏิบัติทางเภสัชกรรมชุมชน (Good Pharmacy Practice: GPP)</t>
        </is>
      </c>
      <c r="I183" s="18" t="n">
        <v>1</v>
      </c>
      <c r="J183" s="18"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18" t="n"/>
      <c r="L183" s="18" t="inlineStr">
        <is>
          <t>พ.ร.บ. ยา พ.ศ. 2510</t>
        </is>
      </c>
      <c r="M183" s="18" t="inlineStr">
        <is>
          <t>SAP</t>
        </is>
      </c>
      <c r="N183" s="18" t="inlineStr">
        <is>
          <t>ข้อ 28 (PLE_CC1_2557.md)</t>
        </is>
      </c>
      <c r="O183" s="18" t="inlineStr">
        <is>
          <t>ข้อสอบจริง</t>
        </is>
      </c>
      <c r="P183" s="18" t="inlineStr">
        <is>
          <t>ปี 2557</t>
        </is>
      </c>
    </row>
    <row r="184">
      <c r="A184" s="18" t="n">
        <v>182</v>
      </c>
      <c r="B184" s="18"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18" t="n"/>
      <c r="D184" s="18" t="inlineStr">
        <is>
          <t>พ.ร.บ. หลักประกันสุขภาพแห่งชาติ พ.ศ. 2545</t>
        </is>
      </c>
      <c r="E184" s="18" t="inlineStr">
        <is>
          <t>การปฏิบัติทางเภสัชกรรมชุมชน (Good Pharmacy Practice: GPP)</t>
        </is>
      </c>
      <c r="F184" s="18" t="inlineStr">
        <is>
          <t>บัญชียาหลักแห่งชาติ (National List of Essential Medicines: NLEM)</t>
        </is>
      </c>
      <c r="G184" s="18" t="inlineStr">
        <is>
          <t>เกณฑ์จริยธรรมว่าด้วยการส่งเสริมการขายยาของกระทรวงสาธารณสุข</t>
        </is>
      </c>
      <c r="H184" s="18" t="inlineStr">
        <is>
          <t>พ.ร.บ. ยา พ.ศ. 2510 (การจำหน่ายยาอันตรายและยาควบคุมพิเศษ)</t>
        </is>
      </c>
      <c r="I184" s="18" t="n">
        <v>1</v>
      </c>
      <c r="J184"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18" t="n"/>
      <c r="L184" s="18" t="inlineStr">
        <is>
          <t>พ.ร.บ. วิชาชีพเภสัชกรรม 2537</t>
        </is>
      </c>
      <c r="M184" s="18" t="inlineStr">
        <is>
          <t>SAP</t>
        </is>
      </c>
      <c r="N184" s="18" t="inlineStr">
        <is>
          <t>ข้อ 43 (PLE_CC1_2557.md)</t>
        </is>
      </c>
      <c r="O184" s="18" t="inlineStr">
        <is>
          <t>ข้อสอบจริง</t>
        </is>
      </c>
      <c r="P184" s="18" t="inlineStr">
        <is>
          <t>ปี 2557</t>
        </is>
      </c>
    </row>
    <row r="185">
      <c r="A185" s="18" t="n">
        <v>183</v>
      </c>
      <c r="B185" s="18"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18" t="n"/>
      <c r="D185" s="18"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18" t="inlineStr">
        <is>
          <t>พ.ร.บ. ยา พ.ศ. 2510 (การจำหน่ายยาอันตรายและยาควบคุมพิเศษ)</t>
        </is>
      </c>
      <c r="F185" s="18" t="inlineStr">
        <is>
          <t>พ.ร.บ. ยาเสพติดให้โทษ พ.ศ. 2522 (ยาเสพติดให้โทษประเภท 2 และ 3)</t>
        </is>
      </c>
      <c r="G185" s="18" t="inlineStr">
        <is>
          <t>พ.ร.บ. วัตถุที่ออกฤทธิ์ต่อจิตและประสาท พ.ศ. 2559 (ประเภท 2 และ 4)</t>
        </is>
      </c>
      <c r="H185" s="18" t="inlineStr">
        <is>
          <t>พ.ร.บ. วิชาชีพเภสัชกรรม พ.ศ. 2537 และข้อบังคับจรรยาบรรณวิชาชีพ</t>
        </is>
      </c>
      <c r="I185" s="18" t="n">
        <v>1</v>
      </c>
      <c r="J185" s="18"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18" t="n"/>
      <c r="L185" s="18" t="inlineStr">
        <is>
          <t>พ.ร.บ. ยา พ.ศ. 2510</t>
        </is>
      </c>
      <c r="M185" s="18" t="inlineStr">
        <is>
          <t>SAP</t>
        </is>
      </c>
      <c r="N185" s="18" t="inlineStr">
        <is>
          <t>ข้อ 52 (PLE_CC1_2557.md)</t>
        </is>
      </c>
      <c r="O185" s="18" t="inlineStr">
        <is>
          <t>ข้อสอบจริง</t>
        </is>
      </c>
      <c r="P185" s="18" t="inlineStr">
        <is>
          <t>ปี 2557</t>
        </is>
      </c>
    </row>
    <row r="186">
      <c r="A186" s="18" t="n">
        <v>184</v>
      </c>
      <c r="B186" s="18"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18" t="n"/>
      <c r="D186" s="18" t="inlineStr">
        <is>
          <t>พ.ร.บ. วัตถุที่ออกฤทธิ์ต่อจิตและประสาท พ.ศ. 2559 (ประเภท 2 และ 4)</t>
        </is>
      </c>
      <c r="E186" s="18" t="inlineStr">
        <is>
          <t>พ.ร.บ. วิชาชีพเภสัชกรรม พ.ศ. 2537 และข้อบังคับจรรยาบรรณวิชาชีพ</t>
        </is>
      </c>
      <c r="F186" s="18" t="inlineStr">
        <is>
          <t>พ.ร.บ. ผลิตภัณฑ์สมุนไพร พ.ศ. 2562</t>
        </is>
      </c>
      <c r="G186" s="18" t="inlineStr">
        <is>
          <t>พ.ร.บ. เครื่องสำอาง พ.ศ. 2558</t>
        </is>
      </c>
      <c r="H186" s="18" t="inlineStr">
        <is>
          <t>พ.ร.บ. หลักประกันสุขภาพแห่งชาติ พ.ศ. 2545</t>
        </is>
      </c>
      <c r="I186" s="18" t="n">
        <v>1</v>
      </c>
      <c r="J186" s="18"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18" t="n"/>
      <c r="L186" s="18" t="inlineStr">
        <is>
          <t>พ.ร.บ. ยาเสพติดให้โทษ &amp; วัตถุออกฤทธิ์</t>
        </is>
      </c>
      <c r="M186" s="18" t="inlineStr">
        <is>
          <t>SAP</t>
        </is>
      </c>
      <c r="N186" s="18" t="inlineStr">
        <is>
          <t>ข้อ 54 (PLE_CC1_2557.md)</t>
        </is>
      </c>
      <c r="O186" s="18" t="inlineStr">
        <is>
          <t>ข้อสอบจริง</t>
        </is>
      </c>
      <c r="P186" s="18" t="inlineStr">
        <is>
          <t>ปี 2557</t>
        </is>
      </c>
    </row>
    <row r="187">
      <c r="A187" s="18" t="n">
        <v>185</v>
      </c>
      <c r="B187" s="18"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18" t="n"/>
      <c r="D187" s="18" t="inlineStr">
        <is>
          <t>พ.ร.บ. เครื่องสำอาง พ.ศ. 2558</t>
        </is>
      </c>
      <c r="E187" s="18" t="inlineStr">
        <is>
          <t>พ.ร.บ. หลักประกันสุขภาพแห่งชาติ พ.ศ. 2545</t>
        </is>
      </c>
      <c r="F187" s="18" t="inlineStr">
        <is>
          <t>การปฏิบัติทางเภสัชกรรมชุมชน (Good Pharmacy Practice: GPP)</t>
        </is>
      </c>
      <c r="G187" s="18" t="inlineStr">
        <is>
          <t>บัญชียาหลักแห่งชาติ (National List of Essential Medicines: NLEM)</t>
        </is>
      </c>
      <c r="H187" s="18" t="inlineStr">
        <is>
          <t>เกณฑ์จริยธรรมว่าด้วยการส่งเสริมการขายยาของกระทรวงสาธารณสุข</t>
        </is>
      </c>
      <c r="I187" s="18" t="n">
        <v>1</v>
      </c>
      <c r="J187"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18" t="n"/>
      <c r="L187" s="18" t="inlineStr">
        <is>
          <t>พ.ร.บ. ยา พ.ศ. 2510</t>
        </is>
      </c>
      <c r="M187" s="18" t="inlineStr">
        <is>
          <t>SAP</t>
        </is>
      </c>
      <c r="N187" s="18" t="inlineStr">
        <is>
          <t>ข้อ 71 (PLE_CC1_2557.md)</t>
        </is>
      </c>
      <c r="O187" s="18" t="inlineStr">
        <is>
          <t>ข้อสอบจริง</t>
        </is>
      </c>
      <c r="P187" s="18" t="inlineStr">
        <is>
          <t>ปี 2557</t>
        </is>
      </c>
    </row>
    <row r="188">
      <c r="A188" s="18" t="n">
        <v>186</v>
      </c>
      <c r="B188" s="18"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18" t="n"/>
      <c r="D188" s="18" t="inlineStr">
        <is>
          <t>บัญชียาหลักแห่งชาติ (National List of Essential Medicines: NLEM)</t>
        </is>
      </c>
      <c r="E188" s="18" t="inlineStr">
        <is>
          <t>เกณฑ์จริยธรรมว่าด้วยการส่งเสริมการขายยาของกระทรวงสาธารณสุข</t>
        </is>
      </c>
      <c r="F188" s="18" t="inlineStr">
        <is>
          <t>พ.ร.บ. ยา พ.ศ. 2510 (การจำหน่ายยาอันตรายและยาควบคุมพิเศษ)</t>
        </is>
      </c>
      <c r="G188" s="18" t="inlineStr">
        <is>
          <t>พ.ร.บ. ยาเสพติดให้โทษ พ.ศ. 2522 (ยาเสพติดให้โทษประเภท 2 และ 3)</t>
        </is>
      </c>
      <c r="H188" s="18" t="inlineStr">
        <is>
          <t>พ.ร.บ. วัตถุที่ออกฤทธิ์ต่อจิตและประสาท พ.ศ. 2559 (ประเภท 2 และ 4)</t>
        </is>
      </c>
      <c r="I188" s="18" t="n">
        <v>1</v>
      </c>
      <c r="J188" s="18"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18" t="n"/>
      <c r="L188" s="18" t="inlineStr">
        <is>
          <t>พ.ร.บ. ยา พ.ศ. 2510</t>
        </is>
      </c>
      <c r="M188" s="18" t="inlineStr">
        <is>
          <t>SAP</t>
        </is>
      </c>
      <c r="N188" s="18" t="inlineStr">
        <is>
          <t>ข้อ 90 (PLE_CC1_2557.md)</t>
        </is>
      </c>
      <c r="O188" s="18" t="inlineStr">
        <is>
          <t>ข้อสอบจริง</t>
        </is>
      </c>
      <c r="P188" s="18" t="inlineStr">
        <is>
          <t>ปี 2557</t>
        </is>
      </c>
    </row>
    <row r="189">
      <c r="A189" s="18" t="n">
        <v>187</v>
      </c>
      <c r="B189" s="18"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18" t="n"/>
      <c r="D189" s="18" t="inlineStr">
        <is>
          <t>พ.ร.บ. ยาเสพติดให้โทษ พ.ศ. 2522 (ยาเสพติดให้โทษประเภท 2 และ 3)</t>
        </is>
      </c>
      <c r="E189" s="18" t="inlineStr">
        <is>
          <t>พ.ร.บ. วัตถุที่ออกฤทธิ์ต่อจิตและประสาท พ.ศ. 2559 (ประเภท 2 และ 4)</t>
        </is>
      </c>
      <c r="F189" s="18" t="inlineStr">
        <is>
          <t>พ.ร.บ. วิชาชีพเภสัชกรรม พ.ศ. 2537 และข้อบังคับจรรยาบรรณวิชาชีพ</t>
        </is>
      </c>
      <c r="G189" s="18" t="inlineStr">
        <is>
          <t>พ.ร.บ. ผลิตภัณฑ์สมุนไพร พ.ศ. 2562</t>
        </is>
      </c>
      <c r="H189" s="18" t="inlineStr">
        <is>
          <t>พ.ร.บ. เครื่องสำอาง พ.ศ. 2558</t>
        </is>
      </c>
      <c r="I189" s="18" t="n">
        <v>1</v>
      </c>
      <c r="J189"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18" t="n"/>
      <c r="L189" s="18" t="inlineStr">
        <is>
          <t>พ.ร.บ. ยา พ.ศ. 2510</t>
        </is>
      </c>
      <c r="M189" s="18" t="inlineStr">
        <is>
          <t>SAP</t>
        </is>
      </c>
      <c r="N189" s="18" t="inlineStr">
        <is>
          <t>ข้อ 94 (PLE_CC1_2557.md)</t>
        </is>
      </c>
      <c r="O189" s="18" t="inlineStr">
        <is>
          <t>ข้อสอบจริง</t>
        </is>
      </c>
      <c r="P189" s="18" t="inlineStr">
        <is>
          <t>ปี 2557</t>
        </is>
      </c>
    </row>
    <row r="190">
      <c r="A190" s="18" t="n">
        <v>188</v>
      </c>
      <c r="B190" s="18"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18" t="n"/>
      <c r="D190" s="18" t="inlineStr">
        <is>
          <t>พ.ร.บ. ผลิตภัณฑ์สมุนไพร พ.ศ. 2562</t>
        </is>
      </c>
      <c r="E190" s="18" t="inlineStr">
        <is>
          <t>พ.ร.บ. เครื่องสำอาง พ.ศ. 2558</t>
        </is>
      </c>
      <c r="F190" s="18" t="inlineStr">
        <is>
          <t>พ.ร.บ. หลักประกันสุขภาพแห่งชาติ พ.ศ. 2545</t>
        </is>
      </c>
      <c r="G190" s="18" t="inlineStr">
        <is>
          <t>การปฏิบัติทางเภสัชกรรมชุมชน (Good Pharmacy Practice: GPP)</t>
        </is>
      </c>
      <c r="H190" s="18" t="inlineStr">
        <is>
          <t>บัญชียาหลักแห่งชาติ (National List of Essential Medicines: NLEM)</t>
        </is>
      </c>
      <c r="I190" s="18" t="n">
        <v>1</v>
      </c>
      <c r="J190"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18" t="n"/>
      <c r="L190" s="18" t="inlineStr">
        <is>
          <t>พ.ร.บ. ยา พ.ศ. 2510</t>
        </is>
      </c>
      <c r="M190" s="18" t="inlineStr">
        <is>
          <t>SAP</t>
        </is>
      </c>
      <c r="N190" s="18" t="inlineStr">
        <is>
          <t>ข้อ 6 (PLE_CC1_2556.md)</t>
        </is>
      </c>
      <c r="O190" s="18" t="inlineStr">
        <is>
          <t>ข้อสอบจริง</t>
        </is>
      </c>
      <c r="P190" s="18" t="inlineStr">
        <is>
          <t>ปี 2556</t>
        </is>
      </c>
    </row>
    <row r="191">
      <c r="A191" s="18" t="n">
        <v>189</v>
      </c>
      <c r="B191" s="18" t="inlineStr">
        <is>
          <t>กระบวนการใดในการควบคุมคุณภาพที่บ่งบอกถึงประสิทธิภาพในการรักษาของ warfarin</t>
        </is>
      </c>
      <c r="C191" s="18" t="n"/>
      <c r="D191" s="18" t="inlineStr">
        <is>
          <t>Friability</t>
        </is>
      </c>
      <c r="E191" s="18" t="inlineStr">
        <is>
          <t>Dissolution</t>
        </is>
      </c>
      <c r="F191" s="18" t="inlineStr">
        <is>
          <t>Disintegration</t>
        </is>
      </c>
      <c r="G191" s="18" t="inlineStr">
        <is>
          <t>Hardness</t>
        </is>
      </c>
      <c r="H191" s="18" t="inlineStr">
        <is>
          <t>Content uniformity</t>
        </is>
      </c>
      <c r="I191" s="18" t="n">
        <v>1</v>
      </c>
      <c r="J191" s="18"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ข้อนี้ไม่ใช่คำตอบที่ถูกต้องสำหรับภาวะ พ.ร.บ. ยา พ.ศ. 2510 เนื่องจากกลไกการออกฤทธิ์, efficacy หรือข้อบ่งใช้ไม่ตรงกับโจทย์ที่กำหนด
• ข้อ ค. (Disintegration): ข้อนี้ไม่ใช่คำตอบที่ถูกต้องสำหรับภาวะ พ.ร.บ. ยา พ.ศ. 2510 เนื่องจากกลไกการออกฤทธิ์, efficacy หรือข้อบ่งใช้ไม่ตรงกับโจทย์ที่กำหนด
• ข้อ ง. (Hardness): ข้อนี้ไม่ใช่คำตอบที่ถูกต้องสำหรับภาวะ พ.ร.บ. ยา พ.ศ. 2510 เนื่องจากกลไกการออกฤทธิ์, efficacy หรือข้อบ่งใช้ไม่ตรงกับโจทย์ที่กำหนด
• ข้อ จ. (Content uniformity):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18" t="n"/>
      <c r="L191" s="18" t="inlineStr">
        <is>
          <t>พ.ร.บ. ยา พ.ศ. 2510</t>
        </is>
      </c>
      <c r="M191" s="18" t="inlineStr">
        <is>
          <t>SAP</t>
        </is>
      </c>
      <c r="N191" s="18" t="inlineStr">
        <is>
          <t>ข้อ 3 (PLE_CC1_2555 Day 1.md)</t>
        </is>
      </c>
      <c r="O191" s="18" t="inlineStr">
        <is>
          <t>ข้อสอบจริง</t>
        </is>
      </c>
      <c r="P191" s="18" t="inlineStr">
        <is>
          <t>ปี 2555</t>
        </is>
      </c>
    </row>
    <row r="192">
      <c r="A192" s="18" t="n">
        <v>190</v>
      </c>
      <c r="B192" s="18" t="inlineStr">
        <is>
          <t>ยา warfarin ตรวจสอบแล้วพบว่าสถานที่ที่ระบุในฉลากไม่ใช่สถานที่ผลิตจริง ถือว่าเป็นยาประเภทใด ตามกฎหมาย</t>
        </is>
      </c>
      <c r="C192" s="18" t="n"/>
      <c r="D192" s="18" t="inlineStr">
        <is>
          <t>ยาเสื่อมคุณภาพ</t>
        </is>
      </c>
      <c r="E192" s="18" t="inlineStr">
        <is>
          <t>ยาผิดมาตรฐาน</t>
        </is>
      </c>
      <c r="F192" s="18" t="inlineStr">
        <is>
          <t>ยาปลอม</t>
        </is>
      </c>
      <c r="G192" s="18" t="inlineStr">
        <is>
          <t>ยาไม่ได้ขึ้นทะเบียนตำรับ</t>
        </is>
      </c>
      <c r="H192" s="18" t="inlineStr">
        <is>
          <t>ยาเพิกถอนทะเบียนตำรับ 2 3 4 คณะเภสัชศาสตร์ มหาวิทยาลัยเชียงใหม่ Rx 44 CMU</t>
        </is>
      </c>
      <c r="I192" s="18" t="n">
        <v>1</v>
      </c>
      <c r="J192" s="18"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(ยาเพิกถอนทะเบียนตำรับ 2 3 4 คณะเภสัชศาสตร์ มหาวิทยาลัยเชียงใหม่ Rx 44 CMU):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18" t="n"/>
      <c r="L192" s="18" t="inlineStr">
        <is>
          <t>พ.ร.บ. ยา พ.ศ. 2510</t>
        </is>
      </c>
      <c r="M192" s="18" t="inlineStr">
        <is>
          <t>SAP</t>
        </is>
      </c>
      <c r="N192" s="18" t="inlineStr">
        <is>
          <t>ข้อ 10 (PLE_CC1_2555 Day 1.md)</t>
        </is>
      </c>
      <c r="O192" s="18" t="inlineStr">
        <is>
          <t>ข้อสอบจริง</t>
        </is>
      </c>
      <c r="P192" s="18" t="inlineStr">
        <is>
          <t>ปี 2555</t>
        </is>
      </c>
    </row>
    <row r="193">
      <c r="A193" s="18" t="n">
        <v>191</v>
      </c>
      <c r="B193" s="18" t="inlineStr">
        <is>
          <t>ยาเม็ด prednisolone 5 mg จัดเป็นยาประเภทใดตามกฎหมาย</t>
        </is>
      </c>
      <c r="C193" s="18" t="n"/>
      <c r="D193" s="18" t="inlineStr">
        <is>
          <t>ยาสามัญประจำบ้าน</t>
        </is>
      </c>
      <c r="E193" s="18" t="inlineStr">
        <is>
          <t>ยาแผนปัจจุบันบรรจุเสร็จที่ไม่ใช่ยาอันตรายและยาควบคุมพิเศษ</t>
        </is>
      </c>
      <c r="F193" s="18" t="inlineStr">
        <is>
          <t>ยาอันตราย</t>
        </is>
      </c>
      <c r="G193" s="18" t="inlineStr">
        <is>
          <t>ยาควบคุมพิเศษ</t>
        </is>
      </c>
      <c r="H193" s="18"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18" t="n">
        <v>1</v>
      </c>
      <c r="J193" s="18"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18" t="n"/>
      <c r="L193" s="18" t="inlineStr">
        <is>
          <t>พ.ร.บ. ยา พ.ศ. 2510</t>
        </is>
      </c>
      <c r="M193" s="18" t="inlineStr">
        <is>
          <t>SAP</t>
        </is>
      </c>
      <c r="N193" s="18" t="inlineStr">
        <is>
          <t>ข้อ 40 (PLE_CC1_2555 Day 1.md)</t>
        </is>
      </c>
      <c r="O193" s="18" t="inlineStr">
        <is>
          <t>ข้อสอบจริง</t>
        </is>
      </c>
      <c r="P193" s="18" t="inlineStr">
        <is>
          <t>ปี 2555</t>
        </is>
      </c>
    </row>
    <row r="194">
      <c r="A194" s="18" t="n">
        <v>192</v>
      </c>
      <c r="B194" s="18" t="inlineStr">
        <is>
          <t>ยาคุมกำเนิดแบบ triphasic จัดเป็นยาคุมกำเนิดประเภทใดตามกฎหมาย</t>
        </is>
      </c>
      <c r="C194" s="18" t="n"/>
      <c r="D194" s="18" t="inlineStr">
        <is>
          <t>ยาสามัญประจำบ้าน</t>
        </is>
      </c>
      <c r="E194" s="18" t="inlineStr">
        <is>
          <t>ยาแผนปัจจุบันบรรจุเสร็จที่ไม่ใช่ยาอันตรายและยาควบคุมพิเศษ</t>
        </is>
      </c>
      <c r="F194" s="18" t="inlineStr">
        <is>
          <t>ยาอันตราย</t>
        </is>
      </c>
      <c r="G194" s="18" t="inlineStr">
        <is>
          <t>ยาควบคุมพิเศษ</t>
        </is>
      </c>
      <c r="H194" s="18" t="inlineStr">
        <is>
          <t>ยาเสพติดให้โทษประเภทที่ 3</t>
        </is>
      </c>
      <c r="I194" s="18" t="n">
        <v>1</v>
      </c>
      <c r="J194" s="18"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18" t="n"/>
      <c r="L194" s="18" t="inlineStr">
        <is>
          <t>พ.ร.บ. ยา พ.ศ. 2510</t>
        </is>
      </c>
      <c r="M194" s="18" t="inlineStr">
        <is>
          <t>SAP</t>
        </is>
      </c>
      <c r="N194" s="18" t="inlineStr">
        <is>
          <t>ข้อ 78 (PLE_CC1_2555 Day 1.md)</t>
        </is>
      </c>
      <c r="O194" s="18" t="inlineStr">
        <is>
          <t>ข้อสอบจริง</t>
        </is>
      </c>
      <c r="P194" s="18" t="inlineStr">
        <is>
          <t>ปี 2555</t>
        </is>
      </c>
    </row>
    <row r="195">
      <c r="A195" s="18" t="n">
        <v>193</v>
      </c>
      <c r="B195" s="18"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18" t="n"/>
      <c r="D195" s="18" t="inlineStr">
        <is>
          <t>เกณฑ์จริยธรรมว่าด้วยการส่งเสริมการขายยาของกระทรวงสาธารณสุข</t>
        </is>
      </c>
      <c r="E195" s="18" t="inlineStr">
        <is>
          <t>พ.ร.บ. ยา พ.ศ. 2510 (การจำหน่ายยาอันตรายและยาควบคุมพิเศษ)</t>
        </is>
      </c>
      <c r="F195" s="18" t="inlineStr">
        <is>
          <t>พ.ร.บ. ยาเสพติดให้โทษ พ.ศ. 2522 (ยาเสพติดให้โทษประเภท 2 และ 3)</t>
        </is>
      </c>
      <c r="G195" s="18" t="inlineStr">
        <is>
          <t>พ.ร.บ. วัตถุที่ออกฤทธิ์ต่อจิตและประสาท พ.ศ. 2559 (ประเภท 2 และ 4)</t>
        </is>
      </c>
      <c r="H195" s="18" t="inlineStr">
        <is>
          <t>พ.ร.บ. วิชาชีพเภสัชกรรม พ.ศ. 2537 และข้อบังคับจรรยาบรรณวิชาชีพ</t>
        </is>
      </c>
      <c r="I195" s="18" t="n">
        <v>1</v>
      </c>
      <c r="J195"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18" t="n"/>
      <c r="L195" s="18" t="inlineStr">
        <is>
          <t>พ.ร.บ. ยา พ.ศ. 2510</t>
        </is>
      </c>
      <c r="M195" s="18" t="inlineStr">
        <is>
          <t>SAP</t>
        </is>
      </c>
      <c r="N195" s="18" t="inlineStr">
        <is>
          <t>ข้อ 10 (PLE_CC1_2555 Day 2.md)</t>
        </is>
      </c>
      <c r="O195" s="18" t="inlineStr">
        <is>
          <t>ข้อสอบจริง</t>
        </is>
      </c>
      <c r="P195" s="18" t="inlineStr">
        <is>
          <t>ปี 2555</t>
        </is>
      </c>
    </row>
    <row r="196">
      <c r="A196" s="18" t="n">
        <v>194</v>
      </c>
      <c r="B196" s="18" t="inlineStr">
        <is>
          <t>ประสิทธิภาพการรักษา</t>
        </is>
      </c>
      <c r="C196" s="18" t="n"/>
      <c r="D196" s="18" t="inlineStr">
        <is>
          <t>พ.ร.บ. วัตถุที่ออกฤทธิ์ต่อจิตและประสาท พ.ศ. 2559 (ประเภท 2 และ 4)</t>
        </is>
      </c>
      <c r="E196" s="18" t="inlineStr">
        <is>
          <t>พ.ร.บ. วิชาชีพเภสัชกรรม พ.ศ. 2537 และข้อบังคับจรรยาบรรณวิชาชีพ</t>
        </is>
      </c>
      <c r="F196" s="18" t="inlineStr">
        <is>
          <t>พ.ร.บ. ผลิตภัณฑ์สมุนไพร พ.ศ. 2562</t>
        </is>
      </c>
      <c r="G196" s="18" t="inlineStr">
        <is>
          <t>พ.ร.บ. เครื่องสำอาง พ.ศ. 2558</t>
        </is>
      </c>
      <c r="H196" s="18" t="inlineStr">
        <is>
          <t>พ.ร.บ. หลักประกันสุขภาพแห่งชาติ พ.ศ. 2545</t>
        </is>
      </c>
      <c r="I196" s="18" t="n">
        <v>1</v>
      </c>
      <c r="J196"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18" t="n"/>
      <c r="L196" s="18" t="inlineStr">
        <is>
          <t>พ.ร.บ. ยา พ.ศ. 2510</t>
        </is>
      </c>
      <c r="M196" s="18" t="inlineStr">
        <is>
          <t>SAP</t>
        </is>
      </c>
      <c r="N196" s="18" t="inlineStr">
        <is>
          <t>ข้อ 4 (PLE_CC1_2555 Day 2.md)</t>
        </is>
      </c>
      <c r="O196" s="18" t="inlineStr">
        <is>
          <t>ข้อสอบจริง</t>
        </is>
      </c>
      <c r="P196" s="18" t="inlineStr">
        <is>
          <t>ปี 2555</t>
        </is>
      </c>
    </row>
    <row r="197">
      <c r="A197" s="18" t="n">
        <v>195</v>
      </c>
      <c r="B197" s="18" t="inlineStr">
        <is>
          <t>Triphasic hormonal contraceptives จัดเป็นยาประเภทใดตามกฎหมาย</t>
        </is>
      </c>
      <c r="C197" s="18" t="n"/>
      <c r="D197" s="18" t="inlineStr">
        <is>
          <t>พ.ร.บ. เครื่องสำอาง พ.ศ. 2558</t>
        </is>
      </c>
      <c r="E197" s="18" t="inlineStr">
        <is>
          <t>พ.ร.บ. หลักประกันสุขภาพแห่งชาติ พ.ศ. 2545</t>
        </is>
      </c>
      <c r="F197" s="18" t="inlineStr">
        <is>
          <t>การปฏิบัติทางเภสัชกรรมชุมชน (Good Pharmacy Practice: GPP)</t>
        </is>
      </c>
      <c r="G197" s="18" t="inlineStr">
        <is>
          <t>บัญชียาหลักแห่งชาติ (National List of Essential Medicines: NLEM)</t>
        </is>
      </c>
      <c r="H197" s="18" t="inlineStr">
        <is>
          <t>เกณฑ์จริยธรรมว่าด้วยการส่งเสริมการขายยาของกระทรวงสาธารณสุข</t>
        </is>
      </c>
      <c r="I197" s="18" t="n">
        <v>1</v>
      </c>
      <c r="J197"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18" t="n"/>
      <c r="L197" s="18" t="inlineStr">
        <is>
          <t>พ.ร.บ. ยา พ.ศ. 2510</t>
        </is>
      </c>
      <c r="M197" s="18" t="inlineStr">
        <is>
          <t>SAP</t>
        </is>
      </c>
      <c r="N197" s="18" t="inlineStr">
        <is>
          <t>ข้อ 6 (PLE_CC1_2555 Day 2.md)</t>
        </is>
      </c>
      <c r="O197" s="18" t="inlineStr">
        <is>
          <t>ข้อสอบจริง</t>
        </is>
      </c>
      <c r="P197" s="18" t="inlineStr">
        <is>
          <t>ปี 2555</t>
        </is>
      </c>
    </row>
    <row r="198">
      <c r="A198" s="18" t="n">
        <v>196</v>
      </c>
      <c r="B198" s="18"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18" t="n"/>
      <c r="D198" s="18" t="inlineStr">
        <is>
          <t>บัญชียาหลักแห่งชาติ (National List of Essential Medicines: NLEM)</t>
        </is>
      </c>
      <c r="E198" s="18" t="inlineStr">
        <is>
          <t>เกณฑ์จริยธรรมว่าด้วยการส่งเสริมการขายยาของกระทรวงสาธารณสุข</t>
        </is>
      </c>
      <c r="F198" s="18" t="inlineStr">
        <is>
          <t>พ.ร.บ. ยา พ.ศ. 2510 (การจำหน่ายยาอันตรายและยาควบคุมพิเศษ)</t>
        </is>
      </c>
      <c r="G198" s="18" t="inlineStr">
        <is>
          <t>พ.ร.บ. ยาเสพติดให้โทษ พ.ศ. 2522 (ยาเสพติดให้โทษประเภท 2 และ 3)</t>
        </is>
      </c>
      <c r="H198" s="18" t="inlineStr">
        <is>
          <t>พ.ร.บ. วัตถุที่ออกฤทธิ์ต่อจิตและประสาท พ.ศ. 2559 (ประเภท 2 และ 4)</t>
        </is>
      </c>
      <c r="I198" s="18" t="n">
        <v>1</v>
      </c>
      <c r="J198"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18" t="n"/>
      <c r="L198" s="18" t="inlineStr">
        <is>
          <t>พ.ร.บ. ยา พ.ศ. 2510</t>
        </is>
      </c>
      <c r="M198" s="18" t="inlineStr">
        <is>
          <t>SAP</t>
        </is>
      </c>
      <c r="N198" s="18" t="inlineStr">
        <is>
          <t>ข้อ 1 (PLE_CC1_2555 Day 2.md)</t>
        </is>
      </c>
      <c r="O198" s="18" t="inlineStr">
        <is>
          <t>ข้อสอบจริง</t>
        </is>
      </c>
      <c r="P198" s="18" t="inlineStr">
        <is>
          <t>ปี 2555</t>
        </is>
      </c>
    </row>
    <row r="199">
      <c r="A199" s="18" t="n">
        <v>197</v>
      </c>
      <c r="B199" s="18" t="inlineStr">
        <is>
          <t>การใช้ racemic mixture มีประสิทธิผลดีสุด</t>
        </is>
      </c>
      <c r="C199" s="18" t="n"/>
      <c r="D199" s="18" t="inlineStr">
        <is>
          <t>พ.ร.บ. ยาเสพติดให้โทษ พ.ศ. 2522 (ยาเสพติดให้โทษประเภท 2 และ 3)</t>
        </is>
      </c>
      <c r="E199" s="18" t="inlineStr">
        <is>
          <t>พ.ร.บ. วัตถุที่ออกฤทธิ์ต่อจิตและประสาท พ.ศ. 2559 (ประเภท 2 และ 4)</t>
        </is>
      </c>
      <c r="F199" s="18" t="inlineStr">
        <is>
          <t>พ.ร.บ. วิชาชีพเภสัชกรรม พ.ศ. 2537 และข้อบังคับจรรยาบรรณวิชาชีพ</t>
        </is>
      </c>
      <c r="G199" s="18" t="inlineStr">
        <is>
          <t>พ.ร.บ. ผลิตภัณฑ์สมุนไพร พ.ศ. 2562</t>
        </is>
      </c>
      <c r="H199" s="18" t="inlineStr">
        <is>
          <t>พ.ร.บ. เครื่องสำอาง พ.ศ. 2558</t>
        </is>
      </c>
      <c r="I199" s="18" t="n">
        <v>1</v>
      </c>
      <c r="J199"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18" t="n"/>
      <c r="L199" s="18" t="inlineStr">
        <is>
          <t>พ.ร.บ. ยา พ.ศ. 2510</t>
        </is>
      </c>
      <c r="M199" s="18" t="inlineStr">
        <is>
          <t>SAP</t>
        </is>
      </c>
      <c r="N199" s="18" t="inlineStr">
        <is>
          <t>ข้อ 3 (PLE_CC1_2555 Day 2.md)</t>
        </is>
      </c>
      <c r="O199" s="18" t="inlineStr">
        <is>
          <t>ข้อสอบจริง</t>
        </is>
      </c>
      <c r="P199" s="18" t="inlineStr">
        <is>
          <t>ปี 2555</t>
        </is>
      </c>
    </row>
    <row r="200">
      <c r="A200" s="18" t="n">
        <v>198</v>
      </c>
      <c r="B200" s="18" t="inlineStr">
        <is>
          <t>metrothexate จัดเป็นยาประเภทใดตามกฎหมาย</t>
        </is>
      </c>
      <c r="C200" s="18" t="n"/>
      <c r="D200" s="18" t="inlineStr">
        <is>
          <t>ยาอันตราย</t>
        </is>
      </c>
      <c r="E200" s="18" t="inlineStr">
        <is>
          <t>ยาควบคุมพิเศษ</t>
        </is>
      </c>
      <c r="F200" s="18" t="inlineStr">
        <is>
          <t>ยาสามัญประจำบ้าน</t>
        </is>
      </c>
      <c r="G200" s="18" t="inlineStr">
        <is>
          <t>ยาเสพติดให้โทษ ประเภทที่ 3</t>
        </is>
      </c>
      <c r="H200" s="18"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18" t="n">
        <v>1</v>
      </c>
      <c r="J200" s="1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 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18" t="n"/>
      <c r="L200" s="18" t="inlineStr">
        <is>
          <t>พ.ร.บ. ยา พ.ศ. 2510</t>
        </is>
      </c>
      <c r="M200" s="18" t="inlineStr">
        <is>
          <t>SAP</t>
        </is>
      </c>
      <c r="N200" s="18" t="inlineStr">
        <is>
          <t>ข้อ 110 (PLE_CC1_2554 SET1.md)</t>
        </is>
      </c>
      <c r="O200" s="18" t="inlineStr">
        <is>
          <t>ข้อสอบจริง</t>
        </is>
      </c>
      <c r="P200" s="18" t="inlineStr">
        <is>
          <t>ปี 2554</t>
        </is>
      </c>
    </row>
    <row r="201">
      <c r="A201" s="18" t="n">
        <v>199</v>
      </c>
      <c r="B201" s="18"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18" t="n"/>
      <c r="D201" s="18" t="inlineStr">
        <is>
          <t>การปฏิบัติทางเภสัชกรรมชุมชน (Good Pharmacy Practice: GPP)</t>
        </is>
      </c>
      <c r="E201" s="18" t="inlineStr">
        <is>
          <t>บัญชียาหลักแห่งชาติ (National List of Essential Medicines: NLEM)</t>
        </is>
      </c>
      <c r="F201" s="18" t="inlineStr">
        <is>
          <t>เกณฑ์จริยธรรมว่าด้วยการส่งเสริมการขายยาของกระทรวงสาธารณสุข</t>
        </is>
      </c>
      <c r="G201" s="18" t="inlineStr">
        <is>
          <t>พ.ร.บ. ยา พ.ศ. 2510 (การจำหน่ายยาอันตรายและยาควบคุมพิเศษ)</t>
        </is>
      </c>
      <c r="H201" s="18" t="inlineStr">
        <is>
          <t>พ.ร.บ. ยาเสพติดให้โทษ พ.ศ. 2522 (ยาเสพติดให้โทษประเภท 2 และ 3)</t>
        </is>
      </c>
      <c r="I201" s="18" t="n">
        <v>5</v>
      </c>
      <c r="J201" s="18"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18" t="n"/>
      <c r="L201" s="18" t="inlineStr">
        <is>
          <t>พ.ร.บ. ยา พ.ศ. 2510</t>
        </is>
      </c>
      <c r="M201" s="18" t="inlineStr">
        <is>
          <t>SAP</t>
        </is>
      </c>
      <c r="N201" s="18" t="inlineStr">
        <is>
          <t>ข้อ 4 (PLE_CC1_2554 SET2.md)</t>
        </is>
      </c>
      <c r="O201" s="18" t="inlineStr">
        <is>
          <t>ข้อสอบจริง</t>
        </is>
      </c>
      <c r="P201" s="18" t="inlineStr">
        <is>
          <t>ปี 2554</t>
        </is>
      </c>
    </row>
    <row r="202">
      <c r="A202" s="18" t="n">
        <v>200</v>
      </c>
      <c r="B202" s="18" t="inlineStr">
        <is>
          <t>ควรให้ยาอะไรกับ 5-FU เพื่อเพิ่มฤทธิ์ของ 5-FU ให้มีประสิทธิภาพดีขึ้น</t>
        </is>
      </c>
      <c r="C202" s="18" t="n"/>
      <c r="D202" s="18" t="inlineStr">
        <is>
          <t>Leucovorin</t>
        </is>
      </c>
      <c r="E202" s="18" t="inlineStr">
        <is>
          <t>Ifosfamide</t>
        </is>
      </c>
      <c r="F202" s="18" t="inlineStr">
        <is>
          <t>Cisplatin</t>
        </is>
      </c>
      <c r="G202" s="18" t="inlineStr">
        <is>
          <t>Docetaxel</t>
        </is>
      </c>
      <c r="H202" s="18" t="inlineStr">
        <is>
          <t>Bleomycin จะยับยั้งการแบ่งเซลล์ของเซลล์มะเร็งทำให้ไม่มีการเพิ่มขึ้นของเซลล์มะเร็งและทำให้ก้อนมะเร็งลดลง</t>
        </is>
      </c>
      <c r="I202" s="18" t="n">
        <v>1</v>
      </c>
      <c r="J202" s="18"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ข้อนี้ไม่ใช่คำตอบที่ถูกต้องสำหรับภาวะ พ.ร.บ. ยา พ.ศ. 2510 เนื่องจากกลไกการออกฤทธิ์, efficacy หรือข้อบ่งใช้ไม่ตรงกับโจทย์ที่กำหนด
• ข้อ ค. (Cisplatin): ข้อนี้ไม่ใช่คำตอบที่ถูกต้องสำหรับภาวะ พ.ร.บ. ยา พ.ศ. 2510 เนื่องจากกลไกการออกฤทธิ์, efficacy หรือข้อบ่งใช้ไม่ตรงกับโจทย์ที่กำหนด
• ข้อ ง. (Docetaxel): ข้อนี้ไม่ใช่คำตอบที่ถูกต้องสำหรับภาวะ พ.ร.บ. ยา พ.ศ. 2510 เนื่องจากกลไกการออกฤทธิ์, efficacy หรือข้อบ่งใช้ไม่ตรงกับโจทย์ที่กำหนด
• ข้อ จ. (Bleomycin จะยับยั้งการแบ่งเซลล์ของเซลล์มะเร็งทำให้ไม่มีการเพิ่มขึ้นของเซลล์มะเร็งและทำให้ก้อนมะเร็งลดลง):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18" t="n"/>
      <c r="L202" s="18" t="inlineStr">
        <is>
          <t>พ.ร.บ. ยา พ.ศ. 2510</t>
        </is>
      </c>
      <c r="M202" s="18" t="inlineStr">
        <is>
          <t>SAP</t>
        </is>
      </c>
      <c r="N202" s="18" t="inlineStr">
        <is>
          <t>ข้อ 6 (PLE_CC1_2554 SET2.md)</t>
        </is>
      </c>
      <c r="O202" s="18" t="inlineStr">
        <is>
          <t>ข้อสอบจริง</t>
        </is>
      </c>
      <c r="P202" s="18" t="inlineStr">
        <is>
          <t>ปี 2554</t>
        </is>
      </c>
    </row>
    <row r="203">
      <c r="A203" s="18" t="n">
        <v>201</v>
      </c>
      <c r="B203" s="18"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18" t="n"/>
      <c r="D203" s="18" t="inlineStr">
        <is>
          <t>มีการผสมตัวยา ciprofloxacin ด้วย</t>
        </is>
      </c>
      <c r="E203" s="18" t="inlineStr">
        <is>
          <t>ตรวจพบปริมาณ norfloxacinเพียง 70% เท่านั้น</t>
        </is>
      </c>
      <c r="F203" s="18" t="inlineStr">
        <is>
          <t>ที่ฉลากระบุว่าเป็นยา ofloxacin</t>
        </is>
      </c>
      <c r="G203" s="18" t="inlineStr">
        <is>
          <t>ที่ฉลากแสดงเครื่องหมายของผู้ผลิตซึ่งมิใช่ความจริง</t>
        </is>
      </c>
      <c r="H203" s="18"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18" t="n">
        <v>1</v>
      </c>
      <c r="J203" s="18"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18" t="n"/>
      <c r="L203" s="18" t="inlineStr">
        <is>
          <t>พ.ร.บ. ยา พ.ศ. 2510</t>
        </is>
      </c>
      <c r="M203" s="18" t="inlineStr">
        <is>
          <t>SAP</t>
        </is>
      </c>
      <c r="N203" s="18" t="inlineStr">
        <is>
          <t>ข้อ 2 (PLE_CC1_2554 SET2.md)</t>
        </is>
      </c>
      <c r="O203" s="18" t="inlineStr">
        <is>
          <t>ข้อสอบจริง</t>
        </is>
      </c>
      <c r="P203" s="18" t="inlineStr">
        <is>
          <t>ปี 2554</t>
        </is>
      </c>
    </row>
    <row r="204">
      <c r="A204" s="18" t="n">
        <v>202</v>
      </c>
      <c r="B204" s="18"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18" t="n"/>
      <c r="D204" s="18" t="inlineStr">
        <is>
          <t>simvastatinกับ niacin</t>
        </is>
      </c>
      <c r="E204" s="18" t="inlineStr">
        <is>
          <t>atorvastatinกับgemfibrozil</t>
        </is>
      </c>
      <c r="F204" s="18" t="inlineStr">
        <is>
          <t>niacinกับgemfibrozil</t>
        </is>
      </c>
      <c r="G204" s="18" t="inlineStr">
        <is>
          <t>simvastatinกับezetimibe</t>
        </is>
      </c>
      <c r="H204" s="18" t="inlineStr">
        <is>
          <t>simvastatinกับfenofibrate</t>
        </is>
      </c>
      <c r="I204" s="18" t="n">
        <v>1</v>
      </c>
      <c r="J204" s="18"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18" t="n"/>
      <c r="L204" s="18" t="inlineStr">
        <is>
          <t>พ.ร.บ. ยา พ.ศ. 2510</t>
        </is>
      </c>
      <c r="M204" s="18" t="inlineStr">
        <is>
          <t>SAP</t>
        </is>
      </c>
      <c r="N204" s="18" t="inlineStr">
        <is>
          <t>ข้อ 3 (PLE_CC1_2554 SET2.md)</t>
        </is>
      </c>
      <c r="O204" s="18" t="inlineStr">
        <is>
          <t>ข้อสอบจริง</t>
        </is>
      </c>
      <c r="P204" s="18" t="inlineStr">
        <is>
          <t>ปี 2554</t>
        </is>
      </c>
    </row>
    <row r="205">
      <c r="A205" s="18" t="n">
        <v>203</v>
      </c>
      <c r="B205" s="18" t="inlineStr">
        <is>
          <t>alcohol 70% ขนาด 30 มิลลิลิตร จัดเป็นยาใดในกฎหมาย</t>
        </is>
      </c>
      <c r="C205" s="18" t="n"/>
      <c r="D205" s="18" t="inlineStr">
        <is>
          <t>ยาสามัญประจำบ้าน ข . ยาอันตราย ค . ยาควบคุมพิเศษ</t>
        </is>
      </c>
      <c r="E205" s="18" t="inlineStr">
        <is>
          <t>วัตถุออกฤทธิ์ต่อจิตและประสาท</t>
        </is>
      </c>
      <c r="F205" s="18"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18" t="inlineStr">
        <is>
          <t>กล่องเสียงอักเสบ</t>
        </is>
      </c>
      <c r="H205" s="18" t="inlineStr">
        <is>
          <t>คอพอก</t>
        </is>
      </c>
      <c r="I205" s="18" t="n">
        <v>1</v>
      </c>
      <c r="J205" s="18"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ข้อนี้ไม่ใช่คำตอบที่ถูกต้องสำหรับภาวะ พ.ร.บ. ยา พ.ศ. 2510 เนื่องจากกลไกการออกฤทธิ์, efficacy หรือข้อบ่งใช้ไม่ตรงกับโจทย์ที่กำหนด
• ข้อ ง. (กล่องเสียงอักเสบ): ข้อนี้ไม่ใช่คำตอบที่ถูกต้องสำหรับภาวะ พ.ร.บ. ยา พ.ศ. 2510 เนื่องจากกลไกการออกฤทธิ์, efficacy หรือข้อบ่งใช้ไม่ตรงกับโจทย์ที่กำหนด
• ข้อ จ. (คอพอก):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18" t="n"/>
      <c r="L205" s="18" t="inlineStr">
        <is>
          <t>พ.ร.บ. ยา พ.ศ. 2510</t>
        </is>
      </c>
      <c r="M205" s="18" t="inlineStr">
        <is>
          <t>SAP</t>
        </is>
      </c>
      <c r="N205" s="18" t="inlineStr">
        <is>
          <t>ข้อ 30 (PLE_CC1_2554 SET2.md)</t>
        </is>
      </c>
      <c r="O205" s="18" t="inlineStr">
        <is>
          <t>ข้อสอบจริง</t>
        </is>
      </c>
      <c r="P205" s="18" t="inlineStr">
        <is>
          <t>ปี 2554</t>
        </is>
      </c>
    </row>
    <row r="206">
      <c r="A206" s="18" t="n">
        <v>204</v>
      </c>
      <c r="B206" s="18"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18" t="n"/>
      <c r="D206" s="18" t="inlineStr">
        <is>
          <t>พ.ร.บ. วัตถุที่ออกฤทธิ์ต่อจิตและประสาท พ.ศ. 2559 (ประเภท 2 และ 4)</t>
        </is>
      </c>
      <c r="E206" s="18" t="inlineStr">
        <is>
          <t>พ.ร.บ. วิชาชีพเภสัชกรรม พ.ศ. 2537 และข้อบังคับจรรยาบรรณวิชาชีพ</t>
        </is>
      </c>
      <c r="F206" s="18" t="inlineStr">
        <is>
          <t>พ.ร.บ. ผลิตภัณฑ์สมุนไพร พ.ศ. 2562</t>
        </is>
      </c>
      <c r="G206" s="18" t="inlineStr">
        <is>
          <t>พ.ร.บ. เครื่องสำอาง พ.ศ. 2558</t>
        </is>
      </c>
      <c r="H206" s="18" t="inlineStr">
        <is>
          <t>พ.ร.บ. หลักประกันสุขภาพแห่งชาติ พ.ศ. 2545</t>
        </is>
      </c>
      <c r="I206" s="18" t="n">
        <v>1</v>
      </c>
      <c r="J206"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18" t="n"/>
      <c r="L206" s="18" t="inlineStr">
        <is>
          <t>พ.ร.บ. ผลิตภัณฑ์สมุนไพร &amp; เครื่องสำอาง</t>
        </is>
      </c>
      <c r="M206" s="18" t="inlineStr">
        <is>
          <t>SAP</t>
        </is>
      </c>
      <c r="N206" s="18" t="inlineStr">
        <is>
          <t>ข้อ 10 (PLE_CC1_2533.md)</t>
        </is>
      </c>
      <c r="O206" s="18" t="inlineStr">
        <is>
          <t>ข้อสอบจริง</t>
        </is>
      </c>
      <c r="P206" s="18" t="inlineStr">
        <is>
          <t>ปี 2533</t>
        </is>
      </c>
    </row>
    <row r="207">
      <c r="A207" s="18" t="n">
        <v>205</v>
      </c>
      <c r="B207" s="18"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18" t="n"/>
      <c r="D207" s="18" t="inlineStr">
        <is>
          <t>พ.ร.บ. เครื่องสำอาง พ.ศ. 2558</t>
        </is>
      </c>
      <c r="E207" s="18" t="inlineStr">
        <is>
          <t>พ.ร.บ. หลักประกันสุขภาพแห่งชาติ พ.ศ. 2545</t>
        </is>
      </c>
      <c r="F207" s="18" t="inlineStr">
        <is>
          <t>การปฏิบัติทางเภสัชกรรมชุมชน (Good Pharmacy Practice: GPP)</t>
        </is>
      </c>
      <c r="G207" s="18" t="inlineStr">
        <is>
          <t>บัญชียาหลักแห่งชาติ (National List of Essential Medicines: NLEM)</t>
        </is>
      </c>
      <c r="H207" s="18" t="inlineStr">
        <is>
          <t>เกณฑ์จริยธรรมว่าด้วยการส่งเสริมการขายยาของกระทรวงสาธารณสุข</t>
        </is>
      </c>
      <c r="I207" s="18" t="n">
        <v>1</v>
      </c>
      <c r="J207"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18" t="n"/>
      <c r="L207" s="18" t="inlineStr">
        <is>
          <t>พ.ร.บ. ยา พ.ศ. 2510</t>
        </is>
      </c>
      <c r="M207" s="18" t="inlineStr">
        <is>
          <t>SAP</t>
        </is>
      </c>
      <c r="N207" s="18" t="inlineStr">
        <is>
          <t>ข้อ 3 (PLE_CC1_Practice_Exam.md)</t>
        </is>
      </c>
      <c r="O207" s="18" t="inlineStr">
        <is>
          <t>Mock</t>
        </is>
      </c>
      <c r="P207" s="18" t="inlineStr">
        <is>
          <t>Mock สภาเภสัชฯ Practice</t>
        </is>
      </c>
    </row>
    <row r="208">
      <c r="A208" s="18" t="n">
        <v>206</v>
      </c>
      <c r="B208" s="18"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18" t="n"/>
      <c r="D208" s="18" t="inlineStr">
        <is>
          <t>หากเป็นสิวระดับ mild สามารถใช้ topical retinoid ในการรักษาเพียงตัวเดียวได้</t>
        </is>
      </c>
      <c r="E208" s="18" t="inlineStr">
        <is>
          <t>หากเป็นสิวระดับ mild สามารถใช้ benzoyl peroxide ในการรักษาเพียงตัวเดียวได้</t>
        </is>
      </c>
      <c r="F208" s="18" t="inlineStr">
        <is>
          <t>Oral isotretinoid ใช้สำหรับ Severe acne เท่านั้นและห้ามใช้ในหญิงตั้งครรภ์</t>
        </is>
      </c>
      <c r="G208" s="18"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18"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18" t="n">
        <v>1</v>
      </c>
      <c r="J208" s="18"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(Oral isotretinoid ใช้สำหรับ Severe acne เท่านั้นและห้ามใช้ในหญิงตั้งครรภ์): ข้อนี้ไม่ใช่คำตอบที่ถูกต้องสำหรับภาวะ พ.ร.บ. ยา พ.ศ. 2510 เนื่องจากกลไกการออกฤทธิ์, efficacy หรือข้อบ่งใช้ไม่ตรงกับโจทย์ที่กำหนด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ข้อนี้ไม่ใช่คำตอบที่ถูกต้องสำหรับภาวะ พ.ร.บ. ยา พ.ศ. 2510 เนื่องจากกลไกการออกฤทธิ์, efficacy หรือข้อบ่งใช้ไม่ตรงกับโจทย์ที่กำหนด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18" t="n"/>
      <c r="L208" s="18" t="inlineStr">
        <is>
          <t>พ.ร.บ. ยา พ.ศ. 2510</t>
        </is>
      </c>
      <c r="M208" s="18" t="inlineStr">
        <is>
          <t>SAP</t>
        </is>
      </c>
      <c r="N208" s="18" t="inlineStr">
        <is>
          <t>ข้อ 5 (PLE_CC1_Practice_Exam.md)</t>
        </is>
      </c>
      <c r="O208" s="18" t="inlineStr">
        <is>
          <t>Mock</t>
        </is>
      </c>
      <c r="P208" s="18" t="inlineStr">
        <is>
          <t>Mock สภาเภสัชฯ Practice</t>
        </is>
      </c>
    </row>
    <row r="209">
      <c r="A209" s="18" t="n">
        <v>207</v>
      </c>
      <c r="B209" s="18" t="inlineStr">
        <is>
          <t>ยาตัวไหนที่มีประสิทธิภาพในการรักษา anxiety ประเภท obsessive-compulsive disorder (OCD)</t>
        </is>
      </c>
      <c r="C209" s="18" t="n"/>
      <c r="D209" s="18" t="inlineStr">
        <is>
          <t>พ.ร.บ. ยาเสพติดให้โทษ พ.ศ. 2522 (ยาเสพติดให้โทษประเภท 2 และ 3)</t>
        </is>
      </c>
      <c r="E209" s="18" t="inlineStr">
        <is>
          <t>พ.ร.บ. วัตถุที่ออกฤทธิ์ต่อจิตและประสาท พ.ศ. 2559 (ประเภท 2 และ 4)</t>
        </is>
      </c>
      <c r="F209" s="18" t="inlineStr">
        <is>
          <t>พ.ร.บ. วิชาชีพเภสัชกรรม พ.ศ. 2537 และข้อบังคับจรรยาบรรณวิชาชีพ</t>
        </is>
      </c>
      <c r="G209" s="18" t="inlineStr">
        <is>
          <t>พ.ร.บ. ผลิตภัณฑ์สมุนไพร พ.ศ. 2562</t>
        </is>
      </c>
      <c r="H209" s="18" t="inlineStr">
        <is>
          <t>พ.ร.บ. เครื่องสำอาง พ.ศ. 2558</t>
        </is>
      </c>
      <c r="I209" s="18" t="n">
        <v>1</v>
      </c>
      <c r="J209"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18" t="n"/>
      <c r="L209" s="18" t="inlineStr">
        <is>
          <t>พ.ร.บ. ยา พ.ศ. 2510</t>
        </is>
      </c>
      <c r="M209" s="18" t="inlineStr">
        <is>
          <t>SAP</t>
        </is>
      </c>
      <c r="N209" s="18" t="inlineStr">
        <is>
          <t>ข้อ 30 (PLE_CC1_Practice_Exam.md)</t>
        </is>
      </c>
      <c r="O209" s="18" t="inlineStr">
        <is>
          <t>Mock</t>
        </is>
      </c>
      <c r="P209" s="18" t="inlineStr">
        <is>
          <t>Mock สภาเภสัชฯ Practice</t>
        </is>
      </c>
    </row>
    <row r="210">
      <c r="A210" s="18" t="n">
        <v>208</v>
      </c>
      <c r="B210" s="18"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18" t="n"/>
      <c r="D210" s="18" t="inlineStr">
        <is>
          <t>พ.ร.บ. ผลิตภัณฑ์สมุนไพร พ.ศ. 2562</t>
        </is>
      </c>
      <c r="E210" s="18" t="inlineStr">
        <is>
          <t>พ.ร.บ. เครื่องสำอาง พ.ศ. 2558</t>
        </is>
      </c>
      <c r="F210" s="18" t="inlineStr">
        <is>
          <t>พ.ร.บ. หลักประกันสุขภาพแห่งชาติ พ.ศ. 2545</t>
        </is>
      </c>
      <c r="G210" s="18" t="inlineStr">
        <is>
          <t>การปฏิบัติทางเภสัชกรรมชุมชน (Good Pharmacy Practice: GPP)</t>
        </is>
      </c>
      <c r="H210" s="18" t="inlineStr">
        <is>
          <t>บัญชียาหลักแห่งชาติ (National List of Essential Medicines: NLEM)</t>
        </is>
      </c>
      <c r="I210" s="18" t="n">
        <v>3</v>
      </c>
      <c r="J210" s="18"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18" t="n"/>
      <c r="L210" s="18" t="inlineStr">
        <is>
          <t>พ.ร.บ. ยาเสพติดให้โทษ &amp; วัตถุออกฤทธิ์</t>
        </is>
      </c>
      <c r="M210" s="18" t="inlineStr">
        <is>
          <t>SAP</t>
        </is>
      </c>
      <c r="N210" s="18" t="inlineStr">
        <is>
          <t>ข้อ 5 (PLE_CC1_Practice_Exam.md)</t>
        </is>
      </c>
      <c r="O210" s="18" t="inlineStr">
        <is>
          <t>Mock</t>
        </is>
      </c>
      <c r="P210" s="18" t="inlineStr">
        <is>
          <t>Mock สภาเภสัชฯ Practice</t>
        </is>
      </c>
    </row>
    <row r="211">
      <c r="A211" s="18" t="n">
        <v>209</v>
      </c>
      <c r="B211" s="18"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18" t="n"/>
      <c r="D211" s="18" t="inlineStr">
        <is>
          <t>การปฏิบัติทางเภสัชกรรมชุมชน (Good Pharmacy Practice: GPP)</t>
        </is>
      </c>
      <c r="E211" s="18" t="inlineStr">
        <is>
          <t>บัญชียาหลักแห่งชาติ (National List of Essential Medicines: NLEM)</t>
        </is>
      </c>
      <c r="F211" s="18" t="inlineStr">
        <is>
          <t>เกณฑ์จริยธรรมว่าด้วยการส่งเสริมการขายยาของกระทรวงสาธารณสุข</t>
        </is>
      </c>
      <c r="G211" s="18" t="inlineStr">
        <is>
          <t>พ.ร.บ. ยา พ.ศ. 2510 (การจำหน่ายยาอันตรายและยาควบคุมพิเศษ)</t>
        </is>
      </c>
      <c r="H211" s="18" t="inlineStr">
        <is>
          <t>พ.ร.บ. ยาเสพติดให้โทษ พ.ศ. 2522 (ยาเสพติดให้โทษประเภท 2 และ 3)</t>
        </is>
      </c>
      <c r="I211" s="18" t="n">
        <v>1</v>
      </c>
      <c r="J211"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18" t="n"/>
      <c r="L211" s="18" t="inlineStr">
        <is>
          <t>พ.ร.บ. ยา พ.ศ. 2510</t>
        </is>
      </c>
      <c r="M211" s="18" t="inlineStr">
        <is>
          <t>SAP</t>
        </is>
      </c>
      <c r="N211" s="18" t="inlineStr">
        <is>
          <t>ข้อ 5 (PLE_CC1_Practice_Exam.md)</t>
        </is>
      </c>
      <c r="O211" s="18" t="inlineStr">
        <is>
          <t>Mock</t>
        </is>
      </c>
      <c r="P211" s="18" t="inlineStr">
        <is>
          <t>Mock สภาเภสัชฯ Practice</t>
        </is>
      </c>
    </row>
    <row r="212">
      <c r="A212" s="18" t="n">
        <v>210</v>
      </c>
      <c r="B212" s="18"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18" t="n"/>
      <c r="D212" s="18" t="inlineStr">
        <is>
          <t>พ.ร.บ. ยา พ.ศ. 2510 (การจำหน่ายยาอันตรายและยาควบคุมพิเศษ)</t>
        </is>
      </c>
      <c r="E212" s="18" t="inlineStr">
        <is>
          <t>พ.ร.บ. ยาเสพติดให้โทษ พ.ศ. 2522 (ยาเสพติดให้โทษประเภท 2 และ 3)</t>
        </is>
      </c>
      <c r="F212" s="18" t="inlineStr">
        <is>
          <t>พ.ร.บ. วัตถุที่ออกฤทธิ์ต่อจิตและประสาท พ.ศ. 2559 (ประเภท 2 และ 4)</t>
        </is>
      </c>
      <c r="G212" s="18" t="inlineStr">
        <is>
          <t>พ.ร.บ. วิชาชีพเภสัชกรรม พ.ศ. 2537 และข้อบังคับจรรยาบรรณวิชาชีพ</t>
        </is>
      </c>
      <c r="H212" s="18" t="inlineStr">
        <is>
          <t>พ.ร.บ. ผลิตภัณฑ์สมุนไพร พ.ศ. 2562</t>
        </is>
      </c>
      <c r="I212" s="18" t="n">
        <v>2</v>
      </c>
      <c r="J212" s="18"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18" t="n"/>
      <c r="L212" s="18" t="inlineStr">
        <is>
          <t>พ.ร.บ. ยา พ.ศ. 2510</t>
        </is>
      </c>
      <c r="M212" s="18" t="inlineStr">
        <is>
          <t>SAP</t>
        </is>
      </c>
      <c r="N212" s="18" t="inlineStr">
        <is>
          <t>ข้อ 29 (PLE_CC1_Practice_Exam.md)</t>
        </is>
      </c>
      <c r="O212" s="18" t="inlineStr">
        <is>
          <t>Mock</t>
        </is>
      </c>
      <c r="P212" s="18" t="inlineStr">
        <is>
          <t>Mock สภาเภสัชฯ Practice</t>
        </is>
      </c>
    </row>
    <row r="213">
      <c r="A213" s="18" t="n">
        <v>211</v>
      </c>
      <c r="B213" s="18"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18" t="n"/>
      <c r="D213" s="18"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18" t="inlineStr">
        <is>
          <t>การทดสอบประสิทธิภาพสารกันเสียในตำรับยาน้ำแขวนตะกอน ibuprofenในหัวข้อ Yeast and molds ผ่านการทดสอบ</t>
        </is>
      </c>
      <c r="F213" s="18" t="inlineStr">
        <is>
          <t>การทดสอบประสิทธิภาพสารกันเสียในตำรับยาน้ำแขวนตะกอน ibuprofenในหัวข้อ Yeast and molds ไม่ผ่านการทดสอบ</t>
        </is>
      </c>
      <c r="G213" s="18" t="inlineStr">
        <is>
          <t>ข้อ 1 และ 4 ถูก</t>
        </is>
      </c>
      <c r="H213" s="18" t="inlineStr">
        <is>
          <t>ข้อ 1 และ 5 ถูก</t>
        </is>
      </c>
      <c r="I213" s="18" t="n">
        <v>1</v>
      </c>
      <c r="J213" s="18"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(ข้อ 1 และ 5 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18" t="n"/>
      <c r="L213" s="18" t="inlineStr">
        <is>
          <t>พ.ร.บ. ยา พ.ศ. 2510</t>
        </is>
      </c>
      <c r="M213" s="18" t="inlineStr">
        <is>
          <t>SAP</t>
        </is>
      </c>
      <c r="N213" s="18" t="inlineStr">
        <is>
          <t>ข้อ 2 (PLE_CC1_Practice_Exam.md)</t>
        </is>
      </c>
      <c r="O213" s="18" t="inlineStr">
        <is>
          <t>Mock</t>
        </is>
      </c>
      <c r="P213" s="18" t="inlineStr">
        <is>
          <t>Mock สภาเภสัชฯ Practice</t>
        </is>
      </c>
    </row>
    <row r="214">
      <c r="A214" s="18" t="n">
        <v>212</v>
      </c>
      <c r="B214" s="18" t="inlineStr">
        <is>
          <t>ข้อใดคือเลขสัมประสิทธิ์ของ Br- ของสมการรีดอกซ์ต่อไปนี้ เมื่อได้รับการดุลแล้ว MnO4- + Br- _x0000_ Mn2+ + Br2 (ในสารละลายกรด)</t>
        </is>
      </c>
      <c r="C214" s="18" t="n"/>
      <c r="D214" s="18" t="inlineStr">
        <is>
          <t>พ.ร.บ. หลักประกันสุขภาพแห่งชาติ พ.ศ. 2545</t>
        </is>
      </c>
      <c r="E214" s="18" t="inlineStr">
        <is>
          <t>การปฏิบัติทางเภสัชกรรมชุมชน (Good Pharmacy Practice: GPP)</t>
        </is>
      </c>
      <c r="F214" s="18" t="inlineStr">
        <is>
          <t>บัญชียาหลักแห่งชาติ (National List of Essential Medicines: NLEM)</t>
        </is>
      </c>
      <c r="G214" s="18" t="inlineStr">
        <is>
          <t>เกณฑ์จริยธรรมว่าด้วยการส่งเสริมการขายยาของกระทรวงสาธารณสุข</t>
        </is>
      </c>
      <c r="H214" s="18" t="n">
        <v>10</v>
      </c>
      <c r="I214" s="18" t="n">
        <v>1</v>
      </c>
      <c r="J214"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18" t="n"/>
      <c r="L214" s="18" t="inlineStr">
        <is>
          <t>พ.ร.บ. ยา พ.ศ. 2510</t>
        </is>
      </c>
      <c r="M214" s="18" t="inlineStr">
        <is>
          <t>SAP</t>
        </is>
      </c>
      <c r="N214" s="18" t="inlineStr">
        <is>
          <t>ข้อ 4 (PLE_CC1_Practice_Exam.md)</t>
        </is>
      </c>
      <c r="O214" s="18" t="inlineStr">
        <is>
          <t>Mock</t>
        </is>
      </c>
      <c r="P214" s="18" t="inlineStr">
        <is>
          <t>Mock สภาเภสัชฯ Practice</t>
        </is>
      </c>
    </row>
    <row r="215">
      <c r="A215" s="18" t="n">
        <v>213</v>
      </c>
      <c r="B215" s="18"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18" t="n"/>
      <c r="D215" s="18" t="inlineStr">
        <is>
          <t>ปลัดกระทรวงสาธารณสุข ข. คณะกรรมการยา</t>
        </is>
      </c>
      <c r="E215" s="18"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18" t="inlineStr">
        <is>
          <t>นายกสภาเภสัชกรรม</t>
        </is>
      </c>
      <c r="G215" s="18" t="inlineStr">
        <is>
          <t>พ.ร.บ. วัตถุที่ออกฤทธิ์ต่อจิตและประสาท พ.ศ. 2559 (ประเภท 2 และ 4)</t>
        </is>
      </c>
      <c r="H215" s="18" t="inlineStr">
        <is>
          <t>พ.ร.บ. วิชาชีพเภสัชกรรม พ.ศ. 2537 และข้อบังคับจรรยาบรรณวิชาชีพ</t>
        </is>
      </c>
      <c r="I215" s="18" t="n">
        <v>1</v>
      </c>
      <c r="J215" s="18"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18" t="n"/>
      <c r="L215" s="18" t="inlineStr">
        <is>
          <t>พ.ร.บ. ยา พ.ศ. 2510</t>
        </is>
      </c>
      <c r="M215" s="18" t="inlineStr">
        <is>
          <t>SAP</t>
        </is>
      </c>
      <c r="N215" s="18" t="inlineStr">
        <is>
          <t>ข้อ 5 (PLE_CC1_Practice_Exam.md)</t>
        </is>
      </c>
      <c r="O215" s="18" t="inlineStr">
        <is>
          <t>Mock</t>
        </is>
      </c>
      <c r="P215" s="18" t="inlineStr">
        <is>
          <t>Mock สภาเภสัชฯ Practice</t>
        </is>
      </c>
    </row>
    <row r="216">
      <c r="A216" s="18" t="n">
        <v>214</v>
      </c>
      <c r="B216" s="18" t="inlineStr">
        <is>
          <t>ข้อใดจัดเป็น “ยาสมุนไพร” ตาม พ.ร.บ. ยา</t>
        </is>
      </c>
      <c r="C216" s="18" t="n"/>
      <c r="D216" s="18" t="inlineStr">
        <is>
          <t>เถาโคคลานหั่นตากแห้งบรรจุถุง ระบุฉลากว่า ยาโคคลาน</t>
        </is>
      </c>
      <c r="E216" s="18" t="inlineStr">
        <is>
          <t>ฟ้าทะลายโจรบดผงใส่แคปซูล ระบุฉลากว่า ยาฟ้าทะลายโจร</t>
        </is>
      </c>
      <c r="F216" s="18" t="inlineStr">
        <is>
          <t>กำลังเจ็ดช้างสารดองเหล้า ระบุชื่อว่า ยาดองเหล้า กำลังเจ็ดช้างสาร</t>
        </is>
      </c>
      <c r="G216" s="18"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18" t="inlineStr">
        <is>
          <t>ถูกทุกข้อ</t>
        </is>
      </c>
      <c r="I216" s="18" t="n">
        <v>1</v>
      </c>
      <c r="J216" s="18"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(กำลังเจ็ดช้างสารดองเหล้า ระบุชื่อว่า ยาดองเหล้า กำลังเจ็ดช้างสาร):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18" t="n"/>
      <c r="L216" s="18" t="inlineStr">
        <is>
          <t>พ.ร.บ. ผลิตภัณฑ์สมุนไพร &amp; เครื่องสำอาง</t>
        </is>
      </c>
      <c r="M216" s="18" t="inlineStr">
        <is>
          <t>SAP</t>
        </is>
      </c>
      <c r="N216" s="18" t="inlineStr">
        <is>
          <t>ข้อ 9 (PLE_CC1_Practice_Exam.md)</t>
        </is>
      </c>
      <c r="O216" s="18" t="inlineStr">
        <is>
          <t>Mock</t>
        </is>
      </c>
      <c r="P216" s="18" t="inlineStr">
        <is>
          <t>Mock สภาเภสัชฯ Practice</t>
        </is>
      </c>
    </row>
    <row r="217">
      <c r="A217" s="18" t="n">
        <v>215</v>
      </c>
      <c r="B217" s="18" t="inlineStr">
        <is>
          <t>ข้อใดเป็นอำนาจ และหน้าที่ที่ถูกต้องของพนักงานเจ้าหน้าที่ ตาม พ.ร.บ. ยา พ.ศ. 2510</t>
        </is>
      </c>
      <c r="C217" s="18" t="n"/>
      <c r="D217" s="18" t="inlineStr">
        <is>
          <t>เข้าไปในสถานที่ผลิตยาในระหว่างเวลาทำการ</t>
        </is>
      </c>
      <c r="E217" s="18" t="inlineStr">
        <is>
          <t>นำยาในปริมาณเท่าไรก็ได้ตามความต้องการ เพื่อตรวจสอบวิเคราะห์</t>
        </is>
      </c>
      <c r="F217" s="18" t="inlineStr">
        <is>
          <t>ไม่จำเป็นต้องประกาศผลวิเคราะห์ยาให้ประชาชนทราบ ในกรณีที่พบว่าเป็นยาไม่ปลอดภัย</t>
        </is>
      </c>
      <c r="G217" s="18" t="inlineStr">
        <is>
          <t>ข้อ ก และ ค ถูก</t>
        </is>
      </c>
      <c r="H217" s="18" t="inlineStr">
        <is>
          <t>ไม่มีข้อใดถูก</t>
        </is>
      </c>
      <c r="I217" s="18" t="n">
        <v>1</v>
      </c>
      <c r="J217" s="18"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(ไม่จำเป็นต้องประกาศผลวิเคราะห์ยาให้ประชาชนทราบ ในกรณีที่พบว่าเป็นยาไม่ปลอดภัย):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ค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18" t="n"/>
      <c r="L217" s="18" t="inlineStr">
        <is>
          <t>พ.ร.บ. ยา พ.ศ. 2510</t>
        </is>
      </c>
      <c r="M217" s="18" t="inlineStr">
        <is>
          <t>SAP</t>
        </is>
      </c>
      <c r="N217" s="18" t="inlineStr">
        <is>
          <t>ข้อ 12 (PLE_CC1_Practice_Exam.md)</t>
        </is>
      </c>
      <c r="O217" s="18" t="inlineStr">
        <is>
          <t>Mock</t>
        </is>
      </c>
      <c r="P217" s="18" t="inlineStr">
        <is>
          <t>Mock สภาเภสัชฯ Practice</t>
        </is>
      </c>
    </row>
    <row r="218">
      <c r="A218" s="18" t="n">
        <v>216</v>
      </c>
      <c r="B218" s="18"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18" t="n"/>
      <c r="D218" s="18"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18"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18"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18"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18"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18" t="n">
        <v>1</v>
      </c>
      <c r="J218" s="18"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18" t="n"/>
      <c r="L218" s="18" t="inlineStr">
        <is>
          <t>พ.ร.บ. วิชาชีพเภสัชกรรม 2537</t>
        </is>
      </c>
      <c r="M218" s="18" t="inlineStr">
        <is>
          <t>SAP</t>
        </is>
      </c>
      <c r="N218" s="18" t="inlineStr">
        <is>
          <t>ข้อ 17 (PLE_CC1_Practice_Exam.md)</t>
        </is>
      </c>
      <c r="O218" s="18" t="inlineStr">
        <is>
          <t>Mock</t>
        </is>
      </c>
      <c r="P218" s="18" t="inlineStr">
        <is>
          <t>Mock สภาเภสัชฯ Practice</t>
        </is>
      </c>
    </row>
    <row r="219">
      <c r="A219" s="18" t="n">
        <v>217</v>
      </c>
      <c r="B219" s="18" t="inlineStr">
        <is>
          <t>ข้อใดไม่อยู่ในคำประกาศสิทธิของผู้ป่วย 10 ข้อ</t>
        </is>
      </c>
      <c r="C219" s="18" t="n"/>
      <c r="D219" s="18" t="inlineStr">
        <is>
          <t>ผู้ป่วยสิทธิที่จะได้รับการปกปิดข้อมูลเกี่ยวกับตนเองจากผู้ประกอบวิชาชีพโดยเคร่งครัด</t>
        </is>
      </c>
      <c r="E219" s="18"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18" t="inlineStr">
        <is>
          <t>ผู้ป่วยมีสิทธิที่จะได้รับทราบชื่อ สกุล และประเภทของผู้ประกอบวิชาชีพที่เป็นผู้ให้บริการแก่ตน</t>
        </is>
      </c>
      <c r="G219" s="18" t="inlineStr">
        <is>
          <t>ผู้ป่วยมีสิทธิที่จะได้รับยารักษาโรคที่มีประสิทธิภาพดีที่สุด ที่ผู้ให้บริการสามารถจัดหาได้ในปัจจุบัน</t>
        </is>
      </c>
      <c r="H219" s="18"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18" t="n">
        <v>1</v>
      </c>
      <c r="J219" s="18"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(ผู้ป่วยมีสิทธิที่จะได้รับทราบชื่อ สกุล และประเภทของผู้ประกอบวิชาชีพที่เป็นผู้ให้บริการแก่ตน):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(ผู้ป่วยมีสิทธิที่จะได้รับยารักษาโรคที่มีประสิทธิภาพดีที่สุด ที่ผู้ให้บริการสามารถจัดหาได้ในปัจจุบัน):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18" t="n"/>
      <c r="L219" s="18" t="inlineStr">
        <is>
          <t>พ.ร.บ. ยา พ.ศ. 2510</t>
        </is>
      </c>
      <c r="M219" s="18" t="inlineStr">
        <is>
          <t>SAP</t>
        </is>
      </c>
      <c r="N219" s="18" t="inlineStr">
        <is>
          <t>ข้อ 24 (PLE_CC1_Practice_Exam.md)</t>
        </is>
      </c>
      <c r="O219" s="18" t="inlineStr">
        <is>
          <t>Mock</t>
        </is>
      </c>
      <c r="P219" s="18" t="inlineStr">
        <is>
          <t>Mock สภาเภสัชฯ Practice</t>
        </is>
      </c>
    </row>
    <row r="220">
      <c r="A220" s="18" t="n">
        <v>218</v>
      </c>
      <c r="B220" s="18"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18" t="n"/>
      <c r="D220" s="18" t="inlineStr">
        <is>
          <t>Cohort study</t>
        </is>
      </c>
      <c r="E220" s="18" t="inlineStr">
        <is>
          <t>Case control</t>
        </is>
      </c>
      <c r="F220" s="18" t="inlineStr">
        <is>
          <t>Non-inferiority trial</t>
        </is>
      </c>
      <c r="G220" s="18" t="inlineStr">
        <is>
          <t>Superiority trial</t>
        </is>
      </c>
      <c r="H220" s="18" t="inlineStr">
        <is>
          <t>ไม่มีข้อถูก</t>
        </is>
      </c>
      <c r="I220" s="18" t="n">
        <v>1</v>
      </c>
      <c r="J220" s="18"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พ.ร.บ. ยา พ.ศ. 2510 เนื่องจากกลไกการออกฤทธิ์, efficacy หรือข้อบ่งใช้ไม่ตรงกับโจทย์ที่กำหนด
• ข้อ ค. (Non-inferiority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ง. (Superiority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18" t="n"/>
      <c r="L220" s="18" t="inlineStr">
        <is>
          <t>พ.ร.บ. ยา พ.ศ. 2510</t>
        </is>
      </c>
      <c r="M220" s="18" t="inlineStr">
        <is>
          <t>SAP</t>
        </is>
      </c>
      <c r="N220" s="18" t="inlineStr">
        <is>
          <t>ข้อ 4 (PLE_CC1_Practice_Exam.md)</t>
        </is>
      </c>
      <c r="O220" s="18" t="inlineStr">
        <is>
          <t>Mock</t>
        </is>
      </c>
      <c r="P220" s="18" t="inlineStr">
        <is>
          <t>Mock สภาเภสัชฯ Practice</t>
        </is>
      </c>
    </row>
    <row r="221">
      <c r="A221" s="18" t="n">
        <v>219</v>
      </c>
      <c r="B221" s="18"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18" t="n"/>
      <c r="D221" s="18" t="inlineStr">
        <is>
          <t>Cross-sectional descriptive study</t>
        </is>
      </c>
      <c r="E221" s="18" t="inlineStr">
        <is>
          <t>Cross-sectional analytical study</t>
        </is>
      </c>
      <c r="F221" s="18" t="inlineStr">
        <is>
          <t>Prospective cohort study</t>
        </is>
      </c>
      <c r="G221" s="18" t="inlineStr">
        <is>
          <t>RCT (Crossover trial)</t>
        </is>
      </c>
      <c r="H221" s="18" t="inlineStr">
        <is>
          <t>RCT (Factorial design)</t>
        </is>
      </c>
      <c r="I221" s="18" t="n">
        <v>1</v>
      </c>
      <c r="J221" s="18"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พ.ร.บ. ยา พ.ศ. 2510 เนื่องจากกลไกการออกฤทธิ์, efficacy หรือข้อบ่งใช้ไม่ตรงกับโจทย์ที่กำหนด
• ข้อ ค. (Prospective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ง. (RCT (Crossover trial)): ข้อนี้ไม่ใช่คำตอบที่ถูกต้องสำหรับภาวะ พ.ร.บ. ยา พ.ศ. 2510 เนื่องจากกลไกการออกฤทธิ์, efficacy หรือข้อบ่งใช้ไม่ตรงกับโจทย์ที่กำหนด
• ข้อ จ. (RCT (Factorial design)):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18" t="n"/>
      <c r="L221" s="18" t="inlineStr">
        <is>
          <t>พ.ร.บ. ยา พ.ศ. 2510</t>
        </is>
      </c>
      <c r="M221" s="18" t="inlineStr">
        <is>
          <t>SAP</t>
        </is>
      </c>
      <c r="N221" s="18" t="inlineStr">
        <is>
          <t>ข้อ 5 (PLE_CC1_Practice_Exam.md)</t>
        </is>
      </c>
      <c r="O221" s="18" t="inlineStr">
        <is>
          <t>Mock</t>
        </is>
      </c>
      <c r="P221" s="18" t="inlineStr">
        <is>
          <t>Mock สภาเภสัชฯ Practice</t>
        </is>
      </c>
    </row>
    <row r="222">
      <c r="A222" s="18" t="n">
        <v>220</v>
      </c>
      <c r="B222" s="18" t="inlineStr">
        <is>
          <t>มียารักษาวัณโรคอยู่ 2 สูตร คือ สูตร A และ B จะสามารถทดสอบสัดส่วนประสิทธิภาพของสูตรยา โดยใช้สถิติใด</t>
        </is>
      </c>
      <c r="C222" s="18" t="n"/>
      <c r="D222" s="18" t="inlineStr">
        <is>
          <t>Correlation</t>
        </is>
      </c>
      <c r="E222" s="18" t="inlineStr">
        <is>
          <t>Chi-square test</t>
        </is>
      </c>
      <c r="F222" s="18" t="inlineStr">
        <is>
          <t>ANOVA</t>
        </is>
      </c>
      <c r="G222" s="18" t="inlineStr">
        <is>
          <t>Unpaired t-test</t>
        </is>
      </c>
      <c r="H222" s="18" t="inlineStr">
        <is>
          <t>Paired t-test</t>
        </is>
      </c>
      <c r="I222" s="18" t="n">
        <v>1</v>
      </c>
      <c r="J222" s="18"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ข้อนี้ไม่ใช่คำตอบที่ถูกต้องสำหรับภาวะ พ.ร.บ. ยา พ.ศ. 2510 เนื่องจากกลไกการออกฤทธิ์, efficacy หรือข้อบ่งใช้ไม่ตรงกับโจทย์ที่กำหนด
• ข้อ ค. (ANOVA): ข้อนี้ไม่ใช่คำตอบที่ถูกต้องสำหรับภาวะ พ.ร.บ. ยา พ.ศ. 2510 เนื่องจากกลไกการออกฤทธิ์, efficacy หรือข้อบ่งใช้ไม่ตรงกับโจทย์ที่กำหนด
• ข้อ ง. (Unpaired t-test): ข้อนี้ไม่ใช่คำตอบที่ถูกต้องสำหรับภาวะ พ.ร.บ. ยา พ.ศ. 2510 เนื่องจากกลไกการออกฤทธิ์, efficacy หรือข้อบ่งใช้ไม่ตรงกับโจทย์ที่กำหนด
• ข้อ จ. (Paired t-test):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18" t="n"/>
      <c r="L222" s="18" t="inlineStr">
        <is>
          <t>พ.ร.บ. ยา พ.ศ. 2510</t>
        </is>
      </c>
      <c r="M222" s="18" t="inlineStr">
        <is>
          <t>SAP</t>
        </is>
      </c>
      <c r="N222" s="18" t="inlineStr">
        <is>
          <t>ข้อ 19 (PLE_CC1_Practice_Exam.md)</t>
        </is>
      </c>
      <c r="O222" s="18" t="inlineStr">
        <is>
          <t>Mock</t>
        </is>
      </c>
      <c r="P222" s="18" t="inlineStr">
        <is>
          <t>Mock สภาเภสัชฯ Practice</t>
        </is>
      </c>
    </row>
    <row r="223">
      <c r="A223" s="18" t="n">
        <v>221</v>
      </c>
      <c r="B223" s="18"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18" t="n"/>
      <c r="D223" s="18" t="inlineStr">
        <is>
          <t>พ.ร.บ. วิชาชีพเภสัชกรรม พ.ศ. 2537 และข้อบังคับจรรยาบรรณวิชาชีพ</t>
        </is>
      </c>
      <c r="E223" s="18" t="inlineStr">
        <is>
          <t>พ.ร.บ. ผลิตภัณฑ์สมุนไพร พ.ศ. 2562</t>
        </is>
      </c>
      <c r="F223" s="18" t="inlineStr">
        <is>
          <t>พ.ร.บ. เครื่องสำอาง พ.ศ. 2558</t>
        </is>
      </c>
      <c r="G223" s="18" t="inlineStr">
        <is>
          <t>พ.ร.บ. หลักประกันสุขภาพแห่งชาติ พ.ศ. 2545</t>
        </is>
      </c>
      <c r="H223" s="18" t="inlineStr">
        <is>
          <t>การปฏิบัติทางเภสัชกรรมชุมชน (Good Pharmacy Practice: GPP)</t>
        </is>
      </c>
      <c r="I223" s="18" t="n">
        <v>1</v>
      </c>
      <c r="J223"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18" t="n"/>
      <c r="L223" s="18" t="inlineStr">
        <is>
          <t>พ.ร.บ. ยา พ.ศ. 2510</t>
        </is>
      </c>
      <c r="M223" s="18" t="inlineStr">
        <is>
          <t>SAP</t>
        </is>
      </c>
      <c r="N223" s="18" t="inlineStr">
        <is>
          <t>ข้อ 5 (PLE_CC1_Practice_Exam.md)</t>
        </is>
      </c>
      <c r="O223" s="18" t="inlineStr">
        <is>
          <t>Mock</t>
        </is>
      </c>
      <c r="P223" s="18" t="inlineStr">
        <is>
          <t>Mock สภาเภสัชฯ Practice</t>
        </is>
      </c>
    </row>
    <row r="224">
      <c r="A224" s="18" t="n">
        <v>222</v>
      </c>
      <c r="B224" s="18" t="inlineStr">
        <is>
          <t>Allopurinol แบบแผง 10 เม็ด จัดเป็นยาประเภทใดตามกฎหมาย</t>
        </is>
      </c>
      <c r="C224" s="18" t="n"/>
      <c r="D224" s="18" t="inlineStr">
        <is>
          <t>พ.ร.บ. หลักประกันสุขภาพแห่งชาติ พ.ศ. 2545</t>
        </is>
      </c>
      <c r="E224" s="18" t="inlineStr">
        <is>
          <t>การปฏิบัติทางเภสัชกรรมชุมชน (Good Pharmacy Practice: GPP)</t>
        </is>
      </c>
      <c r="F224" s="18" t="inlineStr">
        <is>
          <t>บัญชียาหลักแห่งชาติ (National List of Essential Medicines: NLEM)</t>
        </is>
      </c>
      <c r="G224" s="18" t="inlineStr">
        <is>
          <t>เกณฑ์จริยธรรมว่าด้วยการส่งเสริมการขายยาของกระทรวงสาธารณสุข</t>
        </is>
      </c>
      <c r="H224" s="18" t="inlineStr">
        <is>
          <t>พ.ร.บ. ยา พ.ศ. 2510 (การจำหน่ายยาอันตรายและยาควบคุมพิเศษ)</t>
        </is>
      </c>
      <c r="I224" s="18" t="n">
        <v>1</v>
      </c>
      <c r="J224"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18" t="n"/>
      <c r="L224" s="18" t="inlineStr">
        <is>
          <t>พ.ร.บ. ยา พ.ศ. 2510</t>
        </is>
      </c>
      <c r="M224" s="18" t="inlineStr">
        <is>
          <t>SAP</t>
        </is>
      </c>
      <c r="N224" s="18" t="inlineStr">
        <is>
          <t>ข้อ 8 (PLE_CC1_Key_Rx20_UBU.md)</t>
        </is>
      </c>
      <c r="O224" s="18" t="inlineStr">
        <is>
          <t>Mock</t>
        </is>
      </c>
      <c r="P224" s="18" t="inlineStr">
        <is>
          <t>Mock Rx20 UBU</t>
        </is>
      </c>
    </row>
    <row r="225">
      <c r="A225" s="18" t="n">
        <v>223</v>
      </c>
      <c r="B225" s="18" t="inlineStr">
        <is>
          <t>ยา Budesonide เป็นยาในข้อใดตามกฎหมาย</t>
        </is>
      </c>
      <c r="C225" s="18" t="n"/>
      <c r="D225" s="18" t="inlineStr">
        <is>
          <t>เกณฑ์จริยธรรมว่าด้วยการส่งเสริมการขายยาของกระทรวงสาธารณสุข</t>
        </is>
      </c>
      <c r="E225" s="18" t="inlineStr">
        <is>
          <t>พ.ร.บ. ยา พ.ศ. 2510 (การจำหน่ายยาอันตรายและยาควบคุมพิเศษ)</t>
        </is>
      </c>
      <c r="F225" s="18" t="inlineStr">
        <is>
          <t>พ.ร.บ. ยาเสพติดให้โทษ พ.ศ. 2522 (ยาเสพติดให้โทษประเภท 2 และ 3)</t>
        </is>
      </c>
      <c r="G225" s="18" t="inlineStr">
        <is>
          <t>พ.ร.บ. วัตถุที่ออกฤทธิ์ต่อจิตและประสาท พ.ศ. 2559 (ประเภท 2 และ 4)</t>
        </is>
      </c>
      <c r="H225" s="18" t="inlineStr">
        <is>
          <t>พ.ร.บ. วิชาชีพเภสัชกรรม พ.ศ. 2537 และข้อบังคับจรรยาบรรณวิชาชีพ</t>
        </is>
      </c>
      <c r="I225" s="18" t="n">
        <v>1</v>
      </c>
      <c r="J225"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18" t="n"/>
      <c r="L225" s="18" t="inlineStr">
        <is>
          <t>พ.ร.บ. ยา พ.ศ. 2510</t>
        </is>
      </c>
      <c r="M225" s="18" t="inlineStr">
        <is>
          <t>SAP</t>
        </is>
      </c>
      <c r="N225" s="18" t="inlineStr">
        <is>
          <t>ข้อ 13 (PLE_CC1_Key_Rx20_UBU.md)</t>
        </is>
      </c>
      <c r="O225" s="18" t="inlineStr">
        <is>
          <t>Mock</t>
        </is>
      </c>
      <c r="P225" s="18" t="inlineStr">
        <is>
          <t>Mock Rx20 UBU</t>
        </is>
      </c>
    </row>
    <row r="226">
      <c r="A226" s="18" t="n">
        <v>224</v>
      </c>
      <c r="B226" s="18" t="inlineStr">
        <is>
          <t>ยาสามัญประจำบ้าน Budesonide Steriod เดี่ยว ตามกฎหมายเป็นยาอันตราย สามารถขายได้ในร้านยา</t>
        </is>
      </c>
      <c r="C226" s="18" t="n"/>
      <c r="D226" s="18" t="inlineStr">
        <is>
          <t>พ.ร.บ. วัตถุที่ออกฤทธิ์ต่อจิตและประสาท พ.ศ. 2559 (ประเภท 2 และ 4)</t>
        </is>
      </c>
      <c r="E226" s="18" t="inlineStr">
        <is>
          <t>พ.ร.บ. วิชาชีพเภสัชกรรม พ.ศ. 2537 และข้อบังคับจรรยาบรรณวิชาชีพ</t>
        </is>
      </c>
      <c r="F226" s="18" t="inlineStr">
        <is>
          <t>พ.ร.บ. ผลิตภัณฑ์สมุนไพร พ.ศ. 2562</t>
        </is>
      </c>
      <c r="G226" s="18" t="inlineStr">
        <is>
          <t>พ.ร.บ. เครื่องสำอาง พ.ศ. 2558</t>
        </is>
      </c>
      <c r="H226" s="18" t="inlineStr">
        <is>
          <t>พ.ร.บ. หลักประกันสุขภาพแห่งชาติ พ.ศ. 2545</t>
        </is>
      </c>
      <c r="I226" s="18" t="n">
        <v>1</v>
      </c>
      <c r="J226"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18" t="n"/>
      <c r="L226" s="18" t="inlineStr">
        <is>
          <t>พ.ร.บ. ยา พ.ศ. 2510</t>
        </is>
      </c>
      <c r="M226" s="18" t="inlineStr">
        <is>
          <t>SAP</t>
        </is>
      </c>
      <c r="N226" s="18" t="inlineStr">
        <is>
          <t>ข้อ 5 (PLE_CC1_Key_Rx20_UBU.md)</t>
        </is>
      </c>
      <c r="O226" s="18" t="inlineStr">
        <is>
          <t>Mock</t>
        </is>
      </c>
      <c r="P226" s="18" t="inlineStr">
        <is>
          <t>Mock Rx20 UBU</t>
        </is>
      </c>
    </row>
    <row r="227">
      <c r="A227" s="18" t="n">
        <v>225</v>
      </c>
      <c r="B227" s="18" t="inlineStr">
        <is>
          <t>โฆษณาขายยานี้อินเตอร์เน็ตไม่ได้เพราะถือเป็นการกระทำที่ผิดกฎหมาย</t>
        </is>
      </c>
      <c r="C227" s="18" t="n"/>
      <c r="D227" s="18" t="inlineStr">
        <is>
          <t>พ.ร.บ. เครื่องสำอาง พ.ศ. 2558</t>
        </is>
      </c>
      <c r="E227" s="18" t="inlineStr">
        <is>
          <t>พ.ร.บ. หลักประกันสุขภาพแห่งชาติ พ.ศ. 2545</t>
        </is>
      </c>
      <c r="F227" s="18" t="inlineStr">
        <is>
          <t>การปฏิบัติทางเภสัชกรรมชุมชน (Good Pharmacy Practice: GPP)</t>
        </is>
      </c>
      <c r="G227" s="18" t="inlineStr">
        <is>
          <t>บัญชียาหลักแห่งชาติ (National List of Essential Medicines: NLEM)</t>
        </is>
      </c>
      <c r="H227" s="18" t="inlineStr">
        <is>
          <t>เกณฑ์จริยธรรมว่าด้วยการส่งเสริมการขายยาของกระทรวงสาธารณสุข</t>
        </is>
      </c>
      <c r="I227" s="18" t="n">
        <v>1</v>
      </c>
      <c r="J227"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18" t="n"/>
      <c r="L227" s="18" t="inlineStr">
        <is>
          <t>พ.ร.บ. ยา พ.ศ. 2510</t>
        </is>
      </c>
      <c r="M227" s="18" t="inlineStr">
        <is>
          <t>SAP</t>
        </is>
      </c>
      <c r="N227" s="18" t="inlineStr">
        <is>
          <t>ข้อ 4 (PLE_CC1_Key_Rx20_UBU.md)</t>
        </is>
      </c>
      <c r="O227" s="18" t="inlineStr">
        <is>
          <t>Mock</t>
        </is>
      </c>
      <c r="P227" s="18" t="inlineStr">
        <is>
          <t>Mock Rx20 UBU</t>
        </is>
      </c>
    </row>
    <row r="228">
      <c r="A228" s="18" t="n">
        <v>226</v>
      </c>
      <c r="B228" s="18" t="inlineStr">
        <is>
          <t>Glucosamine capsule 250 mg จัดเป็นยาประเภทใดตามกฎหมาย</t>
        </is>
      </c>
      <c r="C228" s="18" t="n"/>
      <c r="D228" s="18" t="inlineStr">
        <is>
          <t>บัญชียาหลักแห่งชาติ (National List of Essential Medicines: NLEM)</t>
        </is>
      </c>
      <c r="E228" s="18" t="inlineStr">
        <is>
          <t>เกณฑ์จริยธรรมว่าด้วยการส่งเสริมการขายยาของกระทรวงสาธารณสุข</t>
        </is>
      </c>
      <c r="F228" s="18" t="inlineStr">
        <is>
          <t>พ.ร.บ. ยา พ.ศ. 2510 (การจำหน่ายยาอันตรายและยาควบคุมพิเศษ)</t>
        </is>
      </c>
      <c r="G228" s="18" t="inlineStr">
        <is>
          <t>พ.ร.บ. ยาเสพติดให้โทษ พ.ศ. 2522 (ยาเสพติดให้โทษประเภท 2 และ 3)</t>
        </is>
      </c>
      <c r="H228" s="18" t="inlineStr">
        <is>
          <t>พ.ร.บ. วัตถุที่ออกฤทธิ์ต่อจิตและประสาท พ.ศ. 2559 (ประเภท 2 และ 4)</t>
        </is>
      </c>
      <c r="I228" s="18" t="n">
        <v>1</v>
      </c>
      <c r="J228"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18" t="n"/>
      <c r="L228" s="18" t="inlineStr">
        <is>
          <t>พ.ร.บ. ยา พ.ศ. 2510</t>
        </is>
      </c>
      <c r="M228" s="18" t="inlineStr">
        <is>
          <t>SAP</t>
        </is>
      </c>
      <c r="N228" s="18" t="inlineStr">
        <is>
          <t>ข้อ 58 (PLE_CC1_Key_Rx20_UBU.md)</t>
        </is>
      </c>
      <c r="O228" s="18" t="inlineStr">
        <is>
          <t>Mock</t>
        </is>
      </c>
      <c r="P228" s="18" t="inlineStr">
        <is>
          <t>Mock Rx20 UBU</t>
        </is>
      </c>
    </row>
    <row r="229">
      <c r="A229" s="18" t="n">
        <v>227</v>
      </c>
      <c r="B229" s="18"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18" t="n"/>
      <c r="D229" s="18" t="inlineStr">
        <is>
          <t>พ.ร.บ. ยาเสพติดให้โทษ พ.ศ. 2522 (ยาเสพติดให้โทษประเภท 2 และ 3)</t>
        </is>
      </c>
      <c r="E229" s="18" t="inlineStr">
        <is>
          <t>พ.ร.บ. วัตถุที่ออกฤทธิ์ต่อจิตและประสาท พ.ศ. 2559 (ประเภท 2 และ 4)</t>
        </is>
      </c>
      <c r="F229" s="18" t="inlineStr">
        <is>
          <t>พ.ร.บ. วิชาชีพเภสัชกรรม พ.ศ. 2537 และข้อบังคับจรรยาบรรณวิชาชีพ</t>
        </is>
      </c>
      <c r="G229" s="18" t="inlineStr">
        <is>
          <t>พ.ร.บ. ผลิตภัณฑ์สมุนไพร พ.ศ. 2562</t>
        </is>
      </c>
      <c r="H229" s="18" t="inlineStr">
        <is>
          <t>พ.ร.บ. เครื่องสำอาง พ.ศ. 2558</t>
        </is>
      </c>
      <c r="I229" s="18" t="n">
        <v>1</v>
      </c>
      <c r="J229"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18" t="n"/>
      <c r="L229" s="18" t="inlineStr">
        <is>
          <t>พ.ร.บ. ยา พ.ศ. 2510</t>
        </is>
      </c>
      <c r="M229" s="18" t="inlineStr">
        <is>
          <t>SAP</t>
        </is>
      </c>
      <c r="N229" s="18" t="inlineStr">
        <is>
          <t>ข้อ 10 (PLE_CC1_Key_Rx20_UBU.md)</t>
        </is>
      </c>
      <c r="O229" s="18" t="inlineStr">
        <is>
          <t>Mock</t>
        </is>
      </c>
      <c r="P229" s="18" t="inlineStr">
        <is>
          <t>Mock Rx20 UBU</t>
        </is>
      </c>
    </row>
    <row r="230">
      <c r="A230" s="18" t="n">
        <v>228</v>
      </c>
      <c r="B230" s="18" t="inlineStr">
        <is>
          <t>Triphasic hormonal contraceptives จัดเป็นยาประเภทใดตามกฎหมาย</t>
        </is>
      </c>
      <c r="C230" s="18" t="n"/>
      <c r="D230" s="18" t="inlineStr">
        <is>
          <t>ยาอันตราย</t>
        </is>
      </c>
      <c r="E230" s="18" t="inlineStr">
        <is>
          <t>ยาที่ไม่ใช่ยาอันตราย</t>
        </is>
      </c>
      <c r="F230" s="18"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18" t="inlineStr">
        <is>
          <t>การปฏิบัติทางเภสัชกรรมชุมชน (Good Pharmacy Practice: GPP)</t>
        </is>
      </c>
      <c r="H230" s="18" t="inlineStr">
        <is>
          <t>บัญชียาหลักแห่งชาติ (National List of Essential Medicines: NLEM)</t>
        </is>
      </c>
      <c r="I230" s="18" t="n">
        <v>1</v>
      </c>
      <c r="J230" s="1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18" t="n"/>
      <c r="L230" s="18" t="inlineStr">
        <is>
          <t>พ.ร.บ. ยา พ.ศ. 2510</t>
        </is>
      </c>
      <c r="M230" s="18" t="inlineStr">
        <is>
          <t>SAP</t>
        </is>
      </c>
      <c r="N230" s="18" t="inlineStr">
        <is>
          <t>ข้อ 6 (PLE_CC1_Key_Rx20_UBU.md)</t>
        </is>
      </c>
      <c r="O230" s="18" t="inlineStr">
        <is>
          <t>Mock</t>
        </is>
      </c>
      <c r="P230" s="18" t="inlineStr">
        <is>
          <t>Mock Rx20 UBU</t>
        </is>
      </c>
    </row>
    <row r="231">
      <c r="A231" s="18" t="n">
        <v>229</v>
      </c>
      <c r="B231" s="18" t="inlineStr">
        <is>
          <t>Cost Efficacy = ประสิทธิภาพ Efficiency = อย่างมีประสิทธิภาพ Effectiveness = ประสิทธิผล</t>
        </is>
      </c>
      <c r="C231" s="18" t="n"/>
      <c r="D231" s="18" t="inlineStr">
        <is>
          <t>การปฏิบัติทางเภสัชกรรมชุมชน (Good Pharmacy Practice: GPP)</t>
        </is>
      </c>
      <c r="E231" s="18" t="inlineStr">
        <is>
          <t>บัญชียาหลักแห่งชาติ (National List of Essential Medicines: NLEM)</t>
        </is>
      </c>
      <c r="F231" s="18" t="inlineStr">
        <is>
          <t>เกณฑ์จริยธรรมว่าด้วยการส่งเสริมการขายยาของกระทรวงสาธารณสุข</t>
        </is>
      </c>
      <c r="G231" s="18" t="inlineStr">
        <is>
          <t>พ.ร.บ. ยา พ.ศ. 2510 (การจำหน่ายยาอันตรายและยาควบคุมพิเศษ)</t>
        </is>
      </c>
      <c r="H231" s="18" t="inlineStr">
        <is>
          <t>พ.ร.บ. ยาเสพติดให้โทษ พ.ศ. 2522 (ยาเสพติดให้โทษประเภท 2 และ 3)</t>
        </is>
      </c>
      <c r="I231" s="18" t="n">
        <v>5</v>
      </c>
      <c r="J231" s="18"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18" t="n"/>
      <c r="L231" s="18" t="inlineStr">
        <is>
          <t>พ.ร.บ. ยา พ.ศ. 2510</t>
        </is>
      </c>
      <c r="M231" s="18" t="inlineStr">
        <is>
          <t>SAP</t>
        </is>
      </c>
      <c r="N231" s="18" t="inlineStr">
        <is>
          <t>ข้อ 4 (PLE_CC1_Key_Rx20_UBU.md)</t>
        </is>
      </c>
      <c r="O231" s="18" t="inlineStr">
        <is>
          <t>Mock</t>
        </is>
      </c>
      <c r="P231" s="18" t="inlineStr">
        <is>
          <t>Mock Rx20 UBU</t>
        </is>
      </c>
    </row>
    <row r="232">
      <c r="A232" s="18" t="n">
        <v>230</v>
      </c>
      <c r="B232" s="18"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18" t="n"/>
      <c r="D232" s="18" t="inlineStr">
        <is>
          <t>พ.ร.บ. ยา พ.ศ. 2510 (การจำหน่ายยาอันตรายและยาควบคุมพิเศษ)</t>
        </is>
      </c>
      <c r="E232" s="18" t="inlineStr">
        <is>
          <t>พ.ร.บ. ยาเสพติดให้โทษ พ.ศ. 2522 (ยาเสพติดให้โทษประเภท 2 และ 3)</t>
        </is>
      </c>
      <c r="F232" s="18" t="inlineStr">
        <is>
          <t>พ.ร.บ. วัตถุที่ออกฤทธิ์ต่อจิตและประสาท พ.ศ. 2559 (ประเภท 2 และ 4)</t>
        </is>
      </c>
      <c r="G232" s="18" t="inlineStr">
        <is>
          <t>พ.ร.บ. วิชาชีพเภสัชกรรม พ.ศ. 2537 และข้อบังคับจรรยาบรรณวิชาชีพ</t>
        </is>
      </c>
      <c r="H232" s="18" t="inlineStr">
        <is>
          <t>พ.ร.บ. ผลิตภัณฑ์สมุนไพร พ.ศ. 2562</t>
        </is>
      </c>
      <c r="I232" s="18" t="n">
        <v>1</v>
      </c>
      <c r="J232"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18" t="n"/>
      <c r="L232" s="18" t="inlineStr">
        <is>
          <t>พ.ร.บ. ยา พ.ศ. 2510</t>
        </is>
      </c>
      <c r="M232" s="18" t="inlineStr">
        <is>
          <t>SAP</t>
        </is>
      </c>
      <c r="N232" s="18" t="inlineStr">
        <is>
          <t>ข้อ 10 (PLE_CC1_Key_Rx20_UBU.md)</t>
        </is>
      </c>
      <c r="O232" s="18" t="inlineStr">
        <is>
          <t>Mock</t>
        </is>
      </c>
      <c r="P232" s="18" t="inlineStr">
        <is>
          <t>Mock Rx20 UBU</t>
        </is>
      </c>
    </row>
    <row r="233">
      <c r="A233" s="18" t="n">
        <v>231</v>
      </c>
      <c r="B233" s="18"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18" t="n"/>
      <c r="D233" s="18" t="inlineStr">
        <is>
          <t>พ.ร.บ. วิชาชีพเภสัชกรรม พ.ศ. 2537 และข้อบังคับจรรยาบรรณวิชาชีพ</t>
        </is>
      </c>
      <c r="E233" s="18" t="inlineStr">
        <is>
          <t>พ.ร.บ. ผลิตภัณฑ์สมุนไพร พ.ศ. 2562</t>
        </is>
      </c>
      <c r="F233" s="18" t="inlineStr">
        <is>
          <t>พ.ร.บ. เครื่องสำอาง พ.ศ. 2558</t>
        </is>
      </c>
      <c r="G233" s="18" t="inlineStr">
        <is>
          <t>พ.ร.บ. หลักประกันสุขภาพแห่งชาติ พ.ศ. 2545</t>
        </is>
      </c>
      <c r="H233" s="18" t="inlineStr">
        <is>
          <t>การปฏิบัติทางเภสัชกรรมชุมชน (Good Pharmacy Practice: GPP)</t>
        </is>
      </c>
      <c r="I233" s="18" t="n">
        <v>5</v>
      </c>
      <c r="J233" s="18"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18" t="n"/>
      <c r="L233" s="18" t="inlineStr">
        <is>
          <t>พ.ร.บ. ยา พ.ศ. 2510</t>
        </is>
      </c>
      <c r="M233" s="18" t="inlineStr">
        <is>
          <t>SAP</t>
        </is>
      </c>
      <c r="N233" s="18" t="inlineStr">
        <is>
          <t>ข้อ 5 (PLE_CC1_Key_Rx20_UBU.md)</t>
        </is>
      </c>
      <c r="O233" s="18" t="inlineStr">
        <is>
          <t>Mock</t>
        </is>
      </c>
      <c r="P233" s="18" t="inlineStr">
        <is>
          <t>Mock Rx20 UBU</t>
        </is>
      </c>
    </row>
    <row r="234">
      <c r="A234" s="18" t="n">
        <v>232</v>
      </c>
      <c r="B234" s="18"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18" t="n"/>
      <c r="D234" s="18" t="inlineStr">
        <is>
          <t>พ.ร.บ. หลักประกันสุขภาพแห่งชาติ พ.ศ. 2545</t>
        </is>
      </c>
      <c r="E234" s="18" t="inlineStr">
        <is>
          <t>การปฏิบัติทางเภสัชกรรมชุมชน (Good Pharmacy Practice: GPP)</t>
        </is>
      </c>
      <c r="F234" s="18" t="inlineStr">
        <is>
          <t>บัญชียาหลักแห่งชาติ (National List of Essential Medicines: NLEM)</t>
        </is>
      </c>
      <c r="G234" s="18" t="inlineStr">
        <is>
          <t>เกณฑ์จริยธรรมว่าด้วยการส่งเสริมการขายยาของกระทรวงสาธารณสุข</t>
        </is>
      </c>
      <c r="H234" s="18" t="inlineStr">
        <is>
          <t>พ.ร.บ. ยา พ.ศ. 2510 (การจำหน่ายยาอันตรายและยาควบคุมพิเศษ)</t>
        </is>
      </c>
      <c r="I234" s="18" t="n">
        <v>4</v>
      </c>
      <c r="J234" s="18"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18" t="n"/>
      <c r="L234" s="18" t="inlineStr">
        <is>
          <t>พ.ร.บ. ยาเสพติดให้โทษ &amp; วัตถุออกฤทธิ์</t>
        </is>
      </c>
      <c r="M234" s="18" t="inlineStr">
        <is>
          <t>SAP</t>
        </is>
      </c>
      <c r="N234" s="18" t="inlineStr">
        <is>
          <t>ข้อ 5 (PLE_CC1_Key_Rx20_UBU.md)</t>
        </is>
      </c>
      <c r="O234" s="18" t="inlineStr">
        <is>
          <t>Mock</t>
        </is>
      </c>
      <c r="P234" s="18" t="inlineStr">
        <is>
          <t>Mock Rx20 UBU</t>
        </is>
      </c>
    </row>
    <row r="235">
      <c r="A235" s="18" t="n">
        <v>233</v>
      </c>
      <c r="B235" s="18"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18" t="n"/>
      <c r="D235" s="18" t="inlineStr">
        <is>
          <t>อาหารในข้อใดต่อไปนี้ที่เหมาะสมในผู้ป่วยรายนี้</t>
        </is>
      </c>
      <c r="E235" s="18" t="inlineStr">
        <is>
          <t>พ.ร.บ. ยา พ.ศ. 2510 (การจำหน่ายยาอันตรายและยาควบคุมพิเศษ)</t>
        </is>
      </c>
      <c r="F235" s="18" t="inlineStr">
        <is>
          <t>พ.ร.บ. ยาเสพติดให้โทษ พ.ศ. 2522 (ยาเสพติดให้โทษประเภท 2 และ 3)</t>
        </is>
      </c>
      <c r="G235" s="18" t="inlineStr">
        <is>
          <t>พ.ร.บ. วัตถุที่ออกฤทธิ์ต่อจิตและประสาท พ.ศ. 2559 (ประเภท 2 และ 4)</t>
        </is>
      </c>
      <c r="H235" s="18" t="inlineStr">
        <is>
          <t>พ.ร.บ. วิชาชีพเภสัชกรรม พ.ศ. 2537 และข้อบังคับจรรยาบรรณวิชาชีพ</t>
        </is>
      </c>
      <c r="I235" s="18" t="n">
        <v>4</v>
      </c>
      <c r="J235" s="18"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18" t="n"/>
      <c r="L235" s="18" t="inlineStr">
        <is>
          <t>พ.ร.บ. ยา พ.ศ. 2510</t>
        </is>
      </c>
      <c r="M235" s="18" t="inlineStr">
        <is>
          <t>SAP</t>
        </is>
      </c>
      <c r="N235" s="18" t="inlineStr">
        <is>
          <t>ข้อ 5 (PLE_CC1_Key_Rx20_UBU.md)</t>
        </is>
      </c>
      <c r="O235" s="18" t="inlineStr">
        <is>
          <t>Mock</t>
        </is>
      </c>
      <c r="P235" s="18" t="inlineStr">
        <is>
          <t>Mock Rx20 UBU</t>
        </is>
      </c>
    </row>
    <row r="236">
      <c r="A236" s="18" t="n">
        <v>234</v>
      </c>
      <c r="B236" s="18" t="inlineStr">
        <is>
          <t>ฝ่าฝืน เพราะถือเป็นการโฆษณาที่กล่าวถึงโรคที่ห้ามโฆษณาตาม พรบ. ยา</t>
        </is>
      </c>
      <c r="C236" s="18" t="n"/>
      <c r="D236" s="18" t="inlineStr">
        <is>
          <t>พ.ร.บ. วัตถุที่ออกฤทธิ์ต่อจิตและประสาท พ.ศ. 2559 (ประเภท 2 และ 4)</t>
        </is>
      </c>
      <c r="E236" s="18" t="inlineStr">
        <is>
          <t>พ.ร.บ. วิชาชีพเภสัชกรรม พ.ศ. 2537 และข้อบังคับจรรยาบรรณวิชาชีพ</t>
        </is>
      </c>
      <c r="F236" s="18" t="inlineStr">
        <is>
          <t>พ.ร.บ. ผลิตภัณฑ์สมุนไพร พ.ศ. 2562</t>
        </is>
      </c>
      <c r="G236" s="18" t="inlineStr">
        <is>
          <t>พ.ร.บ. เครื่องสำอาง พ.ศ. 2558</t>
        </is>
      </c>
      <c r="H236" s="18" t="inlineStr">
        <is>
          <t>พ.ร.บ. หลักประกันสุขภาพแห่งชาติ พ.ศ. 2545</t>
        </is>
      </c>
      <c r="I236" s="18" t="n">
        <v>1</v>
      </c>
      <c r="J236"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18" t="n"/>
      <c r="L236" s="18" t="inlineStr">
        <is>
          <t>พ.ร.บ. ยา พ.ศ. 2510</t>
        </is>
      </c>
      <c r="M236" s="18" t="inlineStr">
        <is>
          <t>SAP</t>
        </is>
      </c>
      <c r="N236" s="18" t="inlineStr">
        <is>
          <t>ข้อ 2 (PLE_CC1_Key_Rx20_UBU.md)</t>
        </is>
      </c>
      <c r="O236" s="18" t="inlineStr">
        <is>
          <t>Mock</t>
        </is>
      </c>
      <c r="P236" s="18" t="inlineStr">
        <is>
          <t>Mock Rx20 UBU</t>
        </is>
      </c>
    </row>
    <row r="237">
      <c r="A237" s="18" t="n">
        <v>235</v>
      </c>
      <c r="B237" s="18" t="inlineStr">
        <is>
          <t>Sodamint 1000 เม็ด จัดเป็นยาประเภทใดตามกฎหมาย</t>
        </is>
      </c>
      <c r="C237" s="18" t="n"/>
      <c r="D237" s="18" t="inlineStr">
        <is>
          <t>พ.ร.บ. เครื่องสำอาง พ.ศ. 2558</t>
        </is>
      </c>
      <c r="E237" s="18" t="inlineStr">
        <is>
          <t>พ.ร.บ. หลักประกันสุขภาพแห่งชาติ พ.ศ. 2545</t>
        </is>
      </c>
      <c r="F237" s="18" t="inlineStr">
        <is>
          <t>การปฏิบัติทางเภสัชกรรมชุมชน (Good Pharmacy Practice: GPP)</t>
        </is>
      </c>
      <c r="G237" s="18" t="inlineStr">
        <is>
          <t>บัญชียาหลักแห่งชาติ (National List of Essential Medicines: NLEM)</t>
        </is>
      </c>
      <c r="H237" s="18" t="inlineStr">
        <is>
          <t>เกณฑ์จริยธรรมว่าด้วยการส่งเสริมการขายยาของกระทรวงสาธารณสุข</t>
        </is>
      </c>
      <c r="I237" s="18" t="n">
        <v>1</v>
      </c>
      <c r="J237"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18" t="n"/>
      <c r="L237" s="18" t="inlineStr">
        <is>
          <t>พ.ร.บ. ยา พ.ศ. 2510</t>
        </is>
      </c>
      <c r="M237" s="18" t="inlineStr">
        <is>
          <t>SAP</t>
        </is>
      </c>
      <c r="N237" s="18" t="inlineStr">
        <is>
          <t>ข้อ 9 (PLE_CC1_Key_Rx20_UBU.md)</t>
        </is>
      </c>
      <c r="O237" s="18" t="inlineStr">
        <is>
          <t>Mock</t>
        </is>
      </c>
      <c r="P237" s="18" t="inlineStr">
        <is>
          <t>Mock Rx20 UBU</t>
        </is>
      </c>
    </row>
    <row r="238">
      <c r="A238" s="18" t="n">
        <v>236</v>
      </c>
      <c r="B238" s="18"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18" t="n"/>
      <c r="D238" s="18" t="inlineStr">
        <is>
          <t>บัญชียาหลักแห่งชาติ (National List of Essential Medicines: NLEM)</t>
        </is>
      </c>
      <c r="E238" s="18" t="inlineStr">
        <is>
          <t>เกณฑ์จริยธรรมว่าด้วยการส่งเสริมการขายยาของกระทรวงสาธารณสุข</t>
        </is>
      </c>
      <c r="F238" s="18" t="inlineStr">
        <is>
          <t>พ.ร.บ. ยา พ.ศ. 2510 (การจำหน่ายยาอันตรายและยาควบคุมพิเศษ)</t>
        </is>
      </c>
      <c r="G238" s="18" t="inlineStr">
        <is>
          <t>พ.ร.บ. ยาเสพติดให้โทษ พ.ศ. 2522 (ยาเสพติดให้โทษประเภท 2 และ 3)</t>
        </is>
      </c>
      <c r="H238" s="18" t="inlineStr">
        <is>
          <t>พ.ร.บ. วัตถุที่ออกฤทธิ์ต่อจิตและประสาท พ.ศ. 2559 (ประเภท 2 และ 4)</t>
        </is>
      </c>
      <c r="I238" s="18" t="n">
        <v>1</v>
      </c>
      <c r="J238"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18" t="n"/>
      <c r="L238" s="18" t="inlineStr">
        <is>
          <t>พ.ร.บ. ยา พ.ศ. 2510</t>
        </is>
      </c>
      <c r="M238" s="18" t="inlineStr">
        <is>
          <t>SAP</t>
        </is>
      </c>
      <c r="N238" s="18" t="inlineStr">
        <is>
          <t>ข้อ 5 (PLE_CC1_Key_Rx20_UBU.md)</t>
        </is>
      </c>
      <c r="O238" s="18" t="inlineStr">
        <is>
          <t>Mock</t>
        </is>
      </c>
      <c r="P238" s="18" t="inlineStr">
        <is>
          <t>Mock Rx20 UBU</t>
        </is>
      </c>
    </row>
    <row r="239">
      <c r="A239" s="18" t="n">
        <v>237</v>
      </c>
      <c r="B239" s="18"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18" t="n"/>
      <c r="D239" s="18" t="inlineStr">
        <is>
          <t>หากผู้ป่วยเริ่มใช้ยาไปแล้ว 2 สัปดาห์ (สูตร IRZE) เกิดอาการผื่นแดง ลอก ทั่วร่างกาย มีไข้ ควรจะจัดการอย่างไร</t>
        </is>
      </c>
      <c r="E239" s="18" t="inlineStr">
        <is>
          <t>พ.ร.บ. วัตถุที่ออกฤทธิ์ต่อจิตและประสาท พ.ศ. 2559 (ประเภท 2 และ 4)</t>
        </is>
      </c>
      <c r="F239" s="18" t="inlineStr">
        <is>
          <t>พ.ร.บ. วิชาชีพเภสัชกรรม พ.ศ. 2537 และข้อบังคับจรรยาบรรณวิชาชีพ</t>
        </is>
      </c>
      <c r="G239" s="18" t="inlineStr">
        <is>
          <t>พ.ร.บ. ผลิตภัณฑ์สมุนไพร พ.ศ. 2562</t>
        </is>
      </c>
      <c r="H239" s="18" t="inlineStr">
        <is>
          <t>พ.ร.บ. เครื่องสำอาง พ.ศ. 2558</t>
        </is>
      </c>
      <c r="I239" s="18" t="n">
        <v>1</v>
      </c>
      <c r="J239" s="18"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18" t="n"/>
      <c r="L239" s="18" t="inlineStr">
        <is>
          <t>พ.ร.บ. ยา พ.ศ. 2510</t>
        </is>
      </c>
      <c r="M239" s="18" t="inlineStr">
        <is>
          <t>SAP</t>
        </is>
      </c>
      <c r="N239" s="18" t="inlineStr">
        <is>
          <t>ข้อ 5 (PLE_CC1_Key_Rx20_UBU.md)</t>
        </is>
      </c>
      <c r="O239" s="18" t="inlineStr">
        <is>
          <t>Mock</t>
        </is>
      </c>
      <c r="P239" s="18" t="inlineStr">
        <is>
          <t>Mock Rx20 UBU</t>
        </is>
      </c>
    </row>
    <row r="240">
      <c r="A240" s="18" t="n">
        <v>238</v>
      </c>
      <c r="B240" s="18" t="inlineStr">
        <is>
          <t>ยาหยอดตา Sulfacetamide eye drops 10% แต่เมื่อนำไปตรวจสอบ พบว่ามีตัวยาเพียง 5% ยาดังกล่าวจัดเป็นยาใดตามกฎหมาย</t>
        </is>
      </c>
      <c r="C240" s="18" t="n"/>
      <c r="D240" s="18" t="inlineStr">
        <is>
          <t>ยาปลอม</t>
        </is>
      </c>
      <c r="E240" s="18" t="inlineStr">
        <is>
          <t>ยาไม่ได้มาตรฐาน</t>
        </is>
      </c>
      <c r="F240" s="18" t="inlineStr">
        <is>
          <t>ยาผิดมาตรฐาน</t>
        </is>
      </c>
      <c r="G240" s="18" t="inlineStr">
        <is>
          <t>ยาเสื่อมคุณภาพ</t>
        </is>
      </c>
      <c r="H240" s="18"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18" t="n">
        <v>1</v>
      </c>
      <c r="J240" s="1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18" t="n"/>
      <c r="L240" s="18" t="inlineStr">
        <is>
          <t>พ.ร.บ. ยา พ.ศ. 2510</t>
        </is>
      </c>
      <c r="M240" s="18" t="inlineStr">
        <is>
          <t>SAP</t>
        </is>
      </c>
      <c r="N240" s="18" t="inlineStr">
        <is>
          <t>ข้อ 8 (PLE_CC1_Key_Rx20_UBU.md)</t>
        </is>
      </c>
      <c r="O240" s="18" t="inlineStr">
        <is>
          <t>Mock</t>
        </is>
      </c>
      <c r="P240" s="18" t="inlineStr">
        <is>
          <t>Mock Rx20 UBU</t>
        </is>
      </c>
    </row>
    <row r="241">
      <c r="A241" s="18" t="n">
        <v>239</v>
      </c>
      <c r="B241" s="18"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18" t="n"/>
      <c r="D241" s="18" t="inlineStr">
        <is>
          <t>การปฏิบัติทางเภสัชกรรมชุมชน (Good Pharmacy Practice: GPP)</t>
        </is>
      </c>
      <c r="E241" s="18" t="inlineStr">
        <is>
          <t>บัญชียาหลักแห่งชาติ (National List of Essential Medicines: NLEM)</t>
        </is>
      </c>
      <c r="F241" s="18" t="inlineStr">
        <is>
          <t>เกณฑ์จริยธรรมว่าด้วยการส่งเสริมการขายยาของกระทรวงสาธารณสุข</t>
        </is>
      </c>
      <c r="G241" s="18" t="inlineStr">
        <is>
          <t>พ.ร.บ. ยา พ.ศ. 2510 (การจำหน่ายยาอันตรายและยาควบคุมพิเศษ)</t>
        </is>
      </c>
      <c r="H241" s="18" t="inlineStr">
        <is>
          <t>พ.ร.บ. ยาเสพติดให้โทษ พ.ศ. 2522 (ยาเสพติดให้โทษประเภท 2 และ 3)</t>
        </is>
      </c>
      <c r="I241" s="18" t="n">
        <v>1</v>
      </c>
      <c r="J241"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18" t="n"/>
      <c r="L241" s="18" t="inlineStr">
        <is>
          <t>พ.ร.บ. ยา พ.ศ. 2510</t>
        </is>
      </c>
      <c r="M241" s="18" t="inlineStr">
        <is>
          <t>SAP</t>
        </is>
      </c>
      <c r="N241" s="18" t="inlineStr">
        <is>
          <t>ข้อ 29 (PLE_CC1_Key_Rx20_UBU.md)</t>
        </is>
      </c>
      <c r="O241" s="18" t="inlineStr">
        <is>
          <t>Mock</t>
        </is>
      </c>
      <c r="P241" s="18" t="inlineStr">
        <is>
          <t>Mock Rx20 UBU</t>
        </is>
      </c>
    </row>
    <row r="242">
      <c r="A242" s="18" t="n">
        <v>240</v>
      </c>
      <c r="B242" s="18" t="inlineStr">
        <is>
          <t>องค์กรใดในประเทศไทยที่ทำหน้าที่ควบคุมค่าใช้จ่ายด้านยาของผู้ใช้สิทธิบัตรทองในหลักประกันสุขภาพแห่งชา ติ</t>
        </is>
      </c>
      <c r="C242" s="18" t="n"/>
      <c r="D242" s="18" t="inlineStr">
        <is>
          <t>พ.ร.บ. ยา พ.ศ. 2510 (การจำหน่ายยาอันตรายและยาควบคุมพิเศษ)</t>
        </is>
      </c>
      <c r="E242" s="18" t="inlineStr">
        <is>
          <t>พ.ร.บ. ยาเสพติดให้โทษ พ.ศ. 2522 (ยาเสพติดให้โทษประเภท 2 และ 3)</t>
        </is>
      </c>
      <c r="F242" s="18" t="inlineStr">
        <is>
          <t>พ.ร.บ. วัตถุที่ออกฤทธิ์ต่อจิตและประสาท พ.ศ. 2559 (ประเภท 2 และ 4)</t>
        </is>
      </c>
      <c r="G242" s="18" t="inlineStr">
        <is>
          <t>พ.ร.บ. วิชาชีพเภสัชกรรม พ.ศ. 2537 และข้อบังคับจรรยาบรรณวิชาชีพ</t>
        </is>
      </c>
      <c r="H242" s="18" t="inlineStr">
        <is>
          <t>พ.ร.บ. ผลิตภัณฑ์สมุนไพร พ.ศ. 2562</t>
        </is>
      </c>
      <c r="I242" s="18" t="n">
        <v>1</v>
      </c>
      <c r="J242"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18" t="n"/>
      <c r="L242" s="18" t="inlineStr">
        <is>
          <t>พ.ร.บ. ยา พ.ศ. 2510</t>
        </is>
      </c>
      <c r="M242" s="18" t="inlineStr">
        <is>
          <t>SAP</t>
        </is>
      </c>
      <c r="N242" s="18" t="inlineStr">
        <is>
          <t>ข้อ 37 (PLE_CC1_Key_Rx20_UBU.md)</t>
        </is>
      </c>
      <c r="O242" s="18" t="inlineStr">
        <is>
          <t>Mock</t>
        </is>
      </c>
      <c r="P242" s="18" t="inlineStr">
        <is>
          <t>Mock Rx20 UBU</t>
        </is>
      </c>
    </row>
    <row r="243">
      <c r="A243" s="18" t="n">
        <v>241</v>
      </c>
      <c r="B243" s="18" t="inlineStr">
        <is>
          <t>สำนักงานประกันสังคม (สปส.)</t>
        </is>
      </c>
      <c r="C243" s="18" t="n"/>
      <c r="D243" s="18" t="inlineStr">
        <is>
          <t>พ.ร.บ. วิชาชีพเภสัชกรรม พ.ศ. 2537 และข้อบังคับจรรยาบรรณวิชาชีพ</t>
        </is>
      </c>
      <c r="E243" s="18" t="inlineStr">
        <is>
          <t>พ.ร.บ. ผลิตภัณฑ์สมุนไพร พ.ศ. 2562</t>
        </is>
      </c>
      <c r="F243" s="18" t="inlineStr">
        <is>
          <t>พ.ร.บ. เครื่องสำอาง พ.ศ. 2558</t>
        </is>
      </c>
      <c r="G243" s="18" t="inlineStr">
        <is>
          <t>พ.ร.บ. หลักประกันสุขภาพแห่งชาติ พ.ศ. 2545</t>
        </is>
      </c>
      <c r="H243" s="18" t="inlineStr">
        <is>
          <t>การปฏิบัติทางเภสัชกรรมชุมชน (Good Pharmacy Practice: GPP)</t>
        </is>
      </c>
      <c r="I243" s="18" t="n">
        <v>1</v>
      </c>
      <c r="J243"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18" t="n"/>
      <c r="L243" s="18" t="inlineStr">
        <is>
          <t>พ.ร.บ. ยา พ.ศ. 2510</t>
        </is>
      </c>
      <c r="M243" s="18" t="inlineStr">
        <is>
          <t>SAP</t>
        </is>
      </c>
      <c r="N243" s="18" t="inlineStr">
        <is>
          <t>ข้อ 2 (PLE_CC1_Key_Rx20_UBU.md)</t>
        </is>
      </c>
      <c r="O243" s="18" t="inlineStr">
        <is>
          <t>Mock</t>
        </is>
      </c>
      <c r="P243" s="18" t="inlineStr">
        <is>
          <t>Mock Rx20 UBU</t>
        </is>
      </c>
    </row>
    <row r="244">
      <c r="A244" s="18" t="n">
        <v>242</v>
      </c>
      <c r="B244" s="18" t="inlineStr">
        <is>
          <t>สำนักงานหลักประกันสุขภาพแห่งชาติ (สปสช.)</t>
        </is>
      </c>
      <c r="C244" s="18" t="n"/>
      <c r="D244" s="18" t="inlineStr">
        <is>
          <t>พ.ร.บ. หลักประกันสุขภาพแห่งชาติ พ.ศ. 2545</t>
        </is>
      </c>
      <c r="E244" s="18" t="inlineStr">
        <is>
          <t>การปฏิบัติทางเภสัชกรรมชุมชน (Good Pharmacy Practice: GPP)</t>
        </is>
      </c>
      <c r="F244" s="18" t="inlineStr">
        <is>
          <t>บัญชียาหลักแห่งชาติ (National List of Essential Medicines: NLEM)</t>
        </is>
      </c>
      <c r="G244" s="18" t="inlineStr">
        <is>
          <t>เกณฑ์จริยธรรมว่าด้วยการส่งเสริมการขายยาของกระทรวงสาธารณสุข</t>
        </is>
      </c>
      <c r="H244" s="18" t="inlineStr">
        <is>
          <t>พ.ร.บ. ยา พ.ศ. 2510 (การจำหน่ายยาอันตรายและยาควบคุมพิเศษ)</t>
        </is>
      </c>
      <c r="I244" s="18" t="n">
        <v>1</v>
      </c>
      <c r="J244"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18" t="n"/>
      <c r="L244" s="18" t="inlineStr">
        <is>
          <t>พ.ร.บ. ยา พ.ศ. 2510</t>
        </is>
      </c>
      <c r="M244" s="18" t="inlineStr">
        <is>
          <t>SAP</t>
        </is>
      </c>
      <c r="N244" s="18" t="inlineStr">
        <is>
          <t>ข้อ 3 (PLE_CC1_Key_Rx20_UBU.md)</t>
        </is>
      </c>
      <c r="O244" s="18" t="inlineStr">
        <is>
          <t>Mock</t>
        </is>
      </c>
      <c r="P244" s="18" t="inlineStr">
        <is>
          <t>Mock Rx20 UBU</t>
        </is>
      </c>
    </row>
    <row r="245">
      <c r="A245" s="18" t="n">
        <v>243</v>
      </c>
      <c r="B245" s="18"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18" t="n"/>
      <c r="D245" s="18" t="inlineStr">
        <is>
          <t>เกณฑ์จริยธรรมว่าด้วยการส่งเสริมการขายยาของกระทรวงสาธารณสุข</t>
        </is>
      </c>
      <c r="E245" s="18" t="inlineStr">
        <is>
          <t>พ.ร.บ. ยา พ.ศ. 2510 (การจำหน่ายยาอันตรายและยาควบคุมพิเศษ)</t>
        </is>
      </c>
      <c r="F245" s="18" t="inlineStr">
        <is>
          <t>พ.ร.บ. ยาเสพติดให้โทษ พ.ศ. 2522 (ยาเสพติดให้โทษประเภท 2 และ 3)</t>
        </is>
      </c>
      <c r="G245" s="18" t="inlineStr">
        <is>
          <t>พ.ร.บ. วัตถุที่ออกฤทธิ์ต่อจิตและประสาท พ.ศ. 2559 (ประเภท 2 และ 4)</t>
        </is>
      </c>
      <c r="H245" s="18" t="inlineStr">
        <is>
          <t>พ.ร.บ. วิชาชีพเภสัชกรรม พ.ศ. 2537 และข้อบังคับจรรยาบรรณวิชาชีพ</t>
        </is>
      </c>
      <c r="I245" s="18" t="n">
        <v>1</v>
      </c>
      <c r="J245"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18" t="n"/>
      <c r="L245" s="18" t="inlineStr">
        <is>
          <t>พ.ร.บ. ยา พ.ศ. 2510</t>
        </is>
      </c>
      <c r="M245" s="18" t="inlineStr">
        <is>
          <t>SAP</t>
        </is>
      </c>
      <c r="N245" s="18" t="inlineStr">
        <is>
          <t>ข้อ 52 (PLE_CC1_Key_Rx20_UBU.md)</t>
        </is>
      </c>
      <c r="O245" s="18" t="inlineStr">
        <is>
          <t>Mock</t>
        </is>
      </c>
      <c r="P245" s="18" t="inlineStr">
        <is>
          <t>Mock Rx20 UBU</t>
        </is>
      </c>
    </row>
    <row r="246">
      <c r="A246" s="18" t="n">
        <v>244</v>
      </c>
      <c r="B246" s="18"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18" t="n"/>
      <c r="D246" s="18" t="inlineStr">
        <is>
          <t>พ.ร.บ. วัตถุที่ออกฤทธิ์ต่อจิตและประสาท พ.ศ. 2559 (ประเภท 2 และ 4)</t>
        </is>
      </c>
      <c r="E246" s="18" t="inlineStr">
        <is>
          <t>พ.ร.บ. วิชาชีพเภสัชกรรม พ.ศ. 2537 และข้อบังคับจรรยาบรรณวิชาชีพ</t>
        </is>
      </c>
      <c r="F246" s="18" t="inlineStr">
        <is>
          <t>พ.ร.บ. ผลิตภัณฑ์สมุนไพร พ.ศ. 2562</t>
        </is>
      </c>
      <c r="G246" s="18" t="inlineStr">
        <is>
          <t>พ.ร.บ. เครื่องสำอาง พ.ศ. 2558</t>
        </is>
      </c>
      <c r="H246" s="18" t="inlineStr">
        <is>
          <t>พ.ร.บ. หลักประกันสุขภาพแห่งชาติ พ.ศ. 2545</t>
        </is>
      </c>
      <c r="I246" s="18" t="n">
        <v>1</v>
      </c>
      <c r="J246"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18" t="n"/>
      <c r="L246" s="18" t="inlineStr">
        <is>
          <t>พ.ร.บ. ยา พ.ศ. 2510</t>
        </is>
      </c>
      <c r="M246" s="18" t="inlineStr">
        <is>
          <t>SAP</t>
        </is>
      </c>
      <c r="N246" s="18" t="inlineStr">
        <is>
          <t>ข้อ 62 (PLE_CC1_Key_Rx20_UBU.md)</t>
        </is>
      </c>
      <c r="O246" s="18" t="inlineStr">
        <is>
          <t>Mock</t>
        </is>
      </c>
      <c r="P246" s="18" t="inlineStr">
        <is>
          <t>Mock Rx20 UBU</t>
        </is>
      </c>
    </row>
    <row r="247">
      <c r="A247" s="18" t="n">
        <v>245</v>
      </c>
      <c r="B247" s="18" t="inlineStr">
        <is>
          <t>ยา Pioglitazone เป็นยาประเภทใดตามกฎหมาย</t>
        </is>
      </c>
      <c r="C247" s="18" t="n"/>
      <c r="D247" s="18" t="inlineStr">
        <is>
          <t>พ.ร.บ. เครื่องสำอาง พ.ศ. 2558</t>
        </is>
      </c>
      <c r="E247" s="18" t="inlineStr">
        <is>
          <t>พ.ร.บ. หลักประกันสุขภาพแห่งชาติ พ.ศ. 2545</t>
        </is>
      </c>
      <c r="F247" s="18" t="inlineStr">
        <is>
          <t>การปฏิบัติทางเภสัชกรรมชุมชน (Good Pharmacy Practice: GPP)</t>
        </is>
      </c>
      <c r="G247" s="18" t="inlineStr">
        <is>
          <t>บัญชียาหลักแห่งชาติ (National List of Essential Medicines: NLEM)</t>
        </is>
      </c>
      <c r="H247" s="18" t="inlineStr">
        <is>
          <t>เกณฑ์จริยธรรมว่าด้วยการส่งเสริมการขายยาของกระทรวงสาธารณสุข</t>
        </is>
      </c>
      <c r="I247" s="18" t="n">
        <v>1</v>
      </c>
      <c r="J247"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18" t="n"/>
      <c r="L247" s="18" t="inlineStr">
        <is>
          <t>พ.ร.บ. ยา พ.ศ. 2510</t>
        </is>
      </c>
      <c r="M247" s="18" t="inlineStr">
        <is>
          <t>SAP</t>
        </is>
      </c>
      <c r="N247" s="18" t="inlineStr">
        <is>
          <t>ข้อ 69 (PLE_CC1_Key_Rx20_UBU.md)</t>
        </is>
      </c>
      <c r="O247" s="18" t="inlineStr">
        <is>
          <t>Mock</t>
        </is>
      </c>
      <c r="P247" s="18" t="inlineStr">
        <is>
          <t>Mock Rx20 UBU</t>
        </is>
      </c>
    </row>
    <row r="248">
      <c r="A248" s="18" t="n">
        <v>246</v>
      </c>
      <c r="B248" s="18" t="inlineStr">
        <is>
          <t>หากเภสัชกรตัดสินใจจ่ายยา Misoprostal ให้แก่ผู้หญิงที่ตั้งครรภ์ไม่พึงประสงค์จะผิดจรรยาบรรณวิชาชีพข้อใด</t>
        </is>
      </c>
      <c r="C248" s="18" t="n"/>
      <c r="D248" s="18" t="inlineStr">
        <is>
          <t>บัญชียาหลักแห่งชาติ (National List of Essential Medicines: NLEM)</t>
        </is>
      </c>
      <c r="E248" s="18" t="inlineStr">
        <is>
          <t>เกณฑ์จริยธรรมว่าด้วยการส่งเสริมการขายยาของกระทรวงสาธารณสุข</t>
        </is>
      </c>
      <c r="F248" s="18" t="inlineStr">
        <is>
          <t>พ.ร.บ. ยา พ.ศ. 2510 (การจำหน่ายยาอันตรายและยาควบคุมพิเศษ)</t>
        </is>
      </c>
      <c r="G248" s="18" t="inlineStr">
        <is>
          <t>พ.ร.บ. ยาเสพติดให้โทษ พ.ศ. 2522 (ยาเสพติดให้โทษประเภท 2 และ 3)</t>
        </is>
      </c>
      <c r="H248" s="18" t="inlineStr">
        <is>
          <t>พ.ร.บ. วัตถุที่ออกฤทธิ์ต่อจิตและประสาท พ.ศ. 2559 (ประเภท 2 และ 4)</t>
        </is>
      </c>
      <c r="I248" s="18" t="n">
        <v>1</v>
      </c>
      <c r="J248"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18" t="n"/>
      <c r="L248" s="18" t="inlineStr">
        <is>
          <t>พ.ร.บ. วิชาชีพเภสัชกรรม 2537</t>
        </is>
      </c>
      <c r="M248" s="18" t="inlineStr">
        <is>
          <t>SAP</t>
        </is>
      </c>
      <c r="N248" s="18" t="inlineStr">
        <is>
          <t>ข้อ 85 (PLE_CC1_Key_Rx20_UBU.md)</t>
        </is>
      </c>
      <c r="O248" s="18" t="inlineStr">
        <is>
          <t>Mock</t>
        </is>
      </c>
      <c r="P248" s="18" t="inlineStr">
        <is>
          <t>Mock Rx20 UBU</t>
        </is>
      </c>
    </row>
    <row r="249">
      <c r="A249" s="18" t="n">
        <v>247</v>
      </c>
      <c r="B249" s="18" t="inlineStr">
        <is>
          <t>จรรยาบรรณวิชาชีพที่เกี่ยวข้องกับความปลอดภัยของผู้ป่วย</t>
        </is>
      </c>
      <c r="C249" s="18" t="n"/>
      <c r="D249" s="18" t="inlineStr">
        <is>
          <t>พ.ร.บ. ยาเสพติดให้โทษ พ.ศ. 2522 (ยาเสพติดให้โทษประเภท 2 และ 3)</t>
        </is>
      </c>
      <c r="E249" s="18" t="inlineStr">
        <is>
          <t>พ.ร.บ. วัตถุที่ออกฤทธิ์ต่อจิตและประสาท พ.ศ. 2559 (ประเภท 2 และ 4)</t>
        </is>
      </c>
      <c r="F249" s="18" t="inlineStr">
        <is>
          <t>พ.ร.บ. วิชาชีพเภสัชกรรม พ.ศ. 2537 และข้อบังคับจรรยาบรรณวิชาชีพ</t>
        </is>
      </c>
      <c r="G249" s="18" t="inlineStr">
        <is>
          <t>พ.ร.บ. ผลิตภัณฑ์สมุนไพร พ.ศ. 2562</t>
        </is>
      </c>
      <c r="H249" s="18" t="inlineStr">
        <is>
          <t>พ.ร.บ. เครื่องสำอาง พ.ศ. 2558</t>
        </is>
      </c>
      <c r="I249" s="18" t="n">
        <v>1</v>
      </c>
      <c r="J249" s="1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18" t="n"/>
      <c r="L249" s="18" t="inlineStr">
        <is>
          <t>พ.ร.บ. วิชาชีพเภสัชกรรม 2537</t>
        </is>
      </c>
      <c r="M249" s="18" t="inlineStr">
        <is>
          <t>SAP</t>
        </is>
      </c>
      <c r="N249" s="18" t="inlineStr">
        <is>
          <t>ข้อ 4 (PLE_CC1_Key_Rx20_UBU.md)</t>
        </is>
      </c>
      <c r="O249" s="18" t="inlineStr">
        <is>
          <t>Mock</t>
        </is>
      </c>
      <c r="P249" s="18" t="inlineStr">
        <is>
          <t>Mock Rx20 UBU</t>
        </is>
      </c>
    </row>
    <row r="250">
      <c r="A250" s="18" t="n">
        <v>248</v>
      </c>
      <c r="B250" s="18"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18" t="n"/>
      <c r="D250" s="18" t="inlineStr">
        <is>
          <t>พ.ร.บ. ผลิตภัณฑ์สมุนไพร พ.ศ. 2562</t>
        </is>
      </c>
      <c r="E250" s="18" t="inlineStr">
        <is>
          <t>พ.ร.บ. เครื่องสำอาง พ.ศ. 2558</t>
        </is>
      </c>
      <c r="F250" s="18" t="inlineStr">
        <is>
          <t>พ.ร.บ. หลักประกันสุขภาพแห่งชาติ พ.ศ. 2545</t>
        </is>
      </c>
      <c r="G250" s="18" t="inlineStr">
        <is>
          <t>การปฏิบัติทางเภสัชกรรมชุมชน (Good Pharmacy Practice: GPP)</t>
        </is>
      </c>
      <c r="H250" s="18" t="inlineStr">
        <is>
          <t>บัญชียาหลักแห่งชาติ (National List of Essential Medicines: NLEM)</t>
        </is>
      </c>
      <c r="I250" s="18" t="n">
        <v>1</v>
      </c>
      <c r="J250"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18" t="n"/>
      <c r="L250" s="18" t="inlineStr">
        <is>
          <t>พ.ร.บ. วิชาชีพเภสัชกรรม 2537</t>
        </is>
      </c>
      <c r="M250" s="18" t="inlineStr">
        <is>
          <t>SAP</t>
        </is>
      </c>
      <c r="N250" s="18" t="inlineStr">
        <is>
          <t>ข้อ 5 (PLE_CC1_Key_Rx20_UBU.md)</t>
        </is>
      </c>
      <c r="O250" s="18" t="inlineStr">
        <is>
          <t>Mock</t>
        </is>
      </c>
      <c r="P250" s="18" t="inlineStr">
        <is>
          <t>Mock Rx20 UBU</t>
        </is>
      </c>
    </row>
    <row r="251">
      <c r="A251" s="18" t="n">
        <v>249</v>
      </c>
      <c r="B251" s="18"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18" t="n"/>
      <c r="D251" s="18" t="inlineStr">
        <is>
          <t>Cost description</t>
        </is>
      </c>
      <c r="E251" s="18" t="inlineStr">
        <is>
          <t>Cost minimization analysis</t>
        </is>
      </c>
      <c r="F251" s="18" t="inlineStr">
        <is>
          <t>Cost beneﬁt analysis</t>
        </is>
      </c>
      <c r="G251" s="18" t="inlineStr">
        <is>
          <t>Cost utility analysis</t>
        </is>
      </c>
      <c r="H251" s="18"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18" t="n">
        <v>2</v>
      </c>
      <c r="J251" s="18"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beneﬁt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18" t="n"/>
      <c r="L251" s="18" t="inlineStr">
        <is>
          <t>พ.ร.บ. ยา พ.ศ. 2510</t>
        </is>
      </c>
      <c r="M251" s="18" t="inlineStr">
        <is>
          <t>SAP</t>
        </is>
      </c>
      <c r="N251" s="18" t="inlineStr">
        <is>
          <t>ข้อ 34 (PLE_CC1_Key_Rx20_UBU.md)</t>
        </is>
      </c>
      <c r="O251" s="18" t="inlineStr">
        <is>
          <t>Mock</t>
        </is>
      </c>
      <c r="P251" s="18" t="inlineStr">
        <is>
          <t>Mock Rx20 UBU</t>
        </is>
      </c>
    </row>
    <row r="252">
      <c r="A252" s="18" t="n">
        <v>250</v>
      </c>
      <c r="B252" s="18"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18" t="n"/>
      <c r="D252" s="18" t="inlineStr">
        <is>
          <t>พ.ร.บ. ยา พ.ศ. 2510 (การจำหน่ายยาอันตรายและยาควบคุมพิเศษ)</t>
        </is>
      </c>
      <c r="E252" s="18" t="inlineStr">
        <is>
          <t>พ.ร.บ. ยาเสพติดให้โทษ พ.ศ. 2522 (ยาเสพติดให้โทษประเภท 2 และ 3)</t>
        </is>
      </c>
      <c r="F252" s="18" t="inlineStr">
        <is>
          <t>พ.ร.บ. วัตถุที่ออกฤทธิ์ต่อจิตและประสาท พ.ศ. 2559 (ประเภท 2 และ 4)</t>
        </is>
      </c>
      <c r="G252" s="18" t="inlineStr">
        <is>
          <t>พ.ร.บ. วิชาชีพเภสัชกรรม พ.ศ. 2537 และข้อบังคับจรรยาบรรณวิชาชีพ</t>
        </is>
      </c>
      <c r="H252" s="18" t="inlineStr">
        <is>
          <t>พ.ร.บ. ผลิตภัณฑ์สมุนไพร พ.ศ. 2562</t>
        </is>
      </c>
      <c r="I252" s="18" t="n">
        <v>1</v>
      </c>
      <c r="J252"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18" t="n"/>
      <c r="L252" s="18" t="inlineStr">
        <is>
          <t>พ.ร.บ. ยา พ.ศ. 2510</t>
        </is>
      </c>
      <c r="M252" s="18" t="inlineStr">
        <is>
          <t>SAP</t>
        </is>
      </c>
      <c r="N252" s="18" t="inlineStr">
        <is>
          <t>ข้อ 43 (PLE_CC1_Key_Rx20_UBU.md)</t>
        </is>
      </c>
      <c r="O252" s="18" t="inlineStr">
        <is>
          <t>Mock</t>
        </is>
      </c>
      <c r="P252" s="18" t="inlineStr">
        <is>
          <t>Mock Rx20 UBU</t>
        </is>
      </c>
    </row>
    <row r="253">
      <c r="A253" s="18" t="n">
        <v>251</v>
      </c>
      <c r="B253" s="18"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18" t="n"/>
      <c r="D253" s="18" t="inlineStr">
        <is>
          <t>พ.ร.บ. วิชาชีพเภสัชกรรม พ.ศ. 2537 และข้อบังคับจรรยาบรรณวิชาชีพ</t>
        </is>
      </c>
      <c r="E253" s="18" t="inlineStr">
        <is>
          <t>พ.ร.บ. ผลิตภัณฑ์สมุนไพร พ.ศ. 2562</t>
        </is>
      </c>
      <c r="F253" s="18" t="inlineStr">
        <is>
          <t>พ.ร.บ. เครื่องสำอาง พ.ศ. 2558</t>
        </is>
      </c>
      <c r="G253" s="18" t="inlineStr">
        <is>
          <t>พ.ร.บ. หลักประกันสุขภาพแห่งชาติ พ.ศ. 2545</t>
        </is>
      </c>
      <c r="H253" s="18" t="inlineStr">
        <is>
          <t>การปฏิบัติทางเภสัชกรรมชุมชน (Good Pharmacy Practice: GPP)</t>
        </is>
      </c>
      <c r="I253" s="18" t="n">
        <v>3</v>
      </c>
      <c r="J253" s="18"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18" t="n"/>
      <c r="L253" s="18" t="inlineStr">
        <is>
          <t>พ.ร.บ. ยา พ.ศ. 2510</t>
        </is>
      </c>
      <c r="M253" s="18" t="inlineStr">
        <is>
          <t>SAP</t>
        </is>
      </c>
      <c r="N253" s="18" t="inlineStr">
        <is>
          <t>ข้อ 55 (PLE_CC1_Key_Rx20_UBU.md)</t>
        </is>
      </c>
      <c r="O253" s="18" t="inlineStr">
        <is>
          <t>Mock</t>
        </is>
      </c>
      <c r="P253" s="18" t="inlineStr">
        <is>
          <t>Mock Rx20 UBU</t>
        </is>
      </c>
    </row>
    <row r="254">
      <c r="A254" s="18" t="n">
        <v>252</v>
      </c>
      <c r="B254" s="18" t="inlineStr">
        <is>
          <t>ไมGได$ เพราะ เพราะ พรบ.ยา หมวด 11 การโฆษณา มาตรา 88 ข$อ 6. ไมGแสดงยาอันตราย,ยาควบคุมพิเศษ</t>
        </is>
      </c>
      <c r="C254" s="18" t="n"/>
      <c r="D254" s="18" t="inlineStr">
        <is>
          <t>พ.ร.บ. หลักประกันสุขภาพแห่งชาติ พ.ศ. 2545</t>
        </is>
      </c>
      <c r="E254" s="18" t="inlineStr">
        <is>
          <t>การปฏิบัติทางเภสัชกรรมชุมชน (Good Pharmacy Practice: GPP)</t>
        </is>
      </c>
      <c r="F254" s="18" t="inlineStr">
        <is>
          <t>บัญชียาหลักแห่งชาติ (National List of Essential Medicines: NLEM)</t>
        </is>
      </c>
      <c r="G254" s="18" t="inlineStr">
        <is>
          <t>เกณฑ์จริยธรรมว่าด้วยการส่งเสริมการขายยาของกระทรวงสาธารณสุข</t>
        </is>
      </c>
      <c r="H254" s="18" t="inlineStr">
        <is>
          <t>พ.ร.บ. ยา พ.ศ. 2510 (การจำหน่ายยาอันตรายและยาควบคุมพิเศษ)</t>
        </is>
      </c>
      <c r="I254" s="18" t="n">
        <v>2</v>
      </c>
      <c r="J254" s="18"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18" t="n"/>
      <c r="L254" s="18" t="inlineStr">
        <is>
          <t>พ.ร.บ. ยา พ.ศ. 2510</t>
        </is>
      </c>
      <c r="M254" s="18" t="inlineStr">
        <is>
          <t>SAP</t>
        </is>
      </c>
      <c r="N254" s="18" t="inlineStr">
        <is>
          <t>ข้อ 5 (PLE_CC1_Key_Rx20_UBU.md)</t>
        </is>
      </c>
      <c r="O254" s="18" t="inlineStr">
        <is>
          <t>Mock</t>
        </is>
      </c>
      <c r="P254" s="18" t="inlineStr">
        <is>
          <t>Mock Rx20 UBU</t>
        </is>
      </c>
    </row>
    <row r="255">
      <c r="A255" s="18" t="n">
        <v>253</v>
      </c>
      <c r="B255" s="18" t="inlineStr">
        <is>
          <t>Isotetinoin gel กับ isotetinoin capsule จัดเปญนยาประเภทใดตามกฎหมาย</t>
        </is>
      </c>
      <c r="C255" s="18" t="n"/>
      <c r="D255" s="18" t="inlineStr">
        <is>
          <t>เกณฑ์จริยธรรมว่าด้วยการส่งเสริมการขายยาของกระทรวงสาธารณสุข</t>
        </is>
      </c>
      <c r="E255" s="18" t="inlineStr">
        <is>
          <t>พ.ร.บ. ยา พ.ศ. 2510 (การจำหน่ายยาอันตรายและยาควบคุมพิเศษ)</t>
        </is>
      </c>
      <c r="F255" s="18" t="inlineStr">
        <is>
          <t>พ.ร.บ. ยาเสพติดให้โทษ พ.ศ. 2522 (ยาเสพติดให้โทษประเภท 2 และ 3)</t>
        </is>
      </c>
      <c r="G255" s="18" t="inlineStr">
        <is>
          <t>พ.ร.บ. วัตถุที่ออกฤทธิ์ต่อจิตและประสาท พ.ศ. 2559 (ประเภท 2 และ 4)</t>
        </is>
      </c>
      <c r="H255" s="18" t="inlineStr">
        <is>
          <t>พ.ร.บ. วิชาชีพเภสัชกรรม พ.ศ. 2537 และข้อบังคับจรรยาบรรณวิชาชีพ</t>
        </is>
      </c>
      <c r="I255" s="18" t="n">
        <v>1</v>
      </c>
      <c r="J255"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18" t="n"/>
      <c r="L255" s="18" t="inlineStr">
        <is>
          <t>พ.ร.บ. ยา พ.ศ. 2510</t>
        </is>
      </c>
      <c r="M255" s="18" t="inlineStr">
        <is>
          <t>SAP</t>
        </is>
      </c>
      <c r="N255" s="18" t="inlineStr">
        <is>
          <t>ข้อ 10 (PLE_CC1_Key_Rx20_UBU.md)</t>
        </is>
      </c>
      <c r="O255" s="18" t="inlineStr">
        <is>
          <t>Mock</t>
        </is>
      </c>
      <c r="P255" s="18" t="inlineStr">
        <is>
          <t>Mock Rx20 UBU</t>
        </is>
      </c>
    </row>
    <row r="256">
      <c r="A256" s="18" t="n">
        <v>254</v>
      </c>
      <c r="B256" s="18" t="inlineStr">
        <is>
          <t>การฉีดยาทาง IM ให$คGาชีวประสิทธิผล (Bioavailability) 100%</t>
        </is>
      </c>
      <c r="C256" s="18" t="n"/>
      <c r="D256" s="18" t="inlineStr">
        <is>
          <t>พ.ร.บ. วัตถุที่ออกฤทธิ์ต่อจิตและประสาท พ.ศ. 2559 (ประเภท 2 และ 4)</t>
        </is>
      </c>
      <c r="E256" s="18" t="inlineStr">
        <is>
          <t>พ.ร.บ. วิชาชีพเภสัชกรรม พ.ศ. 2537 และข้อบังคับจรรยาบรรณวิชาชีพ</t>
        </is>
      </c>
      <c r="F256" s="18" t="inlineStr">
        <is>
          <t>พ.ร.บ. ผลิตภัณฑ์สมุนไพร พ.ศ. 2562</t>
        </is>
      </c>
      <c r="G256" s="18" t="inlineStr">
        <is>
          <t>พ.ร.บ. เครื่องสำอาง พ.ศ. 2558</t>
        </is>
      </c>
      <c r="H256" s="18" t="inlineStr">
        <is>
          <t>พ.ร.บ. หลักประกันสุขภาพแห่งชาติ พ.ศ. 2545</t>
        </is>
      </c>
      <c r="I256" s="18" t="n">
        <v>1</v>
      </c>
      <c r="J256"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18" t="n"/>
      <c r="L256" s="18" t="inlineStr">
        <is>
          <t>พ.ร.บ. ยา พ.ศ. 2510</t>
        </is>
      </c>
      <c r="M256" s="18" t="inlineStr">
        <is>
          <t>SAP</t>
        </is>
      </c>
      <c r="N256" s="18" t="inlineStr">
        <is>
          <t>ข้อ 3 (PLE_CC1_Key_Rx20_UBU.md)</t>
        </is>
      </c>
      <c r="O256" s="18" t="inlineStr">
        <is>
          <t>Mock</t>
        </is>
      </c>
      <c r="P256" s="18" t="inlineStr">
        <is>
          <t>Mock Rx20 UBU</t>
        </is>
      </c>
    </row>
    <row r="257">
      <c r="A257" s="18" t="n">
        <v>255</v>
      </c>
      <c r="B257" s="18"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18" t="n"/>
      <c r="D257" s="18" t="inlineStr">
        <is>
          <t>พ.ร.บ. เครื่องสำอาง พ.ศ. 2558</t>
        </is>
      </c>
      <c r="E257" s="18" t="inlineStr">
        <is>
          <t>พ.ร.บ. หลักประกันสุขภาพแห่งชาติ พ.ศ. 2545</t>
        </is>
      </c>
      <c r="F257" s="18" t="inlineStr">
        <is>
          <t>การปฏิบัติทางเภสัชกรรมชุมชน (Good Pharmacy Practice: GPP)</t>
        </is>
      </c>
      <c r="G257" s="18" t="inlineStr">
        <is>
          <t>บัญชียาหลักแห่งชาติ (National List of Essential Medicines: NLEM)</t>
        </is>
      </c>
      <c r="H257" s="18" t="inlineStr">
        <is>
          <t>เกณฑ์จริยธรรมว่าด้วยการส่งเสริมการขายยาของกระทรวงสาธารณสุข</t>
        </is>
      </c>
      <c r="I257" s="18" t="n">
        <v>1</v>
      </c>
      <c r="J257"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18" t="n"/>
      <c r="L257" s="18" t="inlineStr">
        <is>
          <t>พ.ร.บ. ยา พ.ศ. 2510</t>
        </is>
      </c>
      <c r="M257" s="18" t="inlineStr">
        <is>
          <t>SAP</t>
        </is>
      </c>
      <c r="N257" s="18" t="inlineStr">
        <is>
          <t>ข้อ 77 (PLE_CC1_Key_Rx20_UBU.md)</t>
        </is>
      </c>
      <c r="O257" s="18" t="inlineStr">
        <is>
          <t>Mock</t>
        </is>
      </c>
      <c r="P257" s="18" t="inlineStr">
        <is>
          <t>Mock Rx20 UBU</t>
        </is>
      </c>
    </row>
    <row r="258">
      <c r="A258" s="18" t="n">
        <v>256</v>
      </c>
      <c r="B258" s="18" t="inlineStr">
        <is>
          <t>มีถามกฎหมาย เกี่ยวกับ Alprazolam P2 โจทย_ไมGสมบูรณ_</t>
        </is>
      </c>
      <c r="C258" s="18" t="n"/>
      <c r="D258" s="18" t="inlineStr">
        <is>
          <t>บัญชียาหลักแห่งชาติ (National List of Essential Medicines: NLEM)</t>
        </is>
      </c>
      <c r="E258" s="18" t="inlineStr">
        <is>
          <t>เกณฑ์จริยธรรมว่าด้วยการส่งเสริมการขายยาของกระทรวงสาธารณสุข</t>
        </is>
      </c>
      <c r="F258" s="18" t="inlineStr">
        <is>
          <t>พ.ร.บ. ยา พ.ศ. 2510 (การจำหน่ายยาอันตรายและยาควบคุมพิเศษ)</t>
        </is>
      </c>
      <c r="G258" s="18" t="inlineStr">
        <is>
          <t>พ.ร.บ. ยาเสพติดให้โทษ พ.ศ. 2522 (ยาเสพติดให้โทษประเภท 2 และ 3)</t>
        </is>
      </c>
      <c r="H258" s="18" t="inlineStr">
        <is>
          <t>พ.ร.บ. วัตถุที่ออกฤทธิ์ต่อจิตและประสาท พ.ศ. 2559 (ประเภท 2 และ 4)</t>
        </is>
      </c>
      <c r="I258" s="18" t="n">
        <v>1</v>
      </c>
      <c r="J258"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18" t="n"/>
      <c r="L258" s="18" t="inlineStr">
        <is>
          <t>พ.ร.บ. ยา พ.ศ. 2510</t>
        </is>
      </c>
      <c r="M258" s="18" t="inlineStr">
        <is>
          <t>SAP</t>
        </is>
      </c>
      <c r="N258" s="18" t="inlineStr">
        <is>
          <t>ข้อ 78 (PLE_CC1_Key_Rx20_UBU.md)</t>
        </is>
      </c>
      <c r="O258" s="18" t="inlineStr">
        <is>
          <t>Mock</t>
        </is>
      </c>
      <c r="P258" s="18" t="inlineStr">
        <is>
          <t>Mock Rx20 UBU</t>
        </is>
      </c>
    </row>
    <row r="259">
      <c r="A259" s="18" t="n">
        <v>257</v>
      </c>
      <c r="B259" s="18"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18" t="n"/>
      <c r="D259" s="18" t="inlineStr">
        <is>
          <t>กระทำไมGได$ เนื่องจากเปญนการขายยานอกสถานที่</t>
        </is>
      </c>
      <c r="E259" s="18" t="inlineStr">
        <is>
          <t>กระทำไมGได$ เนื่องจากเปญนการขายยาโดยไมGได$รับอนุญาต</t>
        </is>
      </c>
      <c r="F259" s="18" t="inlineStr">
        <is>
          <t>กระทำได$ เนื่องจากเปญนการขายยาสามัญประจำบ$าน??? (ไมGแนGใจ)</t>
        </is>
      </c>
      <c r="G259" s="18" t="inlineStr">
        <is>
          <t>กระทำได$ เนื่องจากเปญนการขายยาสมุนไพร</t>
        </is>
      </c>
      <c r="H259" s="18" t="inlineStr">
        <is>
          <t>กระทำได$หากนายเอกเปญนผู$ประกอบวิชาชีพเวชกรรมแผนไทย</t>
        </is>
      </c>
      <c r="I259" s="18" t="n">
        <v>2</v>
      </c>
      <c r="J259" s="18"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(กระทำได$ เนื่องจากเปญนการขายยาสามัญประจำบ$าน??? (ไมGแนGใจ)): ข้อนี้ไม่ใช่คำตอบที่ถูกต้องสำหรับภาวะ พ.ร.บ. ยา พ.ศ. 2510 เนื่องจากกลไกการออกฤทธิ์, efficacy หรือข้อบ่งใช้ไม่ตรงกับโจทย์ที่กำหนด
• ข้อ ง. (กระทำได$ เนื่องจากเปญนการขายยาสมุนไพร): ข้อนี้ไม่ใช่คำตอบที่ถูกต้องสำหรับภาวะ พ.ร.บ. ยา พ.ศ. 2510 เนื่องจากกลไกการออกฤทธิ์, efficacy หรือข้อบ่งใช้ไม่ตรงกับโจทย์ที่กำหนด
• ข้อ จ. (กระทำได$หากนายเอกเปญนผู$ประกอบวิชาชีพเวชกรรมแผนไทย):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18" t="n"/>
      <c r="L259" s="18" t="inlineStr">
        <is>
          <t>พ.ร.บ. ยา พ.ศ. 2510</t>
        </is>
      </c>
      <c r="M259" s="18" t="inlineStr">
        <is>
          <t>SAP</t>
        </is>
      </c>
      <c r="N259" s="18" t="inlineStr">
        <is>
          <t>ข้อ 88 (PLE_CC1_Key_Rx20_UBU.md)</t>
        </is>
      </c>
      <c r="O259" s="18" t="inlineStr">
        <is>
          <t>Mock</t>
        </is>
      </c>
      <c r="P259" s="18" t="inlineStr">
        <is>
          <t>Mock Rx20 UBU</t>
        </is>
      </c>
    </row>
    <row r="260">
      <c r="A260" s="18" t="n">
        <v>258</v>
      </c>
      <c r="B260" s="18" t="inlineStr">
        <is>
          <t>มีต$นทุน-ประสิทธิผลต่ำ</t>
        </is>
      </c>
      <c r="C260" s="18" t="n"/>
      <c r="D260" s="18" t="inlineStr">
        <is>
          <t>พ.ร.บ. ผลิตภัณฑ์สมุนไพร พ.ศ. 2562</t>
        </is>
      </c>
      <c r="E260" s="18" t="inlineStr">
        <is>
          <t>พ.ร.บ. เครื่องสำอาง พ.ศ. 2558</t>
        </is>
      </c>
      <c r="F260" s="18" t="inlineStr">
        <is>
          <t>พ.ร.บ. หลักประกันสุขภาพแห่งชาติ พ.ศ. 2545</t>
        </is>
      </c>
      <c r="G260" s="18" t="inlineStr">
        <is>
          <t>การปฏิบัติทางเภสัชกรรมชุมชน (Good Pharmacy Practice: GPP)</t>
        </is>
      </c>
      <c r="H260" s="18" t="inlineStr">
        <is>
          <t>บัญชียาหลักแห่งชาติ (National List of Essential Medicines: NLEM)</t>
        </is>
      </c>
      <c r="I260" s="18" t="n">
        <v>1</v>
      </c>
      <c r="J260"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18" t="n"/>
      <c r="L260" s="18" t="inlineStr">
        <is>
          <t>พ.ร.บ. ยา พ.ศ. 2510</t>
        </is>
      </c>
      <c r="M260" s="18" t="inlineStr">
        <is>
          <t>SAP</t>
        </is>
      </c>
      <c r="N260" s="18" t="inlineStr">
        <is>
          <t>ข้อ 3 (PLE_CC1_Key_Rx20_UBU.md)</t>
        </is>
      </c>
      <c r="O260" s="18" t="inlineStr">
        <is>
          <t>Mock</t>
        </is>
      </c>
      <c r="P260" s="18" t="inlineStr">
        <is>
          <t>Mock Rx20 UBU</t>
        </is>
      </c>
    </row>
    <row r="261">
      <c r="A261" s="18" t="n">
        <v>259</v>
      </c>
      <c r="B261" s="18" t="inlineStr">
        <is>
          <t>มีต$นทุน-ประสิทธิภาพไมGดี</t>
        </is>
      </c>
      <c r="C261" s="18" t="n"/>
      <c r="D261" s="18" t="inlineStr">
        <is>
          <t>การปฏิบัติทางเภสัชกรรมชุมชน (Good Pharmacy Practice: GPP)</t>
        </is>
      </c>
      <c r="E261" s="18" t="inlineStr">
        <is>
          <t>บัญชียาหลักแห่งชาติ (National List of Essential Medicines: NLEM)</t>
        </is>
      </c>
      <c r="F261" s="18" t="inlineStr">
        <is>
          <t>เกณฑ์จริยธรรมว่าด้วยการส่งเสริมการขายยาของกระทรวงสาธารณสุข</t>
        </is>
      </c>
      <c r="G261" s="18" t="inlineStr">
        <is>
          <t>พ.ร.บ. ยา พ.ศ. 2510 (การจำหน่ายยาอันตรายและยาควบคุมพิเศษ)</t>
        </is>
      </c>
      <c r="H261" s="18" t="inlineStr">
        <is>
          <t>พ.ร.บ. ยาเสพติดให้โทษ พ.ศ. 2522 (ยาเสพติดให้โทษประเภท 2 และ 3)</t>
        </is>
      </c>
      <c r="I261" s="18" t="n">
        <v>1</v>
      </c>
      <c r="J261"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18" t="n"/>
      <c r="L261" s="18" t="inlineStr">
        <is>
          <t>พ.ร.บ. ยา พ.ศ. 2510</t>
        </is>
      </c>
      <c r="M261" s="18" t="inlineStr">
        <is>
          <t>SAP</t>
        </is>
      </c>
      <c r="N261" s="18" t="inlineStr">
        <is>
          <t>ข้อ 4 (PLE_CC1_Key_Rx20_UBU.md)</t>
        </is>
      </c>
      <c r="O261" s="18" t="inlineStr">
        <is>
          <t>Mock</t>
        </is>
      </c>
      <c r="P261" s="18" t="inlineStr">
        <is>
          <t>Mock Rx20 UBU</t>
        </is>
      </c>
    </row>
    <row r="262">
      <c r="A262" s="18" t="n">
        <v>260</v>
      </c>
      <c r="B262" s="18"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18" t="n"/>
      <c r="D262" s="18" t="inlineStr">
        <is>
          <t>พ.ร.บ. ยา พ.ศ. 2510 (การจำหน่ายยาอันตรายและยาควบคุมพิเศษ)</t>
        </is>
      </c>
      <c r="E262" s="18" t="inlineStr">
        <is>
          <t>พ.ร.บ. ยาเสพติดให้โทษ พ.ศ. 2522 (ยาเสพติดให้โทษประเภท 2 และ 3)</t>
        </is>
      </c>
      <c r="F262" s="18" t="inlineStr">
        <is>
          <t>พ.ร.บ. วัตถุที่ออกฤทธิ์ต่อจิตและประสาท พ.ศ. 2559 (ประเภท 2 และ 4)</t>
        </is>
      </c>
      <c r="G262" s="18" t="inlineStr">
        <is>
          <t>พ.ร.บ. วิชาชีพเภสัชกรรม พ.ศ. 2537 และข้อบังคับจรรยาบรรณวิชาชีพ</t>
        </is>
      </c>
      <c r="H262" s="18" t="inlineStr">
        <is>
          <t>พ.ร.บ. ผลิตภัณฑ์สมุนไพร พ.ศ. 2562</t>
        </is>
      </c>
      <c r="I262" s="18" t="n">
        <v>1</v>
      </c>
      <c r="J262" s="18"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18" t="n"/>
      <c r="L262" s="18" t="inlineStr">
        <is>
          <t>พ.ร.บ. ยา พ.ศ. 2510</t>
        </is>
      </c>
      <c r="M262" s="18" t="inlineStr">
        <is>
          <t>SAP</t>
        </is>
      </c>
      <c r="N262" s="18" t="inlineStr">
        <is>
          <t>ข้อ 103 (PLE_CC1_Key_Rx20_UBU.md)</t>
        </is>
      </c>
      <c r="O262" s="18" t="inlineStr">
        <is>
          <t>Mock</t>
        </is>
      </c>
      <c r="P262" s="18" t="inlineStr">
        <is>
          <t>Mock Rx20 UBU</t>
        </is>
      </c>
    </row>
    <row r="263">
      <c r="A263" s="18" t="n">
        <v>261</v>
      </c>
      <c r="B263" s="18" t="inlineStr">
        <is>
          <t>แนะนำให$ใช$ยาใหมG เนื่องจากยาใหมGมีประสิทธิภาพดีกวGาอยGางมีนัยสำคัญทางสถิติ</t>
        </is>
      </c>
      <c r="C263" s="18" t="n"/>
      <c r="D263" s="18" t="inlineStr">
        <is>
          <t>พ.ร.บ. วิชาชีพเภสัชกรรม พ.ศ. 2537 และข้อบังคับจรรยาบรรณวิชาชีพ</t>
        </is>
      </c>
      <c r="E263" s="18" t="inlineStr">
        <is>
          <t>พ.ร.บ. ผลิตภัณฑ์สมุนไพร พ.ศ. 2562</t>
        </is>
      </c>
      <c r="F263" s="18" t="inlineStr">
        <is>
          <t>พ.ร.บ. เครื่องสำอาง พ.ศ. 2558</t>
        </is>
      </c>
      <c r="G263" s="18" t="inlineStr">
        <is>
          <t>พ.ร.บ. หลักประกันสุขภาพแห่งชาติ พ.ศ. 2545</t>
        </is>
      </c>
      <c r="H263" s="18" t="inlineStr">
        <is>
          <t>การปฏิบัติทางเภสัชกรรมชุมชน (Good Pharmacy Practice: GPP)</t>
        </is>
      </c>
      <c r="I263" s="18" t="n">
        <v>1</v>
      </c>
      <c r="J263" s="18"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18" t="n"/>
      <c r="L263" s="18" t="inlineStr">
        <is>
          <t>พ.ร.บ. ยา พ.ศ. 2510</t>
        </is>
      </c>
      <c r="M263" s="18" t="inlineStr">
        <is>
          <t>SAP</t>
        </is>
      </c>
      <c r="N263" s="18" t="inlineStr">
        <is>
          <t>ข้อ 1 (PLE_CC1_Key_Rx20_UBU.md)</t>
        </is>
      </c>
      <c r="O263" s="18" t="inlineStr">
        <is>
          <t>Mock</t>
        </is>
      </c>
      <c r="P263" s="18" t="inlineStr">
        <is>
          <t>Mock Rx20 UBU</t>
        </is>
      </c>
    </row>
    <row r="264">
      <c r="A264" s="18" t="n">
        <v>262</v>
      </c>
      <c r="B264" s="18" t="inlineStr">
        <is>
          <t>แนะนำให$ใช$ยาใหมG เนื่องจากยาใหมGมีประสิทธิภาพดีกวGาอยGางไมGมีนัยสำคัญทางสถิติ</t>
        </is>
      </c>
      <c r="C264" s="18" t="n"/>
      <c r="D264" s="18" t="inlineStr">
        <is>
          <t>พ.ร.บ. หลักประกันสุขภาพแห่งชาติ พ.ศ. 2545</t>
        </is>
      </c>
      <c r="E264" s="18" t="inlineStr">
        <is>
          <t>การปฏิบัติทางเภสัชกรรมชุมชน (Good Pharmacy Practice: GPP)</t>
        </is>
      </c>
      <c r="F264" s="18" t="inlineStr">
        <is>
          <t>บัญชียาหลักแห่งชาติ (National List of Essential Medicines: NLEM)</t>
        </is>
      </c>
      <c r="G264" s="18" t="inlineStr">
        <is>
          <t>เกณฑ์จริยธรรมว่าด้วยการส่งเสริมการขายยาของกระทรวงสาธารณสุข</t>
        </is>
      </c>
      <c r="H264" s="18" t="inlineStr">
        <is>
          <t>พ.ร.บ. ยา พ.ศ. 2510 (การจำหน่ายยาอันตรายและยาควบคุมพิเศษ)</t>
        </is>
      </c>
      <c r="I264" s="18" t="n">
        <v>1</v>
      </c>
      <c r="J264" s="18"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18" t="n"/>
      <c r="L264" s="18" t="inlineStr">
        <is>
          <t>พ.ร.บ. ยา พ.ศ. 2510</t>
        </is>
      </c>
      <c r="M264" s="18" t="inlineStr">
        <is>
          <t>SAP</t>
        </is>
      </c>
      <c r="N264" s="18" t="inlineStr">
        <is>
          <t>ข้อ 2 (PLE_CC1_Key_Rx20_UBU.md)</t>
        </is>
      </c>
      <c r="O264" s="18" t="inlineStr">
        <is>
          <t>Mock</t>
        </is>
      </c>
      <c r="P264" s="18" t="inlineStr">
        <is>
          <t>Mock Rx20 UBU</t>
        </is>
      </c>
    </row>
    <row r="265">
      <c r="A265" s="18" t="n">
        <v>263</v>
      </c>
      <c r="B265" s="18" t="inlineStr">
        <is>
          <t>ไมGแนะนำให$ใช$ยาใหมG เนื่องจากยาใหมGมีประสิทธิภาพด$อยกวGายาเดิมอยGางมีนัยสำคัญทางสถิติ</t>
        </is>
      </c>
      <c r="C265" s="18" t="n"/>
      <c r="D265" s="18" t="inlineStr">
        <is>
          <t>เกณฑ์จริยธรรมว่าด้วยการส่งเสริมการขายยาของกระทรวงสาธารณสุข</t>
        </is>
      </c>
      <c r="E265" s="18" t="inlineStr">
        <is>
          <t>พ.ร.บ. ยา พ.ศ. 2510 (การจำหน่ายยาอันตรายและยาควบคุมพิเศษ)</t>
        </is>
      </c>
      <c r="F265" s="18" t="inlineStr">
        <is>
          <t>พ.ร.บ. ยาเสพติดให้โทษ พ.ศ. 2522 (ยาเสพติดให้โทษประเภท 2 และ 3)</t>
        </is>
      </c>
      <c r="G265" s="18" t="inlineStr">
        <is>
          <t>พ.ร.บ. วัตถุที่ออกฤทธิ์ต่อจิตและประสาท พ.ศ. 2559 (ประเภท 2 และ 4)</t>
        </is>
      </c>
      <c r="H265" s="18" t="inlineStr">
        <is>
          <t>พ.ร.บ. วิชาชีพเภสัชกรรม พ.ศ. 2537 และข้อบังคับจรรยาบรรณวิชาชีพ</t>
        </is>
      </c>
      <c r="I265" s="18" t="n">
        <v>1</v>
      </c>
      <c r="J265" s="18"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18" t="n"/>
      <c r="L265" s="18" t="inlineStr">
        <is>
          <t>พ.ร.บ. ยา พ.ศ. 2510</t>
        </is>
      </c>
      <c r="M265" s="18" t="inlineStr">
        <is>
          <t>SAP</t>
        </is>
      </c>
      <c r="N265" s="18" t="inlineStr">
        <is>
          <t>ข้อ 3 (PLE_CC1_Key_Rx20_UBU.md)</t>
        </is>
      </c>
      <c r="O265" s="18" t="inlineStr">
        <is>
          <t>Mock</t>
        </is>
      </c>
      <c r="P265" s="18" t="inlineStr">
        <is>
          <t>Mock Rx20 UBU</t>
        </is>
      </c>
    </row>
    <row r="266">
      <c r="A266" s="18" t="n">
        <v>264</v>
      </c>
      <c r="B266" s="18" t="inlineStr">
        <is>
          <t>ไมGแนะนำให$ใช$ยาใหมG เนื่องจากยาใหมGมีประสิทธิภาพดีกวGายาเดิมอยGางไมGมีนัยสำคัญทางสถิติ</t>
        </is>
      </c>
      <c r="C266" s="18" t="n"/>
      <c r="D266" s="18" t="inlineStr">
        <is>
          <t>พ.ร.บ. วัตถุที่ออกฤทธิ์ต่อจิตและประสาท พ.ศ. 2559 (ประเภท 2 และ 4)</t>
        </is>
      </c>
      <c r="E266" s="18" t="inlineStr">
        <is>
          <t>พ.ร.บ. วิชาชีพเภสัชกรรม พ.ศ. 2537 และข้อบังคับจรรยาบรรณวิชาชีพ</t>
        </is>
      </c>
      <c r="F266" s="18" t="inlineStr">
        <is>
          <t>พ.ร.บ. ผลิตภัณฑ์สมุนไพร พ.ศ. 2562</t>
        </is>
      </c>
      <c r="G266" s="18" t="inlineStr">
        <is>
          <t>พ.ร.บ. เครื่องสำอาง พ.ศ. 2558</t>
        </is>
      </c>
      <c r="H266" s="18" t="inlineStr">
        <is>
          <t>พ.ร.บ. หลักประกันสุขภาพแห่งชาติ พ.ศ. 2545</t>
        </is>
      </c>
      <c r="I266" s="18" t="n">
        <v>1</v>
      </c>
      <c r="J266" s="18"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18" t="n"/>
      <c r="L266" s="18" t="inlineStr">
        <is>
          <t>พ.ร.บ. ยา พ.ศ. 2510</t>
        </is>
      </c>
      <c r="M266" s="18" t="inlineStr">
        <is>
          <t>SAP</t>
        </is>
      </c>
      <c r="N266" s="18" t="inlineStr">
        <is>
          <t>ข้อ 4 (PLE_CC1_Key_Rx20_UBU.md)</t>
        </is>
      </c>
      <c r="O266" s="18" t="inlineStr">
        <is>
          <t>Mock</t>
        </is>
      </c>
      <c r="P266" s="18" t="inlineStr">
        <is>
          <t>Mock Rx20 UBU</t>
        </is>
      </c>
    </row>
    <row r="267">
      <c r="A267" s="18" t="n">
        <v>265</v>
      </c>
      <c r="B267" s="18"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18" t="n"/>
      <c r="D267" s="18" t="inlineStr">
        <is>
          <t>พ.ร.บ. เครื่องสำอาง พ.ศ. 2558</t>
        </is>
      </c>
      <c r="E267" s="18" t="inlineStr">
        <is>
          <t>พ.ร.บ. หลักประกันสุขภาพแห่งชาติ พ.ศ. 2545</t>
        </is>
      </c>
      <c r="F267" s="18" t="inlineStr">
        <is>
          <t>การปฏิบัติทางเภสัชกรรมชุมชน (Good Pharmacy Practice: GPP)</t>
        </is>
      </c>
      <c r="G267" s="18" t="inlineStr">
        <is>
          <t>บัญชียาหลักแห่งชาติ (National List of Essential Medicines: NLEM)</t>
        </is>
      </c>
      <c r="H267" s="18" t="inlineStr">
        <is>
          <t>เกณฑ์จริยธรรมว่าด้วยการส่งเสริมการขายยาของกระทรวงสาธารณสุข</t>
        </is>
      </c>
      <c r="I267" s="18" t="n">
        <v>1</v>
      </c>
      <c r="J267"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18" t="n"/>
      <c r="L267" s="18" t="inlineStr">
        <is>
          <t>พ.ร.บ. ยา พ.ศ. 2510</t>
        </is>
      </c>
      <c r="M267" s="18" t="inlineStr">
        <is>
          <t>SAP</t>
        </is>
      </c>
      <c r="N267" s="18" t="inlineStr">
        <is>
          <t>ข้อ 9 (PLE_CC1_Key_Rx20_UBU.md)</t>
        </is>
      </c>
      <c r="O267" s="18" t="inlineStr">
        <is>
          <t>Mock</t>
        </is>
      </c>
      <c r="P267" s="18" t="inlineStr">
        <is>
          <t>Mock Rx20 UBU</t>
        </is>
      </c>
    </row>
    <row r="268">
      <c r="A268" s="18" t="n">
        <v>266</v>
      </c>
      <c r="B268" s="18"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18" t="n"/>
      <c r="D268" s="18" t="inlineStr">
        <is>
          <t>บัญชียาหลักแห่งชาติ (National List of Essential Medicines: NLEM)</t>
        </is>
      </c>
      <c r="E268" s="18" t="inlineStr">
        <is>
          <t>เกณฑ์จริยธรรมว่าด้วยการส่งเสริมการขายยาของกระทรวงสาธารณสุข</t>
        </is>
      </c>
      <c r="F268" s="18" t="inlineStr">
        <is>
          <t>พ.ร.บ. ยา พ.ศ. 2510 (การจำหน่ายยาอันตรายและยาควบคุมพิเศษ)</t>
        </is>
      </c>
      <c r="G268" s="18" t="inlineStr">
        <is>
          <t>พ.ร.บ. ยาเสพติดให้โทษ พ.ศ. 2522 (ยาเสพติดให้โทษประเภท 2 และ 3)</t>
        </is>
      </c>
      <c r="H268" s="18" t="inlineStr">
        <is>
          <t>พ.ร.บ. วัตถุที่ออกฤทธิ์ต่อจิตและประสาท พ.ศ. 2559 (ประเภท 2 และ 4)</t>
        </is>
      </c>
      <c r="I268" s="18" t="n">
        <v>3</v>
      </c>
      <c r="J268" s="18"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18" t="n"/>
      <c r="L268" s="18" t="inlineStr">
        <is>
          <t>พ.ร.บ. ยาเสพติดให้โทษ &amp; วัตถุออกฤทธิ์</t>
        </is>
      </c>
      <c r="M268" s="18" t="inlineStr">
        <is>
          <t>SAP</t>
        </is>
      </c>
      <c r="N268" s="18" t="inlineStr">
        <is>
          <t>ข้อ 4 (PLE_CC1_Key_Rx20_UBU.md)</t>
        </is>
      </c>
      <c r="O268" s="18" t="inlineStr">
        <is>
          <t>Mock</t>
        </is>
      </c>
      <c r="P268" s="18" t="inlineStr">
        <is>
          <t>Mock Rx20 UBU</t>
        </is>
      </c>
    </row>
    <row r="269">
      <c r="A269" s="18" t="n">
        <v>267</v>
      </c>
      <c r="B269" s="18" t="inlineStr">
        <is>
          <t>Midazolam เป็นยาประเภทใดตามกฎหมาย</t>
        </is>
      </c>
      <c r="C269" s="18" t="n"/>
      <c r="D269" s="18" t="inlineStr">
        <is>
          <t>ยาอันตราย</t>
        </is>
      </c>
      <c r="E269" s="18" t="inlineStr">
        <is>
          <t>ยาควบคุมพิเศษ</t>
        </is>
      </c>
      <c r="F269" s="18" t="inlineStr">
        <is>
          <t>ยาเสพติดให้โทษประเภท 3</t>
        </is>
      </c>
      <c r="G269" s="18" t="inlineStr">
        <is>
          <t>วัตถุออกฤทธิ์ต่อจิตและประสาทประเภท 2</t>
        </is>
      </c>
      <c r="H269" s="18" t="inlineStr">
        <is>
          <t>วัตถุออกฤทธิ์ต่อจิตและประสาทประเภท 4</t>
        </is>
      </c>
      <c r="I269" s="18" t="n">
        <v>4</v>
      </c>
      <c r="J269" s="18"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(วัตถุออกฤทธิ์ต่อจิตและประสาทประเภท 4):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18" t="n"/>
      <c r="L269" s="18" t="inlineStr">
        <is>
          <t>พ.ร.บ. ยา พ.ศ. 2510</t>
        </is>
      </c>
      <c r="M269" s="18" t="inlineStr">
        <is>
          <t>SAP</t>
        </is>
      </c>
      <c r="N269" s="18" t="inlineStr">
        <is>
          <t>ข้อ 5 (PLE_CC1_Key_Rx20_UBU.md)</t>
        </is>
      </c>
      <c r="O269" s="18" t="inlineStr">
        <is>
          <t>Mock</t>
        </is>
      </c>
      <c r="P269" s="18" t="inlineStr">
        <is>
          <t>Mock Rx20 UBU</t>
        </is>
      </c>
    </row>
    <row r="270">
      <c r="A270" s="18" t="n">
        <v>268</v>
      </c>
      <c r="B270" s="18" t="inlineStr">
        <is>
          <t>จากกรณีศึกษาทั้งหมด นายข. ซึ่งเป็นเภสัชผู้มีหน้าที่ปฏิบัติการกระทำผิดตามจรรยาบรรณทุกข้อ ยกเว้นข้อใด</t>
        </is>
      </c>
      <c r="C270" s="18" t="n"/>
      <c r="D270" s="18" t="inlineStr">
        <is>
          <t>ต้องดำรงตนให้สมควรในสังคมโดยธรรมและเคารพต่อกฎหมายของบ้านเมือง</t>
        </is>
      </c>
      <c r="E270" s="18" t="inlineStr">
        <is>
          <t>ต้องประกอบวิชาชีพโดยคำนึงถึงความปลอดภัยและเศรษฐานะของผู้ป่วยหรือผู้มารับบริการ</t>
        </is>
      </c>
      <c r="F270" s="18" t="inlineStr">
        <is>
          <t>ต้องไม่ใช้หรือสนับสนุนการใช้ยาตำรับลับ</t>
        </is>
      </c>
      <c r="G270" s="18" t="inlineStr">
        <is>
          <t>ต้องไม่ใช้หรือสนับสนุนให้มีการประกอบวิชาชีพโดยผิดกฎหมาย</t>
        </is>
      </c>
      <c r="H270" s="18"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18" t="n">
        <v>3</v>
      </c>
      <c r="J270" s="18"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(ต้องประกอบวิชาชีพโดยคำนึงถึงความปลอดภัยและเศรษฐานะของผู้ป่วยหรือผู้มารับบริการ):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18" t="n"/>
      <c r="L270" s="18" t="inlineStr">
        <is>
          <t>พ.ร.บ. วิชาชีพเภสัชกรรม 2537</t>
        </is>
      </c>
      <c r="M270" s="18" t="inlineStr">
        <is>
          <t>SAP</t>
        </is>
      </c>
      <c r="N270" s="18" t="inlineStr">
        <is>
          <t>ข้อ 12 (PLE_CC1_Key_Rx20_UBU.md)</t>
        </is>
      </c>
      <c r="O270" s="18" t="inlineStr">
        <is>
          <t>Mock</t>
        </is>
      </c>
      <c r="P270" s="18" t="inlineStr">
        <is>
          <t>Mock Rx20 UBU</t>
        </is>
      </c>
    </row>
    <row r="271">
      <c r="A271" s="18" t="n">
        <v>269</v>
      </c>
      <c r="B271" s="18" t="inlineStr">
        <is>
          <t>Good Pharmacy Practice (GPP) ปี 2556 บังคับใช้กับที่ไหน</t>
        </is>
      </c>
      <c r="C271" s="18" t="n"/>
      <c r="D271" s="18" t="inlineStr">
        <is>
          <t>การปฏิบัติทางเภสัชกรรมชุมชน (Good Pharmacy Practice: GPP)</t>
        </is>
      </c>
      <c r="E271" s="18" t="inlineStr">
        <is>
          <t>บัญชียาหลักแห่งชาติ (National List of Essential Medicines: NLEM)</t>
        </is>
      </c>
      <c r="F271" s="18" t="inlineStr">
        <is>
          <t>เกณฑ์จริยธรรมว่าด้วยการส่งเสริมการขายยาของกระทรวงสาธารณสุข</t>
        </is>
      </c>
      <c r="G271" s="18" t="inlineStr">
        <is>
          <t>พ.ร.บ. ยา พ.ศ. 2510 (การจำหน่ายยาอันตรายและยาควบคุมพิเศษ)</t>
        </is>
      </c>
      <c r="H271" s="18" t="inlineStr">
        <is>
          <t>พ.ร.บ. ยาเสพติดให้โทษ พ.ศ. 2522 (ยาเสพติดให้โทษประเภท 2 และ 3)</t>
        </is>
      </c>
      <c r="I271" s="18" t="n">
        <v>1</v>
      </c>
      <c r="J271" s="1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18" t="n"/>
      <c r="L271" s="18" t="inlineStr">
        <is>
          <t>พ.ร.บ. ยา พ.ศ. 2510</t>
        </is>
      </c>
      <c r="M271" s="18" t="inlineStr">
        <is>
          <t>SAP</t>
        </is>
      </c>
      <c r="N271" s="18" t="inlineStr">
        <is>
          <t>ข้อ 2 (PLE_CC1_Key_Rx20_UBU.md)</t>
        </is>
      </c>
      <c r="O271" s="18" t="inlineStr">
        <is>
          <t>Mock</t>
        </is>
      </c>
      <c r="P271" s="18" t="inlineStr">
        <is>
          <t>Mock Rx20 UBU</t>
        </is>
      </c>
    </row>
    <row r="272">
      <c r="A272" s="18" t="n">
        <v>270</v>
      </c>
      <c r="B272" s="18"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18" t="n"/>
      <c r="D272" s="18" t="inlineStr">
        <is>
          <t>พ.ร.บ. ยา พ.ศ. 2510 (การจำหน่ายยาอันตรายและยาควบคุมพิเศษ)</t>
        </is>
      </c>
      <c r="E272" s="18" t="inlineStr">
        <is>
          <t>พ.ร.บ. ยาเสพติดให้โทษ พ.ศ. 2522 (ยาเสพติดให้โทษประเภท 2 และ 3)</t>
        </is>
      </c>
      <c r="F272" s="18" t="inlineStr">
        <is>
          <t>พ.ร.บ. วัตถุที่ออกฤทธิ์ต่อจิตและประสาท พ.ศ. 2559 (ประเภท 2 และ 4)</t>
        </is>
      </c>
      <c r="G272" s="18" t="inlineStr">
        <is>
          <t>พ.ร.บ. วิชาชีพเภสัชกรรม พ.ศ. 2537 และข้อบังคับจรรยาบรรณวิชาชีพ</t>
        </is>
      </c>
      <c r="H272" s="18" t="inlineStr">
        <is>
          <t>พ.ร.บ. ผลิตภัณฑ์สมุนไพร พ.ศ. 2562</t>
        </is>
      </c>
      <c r="I272" s="18" t="n">
        <v>1</v>
      </c>
      <c r="J272" s="18"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18" t="n"/>
      <c r="L272" s="18" t="inlineStr">
        <is>
          <t>พ.ร.บ. ยาเสพติดให้โทษ &amp; วัตถุออกฤทธิ์</t>
        </is>
      </c>
      <c r="M272" s="18" t="inlineStr">
        <is>
          <t>SAP</t>
        </is>
      </c>
      <c r="N272" s="18" t="inlineStr">
        <is>
          <t>ข้อ 2 (PLE_CC1_Key_Rx20_UBU.md)</t>
        </is>
      </c>
      <c r="O272" s="18" t="inlineStr">
        <is>
          <t>Mock</t>
        </is>
      </c>
      <c r="P272" s="18" t="inlineStr">
        <is>
          <t>Mock Rx20 UBU</t>
        </is>
      </c>
    </row>
    <row r="273">
      <c r="A273" s="18" t="n">
        <v>271</v>
      </c>
      <c r="B273" s="18" t="inlineStr">
        <is>
          <t>Midazolam เปนยาประเภทใดตามกฎหมาย</t>
        </is>
      </c>
      <c r="C273" s="18" t="n"/>
      <c r="D273" s="18" t="inlineStr">
        <is>
          <t>พ.ร.บ. วิชาชีพเภสัชกรรม พ.ศ. 2537 และข้อบังคับจรรยาบรรณวิชาชีพ</t>
        </is>
      </c>
      <c r="E273" s="18" t="inlineStr">
        <is>
          <t>พ.ร.บ. ผลิตภัณฑ์สมุนไพร พ.ศ. 2562</t>
        </is>
      </c>
      <c r="F273" s="18" t="inlineStr">
        <is>
          <t>พ.ร.บ. เครื่องสำอาง พ.ศ. 2558</t>
        </is>
      </c>
      <c r="G273" s="18" t="inlineStr">
        <is>
          <t>พ.ร.บ. หลักประกันสุขภาพแห่งชาติ พ.ศ. 2545</t>
        </is>
      </c>
      <c r="H273" s="18" t="inlineStr">
        <is>
          <t>การปฏิบัติทางเภสัชกรรมชุมชน (Good Pharmacy Practice: GPP)</t>
        </is>
      </c>
      <c r="I273" s="18" t="n">
        <v>1</v>
      </c>
      <c r="J273" s="1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18" t="n"/>
      <c r="L273" s="18" t="inlineStr">
        <is>
          <t>พ.ร.บ. ยา พ.ศ. 2510</t>
        </is>
      </c>
      <c r="M273" s="18" t="inlineStr">
        <is>
          <t>SAP</t>
        </is>
      </c>
      <c r="N273" s="18" t="inlineStr">
        <is>
          <t>ข้อ 5 (PLE_CC1_Key_Rx20_UBU.md)</t>
        </is>
      </c>
      <c r="O273" s="18" t="inlineStr">
        <is>
          <t>Mock</t>
        </is>
      </c>
      <c r="P273" s="18" t="inlineStr">
        <is>
          <t>Mock Rx20 UBU</t>
        </is>
      </c>
    </row>
    <row r="274">
      <c r="A274" s="18" t="n">
        <v>272</v>
      </c>
      <c r="B274" s="18" t="inlineStr">
        <is>
          <t>มีความผิดฐานขายยาผิดกฎหมาย</t>
        </is>
      </c>
      <c r="C274" s="18" t="n"/>
      <c r="D274" s="18" t="inlineStr">
        <is>
          <t>พ.ร.บ. หลักประกันสุขภาพแห่งชาติ พ.ศ. 2545</t>
        </is>
      </c>
      <c r="E274" s="18" t="inlineStr">
        <is>
          <t>การปฏิบัติทางเภสัชกรรมชุมชน (Good Pharmacy Practice: GPP)</t>
        </is>
      </c>
      <c r="F274" s="18" t="inlineStr">
        <is>
          <t>บัญชียาหลักแห่งชาติ (National List of Essential Medicines: NLEM)</t>
        </is>
      </c>
      <c r="G274" s="18" t="inlineStr">
        <is>
          <t>เกณฑ์จริยธรรมว่าด้วยการส่งเสริมการขายยาของกระทรวงสาธารณสุข</t>
        </is>
      </c>
      <c r="H274" s="18" t="inlineStr">
        <is>
          <t>พ.ร.บ. ยา พ.ศ. 2510 (การจำหน่ายยาอันตรายและยาควบคุมพิเศษ)</t>
        </is>
      </c>
      <c r="I274" s="18" t="n">
        <v>1</v>
      </c>
      <c r="J274" s="1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18" t="n"/>
      <c r="L274" s="18" t="inlineStr">
        <is>
          <t>พ.ร.บ. ยา พ.ศ. 2510</t>
        </is>
      </c>
      <c r="M274" s="18" t="inlineStr">
        <is>
          <t>SAP</t>
        </is>
      </c>
      <c r="N274" s="18" t="inlineStr">
        <is>
          <t>ข้อ 2 (PLE_CC1_Key_Rx20_UBU.md)</t>
        </is>
      </c>
      <c r="O274" s="18" t="inlineStr">
        <is>
          <t>Mock</t>
        </is>
      </c>
      <c r="P274" s="18" t="inlineStr">
        <is>
          <t>Mock Rx20 UBU</t>
        </is>
      </c>
    </row>
    <row r="275">
      <c r="A275" s="18" t="n">
        <v>273</v>
      </c>
      <c r="B275" s="18" t="inlineStr">
        <is>
          <t>มีความผิดฐานไม่ควบคุมการขายยาให้เป็นไปตามพรบ</t>
        </is>
      </c>
      <c r="C275" s="18" t="n"/>
      <c r="D275" s="18" t="inlineStr">
        <is>
          <t>เกณฑ์จริยธรรมว่าด้วยการส่งเสริมการขายยาของกระทรวงสาธารณสุข</t>
        </is>
      </c>
      <c r="E275" s="18" t="inlineStr">
        <is>
          <t>พ.ร.บ. ยา พ.ศ. 2510 (การจำหน่ายยาอันตรายและยาควบคุมพิเศษ)</t>
        </is>
      </c>
      <c r="F275" s="18" t="inlineStr">
        <is>
          <t>พ.ร.บ. ยาเสพติดให้โทษ พ.ศ. 2522 (ยาเสพติดให้โทษประเภท 2 และ 3)</t>
        </is>
      </c>
      <c r="G275" s="18" t="inlineStr">
        <is>
          <t>พ.ร.บ. วัตถุที่ออกฤทธิ์ต่อจิตและประสาท พ.ศ. 2559 (ประเภท 2 และ 4)</t>
        </is>
      </c>
      <c r="H275" s="18" t="inlineStr">
        <is>
          <t>พ.ร.บ. วิชาชีพเภสัชกรรม พ.ศ. 2537 และข้อบังคับจรรยาบรรณวิชาชีพ</t>
        </is>
      </c>
      <c r="I275" s="18" t="n">
        <v>1</v>
      </c>
      <c r="J275"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18" t="n"/>
      <c r="L275" s="18" t="inlineStr">
        <is>
          <t>พ.ร.บ. ยา พ.ศ. 2510</t>
        </is>
      </c>
      <c r="M275" s="18" t="inlineStr">
        <is>
          <t>SAP</t>
        </is>
      </c>
      <c r="N275" s="18" t="inlineStr">
        <is>
          <t>ข้อ 4 (PLE_CC1_Key_Rx20_UBU.md)</t>
        </is>
      </c>
      <c r="O275" s="18" t="inlineStr">
        <is>
          <t>Mock</t>
        </is>
      </c>
      <c r="P275" s="18" t="inlineStr">
        <is>
          <t>Mock Rx20 UBU</t>
        </is>
      </c>
    </row>
    <row r="276">
      <c r="A276" s="18" t="n">
        <v>274</v>
      </c>
      <c r="B276" s="18" t="inlineStr">
        <is>
          <t>นาย ค. ซึงเปนบิดาของผูรับอนุญาตผิด เนื่องจากไม่มีสิทธิอยู่ประจำร้าน</t>
        </is>
      </c>
      <c r="C276" s="18" t="n"/>
      <c r="D276" s="18" t="inlineStr">
        <is>
          <t>พ.ร.บ. วัตถุที่ออกฤทธิ์ต่อจิตและประสาท พ.ศ. 2559 (ประเภท 2 และ 4)</t>
        </is>
      </c>
      <c r="E276" s="18" t="inlineStr">
        <is>
          <t>พ.ร.บ. วิชาชีพเภสัชกรรม พ.ศ. 2537 และข้อบังคับจรรยาบรรณวิชาชีพ</t>
        </is>
      </c>
      <c r="F276" s="18" t="inlineStr">
        <is>
          <t>พ.ร.บ. ผลิตภัณฑ์สมุนไพร พ.ศ. 2562</t>
        </is>
      </c>
      <c r="G276" s="18" t="inlineStr">
        <is>
          <t>พ.ร.บ. เครื่องสำอาง พ.ศ. 2558</t>
        </is>
      </c>
      <c r="H276" s="18" t="inlineStr">
        <is>
          <t>พ.ร.บ. หลักประกันสุขภาพแห่งชาติ พ.ศ. 2545</t>
        </is>
      </c>
      <c r="I276" s="18" t="n">
        <v>1</v>
      </c>
      <c r="J276"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18" t="n"/>
      <c r="L276" s="18" t="inlineStr">
        <is>
          <t>พ.ร.บ. ยา พ.ศ. 2510</t>
        </is>
      </c>
      <c r="M276" s="18" t="inlineStr">
        <is>
          <t>SAP</t>
        </is>
      </c>
      <c r="N276" s="18" t="inlineStr">
        <is>
          <t>ข้อ 4 (PLE_CC1_Key_Rx20_UBU.md)</t>
        </is>
      </c>
      <c r="O276" s="18" t="inlineStr">
        <is>
          <t>Mock</t>
        </is>
      </c>
      <c r="P276" s="18" t="inlineStr">
        <is>
          <t>Mock Rx20 UBU</t>
        </is>
      </c>
    </row>
    <row r="277">
      <c r="A277" s="18" t="n">
        <v>275</v>
      </c>
      <c r="B277" s="18" t="inlineStr">
        <is>
          <t>จากกรณีศึกษาทั้งหมด นายข. ซึ่งเป็นเภสัชผู้มีหน้าที่ปฏิบัติการกระทำผิดตามจรรยาบรรณทุกข้อ ยกเว้นข้อใด</t>
        </is>
      </c>
      <c r="C277" s="18" t="n"/>
      <c r="D277" s="18" t="inlineStr">
        <is>
          <t>พ.ร.บ. เครื่องสำอาง พ.ศ. 2558</t>
        </is>
      </c>
      <c r="E277" s="18" t="inlineStr">
        <is>
          <t>พ.ร.บ. หลักประกันสุขภาพแห่งชาติ พ.ศ. 2545</t>
        </is>
      </c>
      <c r="F277" s="18" t="inlineStr">
        <is>
          <t>การปฏิบัติทางเภสัชกรรมชุมชน (Good Pharmacy Practice: GPP)</t>
        </is>
      </c>
      <c r="G277" s="18" t="inlineStr">
        <is>
          <t>บัญชียาหลักแห่งชาติ (National List of Essential Medicines: NLEM)</t>
        </is>
      </c>
      <c r="H277" s="18" t="inlineStr">
        <is>
          <t>เกณฑ์จริยธรรมว่าด้วยการส่งเสริมการขายยาของกระทรวงสาธารณสุข</t>
        </is>
      </c>
      <c r="I277" s="18" t="n">
        <v>1</v>
      </c>
      <c r="J277" s="1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18" t="n"/>
      <c r="L277" s="18" t="inlineStr">
        <is>
          <t>พ.ร.บ. วิชาชีพเภสัชกรรม 2537</t>
        </is>
      </c>
      <c r="M277" s="18" t="inlineStr">
        <is>
          <t>SAP</t>
        </is>
      </c>
      <c r="N277" s="18" t="inlineStr">
        <is>
          <t>ข้อ 12 (PLE_CC1_Key_Rx20_UBU.md)</t>
        </is>
      </c>
      <c r="O277" s="18" t="inlineStr">
        <is>
          <t>Mock</t>
        </is>
      </c>
      <c r="P277" s="18" t="inlineStr">
        <is>
          <t>Mock Rx20 UBU</t>
        </is>
      </c>
    </row>
    <row r="278">
      <c r="A278" s="18" t="n">
        <v>276</v>
      </c>
      <c r="B278" s="18"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18" t="n"/>
      <c r="D278" s="18" t="inlineStr">
        <is>
          <t>บัญชียาหลักแห่งชาติ (National List of Essential Medicines: NLEM)</t>
        </is>
      </c>
      <c r="E278" s="18" t="inlineStr">
        <is>
          <t>เกณฑ์จริยธรรมว่าด้วยการส่งเสริมการขายยาของกระทรวงสาธารณสุข</t>
        </is>
      </c>
      <c r="F278" s="18" t="inlineStr">
        <is>
          <t>พ.ร.บ. ยา พ.ศ. 2510 (การจำหน่ายยาอันตรายและยาควบคุมพิเศษ)</t>
        </is>
      </c>
      <c r="G278" s="18" t="inlineStr">
        <is>
          <t>พ.ร.บ. ยาเสพติดให้โทษ พ.ศ. 2522 (ยาเสพติดให้โทษประเภท 2 และ 3)</t>
        </is>
      </c>
      <c r="H278" s="18" t="inlineStr">
        <is>
          <t>พ.ร.บ. วัตถุที่ออกฤทธิ์ต่อจิตและประสาท พ.ศ. 2559 (ประเภท 2 และ 4)</t>
        </is>
      </c>
      <c r="I278" s="18" t="n">
        <v>1</v>
      </c>
      <c r="J278"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18" t="n"/>
      <c r="L278" s="18" t="inlineStr">
        <is>
          <t>พ.ร.บ. ยา พ.ศ. 2510</t>
        </is>
      </c>
      <c r="M278" s="18" t="inlineStr">
        <is>
          <t>SAP</t>
        </is>
      </c>
      <c r="N278" s="18" t="inlineStr">
        <is>
          <t>ข้อ 5 (PLE_CC1_Key_Rx20_UBU.md)</t>
        </is>
      </c>
      <c r="O278" s="18" t="inlineStr">
        <is>
          <t>Mock</t>
        </is>
      </c>
      <c r="P278" s="18" t="inlineStr">
        <is>
          <t>Mock Rx20 UBU</t>
        </is>
      </c>
    </row>
    <row r="279">
      <c r="A279" s="18" t="n">
        <v>277</v>
      </c>
      <c r="B279" s="18"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18" t="n"/>
      <c r="D279" s="18" t="inlineStr">
        <is>
          <t>พ.ร.บ. ยาเสพติดให้โทษ พ.ศ. 2522 (ยาเสพติดให้โทษประเภท 2 และ 3)</t>
        </is>
      </c>
      <c r="E279" s="18" t="inlineStr">
        <is>
          <t>พ.ร.บ. วัตถุที่ออกฤทธิ์ต่อจิตและประสาท พ.ศ. 2559 (ประเภท 2 และ 4)</t>
        </is>
      </c>
      <c r="F279" s="18" t="inlineStr">
        <is>
          <t>พ.ร.บ. วิชาชีพเภสัชกรรม พ.ศ. 2537 และข้อบังคับจรรยาบรรณวิชาชีพ</t>
        </is>
      </c>
      <c r="G279" s="18" t="inlineStr">
        <is>
          <t>พ.ร.บ. ผลิตภัณฑ์สมุนไพร พ.ศ. 2562</t>
        </is>
      </c>
      <c r="H279" s="18" t="inlineStr">
        <is>
          <t>พ.ร.บ. เครื่องสำอาง พ.ศ. 2558</t>
        </is>
      </c>
      <c r="I279" s="18" t="n">
        <v>2</v>
      </c>
      <c r="J279" s="18"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18" t="n"/>
      <c r="L279" s="18" t="inlineStr">
        <is>
          <t>พ.ร.บ. ยา พ.ศ. 2510</t>
        </is>
      </c>
      <c r="M279" s="18" t="inlineStr">
        <is>
          <t>SAP</t>
        </is>
      </c>
      <c r="N279" s="18" t="inlineStr">
        <is>
          <t>ข้อ 4 (PLE_CC1_Key_Rx20_UBU.md)</t>
        </is>
      </c>
      <c r="O279" s="18" t="inlineStr">
        <is>
          <t>Mock</t>
        </is>
      </c>
      <c r="P279" s="18" t="inlineStr">
        <is>
          <t>Mock Rx20 UBU</t>
        </is>
      </c>
    </row>
    <row r="280">
      <c r="A280" s="18" t="n">
        <v>278</v>
      </c>
      <c r="B280" s="18" t="inlineStr">
        <is>
          <t>ใครผิดจรรยาบรรณบ้าง</t>
        </is>
      </c>
      <c r="C280" s="18" t="n"/>
      <c r="D280" s="18" t="inlineStr">
        <is>
          <t>พ.ร.บ. ผลิตภัณฑ์สมุนไพร พ.ศ. 2562</t>
        </is>
      </c>
      <c r="E280" s="18" t="inlineStr">
        <is>
          <t>พ.ร.บ. เครื่องสำอาง พ.ศ. 2558</t>
        </is>
      </c>
      <c r="F280" s="18" t="inlineStr">
        <is>
          <t>พ.ร.บ. หลักประกันสุขภาพแห่งชาติ พ.ศ. 2545</t>
        </is>
      </c>
      <c r="G280" s="18" t="inlineStr">
        <is>
          <t>การปฏิบัติทางเภสัชกรรมชุมชน (Good Pharmacy Practice: GPP)</t>
        </is>
      </c>
      <c r="H280" s="18" t="inlineStr">
        <is>
          <t>บัญชียาหลักแห่งชาติ (National List of Essential Medicines: NLEM)</t>
        </is>
      </c>
      <c r="I280" s="18" t="n">
        <v>1</v>
      </c>
      <c r="J280"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18" t="n"/>
      <c r="L280" s="18" t="inlineStr">
        <is>
          <t>พ.ร.บ. วิชาชีพเภสัชกรรม 2537</t>
        </is>
      </c>
      <c r="M280" s="18" t="inlineStr">
        <is>
          <t>SAP</t>
        </is>
      </c>
      <c r="N280" s="18" t="inlineStr">
        <is>
          <t>ข้อ 12 (PLE_CC1_Key_Rx20_UBU.md)</t>
        </is>
      </c>
      <c r="O280" s="18" t="inlineStr">
        <is>
          <t>Mock</t>
        </is>
      </c>
      <c r="P280" s="18" t="inlineStr">
        <is>
          <t>Mock Rx20 UBU</t>
        </is>
      </c>
    </row>
    <row r="281">
      <c r="A281" s="18" t="n">
        <v>279</v>
      </c>
      <c r="B281" s="18"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18" t="n"/>
      <c r="D281" s="18" t="inlineStr">
        <is>
          <t>Pneumonia ทำให้เกิด exacerbation ได้ ถูกต้อง ปัจจัยเสี่ยงของการเกิด COPD → การติดเชื้อในปอด , มลภาวะทางอากาศ , สูบบุหรี่</t>
        </is>
      </c>
      <c r="E281" s="18" t="inlineStr">
        <is>
          <t>FEV1 80% mild 50-80 moderate 30-50 Severe &lt;30% Very severe</t>
        </is>
      </c>
      <c r="F281" s="18"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18" t="inlineStr">
        <is>
          <t>พ.ร.บ. ยา พ.ศ. 2510 (การจำหน่ายยาอันตรายและยาควบคุมพิเศษ)</t>
        </is>
      </c>
      <c r="H281" s="18" t="inlineStr">
        <is>
          <t>พ.ร.บ. ยาเสพติดให้โทษ พ.ศ. 2522 (ยาเสพติดให้โทษประเภท 2 และ 3)</t>
        </is>
      </c>
      <c r="I281" s="18" t="n">
        <v>5</v>
      </c>
      <c r="J281" s="18"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ข้อนี้ไม่ใช่คำตอบที่ถูกต้องสำหรับภาวะ พ.ร.บ. ยา พ.ศ. 2510 เนื่องจากกลไกการออกฤทธิ์, efficacy หรือข้อบ่งใช้ไม่ตรงกับโจทย์ที่กำหนด
• ข้อ ข. (FEV1 80% mild 50-80 moderate 30-50 Severe &lt;30% Very severe):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18" t="n"/>
      <c r="L281" s="18" t="inlineStr">
        <is>
          <t>พ.ร.บ. ยา พ.ศ. 2510</t>
        </is>
      </c>
      <c r="M281" s="18" t="inlineStr">
        <is>
          <t>SAP</t>
        </is>
      </c>
      <c r="N281" s="18" t="inlineStr">
        <is>
          <t>ข้อ 5 (PLE_CC1_Key_Rx20_UBU.md)</t>
        </is>
      </c>
      <c r="O281" s="18" t="inlineStr">
        <is>
          <t>Mock</t>
        </is>
      </c>
      <c r="P281" s="18" t="inlineStr">
        <is>
          <t>Mock Rx20 UBU</t>
        </is>
      </c>
    </row>
    <row r="282">
      <c r="A282" s="18" t="n">
        <v>280</v>
      </c>
      <c r="B282" s="18" t="inlineStr">
        <is>
          <t>ยา PPI มีประสิทธิภาพเหนือกวา H2 blockers ในการรักษา GERD</t>
        </is>
      </c>
      <c r="C282" s="18" t="n"/>
      <c r="D282" s="18" t="inlineStr">
        <is>
          <t>พ.ร.บ. ยา พ.ศ. 2510 (การจำหน่ายยาอันตรายและยาควบคุมพิเศษ)</t>
        </is>
      </c>
      <c r="E282" s="18" t="inlineStr">
        <is>
          <t>พ.ร.บ. ยาเสพติดให้โทษ พ.ศ. 2522 (ยาเสพติดให้โทษประเภท 2 และ 3)</t>
        </is>
      </c>
      <c r="F282" s="18" t="inlineStr">
        <is>
          <t>พ.ร.บ. วัตถุที่ออกฤทธิ์ต่อจิตและประสาท พ.ศ. 2559 (ประเภท 2 และ 4)</t>
        </is>
      </c>
      <c r="G282" s="18" t="inlineStr">
        <is>
          <t>พ.ร.บ. วิชาชีพเภสัชกรรม พ.ศ. 2537 และข้อบังคับจรรยาบรรณวิชาชีพ</t>
        </is>
      </c>
      <c r="H282" s="18" t="inlineStr">
        <is>
          <t>พ.ร.บ. ผลิตภัณฑ์สมุนไพร พ.ศ. 2562</t>
        </is>
      </c>
      <c r="I282" s="18" t="n">
        <v>1</v>
      </c>
      <c r="J282" s="1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18" t="n"/>
      <c r="L282" s="18" t="inlineStr">
        <is>
          <t>พ.ร.บ. ยา พ.ศ. 2510</t>
        </is>
      </c>
      <c r="M282" s="18" t="inlineStr">
        <is>
          <t>SAP</t>
        </is>
      </c>
      <c r="N282" s="18" t="inlineStr">
        <is>
          <t>ข้อ 3 (PLE_CC1_Key_Rx20_UBU.md)</t>
        </is>
      </c>
      <c r="O282" s="18" t="inlineStr">
        <is>
          <t>Mock</t>
        </is>
      </c>
      <c r="P282" s="18" t="inlineStr">
        <is>
          <t>Mock Rx20 UBU</t>
        </is>
      </c>
    </row>
    <row r="283">
      <c r="A283" s="18" t="n">
        <v>281</v>
      </c>
      <c r="B283" s="18" t="inlineStr">
        <is>
          <t>ผู้ป่วยมีสิทธิได้รับทราบชื่อ สกุล และวิชาชีพของผู้ให้การรักษาพยาบาลแก่ตน</t>
        </is>
      </c>
      <c r="C283" s="18" t="n"/>
      <c r="D283" s="18"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18" t="inlineStr">
        <is>
          <t>พ.ร.บ. ผลิตภัณฑ์สมุนไพร พ.ศ. 2562</t>
        </is>
      </c>
      <c r="F283" s="18" t="inlineStr">
        <is>
          <t>พ.ร.บ. เครื่องสำอาง พ.ศ. 2558</t>
        </is>
      </c>
      <c r="G283" s="18" t="inlineStr">
        <is>
          <t>พ.ร.บ. หลักประกันสุขภาพแห่งชาติ พ.ศ. 2545</t>
        </is>
      </c>
      <c r="H283" s="18" t="inlineStr">
        <is>
          <t>การปฏิบัติทางเภสัชกรรมชุมชน (Good Pharmacy Practice: GPP)</t>
        </is>
      </c>
      <c r="I283" s="18" t="n">
        <v>1</v>
      </c>
      <c r="J283" s="18"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18" t="n"/>
      <c r="L283" s="18" t="inlineStr">
        <is>
          <t>พ.ร.บ. ยา พ.ศ. 2510</t>
        </is>
      </c>
      <c r="M283" s="18" t="inlineStr">
        <is>
          <t>SAP</t>
        </is>
      </c>
      <c r="N283" s="18" t="inlineStr">
        <is>
          <t>ข้อ 1 (PLE_CC1_Key_Rx20_UBU.md)</t>
        </is>
      </c>
      <c r="O283" s="18" t="inlineStr">
        <is>
          <t>Mock</t>
        </is>
      </c>
      <c r="P283" s="18" t="inlineStr">
        <is>
          <t>Mock Rx20 UBU</t>
        </is>
      </c>
    </row>
    <row r="284">
      <c r="A284" s="18" t="n">
        <v>282</v>
      </c>
      <c r="B284" s="18" t="inlineStr">
        <is>
          <t>ผู้ป่วยมีสิทธิได้รับการปกปิดข้อมูลของตนเอง</t>
        </is>
      </c>
      <c r="C284" s="18" t="n"/>
      <c r="D284" s="18" t="inlineStr">
        <is>
          <t>ผู้ป่วยมีสิทธิขอความเห็นจากผู้ประกอบวิชาชีพด้านสุขภาพอื่นที่มิได้เป็นผู้ให้การรักษาพยาบาลแก่ตน</t>
        </is>
      </c>
      <c r="E284" s="18"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18" t="inlineStr">
        <is>
          <t>บัญชียาหลักแห่งชาติ (National List of Essential Medicines: NLEM)</t>
        </is>
      </c>
      <c r="G284" s="18" t="inlineStr">
        <is>
          <t>เกณฑ์จริยธรรมว่าด้วยการส่งเสริมการขายยาของกระทรวงสาธารณสุข</t>
        </is>
      </c>
      <c r="H284" s="18" t="inlineStr">
        <is>
          <t>พ.ร.บ. ยา พ.ศ. 2510 (การจำหน่ายยาอันตรายและยาควบคุมพิเศษ)</t>
        </is>
      </c>
      <c r="I284" s="18" t="n">
        <v>1</v>
      </c>
      <c r="J284" s="18"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18" t="n"/>
      <c r="L284" s="18" t="inlineStr">
        <is>
          <t>พ.ร.บ. ยา พ.ศ. 2510</t>
        </is>
      </c>
      <c r="M284" s="18" t="inlineStr">
        <is>
          <t>SAP</t>
        </is>
      </c>
      <c r="N284" s="18" t="inlineStr">
        <is>
          <t>ข้อ 3 (PLE_CC1_Key_Rx20_UBU.md)</t>
        </is>
      </c>
      <c r="O284" s="18" t="inlineStr">
        <is>
          <t>Mock</t>
        </is>
      </c>
      <c r="P284" s="18" t="inlineStr">
        <is>
          <t>Mock Rx20 UBU</t>
        </is>
      </c>
    </row>
    <row r="285">
      <c r="A285" s="18" t="n">
        <v>283</v>
      </c>
      <c r="B285" s="18" t="inlineStr">
        <is>
          <t>เปรียบเทียบประสิทธิภาพระหว่างยาจริงกับยาหลอกวัดผลโดยคะแนน 1-100 โดยมีการกระจายข้อมูลแบบ normal distribution</t>
        </is>
      </c>
      <c r="C285" s="18" t="n"/>
      <c r="D285" s="18" t="inlineStr">
        <is>
          <t>เกณฑ์จริยธรรมว่าด้วยการส่งเสริมการขายยาของกระทรวงสาธารณสุข</t>
        </is>
      </c>
      <c r="E285" s="18" t="inlineStr">
        <is>
          <t>พ.ร.บ. ยา พ.ศ. 2510 (การจำหน่ายยาอันตรายและยาควบคุมพิเศษ)</t>
        </is>
      </c>
      <c r="F285" s="18" t="inlineStr">
        <is>
          <t>พ.ร.บ. ยาเสพติดให้โทษ พ.ศ. 2522 (ยาเสพติดให้โทษประเภท 2 และ 3)</t>
        </is>
      </c>
      <c r="G285" s="18" t="inlineStr">
        <is>
          <t>พ.ร.บ. วัตถุที่ออกฤทธิ์ต่อจิตและประสาท พ.ศ. 2559 (ประเภท 2 และ 4)</t>
        </is>
      </c>
      <c r="H285" s="18" t="inlineStr">
        <is>
          <t>พ.ร.บ. วิชาชีพเภสัชกรรม พ.ศ. 2537 และข้อบังคับจรรยาบรรณวิชาชีพ</t>
        </is>
      </c>
      <c r="I285" s="18" t="n">
        <v>1</v>
      </c>
      <c r="J285" s="1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18" t="n"/>
      <c r="L285" s="18" t="inlineStr">
        <is>
          <t>พ.ร.บ. ยา พ.ศ. 2510</t>
        </is>
      </c>
      <c r="M285" s="18" t="inlineStr">
        <is>
          <t>SAP</t>
        </is>
      </c>
      <c r="N285" s="18" t="inlineStr">
        <is>
          <t>ข้อ 5 (PLE_CC1_Key_Rx20_UBU.md)</t>
        </is>
      </c>
      <c r="O285" s="18" t="inlineStr">
        <is>
          <t>Mock</t>
        </is>
      </c>
      <c r="P285" s="18" t="inlineStr">
        <is>
          <t>Mock Rx20 UBU</t>
        </is>
      </c>
    </row>
    <row r="286">
      <c r="A286" s="18" t="n">
        <v>284</v>
      </c>
      <c r="B286" s="18" t="inlineStr">
        <is>
          <t>เพื่อยุติการส่งเสริมการขายที่ผิดจริยธรรม</t>
        </is>
      </c>
      <c r="C286" s="18" t="n"/>
      <c r="D286" s="18" t="inlineStr">
        <is>
          <t>พ.ร.บ. วัตถุที่ออกฤทธิ์ต่อจิตและประสาท พ.ศ. 2559 (ประเภท 2 และ 4)</t>
        </is>
      </c>
      <c r="E286" s="18" t="inlineStr">
        <is>
          <t>พ.ร.บ. วิชาชีพเภสัชกรรม พ.ศ. 2537 และข้อบังคับจรรยาบรรณวิชาชีพ</t>
        </is>
      </c>
      <c r="F286" s="18" t="inlineStr">
        <is>
          <t>พ.ร.บ. ผลิตภัณฑ์สมุนไพร พ.ศ. 2562</t>
        </is>
      </c>
      <c r="G286" s="18" t="inlineStr">
        <is>
          <t>พ.ร.บ. เครื่องสำอาง พ.ศ. 2558</t>
        </is>
      </c>
      <c r="H286" s="18" t="inlineStr">
        <is>
          <t>พ.ร.บ. หลักประกันสุขภาพแห่งชาติ พ.ศ. 2545</t>
        </is>
      </c>
      <c r="I286" s="18" t="n">
        <v>1</v>
      </c>
      <c r="J286" s="1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18" t="n"/>
      <c r="L286" s="18" t="inlineStr">
        <is>
          <t>พ.ร.บ. วิชาชีพเภสัชกรรม 2537</t>
        </is>
      </c>
      <c r="M286" s="18" t="inlineStr">
        <is>
          <t>SAP</t>
        </is>
      </c>
      <c r="N286" s="18" t="inlineStr">
        <is>
          <t>ข้อ 4 (PLE_CC1_Key_Rx20_UBU.md)</t>
        </is>
      </c>
      <c r="O286" s="18" t="inlineStr">
        <is>
          <t>Mock</t>
        </is>
      </c>
      <c r="P286" s="18" t="inlineStr">
        <is>
          <t>Mock Rx20 UBU</t>
        </is>
      </c>
    </row>
    <row r="287">
      <c r="A287" s="18" t="n">
        <v>285</v>
      </c>
      <c r="B287" s="18"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18" t="n"/>
      <c r="D287" s="18"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18"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18" t="inlineStr">
        <is>
          <t>การปฏิบัติทางเภสัชกรรมชุมชน (Good Pharmacy Practice: GPP)</t>
        </is>
      </c>
      <c r="G287" s="18" t="inlineStr">
        <is>
          <t>บัญชียาหลักแห่งชาติ (National List of Essential Medicines: NLEM)</t>
        </is>
      </c>
      <c r="H287" s="18" t="inlineStr">
        <is>
          <t>เกณฑ์จริยธรรมว่าด้วยการส่งเสริมการขายยาของกระทรวงสาธารณสุข</t>
        </is>
      </c>
      <c r="I287" s="18" t="n">
        <v>2</v>
      </c>
      <c r="J287" s="18"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18" t="n"/>
      <c r="L287" s="18" t="inlineStr">
        <is>
          <t>พ.ร.บ. ยา พ.ศ. 2510</t>
        </is>
      </c>
      <c r="M287" s="18" t="inlineStr">
        <is>
          <t>SAP</t>
        </is>
      </c>
      <c r="N287" s="18" t="inlineStr">
        <is>
          <t>ข้อ 5 (PLE_CC1_Key_Rx20_UBU.md)</t>
        </is>
      </c>
      <c r="O287" s="18" t="inlineStr">
        <is>
          <t>Mock</t>
        </is>
      </c>
      <c r="P287" s="18" t="inlineStr">
        <is>
          <t>Mock Rx20 UBU</t>
        </is>
      </c>
    </row>
    <row r="288">
      <c r="A288" s="18" t="n">
        <v>286</v>
      </c>
      <c r="B288" s="18"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18" t="n"/>
      <c r="D288" s="18" t="inlineStr">
        <is>
          <t>บัญชียาหลักแห่งชาติ (National List of Essential Medicines: NLEM)</t>
        </is>
      </c>
      <c r="E288" s="18" t="inlineStr">
        <is>
          <t>เกณฑ์จริยธรรมว่าด้วยการส่งเสริมการขายยาของกระทรวงสาธารณสุข</t>
        </is>
      </c>
      <c r="F288" s="18" t="inlineStr">
        <is>
          <t>พ.ร.บ. ยา พ.ศ. 2510 (การจำหน่ายยาอันตรายและยาควบคุมพิเศษ)</t>
        </is>
      </c>
      <c r="G288" s="18" t="inlineStr">
        <is>
          <t>พ.ร.บ. ยาเสพติดให้โทษ พ.ศ. 2522 (ยาเสพติดให้โทษประเภท 2 และ 3)</t>
        </is>
      </c>
      <c r="H288" s="18" t="inlineStr">
        <is>
          <t>พ.ร.บ. วัตถุที่ออกฤทธิ์ต่อจิตและประสาท พ.ศ. 2559 (ประเภท 2 และ 4)</t>
        </is>
      </c>
      <c r="I288" s="18" t="n">
        <v>1</v>
      </c>
      <c r="J288" s="1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18" t="n"/>
      <c r="L288" s="18" t="inlineStr">
        <is>
          <t>พ.ร.บ. ยา พ.ศ. 2510</t>
        </is>
      </c>
      <c r="M288" s="18" t="inlineStr">
        <is>
          <t>SAP</t>
        </is>
      </c>
      <c r="N288" s="18" t="inlineStr">
        <is>
          <t>ข้อ 5 (PLE_CC1_Key_Rx20_UBU.md)</t>
        </is>
      </c>
      <c r="O288" s="18" t="inlineStr">
        <is>
          <t>Mock</t>
        </is>
      </c>
      <c r="P288" s="18" t="inlineStr">
        <is>
          <t>Mock Rx20 UBU</t>
        </is>
      </c>
    </row>
    <row r="289">
      <c r="A289" s="18" t="n">
        <v>287</v>
      </c>
      <c r="B289" s="18"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18" t="n"/>
      <c r="D289" s="18" t="inlineStr">
        <is>
          <t>ผู้ป่วยทุกคนควรได้รับยา A เป็นตัวแรก</t>
        </is>
      </c>
      <c r="E289" s="18" t="inlineStr">
        <is>
          <t>ผู้ป่วยที่ไม่สามารถใช้ยา A ได้ เช่น เกิดอาการไม่พึงประสงค์ สามารถใช้ยา B แทน แต่ต้องชำระเงินเอง</t>
        </is>
      </c>
      <c r="F289" s="18" t="inlineStr">
        <is>
          <t>ผู้ป่วยที่ได้รับยา C ไม่จำเป็นต้องจ่ายค่ารักษาพยาบาลเองหากมีความจำเป็นต้องใช้ยา</t>
        </is>
      </c>
      <c r="G289" s="18" t="inlineStr">
        <is>
          <t>ยา B สั่งใช้โดยแพทย์ผู้ชำนาญหรือผู้ที่ได้รับมอบหมายจากผู้อำนวยการของสถานพยาบาลนั้นๆ</t>
        </is>
      </c>
      <c r="H289" s="18"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18" t="n">
        <v>4</v>
      </c>
      <c r="J289" s="18"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ข้อนี้ไม่ใช่คำตอบที่ถูกต้องสำหรับภาวะ พ.ร.บ. ยา พ.ศ. 2510 เนื่องจากกลไกการออกฤทธิ์, efficacy หรือข้อบ่งใช้ไม่ตรงกับโจทย์ที่กำหนด
• ข้อ ข. (ผู้ป่วยที่ไม่สามารถใช้ยา A ได้ เช่น เกิดอาการไม่พึงประสงค์ สามารถใช้ยา B แทน แต่ต้องชำระเงินเอง):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(ผู้ป่วยที่ได้รับยา C ไม่จำเป็นต้องจ่ายค่ารักษาพยาบาลเองหากมีความจำเป็นต้องใช้ยา):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18" t="n"/>
      <c r="L289" s="18" t="inlineStr">
        <is>
          <t>พ.ร.บ. ยา พ.ศ. 2510</t>
        </is>
      </c>
      <c r="M289" s="18" t="inlineStr">
        <is>
          <t>SAP</t>
        </is>
      </c>
      <c r="N289" s="18" t="inlineStr">
        <is>
          <t>ข้อ 9 (PLE_CC1_Key_Rx20_UBU.md)</t>
        </is>
      </c>
      <c r="O289" s="18" t="inlineStr">
        <is>
          <t>Mock</t>
        </is>
      </c>
      <c r="P289" s="18" t="inlineStr">
        <is>
          <t>Mock Rx20 UBU</t>
        </is>
      </c>
    </row>
    <row r="290">
      <c r="A290" s="18" t="n">
        <v>288</v>
      </c>
      <c r="B290" s="18"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18" t="n"/>
      <c r="D290" s="18" t="inlineStr">
        <is>
          <t>Case series</t>
        </is>
      </c>
      <c r="E290" s="18" t="inlineStr">
        <is>
          <t>Case-control</t>
        </is>
      </c>
      <c r="F290" s="18" t="inlineStr">
        <is>
          <t>Cohort</t>
        </is>
      </c>
      <c r="G290" s="18" t="inlineStr">
        <is>
          <t>Cross-sectional study</t>
        </is>
      </c>
      <c r="H290" s="18" t="inlineStr">
        <is>
          <t>Case-report</t>
        </is>
      </c>
      <c r="I290" s="18" t="n">
        <v>3</v>
      </c>
      <c r="J290" s="18"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ข้อนี้ไม่ใช่คำตอบที่ถูกต้องสำหรับภาวะ พ.ร.บ. ยา พ.ศ. 2510 เนื่องจากกลไกการออกฤทธิ์, efficacy หรือข้อบ่งใช้ไม่ตรงกับโจทย์ที่กำหนด
• ข้อ ข.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ง. (Cross-sectional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(Case-report):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18" t="n"/>
      <c r="L290" s="18" t="inlineStr">
        <is>
          <t>พ.ร.บ. ยา พ.ศ. 2510</t>
        </is>
      </c>
      <c r="M290" s="18" t="inlineStr">
        <is>
          <t>SAP</t>
        </is>
      </c>
      <c r="N290" s="18" t="inlineStr">
        <is>
          <t>ข้อ 24 (PLE_CC1_Key_Rx20_UBU.md)</t>
        </is>
      </c>
      <c r="O290" s="18" t="inlineStr">
        <is>
          <t>Mock</t>
        </is>
      </c>
      <c r="P290" s="18" t="inlineStr">
        <is>
          <t>Mock Rx20 UBU</t>
        </is>
      </c>
    </row>
    <row r="291">
      <c r="A291" s="18" t="n">
        <v>289</v>
      </c>
      <c r="B291" s="18" t="inlineStr">
        <is>
          <t>ต้องรักษา H.pylori infection เป็นระยะเวลานานเท่าไร จึงจะได้ประสิทธิภาพการรักษาสูงสุด</t>
        </is>
      </c>
      <c r="C291" s="18" t="n"/>
      <c r="D291" s="18" t="inlineStr">
        <is>
          <t>3 วัน</t>
        </is>
      </c>
      <c r="E291" s="18" t="inlineStr">
        <is>
          <t>5 วัน</t>
        </is>
      </c>
      <c r="F291" s="18" t="inlineStr">
        <is>
          <t>2 สัปดาห์</t>
        </is>
      </c>
      <c r="G291" s="18" t="inlineStr">
        <is>
          <t>4 สัปดาห์</t>
        </is>
      </c>
      <c r="H291" s="18" t="inlineStr">
        <is>
          <t>6 สัปดาห์</t>
        </is>
      </c>
      <c r="I291" s="18" t="n">
        <v>3</v>
      </c>
      <c r="J291" s="18"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(6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18" t="n"/>
      <c r="L291" s="18" t="inlineStr">
        <is>
          <t>พ.ร.บ. ยา พ.ศ. 2510</t>
        </is>
      </c>
      <c r="M291" s="18" t="inlineStr">
        <is>
          <t>SAP</t>
        </is>
      </c>
      <c r="N291" s="18" t="inlineStr">
        <is>
          <t>ข้อ 54 (PLE_CC1_Key_Rx20_UBU.md)</t>
        </is>
      </c>
      <c r="O291" s="18" t="inlineStr">
        <is>
          <t>Mock</t>
        </is>
      </c>
      <c r="P291" s="18" t="inlineStr">
        <is>
          <t>Mock Rx20 UBU</t>
        </is>
      </c>
    </row>
    <row r="292">
      <c r="A292" s="18" t="n">
        <v>290</v>
      </c>
      <c r="B292" s="18" t="inlineStr">
        <is>
          <t>ยาใดที่มีผลลดประสิทธิภาพของยาคุมกำเนิด</t>
        </is>
      </c>
      <c r="C292" s="18" t="n"/>
      <c r="D292" s="18" t="inlineStr">
        <is>
          <t>Rifampin</t>
        </is>
      </c>
      <c r="E292" s="18" t="inlineStr">
        <is>
          <t>Ketoconazole</t>
        </is>
      </c>
      <c r="F292" s="18" t="inlineStr">
        <is>
          <t>Omeprazole</t>
        </is>
      </c>
      <c r="G292" s="18" t="inlineStr">
        <is>
          <t>Griseofulvin</t>
        </is>
      </c>
      <c r="H292" s="18" t="inlineStr">
        <is>
          <t>Ranitidine</t>
        </is>
      </c>
      <c r="I292" s="18" t="n">
        <v>1</v>
      </c>
      <c r="J292" s="18"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ข้อนี้ไม่ใช่คำตอบที่ถูกต้องสำหรับภาวะ พ.ร.บ. ยา พ.ศ. 2510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ข้อนี้ไม่ใช่คำตอบที่ถูกต้องสำหรับภาวะ พ.ร.บ. ยา พ.ศ. 2510 เนื่องจากกลไกการออกฤทธิ์, efficacy หรือข้อบ่งใช้ไม่ตรงกับโจทย์ที่กำหนด
• ข้อ จ. (Ranitidine):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18" t="n"/>
      <c r="L292" s="18" t="inlineStr">
        <is>
          <t>พ.ร.บ. ยา พ.ศ. 2510</t>
        </is>
      </c>
      <c r="M292" s="18" t="inlineStr">
        <is>
          <t>SAP</t>
        </is>
      </c>
      <c r="N292" s="18" t="inlineStr">
        <is>
          <t>ข้อ 87 (PLE_CC1_Key_Rx20_UBU.md)</t>
        </is>
      </c>
      <c r="O292" s="18" t="inlineStr">
        <is>
          <t>Mock</t>
        </is>
      </c>
      <c r="P292" s="18" t="inlineStr">
        <is>
          <t>Mock Rx20 UBU</t>
        </is>
      </c>
    </row>
    <row r="293">
      <c r="A293" s="18" t="n">
        <v>291</v>
      </c>
      <c r="B293" s="18" t="inlineStr">
        <is>
          <t>ผู้รับอนุญาต ทำผิดพรบ.วิชาชีพเภสัชกรรมหรือไม่อย่างไร</t>
        </is>
      </c>
      <c r="C293" s="18" t="n"/>
      <c r="D293" s="18" t="inlineStr">
        <is>
          <t>ผิด เพราะ เป็นผู้จ่ายยาให้นายชิดชัยโดยตรง</t>
        </is>
      </c>
      <c r="E293" s="18" t="inlineStr">
        <is>
          <t>ผิด เพราะ นายชิดชัยได้รับอันตราย</t>
        </is>
      </c>
      <c r="F293" s="18" t="inlineStr">
        <is>
          <t>ผิด เพราะ ไม่ปฏิบัติตามข้อจำกัด และเงื่อนไขการประกอบวิชาชีพ</t>
        </is>
      </c>
      <c r="G293" s="18" t="inlineStr">
        <is>
          <t>ไม่ผิด เพราะไม่ใช่เภสัชกร และ พรบ. วิชาชีพบังคับใช้สำหรับผู้ประกอบวิชาชีพเภสัชกรรม เท่านั้น</t>
        </is>
      </c>
      <c r="H293" s="18"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18" t="n">
        <v>1</v>
      </c>
      <c r="J293" s="18"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ไม่ปฏิบัติตามข้อจำกัด และเงื่อนไขการประกอบวิชาชีพ):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เพราะไม่ใช่เภสัชกร และ พรบ. วิชาชีพบังคับใช้สำหรับผู้ประกอบวิชาชีพเภสัชกรรม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18" t="n"/>
      <c r="L293" s="18" t="inlineStr">
        <is>
          <t>พ.ร.บ. ยา พ.ศ. 2510</t>
        </is>
      </c>
      <c r="M293" s="18" t="inlineStr">
        <is>
          <t>SAP</t>
        </is>
      </c>
      <c r="N293" s="18" t="inlineStr">
        <is>
          <t>ข้อ 110 (PLE_CC1_Key_Rx20_UBU.md)</t>
        </is>
      </c>
      <c r="O293" s="18" t="inlineStr">
        <is>
          <t>Mock</t>
        </is>
      </c>
      <c r="P293" s="18" t="inlineStr">
        <is>
          <t>Mock Rx20 UBU</t>
        </is>
      </c>
    </row>
    <row r="294">
      <c r="A294" s="18" t="n">
        <v>292</v>
      </c>
      <c r="B294" s="18" t="inlineStr">
        <is>
          <t>เภสัชกรผิดตาม พ.ร.บ.ยา อย่างไรชัดเจนที่สุด</t>
        </is>
      </c>
      <c r="C294" s="18" t="n"/>
      <c r="D294" s="18" t="inlineStr">
        <is>
          <t>ผิด เพราะ ไม่คำนึงถึงความปลอดภัยและเศรษฐานะของผู้รับบริการ</t>
        </is>
      </c>
      <c r="E294" s="18" t="inlineStr">
        <is>
          <t>ผิด เพราะ ไม่อยู่ประจำตลอดเวลาทำการ</t>
        </is>
      </c>
      <c r="F294" s="18" t="inlineStr">
        <is>
          <t>ผิด เพราะ ไม่รักษามาตรฐานวิชาชีพ</t>
        </is>
      </c>
      <c r="G294" s="18" t="inlineStr">
        <is>
          <t>ผิด เพราะ ไม่จัดให้มีตัวแทนอยู่ประจำร้าน</t>
        </is>
      </c>
      <c r="H294" s="18" t="inlineStr">
        <is>
          <t>ผิด เพราะ ไม่ควบคุมการแยกยาอันตรายหรือยาควบคุมพิเศษ</t>
        </is>
      </c>
      <c r="I294" s="18" t="n">
        <v>2</v>
      </c>
      <c r="J294" s="18"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ไม่รักษามาตรฐานวิชาชีพ):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ไม่จัดให้มีตัวแทนอยู่ประจำร้าน):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18" t="n"/>
      <c r="L294" s="18" t="inlineStr">
        <is>
          <t>พ.ร.บ. ยา พ.ศ. 2510</t>
        </is>
      </c>
      <c r="M294" s="18" t="inlineStr">
        <is>
          <t>SAP</t>
        </is>
      </c>
      <c r="N294" s="18" t="inlineStr">
        <is>
          <t>ข้อ 111 (PLE_CC1_Key_Rx20_UBU.md)</t>
        </is>
      </c>
      <c r="O294" s="18" t="inlineStr">
        <is>
          <t>Mock</t>
        </is>
      </c>
      <c r="P294" s="18" t="inlineStr">
        <is>
          <t>Mock Rx20 UBU</t>
        </is>
      </c>
    </row>
    <row r="295">
      <c r="A295" s="18" t="n">
        <v>293</v>
      </c>
      <c r="B295" s="18" t="inlineStr">
        <is>
          <t>ผู้รับอนุญาตผิดตาม พ.ร.บ.ยา อย่างไร</t>
        </is>
      </c>
      <c r="C295" s="18" t="n"/>
      <c r="D295" s="18" t="inlineStr">
        <is>
          <t>ผิด เพราะ ไม่จัดหาเภสัชกรมาปฏิบัติงานตามเวลา</t>
        </is>
      </c>
      <c r="E295" s="18" t="inlineStr">
        <is>
          <t>ผิด เพราะ จ่ายยาอันตรายและยาควบคุมพิเศษโดยที่เภสัชกรไม่อยู่</t>
        </is>
      </c>
      <c r="F295" s="18" t="inlineStr">
        <is>
          <t>ผิด เพราะ ไม่ควบคุมให้มีบัญชีซื้อขายยา</t>
        </is>
      </c>
      <c r="G295" s="18" t="inlineStr">
        <is>
          <t>ผิด เพราะ ไม่ได้รับอนุญาตขาย</t>
        </is>
      </c>
      <c r="H295" s="18" t="inlineStr">
        <is>
          <t>ผิด เพราะ ไม่รักษามาตรฐานเภสัชชุมชน</t>
        </is>
      </c>
      <c r="I295" s="18" t="n">
        <v>2</v>
      </c>
      <c r="J295" s="18"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ไม่ควบคุมให้มีบัญชีซื้อขายยา):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ไม่ได้รับอนุญาตขาย):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ไม่รักษามาตรฐานเภสัชชุมชน):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18" t="n"/>
      <c r="L295" s="18" t="inlineStr">
        <is>
          <t>พ.ร.บ. ยา พ.ศ. 2510</t>
        </is>
      </c>
      <c r="M295" s="18" t="inlineStr">
        <is>
          <t>SAP</t>
        </is>
      </c>
      <c r="N295" s="18" t="inlineStr">
        <is>
          <t>ข้อ 112 (PLE_CC1_Key_Rx20_UBU.md)</t>
        </is>
      </c>
      <c r="O295" s="18" t="inlineStr">
        <is>
          <t>Mock</t>
        </is>
      </c>
      <c r="P295" s="18" t="inlineStr">
        <is>
          <t>Mock Rx20 UBU</t>
        </is>
      </c>
    </row>
    <row r="296">
      <c r="A296" s="18" t="n">
        <v>294</v>
      </c>
      <c r="B296" s="18" t="inlineStr">
        <is>
          <t>หาก สสจ. ตรวจพบว่ามียาที่หมดอายุแล้วปะปนอยู่บนชั้นวางยา ยาดังกล่าวจัดเป็นยาใดตามกฎหมาย</t>
        </is>
      </c>
      <c r="C296" s="18" t="n"/>
      <c r="D296" s="18" t="inlineStr">
        <is>
          <t>ยาผิดมาตรฐาน</t>
        </is>
      </c>
      <c r="E296" s="18" t="inlineStr">
        <is>
          <t>ยาปลอม</t>
        </is>
      </c>
      <c r="F296" s="18" t="inlineStr">
        <is>
          <t>ยาเสื่อมคุณภาพ</t>
        </is>
      </c>
      <c r="G296" s="18" t="inlineStr">
        <is>
          <t>ยาเพิกถอนทะเบียน</t>
        </is>
      </c>
      <c r="H296" s="18"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18" t="n">
        <v>3</v>
      </c>
      <c r="J296" s="18"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18" t="n"/>
      <c r="L296" s="18" t="inlineStr">
        <is>
          <t>พ.ร.บ. ยา พ.ศ. 2510</t>
        </is>
      </c>
      <c r="M296" s="18" t="inlineStr">
        <is>
          <t>SAP</t>
        </is>
      </c>
      <c r="N296" s="18" t="inlineStr">
        <is>
          <t>ข้อ 117 (PLE_CC1_Key_Rx20_UBU.md)</t>
        </is>
      </c>
      <c r="O296" s="18" t="inlineStr">
        <is>
          <t>Mock</t>
        </is>
      </c>
      <c r="P296" s="18" t="inlineStr">
        <is>
          <t>Mock Rx20 UBU</t>
        </is>
      </c>
    </row>
    <row r="297">
      <c r="A297" s="18" t="n">
        <v>295</v>
      </c>
      <c r="B297" s="18"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18" t="n"/>
      <c r="D297" s="18" t="inlineStr">
        <is>
          <t>ไม่ผิด เพราะผู้รับอนุญาตขายยาสามารถขายยาบรรจุเสร็จที่ไม่ใช่ยาอันตรายและยาควบคุมพิเศษ</t>
        </is>
      </c>
      <c r="E297" s="18" t="inlineStr">
        <is>
          <t>ไม่ผิด เพราะ แชมพูคีโตโคนาโซลเป็นเครื่องสำอาง</t>
        </is>
      </c>
      <c r="F297" s="18" t="inlineStr">
        <is>
          <t>ผิด เพราะเป็นการขายยาผิดมาตรฐาน</t>
        </is>
      </c>
      <c r="G297" s="18" t="inlineStr">
        <is>
          <t>ผิด เพราะเป็นการผลิตยาโดยไม่ได้รับอนุญาต</t>
        </is>
      </c>
      <c r="H297" s="18"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18" t="n">
        <v>4</v>
      </c>
      <c r="J297" s="18"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เพราะเป็นการขายยาผิดมาตรฐาน):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18" t="n"/>
      <c r="L297" s="18" t="inlineStr">
        <is>
          <t>พ.ร.บ. ยา พ.ศ. 2510</t>
        </is>
      </c>
      <c r="M297" s="18" t="inlineStr">
        <is>
          <t>SAP</t>
        </is>
      </c>
      <c r="N297" s="18" t="inlineStr">
        <is>
          <t>ข้อ 118 (PLE_CC1_Key_Rx20_UBU.md)</t>
        </is>
      </c>
      <c r="O297" s="18" t="inlineStr">
        <is>
          <t>Mock</t>
        </is>
      </c>
      <c r="P297" s="18" t="inlineStr">
        <is>
          <t>Mock Rx20 UBU</t>
        </is>
      </c>
    </row>
    <row r="298">
      <c r="A298" s="18" t="n">
        <v>296</v>
      </c>
      <c r="B298" s="18" t="inlineStr">
        <is>
          <t>ตาม GPP ฉลากบนซองบรรจุยาจะต้องแสดงข้อมูลดังกล่าว ยกเว้นข้อใด</t>
        </is>
      </c>
      <c r="C298" s="18" t="n"/>
      <c r="D298" s="18" t="inlineStr">
        <is>
          <t>ชื่อผู้ป่วย</t>
        </is>
      </c>
      <c r="E298" s="18" t="inlineStr">
        <is>
          <t>ชื่อยาที่เป็นชื่อสามัญ หรือชื่อทางการค้า</t>
        </is>
      </c>
      <c r="F298" s="18" t="inlineStr">
        <is>
          <t>ข้อบ่งใช้</t>
        </is>
      </c>
      <c r="G298" s="18" t="inlineStr">
        <is>
          <t>คำแนะนำ</t>
        </is>
      </c>
      <c r="H298" s="18"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18" t="n">
        <v>5</v>
      </c>
      <c r="J298" s="18"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ข. (ชื่อยาที่เป็นชื่อสามัญ หรือชื่อทางการค้า):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ค. (ข้อบ่งใช้): ข้อนี้ไม่ใช่คำตอบที่ถูกต้องสำหรับภาวะ พ.ร.บ. ยา พ.ศ. 2510 เนื่องจากกลไกการออกฤทธิ์, efficacy หรือข้อบ่งใช้ไม่ตรงกับโจทย์ที่กำหนด
• ข้อ ง. (คำแนะนำ):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18" t="n"/>
      <c r="L298" s="18" t="inlineStr">
        <is>
          <t>พ.ร.บ. ยา พ.ศ. 2510</t>
        </is>
      </c>
      <c r="M298" s="18" t="inlineStr">
        <is>
          <t>SAP</t>
        </is>
      </c>
      <c r="N298" s="18" t="inlineStr">
        <is>
          <t>ข้อ 120 (PLE_CC1_Key_Rx20_UBU.md)</t>
        </is>
      </c>
      <c r="O298" s="18" t="inlineStr">
        <is>
          <t>Mock</t>
        </is>
      </c>
      <c r="P298" s="18" t="inlineStr">
        <is>
          <t>Mock Rx20 UBU</t>
        </is>
      </c>
    </row>
    <row r="299">
      <c r="A299" s="18" t="n">
        <v>297</v>
      </c>
      <c r="B299" s="18" t="inlineStr">
        <is>
          <t>ภญ. ก ผิดจรรยาบรรณวิชาชีพเภสัชกรรมยกเว้นข้อใด</t>
        </is>
      </c>
      <c r="C299" s="18" t="n"/>
      <c r="D299" s="18" t="inlineStr">
        <is>
          <t>ส่งเสริมการใช้ยาตำรับลับ</t>
        </is>
      </c>
      <c r="E299" s="18" t="inlineStr">
        <is>
          <t>ไม่ดำรงตนให้สมควรในสังคมโดยธรรมและเคารพต่อกฎหมายของบ้านเมือง</t>
        </is>
      </c>
      <c r="F299" s="18" t="inlineStr">
        <is>
          <t>ไม่รักษามาตรฐานของการประกอบวิชาชีพเภสัชกรรมในระดับที่ดีที่สุด</t>
        </is>
      </c>
      <c r="G299" s="18" t="inlineStr">
        <is>
          <t>ไม่คำนึงถึงความปลอดภัยและเศรษฐานะ ของผู้ป่วยหรือผู้มารับบริการ</t>
        </is>
      </c>
      <c r="H299" s="18"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18" t="n">
        <v>3</v>
      </c>
      <c r="J299" s="18"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(ไม่ดำรงตนให้สมควรในสังคมโดยธรรมและเคารพต่อกฎหมายของบ้านเมือง):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(ไม่คำนึงถึงความปลอดภัยและเศรษฐานะ 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18" t="n"/>
      <c r="L299" s="18" t="inlineStr">
        <is>
          <t>พ.ร.บ. วิชาชีพเภสัชกรรม 2537</t>
        </is>
      </c>
      <c r="M299" s="18" t="inlineStr">
        <is>
          <t>SAP</t>
        </is>
      </c>
      <c r="N299" s="18" t="inlineStr">
        <is>
          <t>ข้อ 117 (PLE_CC1_Key_Rx20_UBU.md)</t>
        </is>
      </c>
      <c r="O299" s="18" t="inlineStr">
        <is>
          <t>Mock</t>
        </is>
      </c>
      <c r="P299" s="18" t="inlineStr">
        <is>
          <t>Mock Rx20 UBU</t>
        </is>
      </c>
    </row>
    <row r="300">
      <c r="A300" s="18" t="n">
        <v>298</v>
      </c>
      <c r="B300" s="18"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18" t="n"/>
      <c r="D300" s="18" t="inlineStr">
        <is>
          <t>พ.ร.บ. ผลิตภัณฑ์สมุนไพร พ.ศ. 2562</t>
        </is>
      </c>
      <c r="E300" s="18" t="inlineStr">
        <is>
          <t>พ.ร.บ. เครื่องสำอาง พ.ศ. 2558</t>
        </is>
      </c>
      <c r="F300" s="18" t="inlineStr">
        <is>
          <t>พ.ร.บ. หลักประกันสุขภาพแห่งชาติ พ.ศ. 2545</t>
        </is>
      </c>
      <c r="G300" s="18" t="inlineStr">
        <is>
          <t>การปฏิบัติทางเภสัชกรรมชุมชน (Good Pharmacy Practice: GPP)</t>
        </is>
      </c>
      <c r="H300" s="18" t="inlineStr">
        <is>
          <t>บัญชียาหลักแห่งชาติ (National List of Essential Medicines: NLEM)</t>
        </is>
      </c>
      <c r="I300" s="18" t="n">
        <v>1</v>
      </c>
      <c r="J300" s="1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18" t="n"/>
      <c r="L300" s="18" t="inlineStr">
        <is>
          <t>พ.ร.บ. ยา พ.ศ. 2510</t>
        </is>
      </c>
      <c r="M300" s="18" t="inlineStr">
        <is>
          <t>SAP</t>
        </is>
      </c>
      <c r="N300" s="18" t="inlineStr">
        <is>
          <t>ข้อ 1 (PLE_CC1_Key_Rx20_UBU.md)</t>
        </is>
      </c>
      <c r="O300" s="18" t="inlineStr">
        <is>
          <t>Mock</t>
        </is>
      </c>
      <c r="P300" s="18" t="inlineStr">
        <is>
          <t>Mock Rx20 UBU</t>
        </is>
      </c>
    </row>
    <row r="301">
      <c r="A301" s="18" t="n">
        <v>299</v>
      </c>
      <c r="B301" s="18"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18" t="n"/>
      <c r="D301" s="18" t="inlineStr">
        <is>
          <t>ผิดเพราะขายยานอกสถานที่</t>
        </is>
      </c>
      <c r="E301" s="18" t="inlineStr">
        <is>
          <t>ผิดเพราะขายยาอันตรายและควบคุมพิเศษโดยไม่มีใบสั่งแพทย์ ค .ผิด เพราะจำหน่ายยาไม่ตรงใบอนุญาต</t>
        </is>
      </c>
      <c r="F301" s="18" t="inlineStr">
        <is>
          <t>ไม่ผิด เพราะเภสัชกรได้ควบคุมการส่งมอบยาอันตราย</t>
        </is>
      </c>
      <c r="G301" s="18" t="inlineStr">
        <is>
          <t>ไม่ผิดเพราะเภสัชกรได้แนะนำวิธีดการส่งมอบยาเรียบร้อยแล้ว ข้อ 96</t>
        </is>
      </c>
      <c r="H301" s="18" t="inlineStr">
        <is>
          <t>พ.ร.บ. ยาเสพติดให้โทษ พ.ศ. 2522 (ยาเสพติดให้โทษประเภท 2 และ 3)</t>
        </is>
      </c>
      <c r="I301" s="18" t="n">
        <v>2</v>
      </c>
      <c r="J301" s="18"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18" t="n"/>
      <c r="L301" s="18" t="inlineStr">
        <is>
          <t>พ.ร.บ. ยา พ.ศ. 2510</t>
        </is>
      </c>
      <c r="M301" s="18" t="inlineStr">
        <is>
          <t>SAP</t>
        </is>
      </c>
      <c r="N301" s="18" t="inlineStr">
        <is>
          <t>ข้อ 3 (PLE_CC1_Key_Rx20_UBU.md)</t>
        </is>
      </c>
      <c r="O301" s="18" t="inlineStr">
        <is>
          <t>Mock</t>
        </is>
      </c>
      <c r="P301" s="18" t="inlineStr">
        <is>
          <t>Mock Rx20 UBU</t>
        </is>
      </c>
    </row>
    <row r="302">
      <c r="A302" s="18" t="n">
        <v>300</v>
      </c>
      <c r="B302" s="18"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18" t="inlineStr"/>
      <c r="D302" s="18" t="inlineStr">
        <is>
          <t>ขายได้ เพราะเป็นยาอันตรายที่เภสัชกรมีสิทธิ์ส่งมอบในร้านยาได้</t>
        </is>
      </c>
      <c r="E302" s="18" t="inlineStr">
        <is>
          <t>ขายได้ หากให้คำแนะนำการใช้ยาบนฉลากยาอย่างถูกต้อง</t>
        </is>
      </c>
      <c r="F302" s="18" t="inlineStr">
        <is>
          <t>ขายไม่ได้ เพราะปริมาณเกินกว่าที่กฎหมายกำหนดให้มีไว้ในครอบครอง</t>
        </is>
      </c>
      <c r="G302" s="18" t="inlineStr">
        <is>
          <t>ขายไม่ได้ เพราะไม่ได้คำนึงถึงความปลอดภัยของผู้ใช้ยา และเป็นการใช้ยาโดยไม่มีข้อบ่งชี้ทางการแพทย์</t>
        </is>
      </c>
      <c r="H302" s="18" t="inlineStr">
        <is>
          <t>ขายไม่ได้ เพราะต้องมีใบสั่งยาจากแพทย์เท่านั้นจึงจะจ่ายยาอันตรายได้</t>
        </is>
      </c>
      <c r="I302" s="15" t="inlineStr">
        <is>
          <t>4</t>
        </is>
      </c>
      <c r="J302" s="18"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18" t="inlineStr"/>
      <c r="L302" s="18" t="inlineStr">
        <is>
          <t>Pharmacy Laws &amp; Ethics</t>
        </is>
      </c>
      <c r="M302" s="18" t="inlineStr">
        <is>
          <t>SAP</t>
        </is>
      </c>
      <c r="N302" s="18" t="inlineStr">
        <is>
          <t>PLE_CC1_2567_Key ข้อ 11</t>
        </is>
      </c>
      <c r="O302" s="18" t="inlineStr">
        <is>
          <t>ข้อสอบจริง</t>
        </is>
      </c>
      <c r="P302" s="18" t="inlineStr">
        <is>
          <t>ปี 2567</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P5"/>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
        <f>HYPERLINK("#gid=0", "🏠 กลับสู่หน้าแรก (Go to Home Page)")</f>
        <v/>
      </c>
    </row>
    <row r="2">
      <c r="A2" s="42" t="inlineStr">
        <is>
          <t>ข้อที่</t>
        </is>
      </c>
      <c r="B2" s="42" t="inlineStr">
        <is>
          <t>คำถาม</t>
        </is>
      </c>
      <c r="C2" s="42" t="inlineStr">
        <is>
          <t>รูปถาม</t>
        </is>
      </c>
      <c r="D2" s="42" t="inlineStr">
        <is>
          <t>ตัวเลือก 1</t>
        </is>
      </c>
      <c r="E2" s="42" t="inlineStr">
        <is>
          <t>ตัวเลือก 2</t>
        </is>
      </c>
      <c r="F2" s="42" t="inlineStr">
        <is>
          <t>ตัวเลือก 3</t>
        </is>
      </c>
      <c r="G2" s="42" t="inlineStr">
        <is>
          <t>ตัวเลือก 4</t>
        </is>
      </c>
      <c r="H2" s="42" t="inlineStr">
        <is>
          <t>ตัวเลือก 5</t>
        </is>
      </c>
      <c r="I2" s="42" t="inlineStr">
        <is>
          <t>เฉลย (ตัวเลข 1-5)</t>
        </is>
      </c>
      <c r="J2" s="42" t="inlineStr">
        <is>
          <t>คำอธิบายเฉลย</t>
        </is>
      </c>
      <c r="K2" s="42" t="inlineStr">
        <is>
          <t>รูปเฉลย</t>
        </is>
      </c>
      <c r="L2" s="42" t="inlineStr">
        <is>
          <t>Filter หมวด/Subtopic</t>
        </is>
      </c>
      <c r="M2" s="42" t="inlineStr">
        <is>
          <t>Product / Clinic</t>
        </is>
      </c>
      <c r="N2" s="42" t="inlineStr">
        <is>
          <t>หมายเหตุ</t>
        </is>
      </c>
      <c r="O2" s="18" t="inlineStr">
        <is>
          <t>ประเภทข้อสอบ</t>
        </is>
      </c>
      <c r="P2" s="18" t="inlineStr">
        <is>
          <t>ปี / เลขชุด</t>
        </is>
      </c>
    </row>
    <row r="3">
      <c r="A3" s="15" t="inlineStr">
        <is>
          <t>9</t>
        </is>
      </c>
      <c r="B3" s="18" t="inlineStr">
        <is>
          <t>ถ้าผู้ป่วยใช้ยาพ่น budesonide inhaler หมด และใช้สิทธิบัตรทอง สามารถขอรับยาต่อได้หรือไม่</t>
        </is>
      </c>
      <c r="C3" s="18" t="inlineStr"/>
      <c r="D3" s="18" t="inlineStr">
        <is>
          <t>ไม่ได้ เพราะต้องให้แพทย์สั่ง</t>
        </is>
      </c>
      <c r="E3" s="18" t="inlineStr">
        <is>
          <t>ไม่ได้ เพราะเป็นยาที่ต้องสั่งโดยแพทย์ผู้เชี่ยวชาญเฉพาะทาง</t>
        </is>
      </c>
      <c r="F3" s="18" t="inlineStr">
        <is>
          <t>ได้ สามารถรับที่ไหนก็ได้</t>
        </is>
      </c>
      <c r="G3" s="18" t="inlineStr">
        <is>
          <t>ได้ เพราะอยู่ในบัญชียาหลักแห่งชาติ</t>
        </is>
      </c>
      <c r="H3" s="18" t="inlineStr">
        <is>
          <t>ได้ เพราะในกรมบัญชีกลางอนุญาต</t>
        </is>
      </c>
      <c r="I3" s="15" t="inlineStr">
        <is>
          <t>4</t>
        </is>
      </c>
      <c r="J3" s="18"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ข. (ไม่ได้ เพราะเป็นยาที่ต้องสั่งโดยแพทย์ผู้เชี่ยวชาญเฉพาะทาง):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(ได้ สามารถรับที่ไหนก็ได้):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(ได้ เพราะในกรมบัญชีกลางอนุญาต): ข้อนี้ไม่ใช่คำตอบที่ถูกต้องสำหรับภาวะ ระบบประกันสุขภาพ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8" t="inlineStr"/>
      <c r="L3" s="18" t="inlineStr">
        <is>
          <t>ระบบประกันสุขภาพ</t>
        </is>
      </c>
      <c r="M3" s="18" t="inlineStr">
        <is>
          <t>SAP</t>
        </is>
      </c>
      <c r="N3" s="18" t="inlineStr">
        <is>
          <t>ข้อ 9 ชุด 1 (เฉลยข้อ ง)</t>
        </is>
      </c>
      <c r="O3" s="18" t="inlineStr">
        <is>
          <t>Mock</t>
        </is>
      </c>
      <c r="P3" s="18" t="inlineStr">
        <is>
          <t>ชุด 1</t>
        </is>
      </c>
    </row>
    <row r="4">
      <c r="A4" s="15" t="inlineStr">
        <is>
          <t>31</t>
        </is>
      </c>
      <c r="B4" s="18"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18" t="inlineStr"/>
      <c r="D4" s="18"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18"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18" t="inlineStr">
        <is>
          <t>ต้องเสียค่าใช้จ่าย แต่หากผู้ปกครองไม่นำบุตรไปรับวัคซีนตามโปรแกรมถือมีความผิดตามกฎหมาย</t>
        </is>
      </c>
      <c r="G4" s="18" t="inlineStr">
        <is>
          <t>ต้องเสียค่าใช้จ่าย แต่หากผู้ปกครองไม่นำบุตรไปรับวัคซีนตามโปรแกรมถือว่าไม่มีความผิดตามกฎหมาย</t>
        </is>
      </c>
      <c r="H4" s="18" t="inlineStr">
        <is>
          <t>ไม่มีข้อใดถูก</t>
        </is>
      </c>
      <c r="I4" s="15" t="inlineStr">
        <is>
          <t>1</t>
        </is>
      </c>
      <c r="J4" s="18"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(ต้องเสียค่าใช้จ่าย แต่หากผู้ปกครองไม่นำบุตรไปรับวัคซีนตามโปรแกรมถือมีความผิดตามกฎหมาย):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ง. (ต้องเสียค่าใช้จ่าย แต่หากผู้ปกครองไม่นำบุตรไปรับวัคซีนตามโปรแกรมถือว่าไม่มีความผิดตามกฎหมาย):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8" t="inlineStr"/>
      <c r="L4" s="18" t="inlineStr">
        <is>
          <t>ระบบประกันสุขภาพ</t>
        </is>
      </c>
      <c r="M4" s="18" t="inlineStr">
        <is>
          <t>SAP</t>
        </is>
      </c>
      <c r="N4" s="18" t="inlineStr">
        <is>
          <t>ข้อ 31 ชุด 1 (เฉลยข้อ ก)</t>
        </is>
      </c>
      <c r="O4" s="18" t="inlineStr">
        <is>
          <t>Mock</t>
        </is>
      </c>
      <c r="P4" s="18" t="inlineStr">
        <is>
          <t>ชุด 1</t>
        </is>
      </c>
    </row>
    <row r="5">
      <c r="A5" s="18" t="n">
        <v>32</v>
      </c>
      <c r="B5" s="18"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18" t="inlineStr"/>
      <c r="D5" s="18" t="inlineStr">
        <is>
          <t>ใช้วิธีเตือนอย่างเข้มงวดและแจ้งบทลงโทษหากไม่มารับยาตามนัด</t>
        </is>
      </c>
      <c r="E5" s="18" t="inlineStr">
        <is>
          <t>ให้คำแนะนำที่ตรงไปตรงมา เน้นย้ำถึงอันตรายของการเกิดเชื้อดื้อยาจนรักษาไม่หาย</t>
        </is>
      </c>
      <c r="F5" s="18" t="inlineStr">
        <is>
          <t>ให้คำแนะนำตามหลักการแพทย์เชิงลึกเพื่อให้ดูน่าเชื่อถือและผู้ป่วยปฏิบัติตาม</t>
        </is>
      </c>
      <c r="G5" s="18"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18" t="inlineStr">
        <is>
          <t>ให้คำแนะนำเท่าที่จำเป็นอย่างกระชับเพื่อไม่ให้ผู้ป่วยเสียเวลาและไม่วิตกกังวล</t>
        </is>
      </c>
      <c r="I5" s="15" t="inlineStr">
        <is>
          <t>4</t>
        </is>
      </c>
      <c r="J5" s="18"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18" t="inlineStr"/>
      <c r="L5" s="18" t="inlineStr">
        <is>
          <t>Pharmacy Administration &amp; System</t>
        </is>
      </c>
      <c r="M5" s="18" t="inlineStr">
        <is>
          <t>SAP</t>
        </is>
      </c>
      <c r="N5" s="18" t="inlineStr">
        <is>
          <t>Mock PLE-CC 1 ข้อ 106</t>
        </is>
      </c>
      <c r="O5" s="18" t="inlineStr">
        <is>
          <t>Mock</t>
        </is>
      </c>
      <c r="P5" s="18" t="inlineStr">
        <is>
          <t>Mock RxCU83</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Q76"/>
  <sheetViews>
    <sheetView workbookViewId="0">
      <selection activeCell="A1" sqref="A1"/>
    </sheetView>
  </sheetViews>
  <sheetFormatPr baseColWidth="8" defaultColWidth="12.63" defaultRowHeight="15.75" customHeight="1"/>
  <sheetData>
    <row r="1" ht="27" customHeight="1" s="52">
      <c r="A1" s="5">
        <f>HYPERLINK("#gid=0", "🏠 กลับสู่หน้าแรก (Go to Home Page)")</f>
        <v/>
      </c>
    </row>
    <row r="2">
      <c r="A2" s="43" t="inlineStr">
        <is>
          <t>ข้อที่</t>
        </is>
      </c>
      <c r="B2" s="43" t="inlineStr">
        <is>
          <t>คำถาม</t>
        </is>
      </c>
      <c r="C2" s="43" t="inlineStr">
        <is>
          <t>รูปถาม</t>
        </is>
      </c>
      <c r="D2" s="43" t="inlineStr">
        <is>
          <t>ตัวเลือก 1</t>
        </is>
      </c>
      <c r="E2" s="43" t="inlineStr">
        <is>
          <t>ตัวเลือก 2</t>
        </is>
      </c>
      <c r="F2" s="43" t="inlineStr">
        <is>
          <t>ตัวเลือก 3</t>
        </is>
      </c>
      <c r="G2" s="43" t="inlineStr">
        <is>
          <t>ตัวเลือก 4</t>
        </is>
      </c>
      <c r="H2" s="43" t="inlineStr">
        <is>
          <t>ตัวเลือก 5</t>
        </is>
      </c>
      <c r="I2" s="43" t="inlineStr">
        <is>
          <t>เฉลย (ตัวเลข 1-5)</t>
        </is>
      </c>
      <c r="J2" s="43" t="inlineStr">
        <is>
          <t>คำอธิบายเฉลย</t>
        </is>
      </c>
      <c r="K2" s="43" t="inlineStr">
        <is>
          <t>รูปเฉลย</t>
        </is>
      </c>
      <c r="L2" s="43" t="inlineStr">
        <is>
          <t>Filter หมวด/Subtopic</t>
        </is>
      </c>
      <c r="M2" s="43" t="inlineStr">
        <is>
          <t>Product / Clinic</t>
        </is>
      </c>
      <c r="N2" s="43" t="inlineStr">
        <is>
          <t>หมายเหตุ</t>
        </is>
      </c>
      <c r="O2" s="43" t="inlineStr">
        <is>
          <t>ประเภทข้อสอบ</t>
        </is>
      </c>
      <c r="P2" s="43" t="inlineStr">
        <is>
          <t>ปี / เลขชุด</t>
        </is>
      </c>
    </row>
    <row r="3">
      <c r="A3" s="15" t="inlineStr">
        <is>
          <t>30</t>
        </is>
      </c>
      <c r="B3" s="18"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18" t="inlineStr"/>
      <c r="D3" s="18" t="inlineStr">
        <is>
          <t>Cohort study, Case controlled study</t>
        </is>
      </c>
      <c r="E3" s="18" t="inlineStr">
        <is>
          <t>Case report, Cross-sectional study</t>
        </is>
      </c>
      <c r="F3" s="18" t="inlineStr">
        <is>
          <t>Case controlled study, Cross-sectional study</t>
        </is>
      </c>
      <c r="G3" s="18" t="inlineStr">
        <is>
          <t>Meta-analysis, Randomized controlled study</t>
        </is>
      </c>
      <c r="H3" s="18" t="inlineStr">
        <is>
          <t>Cross-sectional study, Randomized controlled study</t>
        </is>
      </c>
      <c r="I3" s="15" t="inlineStr">
        <is>
          <t>4</t>
        </is>
      </c>
      <c r="J3" s="18"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(Case report,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 controlled study,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Randomized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8" t="inlineStr"/>
      <c r="L3" s="18" t="inlineStr">
        <is>
          <t>รูปแบบการวิจัยทางคลินิก</t>
        </is>
      </c>
      <c r="M3" s="18" t="inlineStr">
        <is>
          <t>SAP</t>
        </is>
      </c>
      <c r="N3" s="18" t="inlineStr">
        <is>
          <t>ข้อ 30 ชุด 1 (เฉลยข้อ ง)</t>
        </is>
      </c>
      <c r="O3" s="18" t="inlineStr">
        <is>
          <t>Mock</t>
        </is>
      </c>
      <c r="P3" s="18" t="inlineStr">
        <is>
          <t>ชุด 1</t>
        </is>
      </c>
    </row>
    <row r="4">
      <c r="A4" s="15" t="inlineStr">
        <is>
          <t>52</t>
        </is>
      </c>
      <c r="B4" s="18" t="inlineStr">
        <is>
          <t>ทำการศึกษา ergotamine ในรูปแบบต่างกัน 2 รูปแบบโดยเปรียบเทียบระดับสูงสุดจะใช้สถิติใดทดสอบ</t>
        </is>
      </c>
      <c r="C4" s="18" t="inlineStr"/>
      <c r="D4" s="18" t="inlineStr">
        <is>
          <t>T-test unpair</t>
        </is>
      </c>
      <c r="E4" s="18" t="inlineStr">
        <is>
          <t>T-test pair</t>
        </is>
      </c>
      <c r="F4" s="18" t="inlineStr">
        <is>
          <t>F-test</t>
        </is>
      </c>
      <c r="G4" s="18" t="inlineStr">
        <is>
          <t>Mann-Whitney u test</t>
        </is>
      </c>
      <c r="H4" s="18" t="inlineStr">
        <is>
          <t>ไม่มีข้อใดถูก</t>
        </is>
      </c>
      <c r="I4" s="15" t="inlineStr">
        <is>
          <t>1</t>
        </is>
      </c>
      <c r="J4" s="18"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(F-test):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(Mann-Whitney u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8" t="inlineStr"/>
      <c r="L4" s="18" t="inlineStr">
        <is>
          <t>รูปแบบการวิจัยทางคลินิก</t>
        </is>
      </c>
      <c r="M4" s="18" t="inlineStr">
        <is>
          <t>SAP</t>
        </is>
      </c>
      <c r="N4" s="18" t="inlineStr">
        <is>
          <t>ข้อ 52 ชุด 1 (เฉลยข้อ ก)</t>
        </is>
      </c>
      <c r="O4" s="18" t="inlineStr">
        <is>
          <t>Mock</t>
        </is>
      </c>
      <c r="P4" s="18" t="inlineStr">
        <is>
          <t>ชุด 1</t>
        </is>
      </c>
    </row>
    <row r="5">
      <c r="A5" s="15" t="inlineStr">
        <is>
          <t>55</t>
        </is>
      </c>
      <c r="B5" s="18"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18" t="inlineStr"/>
      <c r="D5" s="18" t="inlineStr">
        <is>
          <t>Case control study</t>
        </is>
      </c>
      <c r="E5" s="18" t="inlineStr">
        <is>
          <t>Randomized control study</t>
        </is>
      </c>
      <c r="F5" s="18" t="inlineStr">
        <is>
          <t>Cohort study</t>
        </is>
      </c>
      <c r="G5" s="18" t="inlineStr">
        <is>
          <t>Analysis of secular trend</t>
        </is>
      </c>
      <c r="H5" s="18" t="inlineStr">
        <is>
          <t>Cross-sectional study</t>
        </is>
      </c>
      <c r="I5" s="15" t="inlineStr">
        <is>
          <t>1</t>
        </is>
      </c>
      <c r="J5" s="18"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secular trend):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8" t="inlineStr"/>
      <c r="L5" s="18" t="inlineStr">
        <is>
          <t>รูปแบบการวิจัยทางคลินิก</t>
        </is>
      </c>
      <c r="M5" s="18" t="inlineStr">
        <is>
          <t>SAP</t>
        </is>
      </c>
      <c r="N5" s="18" t="inlineStr">
        <is>
          <t>ข้อ 55 ชุด 1 (เฉลยข้อ ก)</t>
        </is>
      </c>
      <c r="O5" s="18" t="inlineStr">
        <is>
          <t>Mock</t>
        </is>
      </c>
      <c r="P5" s="18" t="inlineStr">
        <is>
          <t>ชุด 1</t>
        </is>
      </c>
    </row>
    <row r="6">
      <c r="A6" s="15" t="inlineStr">
        <is>
          <t>56</t>
        </is>
      </c>
      <c r="B6" s="18"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18" t="inlineStr"/>
      <c r="D6" s="18" t="inlineStr">
        <is>
          <t>90 บาทต่อเม็ด</t>
        </is>
      </c>
      <c r="E6" s="18" t="inlineStr">
        <is>
          <t>98 บาทต่อเม็ด</t>
        </is>
      </c>
      <c r="F6" s="18" t="inlineStr">
        <is>
          <t>100 บาทต่อเม็ด</t>
        </is>
      </c>
      <c r="G6" s="18" t="inlineStr">
        <is>
          <t>103 บาทต่อเม็ด</t>
        </is>
      </c>
      <c r="H6" s="18" t="inlineStr">
        <is>
          <t>110 บาทต่อเม็ด</t>
        </is>
      </c>
      <c r="I6" s="15" t="inlineStr">
        <is>
          <t>4</t>
        </is>
      </c>
      <c r="J6" s="18"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(98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(100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(110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8" t="inlineStr"/>
      <c r="L6" s="18" t="inlineStr">
        <is>
          <t>รูปแบบการวิจัยทางคลินิก</t>
        </is>
      </c>
      <c r="M6" s="18" t="inlineStr">
        <is>
          <t>SAP</t>
        </is>
      </c>
      <c r="N6" s="18" t="inlineStr">
        <is>
          <t>ข้อ 56 ชุด 1 (เฉลยข้อ ง)</t>
        </is>
      </c>
      <c r="O6" s="18" t="inlineStr">
        <is>
          <t>Mock</t>
        </is>
      </c>
      <c r="P6" s="18" t="inlineStr">
        <is>
          <t>ชุด 1</t>
        </is>
      </c>
    </row>
    <row r="7">
      <c r="A7" s="15" t="inlineStr">
        <is>
          <t>59</t>
        </is>
      </c>
      <c r="B7" s="18"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18" t="inlineStr"/>
      <c r="D7" s="18" t="inlineStr">
        <is>
          <t>Case control</t>
        </is>
      </c>
      <c r="E7" s="18" t="inlineStr">
        <is>
          <t>Cohort</t>
        </is>
      </c>
      <c r="F7" s="18" t="inlineStr">
        <is>
          <t>Meta-analysis of case control studies</t>
        </is>
      </c>
      <c r="G7" s="18" t="inlineStr">
        <is>
          <t>Descriptive</t>
        </is>
      </c>
      <c r="H7" s="18" t="inlineStr">
        <is>
          <t>Randomized control trial</t>
        </is>
      </c>
      <c r="I7" s="15" t="inlineStr">
        <is>
          <t>5</t>
        </is>
      </c>
      <c r="J7" s="18"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(Meta-analysis of case control studies):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(Descriptive):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8" t="inlineStr"/>
      <c r="L7" s="18" t="inlineStr">
        <is>
          <t>รูปแบบการวิจัยทางคลินิก</t>
        </is>
      </c>
      <c r="M7" s="18" t="inlineStr">
        <is>
          <t>SAP</t>
        </is>
      </c>
      <c r="N7" s="18" t="inlineStr">
        <is>
          <t>ข้อ 59 ชุด 1 (เฉลยข้อ จ)</t>
        </is>
      </c>
      <c r="O7" s="18" t="inlineStr">
        <is>
          <t>Mock</t>
        </is>
      </c>
      <c r="P7" s="18" t="inlineStr">
        <is>
          <t>ชุด 1</t>
        </is>
      </c>
    </row>
    <row r="8">
      <c r="A8" s="15" t="inlineStr">
        <is>
          <t>102</t>
        </is>
      </c>
      <c r="B8" s="18" t="inlineStr">
        <is>
          <t>การทดสอบอาการข้างเคียงของยา colchicine ในกลุ่มคน 3 กลุ่มที่ได้รับยาในขนาดต่างกัน ใช้สถิติในข้อใด</t>
        </is>
      </c>
      <c r="C8" s="18" t="inlineStr"/>
      <c r="D8" s="18" t="inlineStr">
        <is>
          <t>Unpaired t-test</t>
        </is>
      </c>
      <c r="E8" s="18" t="inlineStr">
        <is>
          <t>T-test</t>
        </is>
      </c>
      <c r="F8" s="18" t="inlineStr">
        <is>
          <t>Chi-square</t>
        </is>
      </c>
      <c r="G8" s="18" t="inlineStr">
        <is>
          <t>One way analysis of variance</t>
        </is>
      </c>
      <c r="H8" s="18" t="inlineStr">
        <is>
          <t>Correlation</t>
        </is>
      </c>
      <c r="I8" s="15" t="inlineStr">
        <is>
          <t>4</t>
        </is>
      </c>
      <c r="J8" s="18"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8" t="inlineStr"/>
      <c r="L8" s="18" t="inlineStr">
        <is>
          <t>รูปแบบการวิจัยทางคลินิก</t>
        </is>
      </c>
      <c r="M8" s="18" t="inlineStr">
        <is>
          <t>SAP</t>
        </is>
      </c>
      <c r="N8" s="18" t="inlineStr">
        <is>
          <t>ข้อ 102 ชุด 1 (เฉลยข้อ ง)</t>
        </is>
      </c>
      <c r="O8" s="18" t="inlineStr">
        <is>
          <t>Mock</t>
        </is>
      </c>
      <c r="P8" s="18" t="inlineStr">
        <is>
          <t>ชุด 1</t>
        </is>
      </c>
    </row>
    <row r="9">
      <c r="A9" s="15" t="inlineStr">
        <is>
          <t>103</t>
        </is>
      </c>
      <c r="B9" s="18" t="inlineStr">
        <is>
          <t>การทาน aspirin สามารถลดการเกิด CAD โดยมีค่า OR 0.83 หมายความว่าอย่างไร</t>
        </is>
      </c>
      <c r="C9" s="18" t="inlineStr"/>
      <c r="D9" s="18" t="inlineStr">
        <is>
          <t>คนที่กิน aspirin มีโอกาสเป็น CAD น้อยกว่าคนที่ไม่กิน 17 %</t>
        </is>
      </c>
      <c r="E9" s="18" t="inlineStr">
        <is>
          <t>คนที่กิน aspirin มีโอกาสเป็น CAD น้อยกว่าคนที่ไม่กิน 83 %</t>
        </is>
      </c>
      <c r="F9" s="18" t="inlineStr">
        <is>
          <t>คนที่กิน aspirin มีโอกาสเป็น CAD มากกว่าคนที่ไม่กิน 17 %</t>
        </is>
      </c>
      <c r="G9" s="18" t="inlineStr">
        <is>
          <t>คนที่กิน aspirin มีโอกาสเป็น CAD มากกว่าคนที่ไม่กิน 83 %</t>
        </is>
      </c>
      <c r="H9" s="18" t="inlineStr">
        <is>
          <t>คนที่กิน aspirin มีโอกาสเป็น CAD เท่ากับคนที่ไม่กิน 17 %</t>
        </is>
      </c>
      <c r="I9" s="15" t="inlineStr">
        <is>
          <t>1</t>
        </is>
      </c>
      <c r="J9" s="18"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8" t="inlineStr"/>
      <c r="L9" s="18" t="inlineStr">
        <is>
          <t>รูปแบบการวิจัยทางคลินิก</t>
        </is>
      </c>
      <c r="M9" s="18" t="inlineStr">
        <is>
          <t>SAP</t>
        </is>
      </c>
      <c r="N9" s="18" t="inlineStr">
        <is>
          <t>ข้อ 103 ชุด 1 (เฉลยข้อ ก)</t>
        </is>
      </c>
      <c r="O9" s="18" t="inlineStr">
        <is>
          <t>Mock</t>
        </is>
      </c>
      <c r="P9" s="18" t="inlineStr">
        <is>
          <t>ชุด 1</t>
        </is>
      </c>
    </row>
    <row r="10">
      <c r="A10" s="15" t="inlineStr">
        <is>
          <t>105</t>
        </is>
      </c>
      <c r="B10" s="18"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18" t="inlineStr"/>
      <c r="D10" s="15" t="inlineStr">
        <is>
          <t>1.4</t>
        </is>
      </c>
      <c r="E10" s="15" t="inlineStr">
        <is>
          <t>1.5</t>
        </is>
      </c>
      <c r="F10" s="15" t="inlineStr">
        <is>
          <t>1.6</t>
        </is>
      </c>
      <c r="G10" s="18" t="inlineStr">
        <is>
          <t>Cost-Minimization Analysis (CMA)</t>
        </is>
      </c>
      <c r="H10" s="18" t="inlineStr">
        <is>
          <t>Student t-test for comparing two independent means</t>
        </is>
      </c>
      <c r="I10" s="15" t="inlineStr">
        <is>
          <t>2</t>
        </is>
      </c>
      <c r="J10" s="18"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 d) / (b * c) จากตาราง: a=25, b=15, c=25, d=30 ดังนั้น OR = (25 * 30) / (15 * 25) = 30 / 15 = 2.0
🔍 ข้ออื่นผิดเพราะอะไร:
• ข้อ ก. (1.4): ข้อนี้ไม่ใช่คำตอบที่ถูกต้องสำหรับภาวะ สถิติวิเคราะห์ เนื่องจากกลไกการออกฤทธิ์, efficacy หรือข้อบ่งใช้ไม่ตรงกับโจทย์ที่กำหนด
• ข้อ ค. (1.6): ข้อนี้ไม่ใช่คำตอบที่ถูกต้องสำหรับภาวะ สถิติวิเคราะห์ เนื่องจากกลไกการออกฤทธิ์, efficacy หรือข้อบ่งใช้ไม่ตรงกับโจทย์ที่กำหนด
• ข้อ ง.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8" t="inlineStr"/>
      <c r="L10" s="18" t="inlineStr">
        <is>
          <t>สถิติวิเคราะห์</t>
        </is>
      </c>
      <c r="M10" s="18" t="inlineStr">
        <is>
          <t>SAP</t>
        </is>
      </c>
      <c r="N10" s="18" t="inlineStr">
        <is>
          <t>ข้อ 105 ชุด 1 (เฉลยข้อ ข)</t>
        </is>
      </c>
      <c r="O10" s="18" t="inlineStr">
        <is>
          <t>Mock</t>
        </is>
      </c>
      <c r="P10" s="18" t="inlineStr">
        <is>
          <t>ชุด 1</t>
        </is>
      </c>
    </row>
    <row r="11">
      <c r="A11" s="15" t="inlineStr">
        <is>
          <t>106</t>
        </is>
      </c>
      <c r="B11" s="18"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18" t="inlineStr"/>
      <c r="D11" s="18" t="inlineStr">
        <is>
          <t>ยาใหม่และยา levonorgestrel มีความเสี่ยงในการเกิดอาการข้างเคียงแตกต่างกันอย่างมีนัยสำคัญทางสถิติ</t>
        </is>
      </c>
      <c r="E11" s="18" t="inlineStr">
        <is>
          <t>ยาใหม่และยา levonorgestrel มีความเสี่ยงในการเกิดอาการข้างเคียงแตกต่างกันอย่างมีนัยสำคัญทางสถิติ</t>
        </is>
      </c>
      <c r="F11" s="18" t="inlineStr">
        <is>
          <t>ยาใหม่มีความเสี่ยงในการเกิดอาการข้างเคียงมากกว่ามากกว่ายา levonorgestrel 1.25 เท่า</t>
        </is>
      </c>
      <c r="G11" s="18" t="inlineStr">
        <is>
          <t>ยา levonorgestrel มีความเสี่ยงในการเกิดอาการข้างเคียงมากกว่ายาใหม่ 1.25 เท่า</t>
        </is>
      </c>
      <c r="H11" s="18" t="inlineStr">
        <is>
          <t>ยาใหม่และยา levonorgestrel มีความเสี่ยงในการเกิดอาการข้างเคียงแตกต่างกันอย่างไม่มีนัยสำคัญทางสถิติ</t>
        </is>
      </c>
      <c r="I11" s="15" t="inlineStr">
        <is>
          <t>1</t>
        </is>
      </c>
      <c r="J11" s="18"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(ยาใหม่มีความเสี่ยงในการเกิดอาการข้างเคียงมากกว่ามากกว่ายา levonorgestrel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(ยา levonorgestrel มีความเสี่ยงในการเกิดอาการข้างเคียงมากกว่ายาใหม่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(ยาใหม่และยา levonorgestrel มีความเสี่ยงในการเกิดอาการข้างเคียงแตกต่างกันอย่างไม่มีนัยสำคัญทางสถิติ):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8" t="inlineStr"/>
      <c r="L11" s="18" t="inlineStr">
        <is>
          <t>รูปแบบการวิจัยทางคลินิก</t>
        </is>
      </c>
      <c r="M11" s="18" t="inlineStr">
        <is>
          <t>SAP</t>
        </is>
      </c>
      <c r="N11" s="18" t="inlineStr">
        <is>
          <t>ข้อ 106 ชุด 1 (เฉลยข้อ ก)</t>
        </is>
      </c>
      <c r="O11" s="18" t="inlineStr">
        <is>
          <t>Mock</t>
        </is>
      </c>
      <c r="P11" s="18" t="inlineStr">
        <is>
          <t>ชุด 1</t>
        </is>
      </c>
    </row>
    <row r="12">
      <c r="A12" s="15" t="inlineStr">
        <is>
          <t>128</t>
        </is>
      </c>
      <c r="B12" s="18"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18" t="inlineStr"/>
      <c r="D12" s="18" t="inlineStr">
        <is>
          <t>Randomized Controlled Trial (Double-blind RCT)</t>
        </is>
      </c>
      <c r="E12" s="18" t="inlineStr">
        <is>
          <t>Prospective Cohort Study (Relative Risk: RR)</t>
        </is>
      </c>
      <c r="F12" s="18" t="inlineStr">
        <is>
          <t>Case-Control Study (Odds Ratio: OR)</t>
        </is>
      </c>
      <c r="G12" s="18" t="inlineStr">
        <is>
          <t>Cross-Sectional Survey Prevalence Study</t>
        </is>
      </c>
      <c r="H12" s="15" t="inlineStr">
        <is>
          <t>10</t>
        </is>
      </c>
      <c r="I12" s="15" t="inlineStr">
        <is>
          <t>1</t>
        </is>
      </c>
      <c r="J12" s="18"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 450) / (300 * 50) = 90,000 / 15,000 = 6
🔍 ข้ออื่นผิดเพราะอะไร:
• ข้อ ข.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ค.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จ. (10):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8" t="inlineStr"/>
      <c r="L12" s="18" t="inlineStr">
        <is>
          <t>สถิติวิเคราะห์</t>
        </is>
      </c>
      <c r="M12" s="18" t="inlineStr">
        <is>
          <t>SAP</t>
        </is>
      </c>
      <c r="N12" s="18" t="inlineStr">
        <is>
          <t>ข้อ 128 ชุด 1 (เฉลยข้อ ก)</t>
        </is>
      </c>
      <c r="O12" s="18" t="inlineStr">
        <is>
          <t>Mock</t>
        </is>
      </c>
      <c r="P12" s="18" t="inlineStr">
        <is>
          <t>ชุด 1</t>
        </is>
      </c>
    </row>
    <row r="13">
      <c r="A13" s="15" t="inlineStr">
        <is>
          <t>129</t>
        </is>
      </c>
      <c r="B13" s="18"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18" t="inlineStr"/>
      <c r="D13" s="18" t="inlineStr">
        <is>
          <t>การเกิด CA lung ในกลุ่มสูบบุหรี่ = 1 คนใน 1,000 คน</t>
        </is>
      </c>
      <c r="E13" s="18" t="inlineStr">
        <is>
          <t>การเกิด CA lung ในกลุ่มไม่สูบบุหรี่ = 1 คนใน 10,000 คน</t>
        </is>
      </c>
      <c r="F13" s="18" t="inlineStr">
        <is>
          <t>odd ratio = 11</t>
        </is>
      </c>
      <c r="G13" s="18" t="inlineStr">
        <is>
          <t>ผู้ป่วยที่สูบบุหรี่เป็นเวลา 30 ปี มีโอกาสเกิด CA lung 1 คน ใน 111 คน</t>
        </is>
      </c>
      <c r="H13" s="18" t="inlineStr">
        <is>
          <t>ไม่มีข้อใดถูก</t>
        </is>
      </c>
      <c r="I13" s="15" t="inlineStr">
        <is>
          <t>4</t>
        </is>
      </c>
      <c r="J13" s="18"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(การเกิด CA lung ในกลุ่มไม่สูบบุหรี่ = 1 คนใน 10,000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(odd ratio = 11):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8" t="inlineStr"/>
      <c r="L13" s="18" t="inlineStr">
        <is>
          <t>รูปแบบการวิจัยทางคลินิก</t>
        </is>
      </c>
      <c r="M13" s="18" t="inlineStr">
        <is>
          <t>SAP</t>
        </is>
      </c>
      <c r="N13" s="18" t="inlineStr">
        <is>
          <t>ข้อ 129 ชุด 1 (เฉลยข้อ ง)</t>
        </is>
      </c>
      <c r="O13" s="18" t="inlineStr">
        <is>
          <t>Mock</t>
        </is>
      </c>
      <c r="P13" s="18" t="inlineStr">
        <is>
          <t>ชุด 1</t>
        </is>
      </c>
    </row>
    <row r="14">
      <c r="A14" s="15" t="inlineStr">
        <is>
          <t>13</t>
        </is>
      </c>
      <c r="B14" s="18"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18" t="inlineStr"/>
      <c r="D14" s="18" t="inlineStr">
        <is>
          <t>Cross sectional study</t>
        </is>
      </c>
      <c r="E14" s="18" t="inlineStr">
        <is>
          <t>Cohort study</t>
        </is>
      </c>
      <c r="F14" s="18" t="inlineStr">
        <is>
          <t>Randomized control study</t>
        </is>
      </c>
      <c r="G14" s="18" t="inlineStr">
        <is>
          <t>Systematic review and meta analysis study</t>
        </is>
      </c>
      <c r="H14" s="18" t="inlineStr">
        <is>
          <t>Systematic review and meta analysis study</t>
        </is>
      </c>
      <c r="I14" s="15" t="inlineStr">
        <is>
          <t>1</t>
        </is>
      </c>
      <c r="J14" s="18"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 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18" t="inlineStr"/>
      <c r="L14" s="18" t="inlineStr">
        <is>
          <t>รูปแบบการวิจัยทางคลินิก</t>
        </is>
      </c>
      <c r="M14" s="18" t="inlineStr">
        <is>
          <t>Research &amp; Biostats</t>
        </is>
      </c>
      <c r="N14" s="18" t="inlineStr">
        <is>
          <t>Mock PLE-CC 1 ข้อ 38</t>
        </is>
      </c>
      <c r="O14" s="18" t="inlineStr">
        <is>
          <t>Mock</t>
        </is>
      </c>
      <c r="P14" s="18" t="inlineStr">
        <is>
          <t>Mock RxCU83</t>
        </is>
      </c>
      <c r="Q14" s="18" t="inlineStr"/>
    </row>
    <row r="15">
      <c r="A15" s="15" t="inlineStr">
        <is>
          <t>14</t>
        </is>
      </c>
      <c r="B15" s="18"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18" t="inlineStr"/>
      <c r="D15" s="18" t="inlineStr">
        <is>
          <t>B ลด death risk ได้ 35% เมื่อเทียบกับ A</t>
        </is>
      </c>
      <c r="E15" s="18" t="inlineStr">
        <is>
          <t>HR ใกล้เคียง1หมายความว่าไม่มีความแตกต่างในข้อมูล</t>
        </is>
      </c>
      <c r="F15" s="18" t="inlineStr">
        <is>
          <t>Median OS ของ A แปลว่า คนไข้ที่ใช้ A มีมัธยฐานของ survival rate อยู่ที่ 28 เดือน</t>
        </is>
      </c>
      <c r="G15" s="18" t="inlineStr">
        <is>
          <t>A ลด death risk ได้ 65%</t>
        </is>
      </c>
      <c r="H15" s="18" t="inlineStr">
        <is>
          <t>Median OS ของ B มากกว่า 18 เดือนแต่ไม่มีนัยส าคัญทางสถิติ</t>
        </is>
      </c>
      <c r="I15" s="15" t="inlineStr">
        <is>
          <t>1</t>
        </is>
      </c>
      <c r="J15" s="18"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(HR ใกล้เคียง1หมายความว่าไม่มีความแตกต่างในข้อมูล):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(Median OS ของ A แปลว่า คนไข้ที่ใช้ A มีมัธยฐานของ survival rate อยู่ที่ 28 เดือน):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(A ลด death risk ได้ 65%):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18" t="inlineStr"/>
      <c r="L15" s="18" t="inlineStr">
        <is>
          <t>รูปแบบการวิจัยทางคลินิก</t>
        </is>
      </c>
      <c r="M15" s="18" t="inlineStr">
        <is>
          <t>Research &amp; Biostats</t>
        </is>
      </c>
      <c r="N15" s="18" t="inlineStr">
        <is>
          <t>Mock PLE-CC 1 ข้อ 83</t>
        </is>
      </c>
      <c r="O15" s="18" t="inlineStr">
        <is>
          <t>Mock</t>
        </is>
      </c>
      <c r="P15" s="18" t="inlineStr">
        <is>
          <t>Mock RxCU83</t>
        </is>
      </c>
      <c r="Q15" s="18" t="inlineStr"/>
    </row>
    <row r="16">
      <c r="A16" s="15" t="inlineStr">
        <is>
          <t>15</t>
        </is>
      </c>
      <c r="B16" s="18"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18" t="inlineStr"/>
      <c r="D16" s="15" t="inlineStr">
        <is>
          <t>3.59</t>
        </is>
      </c>
      <c r="E16" s="15" t="inlineStr">
        <is>
          <t>3.33</t>
        </is>
      </c>
      <c r="F16" s="15" t="inlineStr">
        <is>
          <t>0.28</t>
        </is>
      </c>
      <c r="G16" s="15" t="inlineStr">
        <is>
          <t>2.69</t>
        </is>
      </c>
      <c r="H16" s="18"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15" t="inlineStr">
        <is>
          <t>1</t>
        </is>
      </c>
      <c r="J16" s="18"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ข้อนี้ไม่ใช่คำตอบที่ถูกต้องสำหรับภาวะ สถิติวิเคราะห์ เนื่องจากกลไกการออกฤทธิ์, efficacy หรือข้อบ่งใช้ไม่ตรงกับโจทย์ที่กำหนด
• ข้อ ค. (3.33): ข้อนี้ไม่ใช่คำตอบที่ถูกต้องสำหรับภาวะ สถิติวิเคราะห์ เนื่องจากกลไกการออกฤทธิ์, efficacy หรือข้อบ่งใช้ไม่ตรงกับโจทย์ที่กำหนด
• ข้อ ง. (0.28): ข้อนี้ไม่ใช่คำตอบที่ถูกต้องสำหรับภาวะ สถิติวิเคราะห์ เนื่องจากกลไกการออกฤทธิ์, efficacy หรือข้อบ่งใช้ไม่ตรงกับโจทย์ที่กำหนด
• ข้อ จ. (2.69):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18" t="inlineStr"/>
      <c r="L16" s="18" t="inlineStr">
        <is>
          <t>สถิติวิเคราะห์</t>
        </is>
      </c>
      <c r="M16" s="18" t="inlineStr">
        <is>
          <t>Research &amp; Biostats</t>
        </is>
      </c>
      <c r="N16" s="18" t="inlineStr">
        <is>
          <t>PLE_CC1_2567_Key ข้อ 38</t>
        </is>
      </c>
      <c r="O16" s="18" t="inlineStr">
        <is>
          <t>ข้อสอบจริง</t>
        </is>
      </c>
      <c r="P16" s="18" t="inlineStr">
        <is>
          <t>ปี 2567</t>
        </is>
      </c>
      <c r="Q16" s="18" t="inlineStr"/>
    </row>
    <row r="17">
      <c r="A17" s="15" t="inlineStr">
        <is>
          <t>16</t>
        </is>
      </c>
      <c r="B17" s="18"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18" t="inlineStr"/>
      <c r="D17" s="18" t="inlineStr">
        <is>
          <t>Allopurinol</t>
        </is>
      </c>
      <c r="E17" s="18" t="inlineStr">
        <is>
          <t>จำ choice ไม่ได้</t>
        </is>
      </c>
      <c r="F17" s="18" t="inlineStr">
        <is>
          <t>จำ choice ไม่ได้</t>
        </is>
      </c>
      <c r="G17" s="18" t="inlineStr">
        <is>
          <t>จำ choice ไม่ได้</t>
        </is>
      </c>
      <c r="H17" s="18" t="inlineStr">
        <is>
          <t>*จำ choice ไม่ได้*</t>
        </is>
      </c>
      <c r="I17" s="15" t="inlineStr">
        <is>
          <t>1</t>
        </is>
      </c>
      <c r="J17" s="18"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18" t="inlineStr"/>
      <c r="L17" s="18" t="inlineStr">
        <is>
          <t>รูปแบบการวิจัยทางคลินิก</t>
        </is>
      </c>
      <c r="M17" s="18" t="inlineStr">
        <is>
          <t>Research &amp; Biostats</t>
        </is>
      </c>
      <c r="N17" s="18" t="inlineStr">
        <is>
          <t>PLE_CC1_2567_Key ข้อ 72</t>
        </is>
      </c>
      <c r="O17" s="18" t="inlineStr">
        <is>
          <t>ข้อสอบจริง</t>
        </is>
      </c>
      <c r="P17" s="18" t="inlineStr">
        <is>
          <t>ปี 2567</t>
        </is>
      </c>
      <c r="Q17" s="18" t="inlineStr"/>
    </row>
    <row r="18">
      <c r="A18" s="15" t="inlineStr">
        <is>
          <t>17</t>
        </is>
      </c>
      <c r="B18" s="18"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18" t="inlineStr"/>
      <c r="D18" s="18" t="inlineStr">
        <is>
          <t>Research &amp; Biostats</t>
        </is>
      </c>
      <c r="E18" s="18" t="inlineStr">
        <is>
          <t>Chi-Square Test for Categorical Independence (p &lt; 0.05)</t>
        </is>
      </c>
      <c r="F18" s="18" t="inlineStr">
        <is>
          <t>Randomized Controlled Trial (Double-blind RCT)</t>
        </is>
      </c>
      <c r="G18" s="18" t="inlineStr">
        <is>
          <t>Prospective Cohort Study (Relative Risk: RR)</t>
        </is>
      </c>
      <c r="H18" s="18" t="inlineStr">
        <is>
          <t>Case-Control Study (Odds Ratio: OR)</t>
        </is>
      </c>
      <c r="I18" s="15" t="inlineStr">
        <is>
          <t>1</t>
        </is>
      </c>
      <c r="J18" s="18"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18" t="inlineStr"/>
      <c r="L18" s="18" t="inlineStr">
        <is>
          <t>รูปแบบการวิจัยทางคลินิก</t>
        </is>
      </c>
      <c r="M18" s="18" t="inlineStr">
        <is>
          <t>Research &amp; Biostats</t>
        </is>
      </c>
      <c r="N18" s="18" t="inlineStr">
        <is>
          <t>PLE_CC1_2567_Set1_Key ข้อ 38</t>
        </is>
      </c>
      <c r="O18" s="18" t="inlineStr">
        <is>
          <t>ข้อสอบจริง</t>
        </is>
      </c>
      <c r="P18" s="18" t="inlineStr">
        <is>
          <t>ปี 2567</t>
        </is>
      </c>
    </row>
    <row r="19">
      <c r="A19" s="15" t="inlineStr">
        <is>
          <t>18</t>
        </is>
      </c>
      <c r="B19" s="18"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18" t="inlineStr"/>
      <c r="D19" s="18" t="inlineStr">
        <is>
          <t>Research &amp; Biostats</t>
        </is>
      </c>
      <c r="E19" s="18" t="inlineStr">
        <is>
          <t>Case-Control Study (Odds Ratio: OR)</t>
        </is>
      </c>
      <c r="F19" s="18" t="inlineStr">
        <is>
          <t>Cross-Sectional Survey Prevalence Study</t>
        </is>
      </c>
      <c r="G19" s="18" t="inlineStr">
        <is>
          <t>Cost-Effectiveness Analysis (Incremental Cost-Effectiveness Ratio: ICER)</t>
        </is>
      </c>
      <c r="H19" s="18" t="inlineStr">
        <is>
          <t>Cost-Utility Analysis (Quality-Adjusted Life Years: QALY)</t>
        </is>
      </c>
      <c r="I19" s="15" t="inlineStr">
        <is>
          <t>1</t>
        </is>
      </c>
      <c r="J19" s="18"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18" t="inlineStr"/>
      <c r="L19" s="18" t="inlineStr">
        <is>
          <t>รูปแบบการวิจัยทางคลินิก</t>
        </is>
      </c>
      <c r="M19" s="18" t="inlineStr">
        <is>
          <t>Research &amp; Biostats</t>
        </is>
      </c>
      <c r="N19" s="18" t="inlineStr">
        <is>
          <t>PLE_CC1_2567_Set1_Key ข้อ 71</t>
        </is>
      </c>
      <c r="O19" s="18" t="inlineStr">
        <is>
          <t>ข้อสอบจริง</t>
        </is>
      </c>
      <c r="P19" s="18" t="inlineStr">
        <is>
          <t>ปี 2567</t>
        </is>
      </c>
    </row>
    <row r="20">
      <c r="A20" s="15" t="inlineStr">
        <is>
          <t>19</t>
        </is>
      </c>
      <c r="B20" s="18" t="inlineStr">
        <is>
          <t>Retrospective cohort</t>
        </is>
      </c>
      <c r="C20" s="18" t="inlineStr"/>
      <c r="D20" s="18" t="inlineStr">
        <is>
          <t>Research &amp; Biostats</t>
        </is>
      </c>
      <c r="E20" s="18" t="inlineStr">
        <is>
          <t>Cost-Utility Analysis (Quality-Adjusted Life Years: QALY)</t>
        </is>
      </c>
      <c r="F20" s="18" t="inlineStr">
        <is>
          <t>Cost-Benefit Analysis (Net Monetary Benefit)</t>
        </is>
      </c>
      <c r="G20" s="18" t="inlineStr">
        <is>
          <t>Cost-Minimization Analysis (CMA)</t>
        </is>
      </c>
      <c r="H20" s="18" t="inlineStr">
        <is>
          <t>Student t-test for comparing two independent means</t>
        </is>
      </c>
      <c r="I20" s="15" t="inlineStr">
        <is>
          <t>1</t>
        </is>
      </c>
      <c r="J20" s="18"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18" t="inlineStr"/>
      <c r="L20" s="18" t="inlineStr">
        <is>
          <t>รูปแบบการวิจัยทางคลินิก</t>
        </is>
      </c>
      <c r="M20" s="18" t="inlineStr">
        <is>
          <t>Research &amp; Biostats</t>
        </is>
      </c>
      <c r="N20" s="18" t="inlineStr">
        <is>
          <t>PLE-CC1 ปี 2566 Day 2 ข้อ 1</t>
        </is>
      </c>
      <c r="O20" s="18" t="inlineStr">
        <is>
          <t>ข้อสอบจริง</t>
        </is>
      </c>
      <c r="P20" s="18" t="inlineStr">
        <is>
          <t>ปี 2566</t>
        </is>
      </c>
    </row>
    <row r="21">
      <c r="A21" s="15" t="inlineStr">
        <is>
          <t>20</t>
        </is>
      </c>
      <c r="B21" s="18" t="inlineStr">
        <is>
          <t>ยาpropranolol ไม่แตกต่างจากcontrol อย่างมีมีนัยสำคัญทางสถิติในการป้องกันการเกิดไมเกรนได้ที่ระยะเวลา8 สัปดาห์</t>
        </is>
      </c>
      <c r="C21" s="18" t="inlineStr"/>
      <c r="D21" s="18" t="inlineStr">
        <is>
          <t>Research &amp; Biostats</t>
        </is>
      </c>
      <c r="E21" s="18" t="inlineStr">
        <is>
          <t>Student t-test for comparing two independent means</t>
        </is>
      </c>
      <c r="F21" s="18" t="inlineStr">
        <is>
          <t>Chi-Square Test for Categorical Independence (p &lt; 0.05)</t>
        </is>
      </c>
      <c r="G21" s="18" t="inlineStr">
        <is>
          <t>Randomized Controlled Trial (Double-blind RCT)</t>
        </is>
      </c>
      <c r="H21" s="18" t="inlineStr">
        <is>
          <t>Prospective Cohort Study (Relative Risk: RR)</t>
        </is>
      </c>
      <c r="I21" s="15" t="inlineStr">
        <is>
          <t>1</t>
        </is>
      </c>
      <c r="J21" s="18"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18" t="inlineStr"/>
      <c r="L21" s="18" t="inlineStr">
        <is>
          <t>รูปแบบการวิจัยทางคลินิก</t>
        </is>
      </c>
      <c r="M21" s="18" t="inlineStr">
        <is>
          <t>Research &amp; Biostats</t>
        </is>
      </c>
      <c r="N21" s="18" t="inlineStr">
        <is>
          <t>PLE-CC1 ปี 2566 Day 2 ข้อ 1</t>
        </is>
      </c>
      <c r="O21" s="18" t="inlineStr">
        <is>
          <t>ข้อสอบจริง</t>
        </is>
      </c>
      <c r="P21" s="18" t="inlineStr">
        <is>
          <t>ปี 2566</t>
        </is>
      </c>
    </row>
    <row r="22">
      <c r="A22" s="15" t="inlineStr">
        <is>
          <t>21</t>
        </is>
      </c>
      <c r="B22" s="18" t="inlineStr">
        <is>
          <t>ยาpropranolol สามารถป้องกันการเกิดไมเกรนได้อย่างมีนัยสำคัญทางสถิติเมื่อเทียบกับcontrol</t>
        </is>
      </c>
      <c r="C22" s="18" t="inlineStr"/>
      <c r="D22" s="18" t="inlineStr">
        <is>
          <t>Research &amp; Biostats</t>
        </is>
      </c>
      <c r="E22" s="18" t="inlineStr">
        <is>
          <t>Prospective Cohort Study (Relative Risk: RR)</t>
        </is>
      </c>
      <c r="F22" s="18" t="inlineStr">
        <is>
          <t>Case-Control Study (Odds Ratio: OR)</t>
        </is>
      </c>
      <c r="G22" s="18" t="inlineStr">
        <is>
          <t>Cross-Sectional Survey Prevalence Study</t>
        </is>
      </c>
      <c r="H22" s="18" t="inlineStr">
        <is>
          <t>Cost-Effectiveness Analysis (Incremental Cost-Effectiveness Ratio: ICER)</t>
        </is>
      </c>
      <c r="I22" s="15" t="inlineStr">
        <is>
          <t>1</t>
        </is>
      </c>
      <c r="J22" s="18"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18" t="inlineStr"/>
      <c r="L22" s="18" t="inlineStr">
        <is>
          <t>รูปแบบการวิจัยทางคลินิก</t>
        </is>
      </c>
      <c r="M22" s="18" t="inlineStr">
        <is>
          <t>Research &amp; Biostats</t>
        </is>
      </c>
      <c r="N22" s="18" t="inlineStr">
        <is>
          <t>PLE-CC1 ปี 2566 Day 2 ข้อ 4</t>
        </is>
      </c>
      <c r="O22" s="18" t="inlineStr">
        <is>
          <t>ข้อสอบจริง</t>
        </is>
      </c>
      <c r="P22" s="18" t="inlineStr">
        <is>
          <t>ปี 2566</t>
        </is>
      </c>
    </row>
    <row r="23">
      <c r="A23" s="15" t="inlineStr">
        <is>
          <t>22</t>
        </is>
      </c>
      <c r="B23" s="18"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18" t="inlineStr"/>
      <c r="D23" s="18" t="inlineStr">
        <is>
          <t>Research &amp; Biostats</t>
        </is>
      </c>
      <c r="E23" s="18" t="inlineStr">
        <is>
          <t>Cost-Effectiveness Analysis (Incremental Cost-Effectiveness Ratio: ICER)</t>
        </is>
      </c>
      <c r="F23" s="18" t="inlineStr">
        <is>
          <t>Cost-Utility Analysis (Quality-Adjusted Life Years: QALY)</t>
        </is>
      </c>
      <c r="G23" s="18" t="inlineStr">
        <is>
          <t>Cost-Benefit Analysis (Net Monetary Benefit)</t>
        </is>
      </c>
      <c r="H23" s="18" t="inlineStr">
        <is>
          <t>Cost-Minimization Analysis (CMA)</t>
        </is>
      </c>
      <c r="I23" s="15" t="inlineStr">
        <is>
          <t>1</t>
        </is>
      </c>
      <c r="J23" s="18"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18" t="inlineStr"/>
      <c r="L23" s="18" t="inlineStr">
        <is>
          <t>สถิติวิเคราะห์</t>
        </is>
      </c>
      <c r="M23" s="18" t="inlineStr">
        <is>
          <t>Research &amp; Biostats</t>
        </is>
      </c>
      <c r="N23" s="18" t="inlineStr">
        <is>
          <t>PLE_CC1_2565_Day1_Key ข้อ 69</t>
        </is>
      </c>
      <c r="O23" s="18" t="inlineStr">
        <is>
          <t>ข้อสอบจริง</t>
        </is>
      </c>
      <c r="P23" s="18" t="inlineStr">
        <is>
          <t>ปี 2565</t>
        </is>
      </c>
    </row>
    <row r="24">
      <c r="A24" s="15" t="inlineStr">
        <is>
          <t>23</t>
        </is>
      </c>
      <c r="B24" s="18"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18" t="inlineStr"/>
      <c r="D24" s="18" t="inlineStr">
        <is>
          <t>Research &amp; Biostats</t>
        </is>
      </c>
      <c r="E24" s="18" t="inlineStr">
        <is>
          <t>Cost-Minimization Analysis (CMA)</t>
        </is>
      </c>
      <c r="F24" s="18" t="inlineStr">
        <is>
          <t>Student t-test for comparing two independent means</t>
        </is>
      </c>
      <c r="G24" s="18" t="inlineStr">
        <is>
          <t>Chi-Square Test for Categorical Independence (p &lt; 0.05)</t>
        </is>
      </c>
      <c r="H24" s="18" t="inlineStr">
        <is>
          <t>Randomized Controlled Trial (Double-blind RCT)</t>
        </is>
      </c>
      <c r="I24" s="15" t="inlineStr">
        <is>
          <t>1</t>
        </is>
      </c>
      <c r="J24" s="18"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18" t="inlineStr"/>
      <c r="L24" s="18" t="inlineStr">
        <is>
          <t>รูปแบบการวิจัยทางคลินิก</t>
        </is>
      </c>
      <c r="M24" s="18" t="inlineStr">
        <is>
          <t>Research &amp; Biostats</t>
        </is>
      </c>
      <c r="N24" s="18" t="inlineStr">
        <is>
          <t>PLE_CC1_2564_All_Key ข้อ 66</t>
        </is>
      </c>
      <c r="O24" s="18" t="inlineStr">
        <is>
          <t>ข้อสอบจริง</t>
        </is>
      </c>
      <c r="P24" s="18" t="inlineStr">
        <is>
          <t>ปี 2564</t>
        </is>
      </c>
    </row>
    <row r="25">
      <c r="A25" s="15" t="inlineStr">
        <is>
          <t>23</t>
        </is>
      </c>
      <c r="B25" s="18"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18" t="inlineStr"/>
      <c r="D25" s="18" t="inlineStr">
        <is>
          <t>มีการทำหลายสถานที่</t>
        </is>
      </c>
      <c r="E25" s="18" t="inlineStr">
        <is>
          <t>double-blinded มี</t>
        </is>
      </c>
      <c r="F25" s="18" t="inlineStr">
        <is>
          <t>มีการสุ่ม</t>
        </is>
      </c>
      <c r="G25" s="18" t="inlineStr">
        <is>
          <t>มีกลุ่มควบคุม 2 กลุ่ม</t>
        </is>
      </c>
      <c r="H25" s="18" t="inlineStr">
        <is>
          <t>มีกลุ่ม intervention 2 กลุ่ม</t>
        </is>
      </c>
      <c r="I25" s="15" t="inlineStr">
        <is>
          <t>1</t>
        </is>
      </c>
      <c r="J25" s="18"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(มีการสุ่ม):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(มีกลุ่มควบคุม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(มีกลุ่ม intervention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8" t="inlineStr"/>
      <c r="L25" s="18" t="inlineStr">
        <is>
          <t>รูปแบบการวิจัยทางคลินิก</t>
        </is>
      </c>
      <c r="M25" s="18" t="inlineStr">
        <is>
          <t>SAP</t>
        </is>
      </c>
      <c r="N25" s="18" t="inlineStr">
        <is>
          <t>ข้อ 53 (PLE_CC1_2562_Key.md)</t>
        </is>
      </c>
      <c r="O25" s="18" t="inlineStr">
        <is>
          <t>ข้อสอบจริง</t>
        </is>
      </c>
      <c r="P25" s="18" t="inlineStr">
        <is>
          <t>ปี 2562</t>
        </is>
      </c>
    </row>
    <row r="26">
      <c r="A26" s="15" t="inlineStr">
        <is>
          <t>24</t>
        </is>
      </c>
      <c r="B26" s="18" t="inlineStr">
        <is>
          <t>หากต้องการเทียบยารักษา SLE ตัวใหม่ เทียบกับตัวเก่า จงหา ICER X 77 ยาเก่า 18.0 QALYs 11.0 cost 1,200,000 bath ยาใหม่ 20.0 QALYs 12.5 cost 1,500,000 bath</t>
        </is>
      </c>
      <c r="C26" s="18" t="inlineStr"/>
      <c r="D26" s="15" t="inlineStr">
        <is>
          <t>75,000</t>
        </is>
      </c>
      <c r="E26" s="15" t="inlineStr">
        <is>
          <t>120,000</t>
        </is>
      </c>
      <c r="F26" s="15" t="inlineStr">
        <is>
          <t>150,000</t>
        </is>
      </c>
      <c r="G26" s="15" t="inlineStr">
        <is>
          <t>200,000</t>
        </is>
      </c>
      <c r="H26" s="18" t="inlineStr">
        <is>
          <t>300,000 ICER = ou X = 1, 500 , 000 - 1, 200 12 . 5 - 11 , 000 = 200, 000 bath/GALYs หË´มนาÆปทาซËาทืกกรณิ ÂวËนาต้จ²ÆดËรงบ¯นืญ´ต film</t>
        </is>
      </c>
      <c r="I26" s="15" t="inlineStr">
        <is>
          <t>1</t>
        </is>
      </c>
      <c r="J26" s="18"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(150,000):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(200,000):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(300,000 ICER = ou X = 1, 500 , 000 - 1, 200 12 . 5 - 11 , 000 = 200, 000 bath/GALYs หË´มนาÆปทาซËาทืกกรณิ ÂวËนาต้จ²ÆดËรงบ¯นืญ´ต film):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8" t="inlineStr"/>
      <c r="L26" s="18" t="inlineStr">
        <is>
          <t>วิธีประเมินต้นทุนและประสิทธิผล</t>
        </is>
      </c>
      <c r="M26" s="18" t="inlineStr">
        <is>
          <t>SAP</t>
        </is>
      </c>
      <c r="N26" s="18" t="inlineStr">
        <is>
          <t>ข้อ 114 (PLE_CC1_2562_Key.md)</t>
        </is>
      </c>
      <c r="O26" s="18" t="inlineStr">
        <is>
          <t>ข้อสอบจริง</t>
        </is>
      </c>
      <c r="P26" s="18" t="inlineStr">
        <is>
          <t>ปี 2562</t>
        </is>
      </c>
    </row>
    <row r="27">
      <c r="A27" s="15" t="inlineStr">
        <is>
          <t>25</t>
        </is>
      </c>
      <c r="B27" s="18" t="inlineStr">
        <is>
          <t>หลักการเก็บข้อมูลทางสถิติใด มี bias น้อยสุด</t>
        </is>
      </c>
      <c r="C27" s="18" t="inlineStr"/>
      <c r="D27" s="18" t="inlineStr">
        <is>
          <t>Case report</t>
        </is>
      </c>
      <c r="E27" s="18" t="inlineStr">
        <is>
          <t>Case control</t>
        </is>
      </c>
      <c r="F27" s="18" t="inlineStr">
        <is>
          <t>Cross-sectional survey</t>
        </is>
      </c>
      <c r="G27" s="18" t="inlineStr">
        <is>
          <t>Prospective cohort</t>
        </is>
      </c>
      <c r="H27" s="18"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15" t="inlineStr">
        <is>
          <t>1</t>
        </is>
      </c>
      <c r="J27" s="18"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8" t="inlineStr"/>
      <c r="L27" s="18" t="inlineStr">
        <is>
          <t>รูปแบบการวิจัยทางคลินิก</t>
        </is>
      </c>
      <c r="M27" s="18" t="inlineStr">
        <is>
          <t>SAP</t>
        </is>
      </c>
      <c r="N27" s="18" t="inlineStr">
        <is>
          <t>ข้อ 85 (PLE_CC1_2558_Key.md)</t>
        </is>
      </c>
      <c r="O27" s="18" t="inlineStr">
        <is>
          <t>ข้อสอบจริง</t>
        </is>
      </c>
      <c r="P27" s="18" t="inlineStr">
        <is>
          <t>ปี 2558</t>
        </is>
      </c>
    </row>
    <row r="28">
      <c r="A28" s="15" t="inlineStr">
        <is>
          <t>26</t>
        </is>
      </c>
      <c r="B28" s="18"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18" t="inlineStr"/>
      <c r="D28" s="18" t="inlineStr">
        <is>
          <t>Mann-Whitney U test</t>
        </is>
      </c>
      <c r="E28" s="18" t="inlineStr">
        <is>
          <t>Independent t-test</t>
        </is>
      </c>
      <c r="F28" s="18" t="inlineStr">
        <is>
          <t>Pair t-test</t>
        </is>
      </c>
      <c r="G28" s="18" t="inlineStr">
        <is>
          <t>Wilcoxon</t>
        </is>
      </c>
      <c r="H28" s="18" t="inlineStr">
        <is>
          <t>Cox proportional hazard model</t>
        </is>
      </c>
      <c r="I28" s="15" t="inlineStr">
        <is>
          <t>1</t>
        </is>
      </c>
      <c r="J28" s="18"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(Wilcoxon):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(Cox proportional hazard model):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8" t="inlineStr"/>
      <c r="L28" s="18" t="inlineStr">
        <is>
          <t>รูปแบบการวิจัยทางคลินิก</t>
        </is>
      </c>
      <c r="M28" s="18" t="inlineStr">
        <is>
          <t>SAP</t>
        </is>
      </c>
      <c r="N28" s="18" t="inlineStr">
        <is>
          <t>ข้อ 23 (PLE_CC1_2558_Key.md)</t>
        </is>
      </c>
      <c r="O28" s="18" t="inlineStr">
        <is>
          <t>ข้อสอบจริง</t>
        </is>
      </c>
      <c r="P28" s="18" t="inlineStr">
        <is>
          <t>ปี 2558</t>
        </is>
      </c>
    </row>
    <row r="29">
      <c r="A29" s="15" t="inlineStr">
        <is>
          <t>27</t>
        </is>
      </c>
      <c r="B29" s="18"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18" t="inlineStr"/>
      <c r="D29" s="18" t="inlineStr">
        <is>
          <t>Prospective Cohort Study (Relative Risk: RR)</t>
        </is>
      </c>
      <c r="E29" s="18" t="inlineStr">
        <is>
          <t>Case-Control Study (Odds Ratio: OR)</t>
        </is>
      </c>
      <c r="F29" s="18" t="inlineStr">
        <is>
          <t>Cross-Sectional Survey Prevalence Study</t>
        </is>
      </c>
      <c r="G29" s="18" t="inlineStr">
        <is>
          <t>Cost-Effectiveness Analysis (Incremental Cost-Effectiveness Ratio: ICER)</t>
        </is>
      </c>
      <c r="H29" s="18" t="inlineStr">
        <is>
          <t>Cost-Utility Analysis (Quality-Adjusted Life Years: QALY)</t>
        </is>
      </c>
      <c r="I29" s="15" t="inlineStr">
        <is>
          <t>1</t>
        </is>
      </c>
      <c r="J29" s="18"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8" t="inlineStr"/>
      <c r="L29" s="18" t="inlineStr">
        <is>
          <t>รูปแบบการวิจัยทางคลินิก</t>
        </is>
      </c>
      <c r="M29" s="18" t="inlineStr">
        <is>
          <t>SAP</t>
        </is>
      </c>
      <c r="N29" s="18" t="inlineStr">
        <is>
          <t>ข้อ 26 (PLE_CC1_2557.md)</t>
        </is>
      </c>
      <c r="O29" s="18" t="inlineStr">
        <is>
          <t>ข้อสอบจริง</t>
        </is>
      </c>
      <c r="P29" s="18" t="inlineStr">
        <is>
          <t>ปี 2557</t>
        </is>
      </c>
    </row>
    <row r="30">
      <c r="A30" s="15" t="inlineStr">
        <is>
          <t>28</t>
        </is>
      </c>
      <c r="B30" s="18" t="inlineStr">
        <is>
          <t>ยาใดต่อไปนี% ไม่มีผลลดอัตราการตายสำหรับผู้ป่วย myocardial infarction (1) Simvastatin (2) Enalapril (3) Aspirin (4) Clopidogrel (5) Amlodipine</t>
        </is>
      </c>
      <c r="C30" s="18" t="inlineStr"/>
      <c r="D30" s="18" t="inlineStr">
        <is>
          <t>Cost-Effectiveness Analysis (Incremental Cost-Effectiveness Ratio: ICER)</t>
        </is>
      </c>
      <c r="E30" s="18" t="inlineStr">
        <is>
          <t>Cost-Utility Analysis (Quality-Adjusted Life Years: QALY)</t>
        </is>
      </c>
      <c r="F30" s="18" t="inlineStr">
        <is>
          <t>Cost-Benefit Analysis (Net Monetary Benefit)</t>
        </is>
      </c>
      <c r="G30" s="18" t="inlineStr">
        <is>
          <t>Cost-Minimization Analysis (CMA)</t>
        </is>
      </c>
      <c r="H30" s="18" t="inlineStr">
        <is>
          <t>Student t-test for comparing two independent means</t>
        </is>
      </c>
      <c r="I30" s="15" t="inlineStr">
        <is>
          <t>1</t>
        </is>
      </c>
      <c r="J30" s="18"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8" t="inlineStr"/>
      <c r="L30" s="18" t="inlineStr">
        <is>
          <t>รูปแบบการวิจัยทางคลินิก</t>
        </is>
      </c>
      <c r="M30" s="18" t="inlineStr">
        <is>
          <t>SAP</t>
        </is>
      </c>
      <c r="N30" s="18" t="inlineStr">
        <is>
          <t>ข้อ 27 (PLE_CC1_2557.md)</t>
        </is>
      </c>
      <c r="O30" s="18" t="inlineStr">
        <is>
          <t>ข้อสอบจริง</t>
        </is>
      </c>
      <c r="P30" s="18" t="inlineStr">
        <is>
          <t>ปี 2557</t>
        </is>
      </c>
    </row>
    <row r="31">
      <c r="A31" s="15" t="inlineStr">
        <is>
          <t>29</t>
        </is>
      </c>
      <c r="B31" s="18"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18" t="inlineStr"/>
      <c r="D31" s="18" t="inlineStr">
        <is>
          <t>Cost-Minimization Analysis (CMA)</t>
        </is>
      </c>
      <c r="E31" s="18" t="inlineStr">
        <is>
          <t>Student t-test for comparing two independent means</t>
        </is>
      </c>
      <c r="F31" s="18" t="inlineStr">
        <is>
          <t>Chi-Square Test for Categorical Independence (p &lt; 0.05)</t>
        </is>
      </c>
      <c r="G31" s="18" t="inlineStr">
        <is>
          <t>Randomized Controlled Trial (Double-blind RCT)</t>
        </is>
      </c>
      <c r="H31" s="18" t="inlineStr">
        <is>
          <t>Prospective Cohort Study (Relative Risk: RR)</t>
        </is>
      </c>
      <c r="I31" s="15" t="inlineStr">
        <is>
          <t>1</t>
        </is>
      </c>
      <c r="J31" s="18"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8" t="inlineStr"/>
      <c r="L31" s="18" t="inlineStr">
        <is>
          <t>วิธีประเมินต้นทุนและประสิทธิผล</t>
        </is>
      </c>
      <c r="M31" s="18" t="inlineStr">
        <is>
          <t>SAP</t>
        </is>
      </c>
      <c r="N31" s="18" t="inlineStr">
        <is>
          <t>ข้อ 85 (PLE_CC1_2557.md)</t>
        </is>
      </c>
      <c r="O31" s="18" t="inlineStr">
        <is>
          <t>ข้อสอบจริง</t>
        </is>
      </c>
      <c r="P31" s="18" t="inlineStr">
        <is>
          <t>ปี 2557</t>
        </is>
      </c>
    </row>
    <row r="32">
      <c r="A32" s="15" t="inlineStr">
        <is>
          <t>30</t>
        </is>
      </c>
      <c r="B32" s="18"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18" t="inlineStr"/>
      <c r="D32" s="18" t="inlineStr">
        <is>
          <t>Randomized Controlled Trial (Double-blind RCT)</t>
        </is>
      </c>
      <c r="E32" s="18" t="inlineStr">
        <is>
          <t>Prospective Cohort Study (Relative Risk: RR)</t>
        </is>
      </c>
      <c r="F32" s="18" t="inlineStr">
        <is>
          <t>Case-Control Study (Odds Ratio: OR)</t>
        </is>
      </c>
      <c r="G32" s="18" t="inlineStr">
        <is>
          <t>Cross-Sectional Survey Prevalence Study</t>
        </is>
      </c>
      <c r="H32" s="18" t="inlineStr">
        <is>
          <t>Cost-Effectiveness Analysis (Incremental Cost-Effectiveness Ratio: ICER)</t>
        </is>
      </c>
      <c r="I32" s="15" t="inlineStr">
        <is>
          <t>1</t>
        </is>
      </c>
      <c r="J32" s="18"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8" t="inlineStr"/>
      <c r="L32" s="18" t="inlineStr">
        <is>
          <t>วิธีประเมินต้นทุนและประสิทธิผล</t>
        </is>
      </c>
      <c r="M32" s="18" t="inlineStr">
        <is>
          <t>SAP</t>
        </is>
      </c>
      <c r="N32" s="18" t="inlineStr">
        <is>
          <t>ข้อ 86 (PLE_CC1_2557.md)</t>
        </is>
      </c>
      <c r="O32" s="18" t="inlineStr">
        <is>
          <t>ข้อสอบจริง</t>
        </is>
      </c>
      <c r="P32" s="18" t="inlineStr">
        <is>
          <t>ปี 2557</t>
        </is>
      </c>
    </row>
    <row r="33">
      <c r="A33" s="15" t="inlineStr">
        <is>
          <t>31</t>
        </is>
      </c>
      <c r="B33" s="18"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18" t="inlineStr"/>
      <c r="D33" s="18" t="inlineStr">
        <is>
          <t>Cross-Sectional Survey Prevalence Study</t>
        </is>
      </c>
      <c r="E33" s="18" t="inlineStr">
        <is>
          <t>Cost-Effectiveness Analysis (Incremental Cost-Effectiveness Ratio: ICER)</t>
        </is>
      </c>
      <c r="F33" s="18" t="inlineStr">
        <is>
          <t>Cost-Utility Analysis (Quality-Adjusted Life Years: QALY)</t>
        </is>
      </c>
      <c r="G33" s="18" t="inlineStr">
        <is>
          <t>Cost-Benefit Analysis (Net Monetary Benefit)</t>
        </is>
      </c>
      <c r="H33" s="18" t="inlineStr">
        <is>
          <t>Cost-Minimization Analysis (CMA)</t>
        </is>
      </c>
      <c r="I33" s="15" t="inlineStr">
        <is>
          <t>1</t>
        </is>
      </c>
      <c r="J33" s="18"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8" t="inlineStr"/>
      <c r="L33" s="18" t="inlineStr">
        <is>
          <t>วิธีประเมินต้นทุนและประสิทธิผล</t>
        </is>
      </c>
      <c r="M33" s="18" t="inlineStr">
        <is>
          <t>SAP</t>
        </is>
      </c>
      <c r="N33" s="18" t="inlineStr">
        <is>
          <t>ข้อ 7 (PLE_CC1_2555 Day 2.md)</t>
        </is>
      </c>
      <c r="O33" s="18" t="inlineStr">
        <is>
          <t>ข้อสอบจริง</t>
        </is>
      </c>
      <c r="P33" s="18" t="inlineStr">
        <is>
          <t>ปี 2555</t>
        </is>
      </c>
    </row>
    <row r="34">
      <c r="A34" s="15" t="inlineStr">
        <is>
          <t>32</t>
        </is>
      </c>
      <c r="B34" s="18"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18" t="inlineStr"/>
      <c r="D34" s="18" t="inlineStr">
        <is>
          <t>Cost-Benefit Analysis (Net Monetary Benefit)</t>
        </is>
      </c>
      <c r="E34" s="18" t="inlineStr">
        <is>
          <t>Cost-Minimization Analysis (CMA)</t>
        </is>
      </c>
      <c r="F34" s="18" t="inlineStr">
        <is>
          <t>Student t-test for comparing two independent means</t>
        </is>
      </c>
      <c r="G34" s="18" t="inlineStr">
        <is>
          <t>Chi-Square Test for Categorical Independence (p &lt; 0.05)</t>
        </is>
      </c>
      <c r="H34" s="18" t="inlineStr">
        <is>
          <t>Randomized Controlled Trial (Double-blind RCT)</t>
        </is>
      </c>
      <c r="I34" s="15" t="inlineStr">
        <is>
          <t>1</t>
        </is>
      </c>
      <c r="J34" s="18"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8" t="inlineStr"/>
      <c r="L34" s="18" t="inlineStr">
        <is>
          <t>วิธีประเมินต้นทุนและประสิทธิผล</t>
        </is>
      </c>
      <c r="M34" s="18" t="inlineStr">
        <is>
          <t>SAP</t>
        </is>
      </c>
      <c r="N34" s="18" t="inlineStr">
        <is>
          <t>ข้อ 8 (PLE_CC1_2555 Day 2.md)</t>
        </is>
      </c>
      <c r="O34" s="18" t="inlineStr">
        <is>
          <t>ข้อสอบจริง</t>
        </is>
      </c>
      <c r="P34" s="18" t="inlineStr">
        <is>
          <t>ปี 2555</t>
        </is>
      </c>
    </row>
    <row r="35">
      <c r="A35" s="15" t="inlineStr">
        <is>
          <t>33</t>
        </is>
      </c>
      <c r="B35" s="18" t="inlineStr">
        <is>
          <t>Cmax + Elimination half-life</t>
        </is>
      </c>
      <c r="C35" s="18" t="inlineStr"/>
      <c r="D35" s="18" t="inlineStr">
        <is>
          <t>Chi-Square Test for Categorical Independence (p &lt; 0.05)</t>
        </is>
      </c>
      <c r="E35" s="18" t="inlineStr">
        <is>
          <t>Randomized Controlled Trial (Double-blind RCT)</t>
        </is>
      </c>
      <c r="F35" s="18" t="inlineStr">
        <is>
          <t>Prospective Cohort Study (Relative Risk: RR)</t>
        </is>
      </c>
      <c r="G35" s="18" t="inlineStr">
        <is>
          <t>Case-Control Study (Odds Ratio: OR)</t>
        </is>
      </c>
      <c r="H35" s="18" t="inlineStr">
        <is>
          <t>Cross-Sectional Survey Prevalence Study</t>
        </is>
      </c>
      <c r="I35" s="15" t="inlineStr">
        <is>
          <t>1</t>
        </is>
      </c>
      <c r="J35" s="18"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8" t="inlineStr"/>
      <c r="L35" s="18" t="inlineStr">
        <is>
          <t>วิธีประเมินต้นทุนและประสิทธิผล</t>
        </is>
      </c>
      <c r="M35" s="18" t="inlineStr">
        <is>
          <t>SAP</t>
        </is>
      </c>
      <c r="N35" s="18" t="inlineStr">
        <is>
          <t>ข้อ 4 (PLE_CC1_2555 Day 2.md)</t>
        </is>
      </c>
      <c r="O35" s="18" t="inlineStr">
        <is>
          <t>ข้อสอบจริง</t>
        </is>
      </c>
      <c r="P35" s="18" t="inlineStr">
        <is>
          <t>ปี 2555</t>
        </is>
      </c>
    </row>
    <row r="36">
      <c r="A36" s="15" t="inlineStr">
        <is>
          <t>34</t>
        </is>
      </c>
      <c r="B36" s="18"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18" t="inlineStr"/>
      <c r="D36" s="18" t="inlineStr">
        <is>
          <t>Case-Control Study (Odds Ratio: OR)</t>
        </is>
      </c>
      <c r="E36" s="18" t="inlineStr">
        <is>
          <t>Cross-Sectional Survey Prevalence Study</t>
        </is>
      </c>
      <c r="F36" s="18" t="inlineStr">
        <is>
          <t>Cost-Effectiveness Analysis (Incremental Cost-Effectiveness Ratio: ICER)</t>
        </is>
      </c>
      <c r="G36" s="18" t="inlineStr">
        <is>
          <t>Cost-Utility Analysis (Quality-Adjusted Life Years: QALY)</t>
        </is>
      </c>
      <c r="H36" s="18" t="inlineStr">
        <is>
          <t>Cost-Benefit Analysis (Net Monetary Benefit)</t>
        </is>
      </c>
      <c r="I36" s="15" t="inlineStr">
        <is>
          <t>1</t>
        </is>
      </c>
      <c r="J36" s="18"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8" t="inlineStr"/>
      <c r="L36" s="18" t="inlineStr">
        <is>
          <t>สถิติวิเคราะห์</t>
        </is>
      </c>
      <c r="M36" s="18" t="inlineStr">
        <is>
          <t>SAP</t>
        </is>
      </c>
      <c r="N36" s="18" t="inlineStr">
        <is>
          <t>ข้อ 2 (PLE_CC1_2554 SET2.md)</t>
        </is>
      </c>
      <c r="O36" s="18" t="inlineStr">
        <is>
          <t>ข้อสอบจริง</t>
        </is>
      </c>
      <c r="P36" s="18" t="inlineStr">
        <is>
          <t>ปี 2554</t>
        </is>
      </c>
    </row>
    <row r="37">
      <c r="A37" s="15" t="inlineStr">
        <is>
          <t>35</t>
        </is>
      </c>
      <c r="B37" s="18" t="inlineStr">
        <is>
          <t>ถ้าต้องการเปรียบเทียบระดับยาที่เวลา 5, 10, 15 และ 20 นาที ของยา FDT กับ Tablet ควรใช้สถิติข้อใดในการวิเคราะห์</t>
        </is>
      </c>
      <c r="C37" s="18" t="inlineStr"/>
      <c r="D37" s="18" t="inlineStr">
        <is>
          <t>Cost-Utility Analysis (Quality-Adjusted Life Years: QALY)</t>
        </is>
      </c>
      <c r="E37" s="18" t="inlineStr">
        <is>
          <t>Cost-Benefit Analysis (Net Monetary Benefit)</t>
        </is>
      </c>
      <c r="F37" s="18" t="inlineStr">
        <is>
          <t>Cost-Minimization Analysis (CMA)</t>
        </is>
      </c>
      <c r="G37" s="18" t="inlineStr">
        <is>
          <t>Student t-test for comparing two independent means</t>
        </is>
      </c>
      <c r="H37" s="18" t="inlineStr">
        <is>
          <t>Chi-Square Test for Categorical Independence (p &lt; 0.05)</t>
        </is>
      </c>
      <c r="I37" s="15" t="inlineStr">
        <is>
          <t>1</t>
        </is>
      </c>
      <c r="J37" s="18"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8" t="inlineStr"/>
      <c r="L37" s="18" t="inlineStr">
        <is>
          <t>รูปแบบการวิจัยทางคลินิก</t>
        </is>
      </c>
      <c r="M37" s="18" t="inlineStr">
        <is>
          <t>SAP</t>
        </is>
      </c>
      <c r="N37" s="18" t="inlineStr">
        <is>
          <t>ข้อ 10 (PLE_CC1_2533.md)</t>
        </is>
      </c>
      <c r="O37" s="18" t="inlineStr">
        <is>
          <t>ข้อสอบจริง</t>
        </is>
      </c>
      <c r="P37" s="18" t="inlineStr">
        <is>
          <t>ปี 2533</t>
        </is>
      </c>
    </row>
    <row r="38">
      <c r="A38" s="15" t="inlineStr">
        <is>
          <t>36</t>
        </is>
      </c>
      <c r="B38" s="18"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18" t="inlineStr"/>
      <c r="D38" s="18" t="inlineStr">
        <is>
          <t>Student t-test for comparing two independent means</t>
        </is>
      </c>
      <c r="E38" s="18" t="inlineStr">
        <is>
          <t>Chi-Square Test for Categorical Independence (p &lt; 0.05)</t>
        </is>
      </c>
      <c r="F38" s="18" t="inlineStr">
        <is>
          <t>Randomized Controlled Trial (Double-blind RCT)</t>
        </is>
      </c>
      <c r="G38" s="18" t="inlineStr">
        <is>
          <t>Prospective Cohort Study (Relative Risk: RR)</t>
        </is>
      </c>
      <c r="H38" s="18" t="inlineStr">
        <is>
          <t>Case-Control Study (Odds Ratio: OR)</t>
        </is>
      </c>
      <c r="I38" s="15" t="inlineStr">
        <is>
          <t>1</t>
        </is>
      </c>
      <c r="J38" s="18"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8" t="inlineStr"/>
      <c r="L38" s="18" t="inlineStr">
        <is>
          <t>วิธีประเมินต้นทุนและประสิทธิผล</t>
        </is>
      </c>
      <c r="M38" s="18" t="inlineStr">
        <is>
          <t>SAP</t>
        </is>
      </c>
      <c r="N38" s="18" t="inlineStr">
        <is>
          <t>ข้อ 5 (PLE_CC1_2533.md)</t>
        </is>
      </c>
      <c r="O38" s="18" t="inlineStr">
        <is>
          <t>ข้อสอบจริง</t>
        </is>
      </c>
      <c r="P38" s="18" t="inlineStr">
        <is>
          <t>ปี 2533</t>
        </is>
      </c>
    </row>
    <row r="39">
      <c r="A39" s="15" t="inlineStr">
        <is>
          <t>37</t>
        </is>
      </c>
      <c r="B39" s="18"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18" t="inlineStr"/>
      <c r="D39" s="18" t="inlineStr">
        <is>
          <t>Prospective Cohort Study (Relative Risk: RR)</t>
        </is>
      </c>
      <c r="E39" s="18" t="inlineStr">
        <is>
          <t>Case-Control Study (Odds Ratio: OR)</t>
        </is>
      </c>
      <c r="F39" s="18" t="inlineStr">
        <is>
          <t>Cross-Sectional Survey Prevalence Study</t>
        </is>
      </c>
      <c r="G39" s="18" t="inlineStr">
        <is>
          <t>Cost-Effectiveness Analysis (Incremental Cost-Effectiveness Ratio: ICER)</t>
        </is>
      </c>
      <c r="H39" s="18" t="inlineStr">
        <is>
          <t>Cost-Utility Analysis (Quality-Adjusted Life Years: QALY)</t>
        </is>
      </c>
      <c r="I39" s="15" t="inlineStr">
        <is>
          <t>1</t>
        </is>
      </c>
      <c r="J39" s="18"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8" t="inlineStr"/>
      <c r="L39" s="18" t="inlineStr">
        <is>
          <t>รูปแบบการวิจัยทางคลินิก</t>
        </is>
      </c>
      <c r="M39" s="18" t="inlineStr">
        <is>
          <t>SAP</t>
        </is>
      </c>
      <c r="N39" s="18" t="inlineStr">
        <is>
          <t>ข้อ 10 (PLE_CC1_2533.md)</t>
        </is>
      </c>
      <c r="O39" s="18" t="inlineStr">
        <is>
          <t>ข้อสอบจริง</t>
        </is>
      </c>
      <c r="P39" s="18" t="inlineStr">
        <is>
          <t>ปี 2533</t>
        </is>
      </c>
    </row>
    <row r="40">
      <c r="A40" s="15" t="inlineStr">
        <is>
          <t>38</t>
        </is>
      </c>
      <c r="B40" s="18"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18" t="inlineStr"/>
      <c r="D40" s="18" t="inlineStr">
        <is>
          <t>Cost-Effectiveness Analysis (Incremental Cost-Effectiveness Ratio: ICER)</t>
        </is>
      </c>
      <c r="E40" s="18" t="inlineStr">
        <is>
          <t>Cost-Utility Analysis (Quality-Adjusted Life Years: QALY)</t>
        </is>
      </c>
      <c r="F40" s="18" t="inlineStr">
        <is>
          <t>Cost-Benefit Analysis (Net Monetary Benefit)</t>
        </is>
      </c>
      <c r="G40" s="18" t="inlineStr">
        <is>
          <t>Cost-Minimization Analysis (CMA)</t>
        </is>
      </c>
      <c r="H40" s="18" t="inlineStr">
        <is>
          <t>Student t-test for comparing two independent means</t>
        </is>
      </c>
      <c r="I40" s="15" t="inlineStr">
        <is>
          <t>1</t>
        </is>
      </c>
      <c r="J40" s="18"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8" t="inlineStr"/>
      <c r="L40" s="18" t="inlineStr">
        <is>
          <t>รูปแบบการวิจัยทางคลินิก</t>
        </is>
      </c>
      <c r="M40" s="18" t="inlineStr">
        <is>
          <t>SAP</t>
        </is>
      </c>
      <c r="N40" s="18" t="inlineStr">
        <is>
          <t>ข้อ 4 (PLE_CC1_2533.md)</t>
        </is>
      </c>
      <c r="O40" s="18" t="inlineStr">
        <is>
          <t>ข้อสอบจริง</t>
        </is>
      </c>
      <c r="P40" s="18" t="inlineStr">
        <is>
          <t>ปี 2533</t>
        </is>
      </c>
    </row>
    <row r="41">
      <c r="A41" s="15" t="inlineStr">
        <is>
          <t>39</t>
        </is>
      </c>
      <c r="B41" s="18" t="inlineStr">
        <is>
          <t>Prospective cohort studies</t>
        </is>
      </c>
      <c r="C41" s="18" t="inlineStr"/>
      <c r="D41" s="18" t="inlineStr">
        <is>
          <t>Cost-Minimization Analysis (CMA)</t>
        </is>
      </c>
      <c r="E41" s="18" t="inlineStr">
        <is>
          <t>Student t-test for comparing two independent means</t>
        </is>
      </c>
      <c r="F41" s="18" t="inlineStr">
        <is>
          <t>Chi-Square Test for Categorical Independence (p &lt; 0.05)</t>
        </is>
      </c>
      <c r="G41" s="18" t="inlineStr">
        <is>
          <t>Randomized Controlled Trial (Double-blind RCT)</t>
        </is>
      </c>
      <c r="H41" s="18" t="inlineStr">
        <is>
          <t>Prospective Cohort Study (Relative Risk: RR)</t>
        </is>
      </c>
      <c r="I41" s="15" t="inlineStr">
        <is>
          <t>1</t>
        </is>
      </c>
      <c r="J41" s="18"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8" t="inlineStr"/>
      <c r="L41" s="18" t="inlineStr">
        <is>
          <t>รูปแบบการวิจัยทางคลินิก</t>
        </is>
      </c>
      <c r="M41" s="18" t="inlineStr">
        <is>
          <t>SAP</t>
        </is>
      </c>
      <c r="N41" s="18" t="inlineStr">
        <is>
          <t>ข้อ 3 (PLE_CC1_2533.md)</t>
        </is>
      </c>
      <c r="O41" s="18" t="inlineStr">
        <is>
          <t>ข้อสอบจริง</t>
        </is>
      </c>
      <c r="P41" s="18" t="inlineStr">
        <is>
          <t>ปี 2533</t>
        </is>
      </c>
    </row>
    <row r="42">
      <c r="A42" s="15" t="inlineStr">
        <is>
          <t>40</t>
        </is>
      </c>
      <c r="B42" s="18" t="inlineStr">
        <is>
          <t>Nested case-control studies</t>
        </is>
      </c>
      <c r="C42" s="18" t="inlineStr"/>
      <c r="D42" s="18" t="inlineStr">
        <is>
          <t>Randomized Controlled Trial (Double-blind RCT)</t>
        </is>
      </c>
      <c r="E42" s="18" t="inlineStr">
        <is>
          <t>Prospective Cohort Study (Relative Risk: RR)</t>
        </is>
      </c>
      <c r="F42" s="18" t="inlineStr">
        <is>
          <t>Case-Control Study (Odds Ratio: OR)</t>
        </is>
      </c>
      <c r="G42" s="18" t="inlineStr">
        <is>
          <t>Cross-Sectional Survey Prevalence Study</t>
        </is>
      </c>
      <c r="H42" s="18" t="inlineStr">
        <is>
          <t>Cost-Effectiveness Analysis (Incremental Cost-Effectiveness Ratio: ICER)</t>
        </is>
      </c>
      <c r="I42" s="15" t="inlineStr">
        <is>
          <t>1</t>
        </is>
      </c>
      <c r="J42" s="18"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8" t="inlineStr"/>
      <c r="L42" s="18" t="inlineStr">
        <is>
          <t>รูปแบบการวิจัยทางคลินิก</t>
        </is>
      </c>
      <c r="M42" s="18" t="inlineStr">
        <is>
          <t>SAP</t>
        </is>
      </c>
      <c r="N42" s="18" t="inlineStr">
        <is>
          <t>ข้อ 4 (PLE_CC1_2533.md)</t>
        </is>
      </c>
      <c r="O42" s="18" t="inlineStr">
        <is>
          <t>ข้อสอบจริง</t>
        </is>
      </c>
      <c r="P42" s="18" t="inlineStr">
        <is>
          <t>ปี 2533</t>
        </is>
      </c>
    </row>
    <row r="43">
      <c r="A43" s="15" t="inlineStr">
        <is>
          <t>41</t>
        </is>
      </c>
      <c r="B43" s="18" t="inlineStr">
        <is>
          <t>จากข้อ 9 พบว่า odds ratio ของผู้ที่มีประวัติการมีเพศสัมพันธ์มาก่อนเทียบกับผู้ที่ไม่มีเพศสัมพันธ์มาก่อนเท่ากับ</t>
        </is>
      </c>
      <c r="C43" s="18" t="inlineStr"/>
      <c r="D43" s="18" t="inlineStr">
        <is>
          <t>8 (95% CI 2.4-9.8) หมายความว่าอย่างไร โรคระบบประสาท (Parkinson) สถานการณ์</t>
        </is>
      </c>
      <c r="E43" s="18" t="inlineStr">
        <is>
          <t>Cost-Effectiveness Analysis (Incremental Cost-Effectiveness Ratio: ICER)</t>
        </is>
      </c>
      <c r="F43" s="18" t="inlineStr">
        <is>
          <t>Cost-Utility Analysis (Quality-Adjusted Life Years: QALY)</t>
        </is>
      </c>
      <c r="G43" s="18" t="inlineStr">
        <is>
          <t>Cost-Benefit Analysis (Net Monetary Benefit)</t>
        </is>
      </c>
      <c r="H43" s="18" t="inlineStr">
        <is>
          <t>Cost-Minimization Analysis (CMA)</t>
        </is>
      </c>
      <c r="I43" s="15" t="inlineStr">
        <is>
          <t>1</t>
        </is>
      </c>
      <c r="J43" s="18"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8" t="inlineStr"/>
      <c r="L43" s="18" t="inlineStr">
        <is>
          <t>สถิติวิเคราะห์</t>
        </is>
      </c>
      <c r="M43" s="18" t="inlineStr">
        <is>
          <t>SAP</t>
        </is>
      </c>
      <c r="N43" s="18" t="inlineStr">
        <is>
          <t>ข้อ 10 (PLE_CC1_2533.md)</t>
        </is>
      </c>
      <c r="O43" s="18" t="inlineStr">
        <is>
          <t>ข้อสอบจริง</t>
        </is>
      </c>
      <c r="P43" s="18" t="inlineStr">
        <is>
          <t>ปี 2533</t>
        </is>
      </c>
    </row>
    <row r="44">
      <c r="A44" s="15" t="inlineStr">
        <is>
          <t>42</t>
        </is>
      </c>
      <c r="B44" s="18" t="inlineStr">
        <is>
          <t>ระเบียบวิจัยและสถิติ 384 390</t>
        </is>
      </c>
      <c r="C44" s="18" t="inlineStr"/>
      <c r="D44" s="18" t="inlineStr">
        <is>
          <t>Cost-Benefit Analysis (Net Monetary Benefit)</t>
        </is>
      </c>
      <c r="E44" s="18" t="inlineStr">
        <is>
          <t>Cost-Minimization Analysis (CMA)</t>
        </is>
      </c>
      <c r="F44" s="18" t="inlineStr">
        <is>
          <t>Student t-test for comparing two independent means</t>
        </is>
      </c>
      <c r="G44" s="18" t="inlineStr">
        <is>
          <t>Chi-Square Test for Categorical Independence (p &lt; 0.05)</t>
        </is>
      </c>
      <c r="H44" s="18" t="inlineStr">
        <is>
          <t>Randomized Controlled Trial (Double-blind RCT)</t>
        </is>
      </c>
      <c r="I44" s="15" t="inlineStr">
        <is>
          <t>5</t>
        </is>
      </c>
      <c r="J44" s="18"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8" t="inlineStr"/>
      <c r="L44" s="18" t="inlineStr">
        <is>
          <t>รูปแบบการวิจัยทางคลินิก</t>
        </is>
      </c>
      <c r="M44" s="18" t="inlineStr">
        <is>
          <t>SAP</t>
        </is>
      </c>
      <c r="N44" s="18" t="inlineStr">
        <is>
          <t>ข้อ 19 (PLE_CC1_Practice_Exam.md)</t>
        </is>
      </c>
      <c r="O44" s="18" t="inlineStr">
        <is>
          <t>Mock</t>
        </is>
      </c>
      <c r="P44" s="18" t="inlineStr">
        <is>
          <t>Mock สภาเภสัชฯ Practice</t>
        </is>
      </c>
    </row>
    <row r="45">
      <c r="A45" s="15" t="inlineStr">
        <is>
          <t>43</t>
        </is>
      </c>
      <c r="B45" s="18" t="inlineStr">
        <is>
          <t>ข้อใดบ่งบอกว่าผู้ป่วยรายนี้เป็น Myocardial Infarction</t>
        </is>
      </c>
      <c r="C45" s="18" t="inlineStr"/>
      <c r="D45" s="18" t="inlineStr">
        <is>
          <t>อาการเจ็บร้าวไปที่แขน ไหล่ หลัง</t>
        </is>
      </c>
      <c r="E45" s="18" t="inlineStr">
        <is>
          <t>ตรวจพบ Cardiac enzymes ในกระแสเลือด</t>
        </is>
      </c>
      <c r="F45" s="18" t="inlineStr">
        <is>
          <t>มีค่า Ejection fraction ลดลง</t>
        </is>
      </c>
      <c r="G45" s="18" t="inlineStr">
        <is>
          <t>มีอาการเจ็บเค้นหน้าอกเฉียบพลันขณะพัก</t>
        </is>
      </c>
      <c r="H45" s="18" t="inlineStr">
        <is>
          <t>มีอาการเจ็บเค้นหน้าอกมากกว่า 5 นาที</t>
        </is>
      </c>
      <c r="I45" s="15" t="inlineStr">
        <is>
          <t>1</t>
        </is>
      </c>
      <c r="J45" s="18"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(มีอาการเจ็บเค้นหน้าอกมากกว่า 5 นาที):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8" t="inlineStr"/>
      <c r="L45" s="18" t="inlineStr">
        <is>
          <t>รูปแบบการวิจัยทางคลินิก</t>
        </is>
      </c>
      <c r="M45" s="18" t="inlineStr">
        <is>
          <t>SAP</t>
        </is>
      </c>
      <c r="N45" s="18" t="inlineStr">
        <is>
          <t>ข้อ 6 (PLE_CC1_Practice_Exam.md)</t>
        </is>
      </c>
      <c r="O45" s="18" t="inlineStr">
        <is>
          <t>Mock</t>
        </is>
      </c>
      <c r="P45" s="18" t="inlineStr">
        <is>
          <t>Mock สภาเภสัชฯ Practice</t>
        </is>
      </c>
    </row>
    <row r="46">
      <c r="A46" s="15" t="inlineStr">
        <is>
          <t>44</t>
        </is>
      </c>
      <c r="B46" s="18"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18" t="inlineStr"/>
      <c r="D46" s="18" t="inlineStr">
        <is>
          <t>Case-Control Study (Odds Ratio: OR)</t>
        </is>
      </c>
      <c r="E46" s="18" t="inlineStr">
        <is>
          <t>Cross-Sectional Survey Prevalence Study</t>
        </is>
      </c>
      <c r="F46" s="18" t="inlineStr">
        <is>
          <t>Cost-Effectiveness Analysis (Incremental Cost-Effectiveness Ratio: ICER)</t>
        </is>
      </c>
      <c r="G46" s="18" t="inlineStr">
        <is>
          <t>Cost-Utility Analysis (Quality-Adjusted Life Years: QALY)</t>
        </is>
      </c>
      <c r="H46" s="18" t="inlineStr">
        <is>
          <t>Cost-Benefit Analysis (Net Monetary Benefit)</t>
        </is>
      </c>
      <c r="I46" s="15" t="inlineStr">
        <is>
          <t>1</t>
        </is>
      </c>
      <c r="J46" s="18"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8" t="inlineStr"/>
      <c r="L46" s="18" t="inlineStr">
        <is>
          <t>รูปแบบการวิจัยทางคลินิก</t>
        </is>
      </c>
      <c r="M46" s="18" t="inlineStr">
        <is>
          <t>SAP</t>
        </is>
      </c>
      <c r="N46" s="18" t="inlineStr">
        <is>
          <t>ข้อ 40 (PLE_CC1_Practice_Exam.md)</t>
        </is>
      </c>
      <c r="O46" s="18" t="inlineStr">
        <is>
          <t>Mock</t>
        </is>
      </c>
      <c r="P46" s="18" t="inlineStr">
        <is>
          <t>Mock สภาเภสัชฯ Practice</t>
        </is>
      </c>
    </row>
    <row r="47">
      <c r="A47" s="15" t="inlineStr">
        <is>
          <t>45</t>
        </is>
      </c>
      <c r="B47" s="18" t="inlineStr">
        <is>
          <t>ระเบียบวิจัยและสถิติ โดย ฝ่ายวิชาการและนักศึกษาชั้นป๊ที่ 4 คณะเภสัชศาสตร์ มหาวิทยาลัยเชียงใหม่ ป๊การศึกษา 2560</t>
        </is>
      </c>
      <c r="C47" s="18" t="inlineStr"/>
      <c r="D47" s="18" t="inlineStr">
        <is>
          <t>Cost-Utility Analysis (Quality-Adjusted Life Years: QALY)</t>
        </is>
      </c>
      <c r="E47" s="18" t="inlineStr">
        <is>
          <t>Cost-Benefit Analysis (Net Monetary Benefit)</t>
        </is>
      </c>
      <c r="F47" s="18" t="inlineStr">
        <is>
          <t>Cost-Minimization Analysis (CMA)</t>
        </is>
      </c>
      <c r="G47" s="18" t="inlineStr">
        <is>
          <t>Student t-test for comparing two independent means</t>
        </is>
      </c>
      <c r="H47" s="18" t="inlineStr">
        <is>
          <t>Chi-Square Test for Categorical Independence (p &lt; 0.05)</t>
        </is>
      </c>
      <c r="I47" s="15" t="inlineStr">
        <is>
          <t>1</t>
        </is>
      </c>
      <c r="J47" s="18"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8" t="inlineStr"/>
      <c r="L47" s="18" t="inlineStr">
        <is>
          <t>รูปแบบการวิจัยทางคลินิก</t>
        </is>
      </c>
      <c r="M47" s="18" t="inlineStr">
        <is>
          <t>SAP</t>
        </is>
      </c>
      <c r="N47" s="18" t="inlineStr">
        <is>
          <t>ข้อ 19 (PLE_CC1_Practice_Exam.md)</t>
        </is>
      </c>
      <c r="O47" s="18" t="inlineStr">
        <is>
          <t>Mock</t>
        </is>
      </c>
      <c r="P47" s="18" t="inlineStr">
        <is>
          <t>Mock สภาเภสัชฯ Practice</t>
        </is>
      </c>
    </row>
    <row r="48">
      <c r="A48" s="15" t="inlineStr">
        <is>
          <t>46</t>
        </is>
      </c>
      <c r="B48" s="18"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18" t="inlineStr"/>
      <c r="D48" s="18" t="inlineStr">
        <is>
          <t>Cross-sectional descriptive study</t>
        </is>
      </c>
      <c r="E48" s="18" t="inlineStr">
        <is>
          <t>Cross-sectional analytical study</t>
        </is>
      </c>
      <c r="F48" s="18" t="inlineStr">
        <is>
          <t>Cohort study</t>
        </is>
      </c>
      <c r="G48" s="18" t="inlineStr">
        <is>
          <t>Case control</t>
        </is>
      </c>
      <c r="H48" s="18" t="inlineStr">
        <is>
          <t>RCT</t>
        </is>
      </c>
      <c r="I48" s="15" t="inlineStr">
        <is>
          <t>1</t>
        </is>
      </c>
      <c r="J48" s="18"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8" t="inlineStr"/>
      <c r="L48" s="18" t="inlineStr">
        <is>
          <t>รูปแบบการวิจัยทางคลินิก</t>
        </is>
      </c>
      <c r="M48" s="18" t="inlineStr">
        <is>
          <t>SAP</t>
        </is>
      </c>
      <c r="N48" s="18" t="inlineStr">
        <is>
          <t>ข้อ 1 (PLE_CC1_Practice_Exam.md)</t>
        </is>
      </c>
      <c r="O48" s="18" t="inlineStr">
        <is>
          <t>Mock</t>
        </is>
      </c>
      <c r="P48" s="18" t="inlineStr">
        <is>
          <t>Mock สภาเภสัชฯ Practice</t>
        </is>
      </c>
    </row>
    <row r="49">
      <c r="A49" s="15" t="inlineStr">
        <is>
          <t>47</t>
        </is>
      </c>
      <c r="B49" s="18"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18" t="inlineStr"/>
      <c r="D49" s="18" t="inlineStr">
        <is>
          <t>Cross-sectional descriptive study</t>
        </is>
      </c>
      <c r="E49" s="18" t="inlineStr">
        <is>
          <t>Cross-sectional analytical study</t>
        </is>
      </c>
      <c r="F49" s="18" t="inlineStr">
        <is>
          <t>Retrospective cohort study</t>
        </is>
      </c>
      <c r="G49" s="18" t="inlineStr">
        <is>
          <t>Prospective case control</t>
        </is>
      </c>
      <c r="H49" s="18" t="inlineStr">
        <is>
          <t>Randomized controlled trial</t>
        </is>
      </c>
      <c r="I49" s="15" t="inlineStr">
        <is>
          <t>1</t>
        </is>
      </c>
      <c r="J49" s="18"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(Retrospective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8" t="inlineStr"/>
      <c r="L49" s="18" t="inlineStr">
        <is>
          <t>รูปแบบการวิจัยทางคลินิก</t>
        </is>
      </c>
      <c r="M49" s="18" t="inlineStr">
        <is>
          <t>SAP</t>
        </is>
      </c>
      <c r="N49" s="18" t="inlineStr">
        <is>
          <t>ข้อ 2 (PLE_CC1_Practice_Exam.md)</t>
        </is>
      </c>
      <c r="O49" s="18" t="inlineStr">
        <is>
          <t>Mock</t>
        </is>
      </c>
      <c r="P49" s="18" t="inlineStr">
        <is>
          <t>Mock สภาเภสัชฯ Practice</t>
        </is>
      </c>
    </row>
    <row r="50">
      <c r="A50" s="15" t="inlineStr">
        <is>
          <t>48</t>
        </is>
      </c>
      <c r="B50" s="18"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18" t="inlineStr"/>
      <c r="D50" s="18" t="inlineStr">
        <is>
          <t>Meta-analysis , RCT</t>
        </is>
      </c>
      <c r="E50" s="18" t="inlineStr">
        <is>
          <t>Meta-analysis , Case control</t>
        </is>
      </c>
      <c r="F50" s="18" t="inlineStr">
        <is>
          <t>RCT , Cohort</t>
        </is>
      </c>
      <c r="G50" s="18" t="inlineStr">
        <is>
          <t>Cohort , Case control</t>
        </is>
      </c>
      <c r="H50" s="18" t="inlineStr">
        <is>
          <t>Cohort , Case series</t>
        </is>
      </c>
      <c r="I50" s="15" t="inlineStr">
        <is>
          <t>1</t>
        </is>
      </c>
      <c r="J50" s="18"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(RCT ,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(Cohort , Case series):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8" t="inlineStr"/>
      <c r="L50" s="18" t="inlineStr">
        <is>
          <t>รูปแบบการวิจัยทางคลินิก</t>
        </is>
      </c>
      <c r="M50" s="18" t="inlineStr">
        <is>
          <t>SAP</t>
        </is>
      </c>
      <c r="N50" s="18" t="inlineStr">
        <is>
          <t>ข้อ 6 (PLE_CC1_Practice_Exam.md)</t>
        </is>
      </c>
      <c r="O50" s="18" t="inlineStr">
        <is>
          <t>Mock</t>
        </is>
      </c>
      <c r="P50" s="18" t="inlineStr">
        <is>
          <t>Mock สภาเภสัชฯ Practice</t>
        </is>
      </c>
    </row>
    <row r="51">
      <c r="A51" s="15" t="inlineStr">
        <is>
          <t>49</t>
        </is>
      </c>
      <c r="B51" s="18" t="inlineStr">
        <is>
          <t>.ถ้าอยากหาความสัมพันธ์ระหว่างไมเกรนกับปัจจัยความเครียด ควรเลือกใช้สถิติใด</t>
        </is>
      </c>
      <c r="C51" s="18" t="inlineStr"/>
      <c r="D51" s="18" t="inlineStr">
        <is>
          <t>Chi square test</t>
        </is>
      </c>
      <c r="E51" s="18" t="inlineStr">
        <is>
          <t>T-test</t>
        </is>
      </c>
      <c r="F51" s="18" t="inlineStr">
        <is>
          <t>ANOVA</t>
        </is>
      </c>
      <c r="G51" s="18" t="inlineStr">
        <is>
          <t>Correlation</t>
        </is>
      </c>
      <c r="H51" s="18" t="inlineStr">
        <is>
          <t>Regression</t>
        </is>
      </c>
      <c r="I51" s="15" t="inlineStr">
        <is>
          <t>1</t>
        </is>
      </c>
      <c r="J51" s="18"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(Regression):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8" t="inlineStr"/>
      <c r="L51" s="18" t="inlineStr">
        <is>
          <t>รูปแบบการวิจัยทางคลินิก</t>
        </is>
      </c>
      <c r="M51" s="18" t="inlineStr">
        <is>
          <t>SAP</t>
        </is>
      </c>
      <c r="N51" s="18" t="inlineStr">
        <is>
          <t>ข้อ 10 (PLE_CC1_Practice_Exam.md)</t>
        </is>
      </c>
      <c r="O51" s="18" t="inlineStr">
        <is>
          <t>Mock</t>
        </is>
      </c>
      <c r="P51" s="18" t="inlineStr">
        <is>
          <t>Mock สภาเภสัชฯ Practice</t>
        </is>
      </c>
    </row>
    <row r="52">
      <c r="A52" s="15" t="inlineStr">
        <is>
          <t>50</t>
        </is>
      </c>
      <c r="B52" s="18"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18" t="inlineStr"/>
      <c r="D52" s="18" t="inlineStr">
        <is>
          <t>Unpaired t-test</t>
        </is>
      </c>
      <c r="E52" s="18" t="inlineStr">
        <is>
          <t>Paired t-test</t>
        </is>
      </c>
      <c r="F52" s="18"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18" t="inlineStr">
        <is>
          <t>Analysis of variance</t>
        </is>
      </c>
      <c r="H52" s="18" t="inlineStr">
        <is>
          <t>Correlation</t>
        </is>
      </c>
      <c r="I52" s="15" t="inlineStr">
        <is>
          <t>1</t>
        </is>
      </c>
      <c r="J52" s="1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8" t="inlineStr"/>
      <c r="L52" s="18" t="inlineStr">
        <is>
          <t>รูปแบบการวิจัยทางคลินิก</t>
        </is>
      </c>
      <c r="M52" s="18" t="inlineStr">
        <is>
          <t>SAP</t>
        </is>
      </c>
      <c r="N52" s="18" t="inlineStr">
        <is>
          <t>ข้อ 11 (PLE_CC1_Practice_Exam.md)</t>
        </is>
      </c>
      <c r="O52" s="18" t="inlineStr">
        <is>
          <t>Mock</t>
        </is>
      </c>
      <c r="P52" s="18" t="inlineStr">
        <is>
          <t>Mock สภาเภสัชฯ Practice</t>
        </is>
      </c>
    </row>
    <row r="53">
      <c r="A53" s="15" t="inlineStr">
        <is>
          <t>51</t>
        </is>
      </c>
      <c r="B53" s="18"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18" t="inlineStr"/>
      <c r="D53" s="18" t="inlineStr">
        <is>
          <t>Unpaired t-test</t>
        </is>
      </c>
      <c r="E53" s="18" t="inlineStr">
        <is>
          <t>Paired t-test</t>
        </is>
      </c>
      <c r="F53" s="18" t="inlineStr">
        <is>
          <t>Chi-square test</t>
        </is>
      </c>
      <c r="G53" s="18" t="inlineStr">
        <is>
          <t>Analysis of variance</t>
        </is>
      </c>
      <c r="H53" s="18" t="inlineStr">
        <is>
          <t>Correlation</t>
        </is>
      </c>
      <c r="I53" s="15" t="inlineStr">
        <is>
          <t>1</t>
        </is>
      </c>
      <c r="J53" s="1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8" t="inlineStr"/>
      <c r="L53" s="18" t="inlineStr">
        <is>
          <t>รูปแบบการวิจัยทางคลินิก</t>
        </is>
      </c>
      <c r="M53" s="18" t="inlineStr">
        <is>
          <t>SAP</t>
        </is>
      </c>
      <c r="N53" s="18" t="inlineStr">
        <is>
          <t>ข้อ 12 (PLE_CC1_Practice_Exam.md)</t>
        </is>
      </c>
      <c r="O53" s="18" t="inlineStr">
        <is>
          <t>Mock</t>
        </is>
      </c>
      <c r="P53" s="18" t="inlineStr">
        <is>
          <t>Mock สภาเภสัชฯ Practice</t>
        </is>
      </c>
    </row>
    <row r="54">
      <c r="A54" s="15" t="inlineStr">
        <is>
          <t>52</t>
        </is>
      </c>
      <c r="B54" s="18"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18" t="inlineStr"/>
      <c r="D54" s="18" t="inlineStr">
        <is>
          <t>Unpaired t-test</t>
        </is>
      </c>
      <c r="E54" s="18" t="inlineStr">
        <is>
          <t>Paired t-test</t>
        </is>
      </c>
      <c r="F54" s="18" t="inlineStr">
        <is>
          <t>Chi-square test</t>
        </is>
      </c>
      <c r="G54" s="18" t="inlineStr">
        <is>
          <t>Analysis of variance</t>
        </is>
      </c>
      <c r="H54" s="18" t="inlineStr">
        <is>
          <t>Correlation</t>
        </is>
      </c>
      <c r="I54" s="15" t="inlineStr">
        <is>
          <t>1</t>
        </is>
      </c>
      <c r="J54" s="1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8" t="inlineStr"/>
      <c r="L54" s="18" t="inlineStr">
        <is>
          <t>รูปแบบการวิจัยทางคลินิก</t>
        </is>
      </c>
      <c r="M54" s="18" t="inlineStr">
        <is>
          <t>SAP</t>
        </is>
      </c>
      <c r="N54" s="18" t="inlineStr">
        <is>
          <t>ข้อ 13 (PLE_CC1_Practice_Exam.md)</t>
        </is>
      </c>
      <c r="O54" s="18" t="inlineStr">
        <is>
          <t>Mock</t>
        </is>
      </c>
      <c r="P54" s="18" t="inlineStr">
        <is>
          <t>Mock สภาเภสัชฯ Practice</t>
        </is>
      </c>
    </row>
    <row r="55">
      <c r="A55" s="15" t="inlineStr">
        <is>
          <t>53</t>
        </is>
      </c>
      <c r="B55" s="18"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18" t="inlineStr"/>
      <c r="D55" s="18" t="inlineStr">
        <is>
          <t>Unpaired t-test</t>
        </is>
      </c>
      <c r="E55" s="18" t="inlineStr">
        <is>
          <t>Paired t-test</t>
        </is>
      </c>
      <c r="F55" s="18" t="inlineStr">
        <is>
          <t>Chi-square test</t>
        </is>
      </c>
      <c r="G55" s="18" t="inlineStr">
        <is>
          <t>One-way ANOVA</t>
        </is>
      </c>
      <c r="H55" s="18" t="inlineStr">
        <is>
          <t>Correlation</t>
        </is>
      </c>
      <c r="I55" s="15" t="inlineStr">
        <is>
          <t>1</t>
        </is>
      </c>
      <c r="J55" s="1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8" t="inlineStr"/>
      <c r="L55" s="18" t="inlineStr">
        <is>
          <t>รูปแบบการวิจัยทางคลินิก</t>
        </is>
      </c>
      <c r="M55" s="18" t="inlineStr">
        <is>
          <t>SAP</t>
        </is>
      </c>
      <c r="N55" s="18" t="inlineStr">
        <is>
          <t>ข้อ 14 (PLE_CC1_Practice_Exam.md)</t>
        </is>
      </c>
      <c r="O55" s="18" t="inlineStr">
        <is>
          <t>Mock</t>
        </is>
      </c>
      <c r="P55" s="18" t="inlineStr">
        <is>
          <t>Mock สภาเภสัชฯ Practice</t>
        </is>
      </c>
    </row>
    <row r="56">
      <c r="A56" s="15" t="inlineStr">
        <is>
          <t>54</t>
        </is>
      </c>
      <c r="B56" s="18"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18" t="inlineStr"/>
      <c r="D56" s="18" t="inlineStr">
        <is>
          <t>Unpaired t-test</t>
        </is>
      </c>
      <c r="E56" s="18" t="inlineStr">
        <is>
          <t>Paired t-test</t>
        </is>
      </c>
      <c r="F56" s="18"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18" t="inlineStr">
        <is>
          <t>One-way ANOVA</t>
        </is>
      </c>
      <c r="H56" s="18" t="inlineStr">
        <is>
          <t>Two-way ANOVA</t>
        </is>
      </c>
      <c r="I56" s="15" t="inlineStr">
        <is>
          <t>1</t>
        </is>
      </c>
      <c r="J56" s="1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8" t="inlineStr"/>
      <c r="L56" s="18" t="inlineStr">
        <is>
          <t>รูปแบบการวิจัยทางคลินิก</t>
        </is>
      </c>
      <c r="M56" s="18" t="inlineStr">
        <is>
          <t>SAP</t>
        </is>
      </c>
      <c r="N56" s="18" t="inlineStr">
        <is>
          <t>ข้อ 15 (PLE_CC1_Practice_Exam.md)</t>
        </is>
      </c>
      <c r="O56" s="18" t="inlineStr">
        <is>
          <t>Mock</t>
        </is>
      </c>
      <c r="P56" s="18" t="inlineStr">
        <is>
          <t>Mock สภาเภสัชฯ Practice</t>
        </is>
      </c>
    </row>
    <row r="57">
      <c r="A57" s="15" t="inlineStr">
        <is>
          <t>55</t>
        </is>
      </c>
      <c r="B57" s="18"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18" t="inlineStr"/>
      <c r="D57" s="18" t="inlineStr">
        <is>
          <t>Unpaired t-test</t>
        </is>
      </c>
      <c r="E57" s="18" t="inlineStr">
        <is>
          <t>Paired t-test</t>
        </is>
      </c>
      <c r="F57" s="18" t="inlineStr">
        <is>
          <t>Chi-square test</t>
        </is>
      </c>
      <c r="G57" s="18" t="inlineStr">
        <is>
          <t>One-way ANOVA</t>
        </is>
      </c>
      <c r="H57" s="18" t="inlineStr">
        <is>
          <t>Two-way ANOVA</t>
        </is>
      </c>
      <c r="I57" s="15" t="inlineStr">
        <is>
          <t>1</t>
        </is>
      </c>
      <c r="J57" s="1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8" t="inlineStr"/>
      <c r="L57" s="18" t="inlineStr">
        <is>
          <t>รูปแบบการวิจัยทางคลินิก</t>
        </is>
      </c>
      <c r="M57" s="18" t="inlineStr">
        <is>
          <t>SAP</t>
        </is>
      </c>
      <c r="N57" s="18" t="inlineStr">
        <is>
          <t>ข้อ 16 (PLE_CC1_Practice_Exam.md)</t>
        </is>
      </c>
      <c r="O57" s="18" t="inlineStr">
        <is>
          <t>Mock</t>
        </is>
      </c>
      <c r="P57" s="18" t="inlineStr">
        <is>
          <t>Mock สภาเภสัชฯ Practice</t>
        </is>
      </c>
    </row>
    <row r="58">
      <c r="A58" s="15" t="inlineStr">
        <is>
          <t>56</t>
        </is>
      </c>
      <c r="B58" s="18"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18" t="inlineStr"/>
      <c r="D58" s="18" t="inlineStr">
        <is>
          <t>Chi-square test</t>
        </is>
      </c>
      <c r="E58" s="18" t="inlineStr">
        <is>
          <t>Unpaired t-test</t>
        </is>
      </c>
      <c r="F58" s="18"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18" t="inlineStr">
        <is>
          <t>ANOVA</t>
        </is>
      </c>
      <c r="H58" s="18" t="inlineStr">
        <is>
          <t>Correlation</t>
        </is>
      </c>
      <c r="I58" s="15" t="inlineStr">
        <is>
          <t>1</t>
        </is>
      </c>
      <c r="J58" s="18"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8" t="inlineStr"/>
      <c r="L58" s="18" t="inlineStr">
        <is>
          <t>รูปแบบการวิจัยทางคลินิก</t>
        </is>
      </c>
      <c r="M58" s="18" t="inlineStr">
        <is>
          <t>SAP</t>
        </is>
      </c>
      <c r="N58" s="18" t="inlineStr">
        <is>
          <t>ข้อ 18 (PLE_CC1_Practice_Exam.md)</t>
        </is>
      </c>
      <c r="O58" s="18" t="inlineStr">
        <is>
          <t>Mock</t>
        </is>
      </c>
      <c r="P58" s="18" t="inlineStr">
        <is>
          <t>Mock สภาเภสัชฯ Practice</t>
        </is>
      </c>
    </row>
    <row r="59">
      <c r="A59" s="15" t="inlineStr">
        <is>
          <t>57</t>
        </is>
      </c>
      <c r="B59" s="18"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18" t="inlineStr"/>
      <c r="D59" s="18" t="inlineStr">
        <is>
          <t>Unpaired t-test</t>
        </is>
      </c>
      <c r="E59" s="18" t="inlineStr">
        <is>
          <t>Paired t-test</t>
        </is>
      </c>
      <c r="F59" s="18" t="inlineStr">
        <is>
          <t>Chi-square test</t>
        </is>
      </c>
      <c r="G59" s="18" t="inlineStr">
        <is>
          <t>One way ANOVA</t>
        </is>
      </c>
      <c r="H59" s="18"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15" t="inlineStr">
        <is>
          <t>5</t>
        </is>
      </c>
      <c r="J59" s="18" t="inlineStr">
        <is>
          <t>✅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ย้อนกลับไปว่า สองกลุ่มมีจำนวนคนที่ได้รับหรือไม่รับ exposure เท่าไหร่มาเปรียบเทียบกัน ซึ่งการศึกษาแบบ (RCT) โดยสามารถสังเกตจาก “ผู้ทำการวิจัยต้องการสุ่มให้กลุ่มตัวอย่างได้รับการรักษาทั้ง 2 รูปแบบโดยเป็น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 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8" t="inlineStr"/>
      <c r="L59" s="18" t="inlineStr">
        <is>
          <t>รูปแบบการวิจัยทางคลินิก</t>
        </is>
      </c>
      <c r="M59" s="18" t="inlineStr">
        <is>
          <t>SAP</t>
        </is>
      </c>
      <c r="N59" s="18" t="inlineStr">
        <is>
          <t>ข้อ 20 (PLE_CC1_Practice_Exam.md)</t>
        </is>
      </c>
      <c r="O59" s="18" t="inlineStr">
        <is>
          <t>Mock</t>
        </is>
      </c>
      <c r="P59" s="18" t="inlineStr">
        <is>
          <t>Mock สภาเภสัชฯ Practice</t>
        </is>
      </c>
    </row>
    <row r="60">
      <c r="A60" s="15" t="inlineStr">
        <is>
          <t>58</t>
        </is>
      </c>
      <c r="B60" s="18" t="inlineStr">
        <is>
          <t>Peak plasma drug concentration (Cmax)</t>
        </is>
      </c>
      <c r="C60" s="18" t="inlineStr"/>
      <c r="D60" s="18" t="inlineStr">
        <is>
          <t>Cost-Effectiveness Analysis (Incremental Cost-Effectiveness Ratio: ICER)</t>
        </is>
      </c>
      <c r="E60" s="18" t="inlineStr">
        <is>
          <t>Cost-Utility Analysis (Quality-Adjusted Life Years: QALY)</t>
        </is>
      </c>
      <c r="F60" s="18" t="inlineStr">
        <is>
          <t>Cost-Benefit Analysis (Net Monetary Benefit)</t>
        </is>
      </c>
      <c r="G60" s="18" t="inlineStr">
        <is>
          <t>Cost-Minimization Analysis (CMA)</t>
        </is>
      </c>
      <c r="H60" s="18" t="inlineStr">
        <is>
          <t>Student t-test for comparing two independent means</t>
        </is>
      </c>
      <c r="I60" s="15" t="inlineStr">
        <is>
          <t>1</t>
        </is>
      </c>
      <c r="J60" s="18"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8" t="inlineStr"/>
      <c r="L60" s="18" t="inlineStr">
        <is>
          <t>วิธีประเมินต้นทุนและประสิทธิผล</t>
        </is>
      </c>
      <c r="M60" s="18" t="inlineStr">
        <is>
          <t>SAP</t>
        </is>
      </c>
      <c r="N60" s="18" t="inlineStr">
        <is>
          <t>ข้อ 2 (PLE_CC1_Key_Rx20_UBU.md)</t>
        </is>
      </c>
      <c r="O60" s="18" t="inlineStr">
        <is>
          <t>Mock</t>
        </is>
      </c>
      <c r="P60" s="18" t="inlineStr">
        <is>
          <t>Mock Rx20 UBU</t>
        </is>
      </c>
    </row>
    <row r="61">
      <c r="A61" s="15" t="inlineStr">
        <is>
          <t>59</t>
        </is>
      </c>
      <c r="B61" s="18"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18" t="inlineStr"/>
      <c r="D61" s="18" t="inlineStr">
        <is>
          <t>Cost-Minimization Analysis (CMA)</t>
        </is>
      </c>
      <c r="E61" s="18" t="inlineStr">
        <is>
          <t>Student t-test for comparing two independent means</t>
        </is>
      </c>
      <c r="F61" s="18" t="inlineStr">
        <is>
          <t>Chi-Square Test for Categorical Independence (p &lt; 0.05)</t>
        </is>
      </c>
      <c r="G61" s="18" t="inlineStr">
        <is>
          <t>Randomized Controlled Trial (Double-blind RCT)</t>
        </is>
      </c>
      <c r="H61" s="18" t="inlineStr">
        <is>
          <t>Prospective Cohort Study (Relative Risk: RR)</t>
        </is>
      </c>
      <c r="I61" s="15" t="inlineStr">
        <is>
          <t>1</t>
        </is>
      </c>
      <c r="J61" s="18"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8" t="inlineStr"/>
      <c r="L61" s="18" t="inlineStr">
        <is>
          <t>รูปแบบการวิจัยทางคลินิก</t>
        </is>
      </c>
      <c r="M61" s="18" t="inlineStr">
        <is>
          <t>SAP</t>
        </is>
      </c>
      <c r="N61" s="18" t="inlineStr">
        <is>
          <t>ข้อ 13 (PLE_CC1_Key_Rx20_UBU.md)</t>
        </is>
      </c>
      <c r="O61" s="18" t="inlineStr">
        <is>
          <t>Mock</t>
        </is>
      </c>
      <c r="P61" s="18" t="inlineStr">
        <is>
          <t>Mock Rx20 UBU</t>
        </is>
      </c>
    </row>
    <row r="62">
      <c r="A62" s="15" t="inlineStr">
        <is>
          <t>60</t>
        </is>
      </c>
      <c r="B62" s="18" t="inlineStr">
        <is>
          <t>สำนักงานวิจัยระบบสาธารณสุข (สวรส.)</t>
        </is>
      </c>
      <c r="C62" s="18" t="inlineStr"/>
      <c r="D62" s="18" t="inlineStr">
        <is>
          <t>Randomized Controlled Trial (Double-blind RCT)</t>
        </is>
      </c>
      <c r="E62" s="18" t="inlineStr">
        <is>
          <t>Prospective Cohort Study (Relative Risk: RR)</t>
        </is>
      </c>
      <c r="F62" s="18" t="inlineStr">
        <is>
          <t>Case-Control Study (Odds Ratio: OR)</t>
        </is>
      </c>
      <c r="G62" s="18" t="inlineStr">
        <is>
          <t>Cross-Sectional Survey Prevalence Study</t>
        </is>
      </c>
      <c r="H62" s="18" t="inlineStr">
        <is>
          <t>Cost-Effectiveness Analysis (Incremental Cost-Effectiveness Ratio: ICER)</t>
        </is>
      </c>
      <c r="I62" s="15" t="inlineStr">
        <is>
          <t>1</t>
        </is>
      </c>
      <c r="J62" s="18"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8" t="inlineStr"/>
      <c r="L62" s="18" t="inlineStr">
        <is>
          <t>รูปแบบการวิจัยทางคลินิก</t>
        </is>
      </c>
      <c r="M62" s="18" t="inlineStr">
        <is>
          <t>SAP</t>
        </is>
      </c>
      <c r="N62" s="18" t="inlineStr">
        <is>
          <t>ข้อ 1 (PLE_CC1_Key_Rx20_UBU.md)</t>
        </is>
      </c>
      <c r="O62" s="18" t="inlineStr">
        <is>
          <t>Mock</t>
        </is>
      </c>
      <c r="P62" s="18" t="inlineStr">
        <is>
          <t>Mock Rx20 UBU</t>
        </is>
      </c>
    </row>
    <row r="63">
      <c r="A63" s="15" t="inlineStr">
        <is>
          <t>61</t>
        </is>
      </c>
      <c r="B63" s="18"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18" t="inlineStr"/>
      <c r="D63" s="18" t="inlineStr">
        <is>
          <t>Cross-Sectional Survey Prevalence Study</t>
        </is>
      </c>
      <c r="E63" s="18" t="inlineStr">
        <is>
          <t>Cost-Effectiveness Analysis (Incremental Cost-Effectiveness Ratio: ICER)</t>
        </is>
      </c>
      <c r="F63" s="18" t="inlineStr">
        <is>
          <t>Cost-Utility Analysis (Quality-Adjusted Life Years: QALY)</t>
        </is>
      </c>
      <c r="G63" s="18" t="inlineStr">
        <is>
          <t>Cost-Benefit Analysis (Net Monetary Benefit)</t>
        </is>
      </c>
      <c r="H63" s="18" t="inlineStr">
        <is>
          <t>Cost-Minimization Analysis (CMA)</t>
        </is>
      </c>
      <c r="I63" s="15" t="inlineStr">
        <is>
          <t>1</t>
        </is>
      </c>
      <c r="J63" s="18"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8" t="inlineStr"/>
      <c r="L63" s="18" t="inlineStr">
        <is>
          <t>รูปแบบการวิจัยทางคลินิก</t>
        </is>
      </c>
      <c r="M63" s="18" t="inlineStr">
        <is>
          <t>SAP</t>
        </is>
      </c>
      <c r="N63" s="18" t="inlineStr">
        <is>
          <t>ข้อ 4 (PLE_CC1_Key_Rx20_UBU.md)</t>
        </is>
      </c>
      <c r="O63" s="18" t="inlineStr">
        <is>
          <t>Mock</t>
        </is>
      </c>
      <c r="P63" s="18" t="inlineStr">
        <is>
          <t>Mock Rx20 UBU</t>
        </is>
      </c>
    </row>
    <row r="64">
      <c r="A64" s="15" t="inlineStr">
        <is>
          <t>62</t>
        </is>
      </c>
      <c r="B64" s="18" t="inlineStr">
        <is>
          <t>ยาใดตGอไปนี้ ไมGมีผลลดอัตราการตายสำหรับผู$ป&amp;วย myocardial infarction</t>
        </is>
      </c>
      <c r="C64" s="18" t="inlineStr"/>
      <c r="D64" s="18" t="inlineStr">
        <is>
          <t>Simvastatin</t>
        </is>
      </c>
      <c r="E64" s="18" t="inlineStr">
        <is>
          <t>Enalapril</t>
        </is>
      </c>
      <c r="F64" s="18" t="inlineStr">
        <is>
          <t>Aspirin</t>
        </is>
      </c>
      <c r="G64" s="18" t="inlineStr">
        <is>
          <t>Clopidogrel</t>
        </is>
      </c>
      <c r="H64" s="18"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15" t="inlineStr">
        <is>
          <t>5</t>
        </is>
      </c>
      <c r="J64" s="18"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8" t="inlineStr"/>
      <c r="L64" s="18" t="inlineStr">
        <is>
          <t>รูปแบบการวิจัยทางคลินิก</t>
        </is>
      </c>
      <c r="M64" s="18" t="inlineStr">
        <is>
          <t>SAP</t>
        </is>
      </c>
      <c r="N64" s="18" t="inlineStr">
        <is>
          <t>ข้อ 27 (PLE_CC1_Key_Rx20_UBU.md)</t>
        </is>
      </c>
      <c r="O64" s="18" t="inlineStr">
        <is>
          <t>Mock</t>
        </is>
      </c>
      <c r="P64" s="18" t="inlineStr">
        <is>
          <t>Mock Rx20 UBU</t>
        </is>
      </c>
    </row>
    <row r="65">
      <c r="A65" s="15" t="inlineStr">
        <is>
          <t>63</t>
        </is>
      </c>
      <c r="B65" s="18" t="inlineStr">
        <is>
          <t>ยาในข$อใดสามารถใช$เปญนยาปนองกัน (primary prophylaxis) สำหรับภาวะ variceal bleeding (1) Octreotide (2) Pantoprazole (3) Somatostatin (4) Propranolol (5) Lactulose</t>
        </is>
      </c>
      <c r="C65" s="18" t="inlineStr"/>
      <c r="D65" s="18" t="inlineStr">
        <is>
          <t>Chi-Square Test for Categorical Independence (p &lt; 0.05)</t>
        </is>
      </c>
      <c r="E65" s="18" t="inlineStr">
        <is>
          <t>Randomized Controlled Trial (Double-blind RCT)</t>
        </is>
      </c>
      <c r="F65" s="18" t="inlineStr">
        <is>
          <t>Prospective Cohort Study (Relative Risk: RR)</t>
        </is>
      </c>
      <c r="G65" s="18" t="inlineStr">
        <is>
          <t>Case-Control Study (Odds Ratio: OR)</t>
        </is>
      </c>
      <c r="H65" s="18" t="inlineStr">
        <is>
          <t>Cross-Sectional Survey Prevalence Study</t>
        </is>
      </c>
      <c r="I65" s="15" t="inlineStr">
        <is>
          <t>1</t>
        </is>
      </c>
      <c r="J65" s="18"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8" t="inlineStr"/>
      <c r="L65" s="18" t="inlineStr">
        <is>
          <t>วิธีประเมินต้นทุนและประสิทธิผล</t>
        </is>
      </c>
      <c r="M65" s="18" t="inlineStr">
        <is>
          <t>SAP</t>
        </is>
      </c>
      <c r="N65" s="18" t="inlineStr">
        <is>
          <t>ข้อ 56 (PLE_CC1_Key_Rx20_UBU.md)</t>
        </is>
      </c>
      <c r="O65" s="18" t="inlineStr">
        <is>
          <t>Mock</t>
        </is>
      </c>
      <c r="P65" s="18" t="inlineStr">
        <is>
          <t>Mock Rx20 UBU</t>
        </is>
      </c>
    </row>
    <row r="66">
      <c r="A66" s="15" t="inlineStr">
        <is>
          <t>64</t>
        </is>
      </c>
      <c r="B66" s="18"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18" t="inlineStr"/>
      <c r="D66" s="18" t="inlineStr">
        <is>
          <t>Case-Control Study (Odds Ratio: OR)</t>
        </is>
      </c>
      <c r="E66" s="18" t="inlineStr">
        <is>
          <t>Cross-Sectional Survey Prevalence Study</t>
        </is>
      </c>
      <c r="F66" s="18" t="inlineStr">
        <is>
          <t>Cost-Effectiveness Analysis (Incremental Cost-Effectiveness Ratio: ICER)</t>
        </is>
      </c>
      <c r="G66" s="18" t="inlineStr">
        <is>
          <t>Cost-Utility Analysis (Quality-Adjusted Life Years: QALY)</t>
        </is>
      </c>
      <c r="H66" s="18" t="inlineStr">
        <is>
          <t>Cost-Benefit Analysis (Net Monetary Benefit)</t>
        </is>
      </c>
      <c r="I66" s="15" t="inlineStr">
        <is>
          <t>1</t>
        </is>
      </c>
      <c r="J66" s="18"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8" t="inlineStr"/>
      <c r="L66" s="18" t="inlineStr">
        <is>
          <t>วิธีประเมินต้นทุนและประสิทธิผล</t>
        </is>
      </c>
      <c r="M66" s="18" t="inlineStr">
        <is>
          <t>SAP</t>
        </is>
      </c>
      <c r="N66" s="18" t="inlineStr">
        <is>
          <t>ข้อ 84 (PLE_CC1_Key_Rx20_UBU.md)</t>
        </is>
      </c>
      <c r="O66" s="18" t="inlineStr">
        <is>
          <t>Mock</t>
        </is>
      </c>
      <c r="P66" s="18" t="inlineStr">
        <is>
          <t>Mock Rx20 UBU</t>
        </is>
      </c>
    </row>
    <row r="67">
      <c r="A67" s="15" t="inlineStr">
        <is>
          <t>65</t>
        </is>
      </c>
      <c r="B67" s="18" t="inlineStr">
        <is>
          <t>(โจทย_ถามรูปแบบการทดลองที่ให$ข$อมูลที่นGาเชื่อถือที่สุด) RCT</t>
        </is>
      </c>
      <c r="C67" s="18" t="inlineStr"/>
      <c r="D67" s="18" t="inlineStr">
        <is>
          <t>Cost-Utility Analysis (Quality-Adjusted Life Years: QALY)</t>
        </is>
      </c>
      <c r="E67" s="18" t="inlineStr">
        <is>
          <t>Cost-Benefit Analysis (Net Monetary Benefit)</t>
        </is>
      </c>
      <c r="F67" s="18" t="inlineStr">
        <is>
          <t>Cost-Minimization Analysis (CMA)</t>
        </is>
      </c>
      <c r="G67" s="18" t="inlineStr">
        <is>
          <t>Student t-test for comparing two independent means</t>
        </is>
      </c>
      <c r="H67" s="18" t="inlineStr">
        <is>
          <t>Chi-Square Test for Categorical Independence (p &lt; 0.05)</t>
        </is>
      </c>
      <c r="I67" s="15" t="inlineStr">
        <is>
          <t>1</t>
        </is>
      </c>
      <c r="J67" s="18"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8" t="inlineStr"/>
      <c r="L67" s="18" t="inlineStr">
        <is>
          <t>รูปแบบการวิจัยทางคลินิก</t>
        </is>
      </c>
      <c r="M67" s="18" t="inlineStr">
        <is>
          <t>SAP</t>
        </is>
      </c>
      <c r="N67" s="18" t="inlineStr">
        <is>
          <t>ข้อ 39 (PLE_CC1_Key_Rx20_UBU.md)</t>
        </is>
      </c>
      <c r="O67" s="18" t="inlineStr">
        <is>
          <t>Mock</t>
        </is>
      </c>
      <c r="P67" s="18" t="inlineStr">
        <is>
          <t>Mock Rx20 UBU</t>
        </is>
      </c>
    </row>
    <row r="68">
      <c r="A68" s="15" t="inlineStr">
        <is>
          <t>66</t>
        </is>
      </c>
      <c r="B68" s="18" t="inlineStr">
        <is>
          <t>(โจทย_ให$แปลความหมายของ relative risk ให$คGา 0.88 95% CI ไมGครGอม 1) สถานการณ) 5</t>
        </is>
      </c>
      <c r="C68" s="18" t="inlineStr"/>
      <c r="D68" s="18" t="inlineStr">
        <is>
          <t>Student t-test for comparing two independent means</t>
        </is>
      </c>
      <c r="E68" s="18" t="inlineStr">
        <is>
          <t>Chi-Square Test for Categorical Independence (p &lt; 0.05)</t>
        </is>
      </c>
      <c r="F68" s="18" t="inlineStr">
        <is>
          <t>Randomized Controlled Trial (Double-blind RCT)</t>
        </is>
      </c>
      <c r="G68" s="18" t="inlineStr">
        <is>
          <t>Prospective Cohort Study (Relative Risk: RR)</t>
        </is>
      </c>
      <c r="H68" s="18" t="inlineStr">
        <is>
          <t>Case-Control Study (Odds Ratio: OR)</t>
        </is>
      </c>
      <c r="I68" s="15" t="inlineStr">
        <is>
          <t>1</t>
        </is>
      </c>
      <c r="J68" s="18"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จ.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8" t="inlineStr"/>
      <c r="L68" s="18" t="inlineStr">
        <is>
          <t>สถิติวิเคราะห์</t>
        </is>
      </c>
      <c r="M68" s="18" t="inlineStr">
        <is>
          <t>SAP</t>
        </is>
      </c>
      <c r="N68" s="18" t="inlineStr">
        <is>
          <t>ข้อ 40 (PLE_CC1_Key_Rx20_UBU.md)</t>
        </is>
      </c>
      <c r="O68" s="18" t="inlineStr">
        <is>
          <t>Mock</t>
        </is>
      </c>
      <c r="P68" s="18" t="inlineStr">
        <is>
          <t>Mock Rx20 UBU</t>
        </is>
      </c>
    </row>
    <row r="69">
      <c r="A69" s="15" t="inlineStr">
        <is>
          <t>67</t>
        </is>
      </c>
      <c r="B69" s="18" t="inlineStr">
        <is>
          <t>มีคGา ICER สูง cost/unit of efficacy ใช$เงินน$อยๆ เพื่อให$ได$ outcome ที่ต$องการ</t>
        </is>
      </c>
      <c r="C69" s="18" t="inlineStr"/>
      <c r="D69" s="18" t="inlineStr">
        <is>
          <t>Prospective Cohort Study (Relative Risk: RR)</t>
        </is>
      </c>
      <c r="E69" s="18" t="inlineStr">
        <is>
          <t>Case-Control Study (Odds Ratio: OR)</t>
        </is>
      </c>
      <c r="F69" s="18" t="inlineStr">
        <is>
          <t>Cross-Sectional Survey Prevalence Study</t>
        </is>
      </c>
      <c r="G69" s="18" t="inlineStr">
        <is>
          <t>Cost-Effectiveness Analysis (Incremental Cost-Effectiveness Ratio: ICER)</t>
        </is>
      </c>
      <c r="H69" s="18" t="inlineStr">
        <is>
          <t>Cost-Utility Analysis (Quality-Adjusted Life Years: QALY)</t>
        </is>
      </c>
      <c r="I69" s="15" t="inlineStr">
        <is>
          <t>2</t>
        </is>
      </c>
      <c r="J69" s="18"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8" t="inlineStr"/>
      <c r="L69" s="18" t="inlineStr">
        <is>
          <t>วิธีประเมินต้นทุนและประสิทธิผล</t>
        </is>
      </c>
      <c r="M69" s="18" t="inlineStr">
        <is>
          <t>SAP</t>
        </is>
      </c>
      <c r="N69" s="18" t="inlineStr">
        <is>
          <t>ข้อ 5 (PLE_CC1_Key_Rx20_UBU.md)</t>
        </is>
      </c>
      <c r="O69" s="18" t="inlineStr">
        <is>
          <t>Mock</t>
        </is>
      </c>
      <c r="P69" s="18" t="inlineStr">
        <is>
          <t>Mock Rx20 UBU</t>
        </is>
      </c>
    </row>
    <row r="70">
      <c r="A70" s="15" t="inlineStr">
        <is>
          <t>68</t>
        </is>
      </c>
      <c r="B70" s="18" t="inlineStr">
        <is>
          <t>จากสถิติพบวGาในป3 2556 มีผู$ป&amp;วยด$วยภาวะ..........22885 รายตGอประชากรหนึ่งแสนคน จำนวนดังกลGาวเรียกวGาอะไร</t>
        </is>
      </c>
      <c r="C70" s="18" t="inlineStr"/>
      <c r="D70" s="18" t="inlineStr">
        <is>
          <t>Cost-Effectiveness Analysis (Incremental Cost-Effectiveness Ratio: ICER)</t>
        </is>
      </c>
      <c r="E70" s="18" t="inlineStr">
        <is>
          <t>Cost-Utility Analysis (Quality-Adjusted Life Years: QALY)</t>
        </is>
      </c>
      <c r="F70" s="18" t="inlineStr">
        <is>
          <t>Cost-Benefit Analysis (Net Monetary Benefit)</t>
        </is>
      </c>
      <c r="G70" s="18" t="inlineStr">
        <is>
          <t>Cost-Minimization Analysis (CMA)</t>
        </is>
      </c>
      <c r="H70" s="18" t="inlineStr">
        <is>
          <t>Student t-test for comparing two independent means</t>
        </is>
      </c>
      <c r="I70" s="15" t="inlineStr">
        <is>
          <t>1</t>
        </is>
      </c>
      <c r="J70" s="18"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8" t="inlineStr"/>
      <c r="L70" s="18" t="inlineStr">
        <is>
          <t>รูปแบบการวิจัยทางคลินิก</t>
        </is>
      </c>
      <c r="M70" s="18" t="inlineStr">
        <is>
          <t>SAP</t>
        </is>
      </c>
      <c r="N70" s="18" t="inlineStr">
        <is>
          <t>ข้อ 105 (PLE_CC1_Key_Rx20_UBU.md)</t>
        </is>
      </c>
      <c r="O70" s="18" t="inlineStr">
        <is>
          <t>Mock</t>
        </is>
      </c>
      <c r="P70" s="18" t="inlineStr">
        <is>
          <t>Mock Rx20 UBU</t>
        </is>
      </c>
    </row>
    <row r="71">
      <c r="A71" s="15" t="inlineStr">
        <is>
          <t>69</t>
        </is>
      </c>
      <c r="B71" s="18"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18" t="inlineStr"/>
      <c r="D71" s="18" t="inlineStr">
        <is>
          <t>Cost-Minimization Analysis (CMA)</t>
        </is>
      </c>
      <c r="E71" s="18" t="inlineStr">
        <is>
          <t>Student t-test for comparing two independent means</t>
        </is>
      </c>
      <c r="F71" s="18" t="inlineStr">
        <is>
          <t>Chi-Square Test for Categorical Independence (p &lt; 0.05)</t>
        </is>
      </c>
      <c r="G71" s="18" t="inlineStr">
        <is>
          <t>Randomized Controlled Trial (Double-blind RCT)</t>
        </is>
      </c>
      <c r="H71" s="18" t="inlineStr">
        <is>
          <t>Prospective Cohort Study (Relative Risk: RR)</t>
        </is>
      </c>
      <c r="I71" s="15" t="inlineStr">
        <is>
          <t>2</t>
        </is>
      </c>
      <c r="J71" s="18"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8" t="inlineStr"/>
      <c r="L71" s="18" t="inlineStr">
        <is>
          <t>สถิติวิเคราะห์</t>
        </is>
      </c>
      <c r="M71" s="18" t="inlineStr">
        <is>
          <t>SAP</t>
        </is>
      </c>
      <c r="N71" s="18" t="inlineStr">
        <is>
          <t>ข้อ 5 (PLE_CC1_Key_Rx20_UBU.md)</t>
        </is>
      </c>
      <c r="O71" s="18" t="inlineStr">
        <is>
          <t>Mock</t>
        </is>
      </c>
      <c r="P71" s="18" t="inlineStr">
        <is>
          <t>Mock Rx20 UBU</t>
        </is>
      </c>
    </row>
    <row r="72">
      <c r="A72" s="15" t="inlineStr">
        <is>
          <t>70</t>
        </is>
      </c>
      <c r="B72" s="18"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18" t="inlineStr"/>
      <c r="D72" s="18" t="inlineStr">
        <is>
          <t>Randomized Controlled Trial (Double-blind RCT)</t>
        </is>
      </c>
      <c r="E72" s="18" t="inlineStr">
        <is>
          <t>Prospective Cohort Study (Relative Risk: RR)</t>
        </is>
      </c>
      <c r="F72" s="18" t="inlineStr">
        <is>
          <t>Case-Control Study (Odds Ratio: OR)</t>
        </is>
      </c>
      <c r="G72" s="18" t="inlineStr">
        <is>
          <t>Cross-Sectional Survey Prevalence Study</t>
        </is>
      </c>
      <c r="H72" s="18" t="inlineStr">
        <is>
          <t>Cost-Effectiveness Analysis (Incremental Cost-Effectiveness Ratio: ICER)</t>
        </is>
      </c>
      <c r="I72" s="15" t="inlineStr">
        <is>
          <t>4</t>
        </is>
      </c>
      <c r="J72" s="18"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8" t="inlineStr"/>
      <c r="L72" s="18" t="inlineStr">
        <is>
          <t>วิธีประเมินต้นทุนและประสิทธิผล</t>
        </is>
      </c>
      <c r="M72" s="18" t="inlineStr">
        <is>
          <t>SAP</t>
        </is>
      </c>
      <c r="N72" s="18" t="inlineStr">
        <is>
          <t>ข้อ 2 (PLE_CC1_Key_Rx20_UBU.md)</t>
        </is>
      </c>
      <c r="O72" s="18" t="inlineStr">
        <is>
          <t>Mock</t>
        </is>
      </c>
      <c r="P72" s="18" t="inlineStr">
        <is>
          <t>Mock Rx20 UBU</t>
        </is>
      </c>
    </row>
    <row r="73">
      <c r="A73" s="15" t="inlineStr">
        <is>
          <t>71</t>
        </is>
      </c>
      <c r="B73" s="18" t="inlineStr">
        <is>
          <t>Prospective Cohort study</t>
        </is>
      </c>
      <c r="C73" s="18" t="inlineStr"/>
      <c r="D73" s="18" t="inlineStr">
        <is>
          <t>Cross-Sectional Survey Prevalence Study</t>
        </is>
      </c>
      <c r="E73" s="18" t="inlineStr">
        <is>
          <t>Cost-Effectiveness Analysis (Incremental Cost-Effectiveness Ratio: ICER)</t>
        </is>
      </c>
      <c r="F73" s="18" t="inlineStr">
        <is>
          <t>Cost-Utility Analysis (Quality-Adjusted Life Years: QALY)</t>
        </is>
      </c>
      <c r="G73" s="18" t="inlineStr">
        <is>
          <t>Cost-Benefit Analysis (Net Monetary Benefit)</t>
        </is>
      </c>
      <c r="H73" s="18" t="inlineStr">
        <is>
          <t>Cost-Minimization Analysis (CMA)</t>
        </is>
      </c>
      <c r="I73" s="15" t="inlineStr">
        <is>
          <t>1</t>
        </is>
      </c>
      <c r="J73" s="18"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8" t="inlineStr"/>
      <c r="L73" s="18" t="inlineStr">
        <is>
          <t>รูปแบบการวิจัยทางคลินิก</t>
        </is>
      </c>
      <c r="M73" s="18" t="inlineStr">
        <is>
          <t>SAP</t>
        </is>
      </c>
      <c r="N73" s="18" t="inlineStr">
        <is>
          <t>ข้อ 5 (PLE_CC1_Key_Rx20_UBU.md)</t>
        </is>
      </c>
      <c r="O73" s="18" t="inlineStr">
        <is>
          <t>Mock</t>
        </is>
      </c>
      <c r="P73" s="18" t="inlineStr">
        <is>
          <t>Mock Rx20 UBU</t>
        </is>
      </c>
    </row>
    <row r="74">
      <c r="A74" s="15" t="inlineStr">
        <is>
          <t>72</t>
        </is>
      </c>
      <c r="B74" s="18"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18" t="inlineStr"/>
      <c r="D74" s="18" t="inlineStr">
        <is>
          <t>Cost-Benefit Analysis (Net Monetary Benefit)</t>
        </is>
      </c>
      <c r="E74" s="18" t="inlineStr">
        <is>
          <t>Cost-Minimization Analysis (CMA)</t>
        </is>
      </c>
      <c r="F74" s="18" t="inlineStr">
        <is>
          <t>Student t-test for comparing two independent means</t>
        </is>
      </c>
      <c r="G74" s="18" t="inlineStr">
        <is>
          <t>Chi-Square Test for Categorical Independence (p &lt; 0.05)</t>
        </is>
      </c>
      <c r="H74" s="18" t="inlineStr">
        <is>
          <t>Randomized Controlled Trial (Double-blind RCT)</t>
        </is>
      </c>
      <c r="I74" s="15" t="inlineStr">
        <is>
          <t>3</t>
        </is>
      </c>
      <c r="J74" s="18"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8" t="inlineStr"/>
      <c r="L74" s="18" t="inlineStr">
        <is>
          <t>วิธีประเมินต้นทุนและประสิทธิผล</t>
        </is>
      </c>
      <c r="M74" s="18" t="inlineStr">
        <is>
          <t>SAP</t>
        </is>
      </c>
      <c r="N74" s="18" t="inlineStr">
        <is>
          <t>ข้อ 4 (PLE_CC1_Key_Rx20_UBU.md)</t>
        </is>
      </c>
      <c r="O74" s="18" t="inlineStr">
        <is>
          <t>Mock</t>
        </is>
      </c>
      <c r="P74" s="18" t="inlineStr">
        <is>
          <t>Mock Rx20 UBU</t>
        </is>
      </c>
    </row>
    <row r="75">
      <c r="A75" s="15" t="inlineStr">
        <is>
          <t>73</t>
        </is>
      </c>
      <c r="B75" s="18" t="inlineStr">
        <is>
          <t>โรงพยาบาลพิจารณาเลือกยา โดยดูความคุ้มค่าของยาพ่น A และ ยาพ่น B ข้อใดถูกต้อง (Threshold ของ โรงพยาบาล = 160,000/QALYs)</t>
        </is>
      </c>
      <c r="C75" s="18" t="inlineStr"/>
      <c r="D75" s="18" t="inlineStr">
        <is>
          <t>ยา A คุ้มค่ามากกว่า เนื่องจากมีปีสุขภาวะมากกว่า</t>
        </is>
      </c>
      <c r="E75" s="18" t="inlineStr">
        <is>
          <t>ยา A คุ้มค่ามากกว่ายา B เนื่องจากมีค่า ICER ติดลบ 8,000/QALYs</t>
        </is>
      </c>
      <c r="F75" s="18" t="inlineStr">
        <is>
          <t>ยา B คุ้มค่ามากกว่ายา A เนื่องจากต้นทุนถูกกว่า</t>
        </is>
      </c>
      <c r="G75" s="18" t="inlineStr">
        <is>
          <t>ยา B คุ้มค่ามากกว่ายา A เนื่องจากมีค่า ICER บวก 8,000/QALYs</t>
        </is>
      </c>
      <c r="H75" s="18"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15" t="inlineStr">
        <is>
          <t>4</t>
        </is>
      </c>
      <c r="J75" s="18"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(ยา A คุ้มค่ามากกว่ายา B เนื่องจากมีค่า ICER ติดลบ 8,000/QALYs):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(ยา B คุ้มค่ามากกว่ายา A เนื่องจากต้นทุนถูกกว่า):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8" t="inlineStr"/>
      <c r="L75" s="18" t="inlineStr">
        <is>
          <t>วิธีประเมินต้นทุนและประสิทธิผล</t>
        </is>
      </c>
      <c r="M75" s="18" t="inlineStr">
        <is>
          <t>SAP</t>
        </is>
      </c>
      <c r="N75" s="18" t="inlineStr">
        <is>
          <t>ข้อ 63 (PLE_CC1_Key_Rx20_UBU.md)</t>
        </is>
      </c>
      <c r="O75" s="18" t="inlineStr">
        <is>
          <t>Mock</t>
        </is>
      </c>
      <c r="P75" s="18" t="inlineStr">
        <is>
          <t>Mock Rx20 UBU</t>
        </is>
      </c>
    </row>
    <row r="76">
      <c r="A76" s="18" t="n">
        <v>130</v>
      </c>
      <c r="B76" s="18"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18" t="inlineStr"/>
      <c r="D76" s="18" t="inlineStr">
        <is>
          <t>Indirect cost (ต้นทุนทางอ้อม)</t>
        </is>
      </c>
      <c r="E76" s="18" t="inlineStr">
        <is>
          <t>Intangible cost (ต้นทุนที่ไม่สามารถวัดเป็นตัวเงินได้)</t>
        </is>
      </c>
      <c r="F76" s="18" t="inlineStr">
        <is>
          <t>Direct medical cost (ต้นทุนทางตรงทางการแพทย์)</t>
        </is>
      </c>
      <c r="G76" s="18" t="inlineStr">
        <is>
          <t>Direct non-medical cost (ต้นทุนทางตรงที่ไม่ใช่ทางการแพทย์)</t>
        </is>
      </c>
      <c r="H76" s="18" t="inlineStr">
        <is>
          <t>Opportunity cost (ต้นทุนค่าเสียโอกาสเชิงนโยบาย)</t>
        </is>
      </c>
      <c r="I76" s="15" t="inlineStr">
        <is>
          <t>1</t>
        </is>
      </c>
      <c r="J76" s="18"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18" t="inlineStr"/>
      <c r="L76" s="18" t="inlineStr">
        <is>
          <t>Research &amp; Biostats</t>
        </is>
      </c>
      <c r="M76" s="18" t="inlineStr">
        <is>
          <t>SAP</t>
        </is>
      </c>
      <c r="N76" s="18" t="inlineStr">
        <is>
          <t>PLE_CC1_2567_Key ข้อ 10</t>
        </is>
      </c>
      <c r="O76" s="18" t="inlineStr">
        <is>
          <t>ข้อสอบจริง</t>
        </is>
      </c>
      <c r="P76" s="18" t="inlineStr">
        <is>
          <t>ปี 2567</t>
        </is>
      </c>
    </row>
  </sheetData>
  <mergeCells count="1">
    <mergeCell ref="A1:P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5">
        <f>HYPERLINK("#gid=0", "🏠 กลับสู่หน้าแรก (Go to Home Page)")</f>
        <v/>
      </c>
    </row>
    <row r="2">
      <c r="A2" s="6" t="inlineStr">
        <is>
          <t>Username</t>
        </is>
      </c>
      <c r="B2" s="6" t="inlineStr">
        <is>
          <t>Display Name</t>
        </is>
      </c>
      <c r="C2" s="6" t="inlineStr">
        <is>
          <t>Total Answered</t>
        </is>
      </c>
      <c r="D2" s="6" t="inlineStr">
        <is>
          <t>Total Correct</t>
        </is>
      </c>
      <c r="E2" s="6" t="inlineStr">
        <is>
          <t>Accuracy (%)</t>
        </is>
      </c>
      <c r="F2" s="6" t="inlineStr">
        <is>
          <t>Current Streak (Days)</t>
        </is>
      </c>
      <c r="G2" s="6" t="inlineStr">
        <is>
          <t>Last Active</t>
        </is>
      </c>
    </row>
    <row r="3">
      <c r="A3" s="18" t="inlineStr">
        <is>
          <t>maxnum</t>
        </is>
      </c>
      <c r="B3" s="18" t="inlineStr">
        <is>
          <t>Maxnum</t>
        </is>
      </c>
      <c r="C3" s="18" t="n">
        <v>17</v>
      </c>
      <c r="D3" s="18" t="n">
        <v>5</v>
      </c>
      <c r="E3" s="7" t="n">
        <v>0.29</v>
      </c>
      <c r="F3" s="18" t="n">
        <v>1</v>
      </c>
      <c r="G3" s="18" t="inlineStr">
        <is>
          <t>2026-09-24T14:17:16.289Z</t>
        </is>
      </c>
    </row>
    <row r="4">
      <c r="A4" s="18" t="inlineStr">
        <is>
          <t>chayanit</t>
        </is>
      </c>
      <c r="B4" s="18" t="inlineStr">
        <is>
          <t>idea</t>
        </is>
      </c>
      <c r="C4" s="18" t="n">
        <v>33</v>
      </c>
      <c r="D4" s="18" t="n">
        <v>26</v>
      </c>
      <c r="E4" s="7" t="n">
        <v>0.79</v>
      </c>
      <c r="F4" s="18" t="n">
        <v>1</v>
      </c>
      <c r="G4" s="18" t="inlineStr">
        <is>
          <t>2026-09-24T13:36:51.013Z</t>
        </is>
      </c>
    </row>
    <row r="5">
      <c r="A5" s="18" t="inlineStr">
        <is>
          <t>supichaya</t>
        </is>
      </c>
      <c r="B5" s="18" t="inlineStr">
        <is>
          <t>bt</t>
        </is>
      </c>
      <c r="C5" s="18" t="n">
        <v>0</v>
      </c>
      <c r="D5" s="18" t="n">
        <v>0</v>
      </c>
      <c r="E5" s="7" t="n">
        <v>0</v>
      </c>
      <c r="F5" s="18" t="n">
        <v>1</v>
      </c>
      <c r="G5" s="18" t="inlineStr">
        <is>
          <t>2026-09-24T13:18:00.422Z</t>
        </is>
      </c>
    </row>
    <row r="6">
      <c r="A6" s="18" t="n">
        <v>6531014833</v>
      </c>
      <c r="B6" s="18" t="inlineStr">
        <is>
          <t>JN</t>
        </is>
      </c>
      <c r="C6" s="18" t="n">
        <v>0</v>
      </c>
      <c r="D6" s="18" t="n">
        <v>0</v>
      </c>
      <c r="E6" s="7" t="n">
        <v>0</v>
      </c>
      <c r="F6" s="18" t="n">
        <v>1</v>
      </c>
      <c r="G6" s="18" t="inlineStr">
        <is>
          <t>2026-09-24T13:18:27.158Z</t>
        </is>
      </c>
    </row>
    <row r="7">
      <c r="A7" s="18" t="inlineStr">
        <is>
          <t>j.natthida</t>
        </is>
      </c>
      <c r="B7" s="18" t="inlineStr">
        <is>
          <t>jn.</t>
        </is>
      </c>
      <c r="C7" s="18" t="n">
        <v>0</v>
      </c>
      <c r="D7" s="18" t="n">
        <v>0</v>
      </c>
      <c r="E7" s="7" t="n">
        <v>0</v>
      </c>
      <c r="F7" s="18" t="n">
        <v>1</v>
      </c>
      <c r="G7" s="18" t="inlineStr">
        <is>
          <t>2026-09-24T13:20:39.625Z</t>
        </is>
      </c>
    </row>
    <row r="8">
      <c r="A8" s="18" t="n">
        <v>6531024033</v>
      </c>
      <c r="B8" s="18" t="n">
        <v>6531024033</v>
      </c>
      <c r="C8" s="18" t="n">
        <v>9</v>
      </c>
      <c r="D8" s="18" t="n">
        <v>5</v>
      </c>
      <c r="E8" s="7" t="n">
        <v>0.5600000000000001</v>
      </c>
      <c r="F8" s="18" t="n">
        <v>1</v>
      </c>
      <c r="G8" s="18" t="inlineStr">
        <is>
          <t>2026-09-24T13:27:04.553Z</t>
        </is>
      </c>
    </row>
    <row r="9">
      <c r="E9" s="7" t="n"/>
    </row>
    <row r="10">
      <c r="E10" s="7" t="n"/>
    </row>
    <row r="11">
      <c r="E11" s="7" t="n"/>
    </row>
    <row r="12">
      <c r="E12" s="7" t="n"/>
    </row>
    <row r="13">
      <c r="E13" s="7" t="n"/>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3" defaultRowHeight="15.75" customHeight="1"/>
  <sheetData>
    <row r="1" ht="26.25" customHeight="1" s="52">
      <c r="A1" s="44">
        <f>HYPERLINK("#gid=0", "🏠 กลับสู่หน้าแรก (Go to Home Page)")</f>
        <v/>
      </c>
    </row>
    <row r="2">
      <c r="A2" s="45" t="inlineStr">
        <is>
          <t>MessageId</t>
        </is>
      </c>
      <c r="B2" s="45" t="inlineStr">
        <is>
          <t>Timestamp</t>
        </is>
      </c>
      <c r="C2" s="45" t="inlineStr">
        <is>
          <t>Username</t>
        </is>
      </c>
      <c r="D2" s="45" t="inlineStr">
        <is>
          <t>Display Name</t>
        </is>
      </c>
      <c r="E2" s="45" t="inlineStr">
        <is>
          <t>Message Text</t>
        </is>
      </c>
      <c r="F2" s="45" t="inlineStr">
        <is>
          <t>ReplyToId</t>
        </is>
      </c>
      <c r="G2" s="45" t="inlineStr">
        <is>
          <t>Topic Tag</t>
        </is>
      </c>
    </row>
    <row r="3">
      <c r="A3" s="18" t="inlineStr">
        <is>
          <t>msg_1790163390739</t>
        </is>
      </c>
      <c r="B3" s="18" t="inlineStr">
        <is>
          <t>2026-09-23T11:36:30.739Z</t>
        </is>
      </c>
      <c r="C3" s="18" t="inlineStr">
        <is>
          <t>maxnum</t>
        </is>
      </c>
      <c r="D3" s="18" t="inlineStr">
        <is>
          <t>Maxnum</t>
        </is>
      </c>
      <c r="E3" s="18" t="inlineStr">
        <is>
          <t>สวัสดีงับชาวบ้านทดสอบระบบ</t>
        </is>
      </c>
      <c r="G3" s="18" t="inlineStr">
        <is>
          <t>Clinic</t>
        </is>
      </c>
    </row>
    <row r="4">
      <c r="A4" s="18" t="inlineStr">
        <is>
          <t>msg_1790167308559</t>
        </is>
      </c>
      <c r="B4" s="18" t="inlineStr">
        <is>
          <t>2026-09-23T12:41:48.559Z</t>
        </is>
      </c>
      <c r="C4" s="18" t="inlineStr">
        <is>
          <t>maxnum</t>
        </is>
      </c>
      <c r="D4" s="18" t="inlineStr">
        <is>
          <t>Maxnum</t>
        </is>
      </c>
      <c r="E4" s="18" t="inlineStr">
        <is>
          <t>ยัยบ๊องตื้น</t>
        </is>
      </c>
      <c r="F4" s="18" t="inlineStr">
        <is>
          <t>msg_1790163390739</t>
        </is>
      </c>
      <c r="G4" s="18" t="inlineStr">
        <is>
          <t>1. Musculoskeleton</t>
        </is>
      </c>
    </row>
    <row r="5">
      <c r="A5" s="18" t="inlineStr">
        <is>
          <t>msg_1790255957466</t>
        </is>
      </c>
      <c r="B5" s="18" t="inlineStr">
        <is>
          <t>2026-09-24T13:19:17.466Z</t>
        </is>
      </c>
      <c r="C5" s="18" t="inlineStr">
        <is>
          <t>anonymous</t>
        </is>
      </c>
      <c r="D5" s="18" t="inlineStr">
        <is>
          <t>บุคคลทั่วไป</t>
        </is>
      </c>
      <c r="E5" s="18" t="inlineStr">
        <is>
          <t>☆*: .｡. o(≧▽≦)o .｡.:*☆</t>
        </is>
      </c>
      <c r="F5" s="18" t="inlineStr">
        <is>
          <t>msg_1790167308559</t>
        </is>
      </c>
      <c r="G5" s="18" t="inlineStr">
        <is>
          <t>Clinic</t>
        </is>
      </c>
    </row>
    <row r="6">
      <c r="A6" s="18" t="inlineStr">
        <is>
          <t>msg_1790256395477</t>
        </is>
      </c>
      <c r="B6" s="18" t="inlineStr">
        <is>
          <t>2026-09-24T13:26:35.477Z</t>
        </is>
      </c>
      <c r="C6" s="18" t="inlineStr">
        <is>
          <t>maxnum</t>
        </is>
      </c>
      <c r="D6" s="18" t="inlineStr">
        <is>
          <t>Maxnum</t>
        </is>
      </c>
      <c r="E6" s="18" t="inlineStr">
        <is>
          <t>ข้อไหนเอ๋อมันน้องเอไอกำลังทยอยแก้อยู่นะงับ กด  Report บอกน้องเอไอมันจะตามแก้ให้เอง</t>
        </is>
      </c>
      <c r="G6" s="18" t="inlineStr">
        <is>
          <t>Clinic</t>
        </is>
      </c>
    </row>
    <row r="7">
      <c r="A7" s="18" t="inlineStr">
        <is>
          <t>msg_1790256597256</t>
        </is>
      </c>
      <c r="B7" s="18" t="inlineStr">
        <is>
          <t>2026-09-24T13:29:57.256Z</t>
        </is>
      </c>
      <c r="C7" s="18" t="inlineStr">
        <is>
          <t>maxnum</t>
        </is>
      </c>
      <c r="D7" s="18" t="inlineStr">
        <is>
          <t>Maxnum</t>
        </is>
      </c>
      <c r="E7" s="18" t="inlineStr">
        <is>
          <t>กด Filter เล่มม่วง Pharma Plus นะครับส่วนใหญ่มันถูก</t>
        </is>
      </c>
      <c r="G7" s="18" t="inlineStr">
        <is>
          <t>1. Musculoskeleton</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3" defaultRowHeight="15.75" customHeight="1"/>
  <cols>
    <col width="20.13" customWidth="1" style="52" min="1" max="1"/>
    <col width="16.38" customWidth="1" style="52" min="2" max="2"/>
    <col width="20.13" customWidth="1" style="52" min="3" max="3"/>
    <col width="15.13" customWidth="1" style="52" min="4" max="4"/>
    <col width="32.63" customWidth="1" style="52" min="5" max="5"/>
    <col width="18.88" customWidth="1" style="52" min="6" max="6"/>
    <col width="32.63" customWidth="1" style="52" min="7" max="7"/>
    <col width="23.88" customWidth="1" style="52" min="8" max="8"/>
  </cols>
  <sheetData>
    <row r="1" ht="26.25" customHeight="1" s="52">
      <c r="A1" s="46" t="inlineStr">
        <is>
          <t>🏠 กลับสู่หน้าแรก (Go to Home Page)</t>
        </is>
      </c>
    </row>
    <row r="2">
      <c r="A2" s="47" t="inlineStr">
        <is>
          <t>Timestamp (วัน-เวลา)</t>
        </is>
      </c>
      <c r="B2" s="47" t="inlineStr">
        <is>
          <t>User (ผู้แจ้ง)</t>
        </is>
      </c>
      <c r="C2" s="47" t="inlineStr">
        <is>
          <t>Category (หมวดหมู่วิชา)</t>
        </is>
      </c>
      <c r="D2" s="47" t="inlineStr">
        <is>
          <t>Question ID / Ref</t>
        </is>
      </c>
      <c r="E2" s="47" t="inlineStr">
        <is>
          <t>โจทย์คำถาม (ย่อ)</t>
        </is>
      </c>
      <c r="F2" s="47" t="inlineStr">
        <is>
          <t>ประเภทปัญหาที่พบ</t>
        </is>
      </c>
      <c r="G2" s="47" t="inlineStr">
        <is>
          <t>รายละเอียดข้อผิดพลาดที่แจ้ง</t>
        </is>
      </c>
      <c r="H2" s="47" t="inlineStr">
        <is>
          <t>สถานะการแก้ไข (Status)</t>
        </is>
      </c>
    </row>
    <row r="3">
      <c r="A3" s="18" t="inlineStr">
        <is>
          <t>2026-09-24T13:24:45.393Z</t>
        </is>
      </c>
      <c r="B3" s="18" t="inlineStr">
        <is>
          <t>บุคคลทั่วไป</t>
        </is>
      </c>
      <c r="C3" s="18" t="inlineStr">
        <is>
          <t>4. Endocrine</t>
        </is>
      </c>
      <c r="D3" s="18" t="inlineStr">
        <is>
          <t>4. Endocrine::164</t>
        </is>
      </c>
      <c r="E3" s="18" t="inlineStr">
        <is>
          <t>จำนวนผู$ป&amp;วยโรคเบาหวานรายใหมGตGอจำนวนประชากรที่มีความเสี่ยงที่จะเกิดโรคเบาห วาน</t>
        </is>
      </c>
      <c r="F3" s="18" t="inlineStr">
        <is>
          <t>โจทย์กำกวม / พิมพ์ตกหล่น</t>
        </is>
      </c>
      <c r="G3" s="18" t="inlineStr">
        <is>
          <t>โจทย์พิมตกหล่น</t>
        </is>
      </c>
      <c r="H3" s="49" t="inlineStr">
        <is>
          <t>Pending (รอดำเนินการ)</t>
        </is>
      </c>
    </row>
    <row r="4">
      <c r="A4" s="18" t="inlineStr">
        <is>
          <t>2026-09-24T13:25:06.755Z</t>
        </is>
      </c>
      <c r="B4" s="18" t="inlineStr">
        <is>
          <t>บุคคลทั่วไป</t>
        </is>
      </c>
      <c r="C4" s="18" t="inlineStr">
        <is>
          <t>4. Endocrine</t>
        </is>
      </c>
      <c r="D4" s="18" t="inlineStr">
        <is>
          <t>16. Others &amp; Toxic::1752</t>
        </is>
      </c>
      <c r="E4" s="18" t="inlineStr">
        <is>
          <t>Pioglitazone</t>
        </is>
      </c>
      <c r="F4" s="18" t="inlineStr">
        <is>
          <t>โจทย์กำกวม / พิมพ์ตกหล่น</t>
        </is>
      </c>
      <c r="G4" s="18" t="inlineStr">
        <is>
          <t>ไม่มีโจทย์</t>
        </is>
      </c>
      <c r="H4" s="49" t="inlineStr">
        <is>
          <t>Pending (รอดำเนินการ)</t>
        </is>
      </c>
    </row>
    <row r="5">
      <c r="A5" s="18" t="inlineStr">
        <is>
          <t>2026-09-24T13:33:03.933Z</t>
        </is>
      </c>
      <c r="B5" s="18" t="inlineStr">
        <is>
          <t>บุคคลทั่วไป</t>
        </is>
      </c>
      <c r="C5" s="18" t="inlineStr">
        <is>
          <t>1. Titrations</t>
        </is>
      </c>
      <c r="D5" s="18" t="inlineStr">
        <is>
          <t>1. Titrations::46</t>
        </is>
      </c>
      <c r="E5" s="18" t="inlineStr">
        <is>
          <t>การวิเคราะห_ FeSO4 ด$วยสารละลาย potassium permanganate (KMnO4) ใช$วิธีวิเคราะห_ใด (1) Acid-base titration (2) Non-aqueous acid-base titration (3) Oxid</t>
        </is>
      </c>
      <c r="F5" s="18" t="inlineStr">
        <is>
          <t>โจทย์กำกวม / พิมพ์ตกหล่น</t>
        </is>
      </c>
      <c r="G5" s="18" t="inlineStr">
        <is>
          <t>พิมพ์โจทย์ผิด เฉลยแปลกๆ</t>
        </is>
      </c>
      <c r="H5" s="49" t="inlineStr">
        <is>
          <t>Pending (รอดำเนินการ)</t>
        </is>
      </c>
    </row>
    <row r="6">
      <c r="A6" s="18" t="inlineStr">
        <is>
          <t>2026-09-24T13:35:29.057Z</t>
        </is>
      </c>
      <c r="B6" s="18" t="inlineStr">
        <is>
          <t>idea</t>
        </is>
      </c>
      <c r="C6" s="18" t="inlineStr">
        <is>
          <t>18. Clinical Nutrition</t>
        </is>
      </c>
      <c r="D6" s="18" t="inlineStr">
        <is>
          <t>18. Clinical Nutrition::23</t>
        </is>
      </c>
      <c r="E6" s="18" t="inlineStr">
        <is>
          <t>รูปแบบของวิตามินดี ที_x001e_พร้อมออกฤทธิAคือข้อใด (1) 1,25-dihydroxycholecalciferol (2) 1-hydroxycholecalciferol (3) 25-hydroxycholecalciferol (4) Cholecalc</t>
        </is>
      </c>
      <c r="F6" s="18" t="inlineStr">
        <is>
          <t>โจทย์กำกวม / พิมพ์ตกหล่น</t>
        </is>
      </c>
      <c r="G6" s="18" t="inlineStr">
        <is>
          <t>แปกๆ</t>
        </is>
      </c>
      <c r="H6" s="49" t="inlineStr">
        <is>
          <t>Pending (รอดำเนินการ)</t>
        </is>
      </c>
    </row>
    <row r="7">
      <c r="A7" s="18" t="inlineStr">
        <is>
          <t>2026-09-24T13:35:53.592Z</t>
        </is>
      </c>
      <c r="B7" s="18" t="inlineStr">
        <is>
          <t>idea</t>
        </is>
      </c>
      <c r="C7" s="18" t="inlineStr">
        <is>
          <t>18. Clinical Nutrition</t>
        </is>
      </c>
      <c r="D7" s="18" t="inlineStr">
        <is>
          <t>18. Clinical Nutrition::24</t>
        </is>
      </c>
      <c r="E7" s="18" t="inlineStr">
        <is>
          <t>การจ่ายยาชุดวิตามินรวม ให้เจ้าของสุนัขโดยผู้ช่วยสัตวแพทย์</t>
        </is>
      </c>
      <c r="F7" s="18" t="inlineStr">
        <is>
          <t>โจทย์กำกวม / พิมพ์ตกหล่น</t>
        </is>
      </c>
      <c r="G7" s="18" t="inlineStr">
        <is>
          <t>มะเข้าใจ</t>
        </is>
      </c>
      <c r="H7" s="49" t="inlineStr">
        <is>
          <t>Pending (รอดำเนินการ)</t>
        </is>
      </c>
    </row>
    <row r="8">
      <c r="A8" s="18" t="inlineStr">
        <is>
          <t>2026-09-24T13:36:40.555Z</t>
        </is>
      </c>
      <c r="B8" s="18" t="inlineStr">
        <is>
          <t>idea</t>
        </is>
      </c>
      <c r="C8" s="18" t="inlineStr">
        <is>
          <t>18. Clinical Nutrition</t>
        </is>
      </c>
      <c r="D8" s="18" t="inlineStr">
        <is>
          <t>18. Clinical Nutrition::25</t>
        </is>
      </c>
      <c r="E8" s="18" t="inlineStr">
        <is>
          <t>วิตามินใดที่ใช$ในการปนองกันอาการชาของผู$ป&amp;วย</t>
        </is>
      </c>
      <c r="F8" s="18" t="inlineStr">
        <is>
          <t>โจทย์กำกวม / พิมพ์ตกหล่น</t>
        </is>
      </c>
      <c r="G8" s="18" t="inlineStr">
        <is>
          <t>พิมพ์ผิด</t>
        </is>
      </c>
      <c r="H8" s="49" t="inlineStr">
        <is>
          <t>Pending (รอดำเนินการ)</t>
        </is>
      </c>
    </row>
    <row r="9">
      <c r="A9" s="18" t="inlineStr">
        <is>
          <t>2026-09-24T13:41:24.660Z</t>
        </is>
      </c>
      <c r="B9" s="18" t="inlineStr">
        <is>
          <t>Maxnum</t>
        </is>
      </c>
      <c r="C9" s="18" t="inlineStr">
        <is>
          <t>2. Cardiovascular</t>
        </is>
      </c>
      <c r="D9" s="18" t="inlineStr">
        <is>
          <t>2. Cardiovascular::3</t>
        </is>
      </c>
      <c r="E9" s="1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18" t="inlineStr">
        <is>
          <t>เฉลยไม่ถูกต้อง / ขัดแย้งกับ Guideline</t>
        </is>
      </c>
      <c r="G9" s="18" t="inlineStr">
        <is>
          <t>เฉลยควรบอกเกณฑ์ BP มาเลย</t>
        </is>
      </c>
      <c r="H9" s="49" t="inlineStr">
        <is>
          <t>Pending (รอดำเนินการ)</t>
        </is>
      </c>
    </row>
    <row r="10">
      <c r="A10" s="18" t="inlineStr">
        <is>
          <t>2026-09-24T13:42:18.204Z</t>
        </is>
      </c>
      <c r="B10" s="18" t="inlineStr">
        <is>
          <t>บุคคลทั่วไป</t>
        </is>
      </c>
      <c r="C10" s="18" t="inlineStr">
        <is>
          <t>11. Herbal Products</t>
        </is>
      </c>
      <c r="D10" s="18" t="inlineStr">
        <is>
          <t>11. Herbal Products::3</t>
        </is>
      </c>
      <c r="E10" s="18" t="inlineStr">
        <is>
          <t>แบบทดสอบความรู้ทางเภสัชกรรม ข้อที่ 1</t>
        </is>
      </c>
      <c r="F10" s="18" t="inlineStr">
        <is>
          <t>อื่นๆ</t>
        </is>
      </c>
      <c r="G10" s="18" t="inlineStr">
        <is>
          <t>ไม่มีโจทย์</t>
        </is>
      </c>
      <c r="H10" s="49" t="inlineStr">
        <is>
          <t>Pending (รอดำเนินการ)</t>
        </is>
      </c>
    </row>
    <row r="11">
      <c r="A11" s="18" t="inlineStr">
        <is>
          <t>2026-09-24T13:43:06.372Z</t>
        </is>
      </c>
      <c r="B11" s="18" t="inlineStr">
        <is>
          <t>บุคคลทั่วไป</t>
        </is>
      </c>
      <c r="C11" s="18" t="inlineStr">
        <is>
          <t>3. Dermatologic</t>
        </is>
      </c>
      <c r="D11" s="18" t="inlineStr">
        <is>
          <t>3. Dermatologic::167</t>
        </is>
      </c>
      <c r="E11" s="1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18" t="inlineStr">
        <is>
          <t>เฉลยไม่ถูกต้อง / ขัดแย้งกับ Guideline</t>
        </is>
      </c>
      <c r="G11" s="18" t="inlineStr">
        <is>
          <t>โจทย์เป็น allergy</t>
        </is>
      </c>
      <c r="H11" s="49" t="inlineStr">
        <is>
          <t>Pending (รอดำเนินการ)</t>
        </is>
      </c>
    </row>
    <row r="12">
      <c r="A12" s="18" t="inlineStr">
        <is>
          <t>2026-09-24T13:43:19.108Z</t>
        </is>
      </c>
      <c r="B12" s="18" t="inlineStr">
        <is>
          <t>Maxnum</t>
        </is>
      </c>
      <c r="C12" s="18" t="inlineStr">
        <is>
          <t>2. Cardiovascular</t>
        </is>
      </c>
      <c r="D12" s="18" t="inlineStr">
        <is>
          <t>2. Cardiovascular::4</t>
        </is>
      </c>
      <c r="E12" s="1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18" t="inlineStr">
        <is>
          <t>เฉลยไม่ถูกต้อง / ขัดแย้งกับ Guideline</t>
        </is>
      </c>
      <c r="G12" s="18" t="inlineStr">
        <is>
          <t>เฉลยควรบอกว่ามันควรงดกินอะไร HtN</t>
        </is>
      </c>
      <c r="H12" s="49" t="inlineStr">
        <is>
          <t>Pending (รอดำเนินการ)</t>
        </is>
      </c>
    </row>
    <row r="13">
      <c r="A13" s="18" t="inlineStr">
        <is>
          <t>2026-09-24T13:44:39.585Z</t>
        </is>
      </c>
      <c r="B13" s="18" t="inlineStr">
        <is>
          <t>บุคคลทั่วไป</t>
        </is>
      </c>
      <c r="C13" s="18" t="inlineStr">
        <is>
          <t>1. Musculoskeleton</t>
        </is>
      </c>
      <c r="D13" s="18" t="inlineStr">
        <is>
          <t>16. Others &amp; Toxic::1692</t>
        </is>
      </c>
      <c r="E13" s="18" t="inlineStr">
        <is>
          <t>ยาต้านอักเสบตัวใดที่ไม่ควรใช้ในโรคเกาต์</t>
        </is>
      </c>
      <c r="F13" s="18" t="inlineStr">
        <is>
          <t>เฉลยไม่ถูกต้อง / ขัดแย้งกับ Guideline</t>
        </is>
      </c>
      <c r="G13" s="18" t="inlineStr">
        <is>
          <t>choice มีเฉลย แต่ไม่ตรงกับชื่อยา</t>
        </is>
      </c>
      <c r="H13" s="49" t="inlineStr">
        <is>
          <t>Pending (รอดำเนินการ)</t>
        </is>
      </c>
    </row>
    <row r="14">
      <c r="A14" s="18" t="inlineStr">
        <is>
          <t>2026-09-24T13:44:51.287Z</t>
        </is>
      </c>
      <c r="B14" s="18" t="inlineStr">
        <is>
          <t>Maxnum</t>
        </is>
      </c>
      <c r="C14" s="18" t="inlineStr">
        <is>
          <t>5. Pharmaceutical Calc</t>
        </is>
      </c>
      <c r="D14" s="18" t="inlineStr">
        <is>
          <t>16. Others &amp; Toxic::90</t>
        </is>
      </c>
      <c r="E14" s="18" t="inlineStr">
        <is>
          <t>ให้ข้อมูลมาคำนวณ%assay ตัวเลือก</t>
        </is>
      </c>
      <c r="F14" s="18" t="inlineStr">
        <is>
          <t>เฉลยไม่ถูกต้อง / ขัดแย้งกับ Guideline</t>
        </is>
      </c>
      <c r="G14" s="18" t="inlineStr">
        <is>
          <t>โจทย์ไมาตรว</t>
        </is>
      </c>
      <c r="H14" s="49" t="inlineStr">
        <is>
          <t>Pending (รอดำเนินการ)</t>
        </is>
      </c>
    </row>
    <row r="15">
      <c r="A15" s="18" t="inlineStr">
        <is>
          <t>2026-09-24T13:45:09.913Z</t>
        </is>
      </c>
      <c r="B15" s="18" t="inlineStr">
        <is>
          <t>Maxnum</t>
        </is>
      </c>
      <c r="C15" s="18" t="inlineStr">
        <is>
          <t>5. Pharmaceutical Calc</t>
        </is>
      </c>
      <c r="D15" s="18" t="inlineStr">
        <is>
          <t>16. Others &amp; Toxic::90</t>
        </is>
      </c>
      <c r="E15" s="18" t="inlineStr">
        <is>
          <t>ให้ข้อมูลมาคำนวณ%assay ตัวเลือก</t>
        </is>
      </c>
      <c r="F15" s="18" t="inlineStr">
        <is>
          <t>โจทย์กำกวม / พิมพ์ตกหล่น</t>
        </is>
      </c>
      <c r="G15" s="18" t="inlineStr">
        <is>
          <t>โจทย์ตัวเลือดไม่ตรงกัน</t>
        </is>
      </c>
      <c r="H15" s="49" t="inlineStr">
        <is>
          <t>Pending (รอดำเนินการ)</t>
        </is>
      </c>
    </row>
    <row r="16">
      <c r="A16" s="18" t="inlineStr">
        <is>
          <t>2026-09-24T13:47:03.540Z</t>
        </is>
      </c>
      <c r="B16" s="18" t="inlineStr">
        <is>
          <t>บุคคลทั่วไป</t>
        </is>
      </c>
      <c r="C16" s="18" t="inlineStr">
        <is>
          <t>2. Cardiovascular</t>
        </is>
      </c>
      <c r="D16" s="18" t="inlineStr">
        <is>
          <t>2. Cardiovascular::343</t>
        </is>
      </c>
      <c r="E16" s="18" t="inlineStr">
        <is>
          <t>Amitriptyline ใช้ได้ แต่เนื่องจากยามีหลาย mechanism จึงทำให้เกิดอาการไม่พึงประสงค์มาก จึงไม่เหมาะสม</t>
        </is>
      </c>
      <c r="F16" s="18" t="inlineStr">
        <is>
          <t>โจทย์กำกวม / พิมพ์ตกหล่น</t>
        </is>
      </c>
      <c r="G16" s="18" t="inlineStr">
        <is>
          <t>ไม่ระบุคำถาม</t>
        </is>
      </c>
      <c r="H16" s="49" t="inlineStr">
        <is>
          <t>Pending (รอดำเนินการ)</t>
        </is>
      </c>
    </row>
    <row r="17">
      <c r="A17" s="18" t="inlineStr">
        <is>
          <t>2026-09-24T14:03:13.737Z</t>
        </is>
      </c>
      <c r="B17" s="18" t="inlineStr">
        <is>
          <t>บุคคลทั่วไป</t>
        </is>
      </c>
      <c r="C17" s="18" t="inlineStr">
        <is>
          <t>13. Medicinal Chemistry</t>
        </is>
      </c>
      <c r="D17" s="18" t="inlineStr">
        <is>
          <t>13. Medicinal Chemistry::45</t>
        </is>
      </c>
      <c r="E17" s="18" t="inlineStr">
        <is>
          <t>ความเข$มข$น adrenaline 0.01% คืออะไร</t>
        </is>
      </c>
      <c r="F17" s="18" t="inlineStr">
        <is>
          <t>โจทย์กำกวม / พิมพ์ตกหล่น</t>
        </is>
      </c>
      <c r="G17" s="18" t="inlineStr">
        <is>
          <t>ผิดไปหมดเลย555555</t>
        </is>
      </c>
      <c r="H17" s="49" t="inlineStr">
        <is>
          <t>Pending (รอดำเนินการ)</t>
        </is>
      </c>
    </row>
    <row r="18">
      <c r="H18" s="49" t="n"/>
    </row>
    <row r="19">
      <c r="H19" s="49" t="n"/>
    </row>
    <row r="20">
      <c r="H20" s="49" t="n"/>
    </row>
    <row r="21">
      <c r="H21" s="49" t="n"/>
    </row>
    <row r="22">
      <c r="H22" s="49" t="n"/>
    </row>
    <row r="23">
      <c r="H23" s="49" t="n"/>
    </row>
    <row r="24">
      <c r="H24" s="49" t="n"/>
    </row>
    <row r="25">
      <c r="H25" s="49" t="n"/>
    </row>
    <row r="26">
      <c r="H26" s="49" t="n"/>
    </row>
    <row r="27">
      <c r="H27" s="49" t="n"/>
    </row>
    <row r="28">
      <c r="H28" s="49" t="n"/>
    </row>
    <row r="29">
      <c r="H29" s="49" t="n"/>
    </row>
    <row r="30">
      <c r="H30" s="49" t="n"/>
    </row>
    <row r="31">
      <c r="H31" s="49" t="n"/>
    </row>
    <row r="32">
      <c r="H32" s="49" t="n"/>
    </row>
    <row r="33">
      <c r="H33" s="49" t="n"/>
    </row>
    <row r="34">
      <c r="H34" s="49" t="n"/>
    </row>
    <row r="35">
      <c r="H35" s="49" t="n"/>
    </row>
    <row r="36">
      <c r="H36" s="49" t="n"/>
    </row>
    <row r="37">
      <c r="H37" s="49" t="n"/>
    </row>
    <row r="38">
      <c r="H38" s="49" t="n"/>
    </row>
    <row r="39">
      <c r="H39" s="49" t="n"/>
    </row>
    <row r="40">
      <c r="H40" s="49" t="n"/>
    </row>
    <row r="41">
      <c r="H41" s="49" t="n"/>
    </row>
    <row r="42">
      <c r="H42" s="49" t="n"/>
    </row>
    <row r="43">
      <c r="H43" s="49" t="n"/>
    </row>
    <row r="44">
      <c r="H44" s="49" t="n"/>
    </row>
    <row r="45">
      <c r="H45" s="49" t="n"/>
    </row>
    <row r="46">
      <c r="H46" s="49" t="n"/>
    </row>
    <row r="47">
      <c r="H47" s="49" t="n"/>
    </row>
    <row r="48">
      <c r="H48" s="49" t="n"/>
    </row>
    <row r="49">
      <c r="H49" s="49" t="n"/>
    </row>
    <row r="50">
      <c r="H50" s="49" t="n"/>
    </row>
    <row r="51">
      <c r="H51" s="49" t="n"/>
    </row>
    <row r="52">
      <c r="H52" s="49" t="n"/>
    </row>
    <row r="53">
      <c r="H53" s="49" t="n"/>
    </row>
    <row r="54">
      <c r="H54" s="49" t="n"/>
    </row>
    <row r="55">
      <c r="H55" s="49" t="n"/>
    </row>
    <row r="56">
      <c r="H56" s="49" t="n"/>
    </row>
    <row r="57">
      <c r="H57" s="49" t="n"/>
    </row>
    <row r="58">
      <c r="H58" s="49" t="n"/>
    </row>
    <row r="59">
      <c r="H59" s="49" t="n"/>
    </row>
    <row r="60">
      <c r="H60" s="49" t="n"/>
    </row>
    <row r="61">
      <c r="H61" s="49" t="n"/>
    </row>
    <row r="62">
      <c r="H62" s="49" t="n"/>
    </row>
    <row r="63">
      <c r="H63" s="49" t="n"/>
    </row>
    <row r="64">
      <c r="H64" s="49" t="n"/>
    </row>
    <row r="65">
      <c r="H65" s="49" t="n"/>
    </row>
    <row r="66">
      <c r="H66" s="49" t="n"/>
    </row>
    <row r="67">
      <c r="H67" s="49" t="n"/>
    </row>
    <row r="68">
      <c r="H68" s="49" t="n"/>
    </row>
    <row r="69">
      <c r="H69" s="49" t="n"/>
    </row>
    <row r="70">
      <c r="H70" s="49" t="n"/>
    </row>
    <row r="71">
      <c r="H71" s="49" t="n"/>
    </row>
    <row r="72">
      <c r="H72" s="49" t="n"/>
    </row>
    <row r="73">
      <c r="H73" s="49" t="n"/>
    </row>
    <row r="74">
      <c r="H74" s="49" t="n"/>
    </row>
    <row r="75">
      <c r="H75" s="49" t="n"/>
    </row>
    <row r="76">
      <c r="H76" s="49" t="n"/>
    </row>
    <row r="77">
      <c r="H77" s="49" t="n"/>
    </row>
    <row r="78">
      <c r="H78" s="49" t="n"/>
    </row>
    <row r="79">
      <c r="H79" s="49" t="n"/>
    </row>
    <row r="80">
      <c r="H80" s="49" t="n"/>
    </row>
    <row r="81">
      <c r="H81" s="49" t="n"/>
    </row>
    <row r="82">
      <c r="H82" s="49" t="n"/>
    </row>
    <row r="83">
      <c r="H83" s="49" t="n"/>
    </row>
    <row r="84">
      <c r="H84" s="49" t="n"/>
    </row>
    <row r="85">
      <c r="H85" s="49" t="n"/>
    </row>
    <row r="86">
      <c r="H86" s="49" t="n"/>
    </row>
    <row r="87">
      <c r="H87" s="49" t="n"/>
    </row>
    <row r="88">
      <c r="H88" s="49" t="n"/>
    </row>
    <row r="89">
      <c r="H89" s="49" t="n"/>
    </row>
    <row r="90">
      <c r="H90" s="49" t="n"/>
    </row>
    <row r="91">
      <c r="H91" s="49" t="n"/>
    </row>
    <row r="92">
      <c r="H92" s="49" t="n"/>
    </row>
    <row r="93">
      <c r="H93" s="49" t="n"/>
    </row>
    <row r="94">
      <c r="H94" s="49" t="n"/>
    </row>
    <row r="95">
      <c r="H95" s="49" t="n"/>
    </row>
    <row r="96">
      <c r="H96" s="49" t="n"/>
    </row>
    <row r="97">
      <c r="H97" s="49" t="n"/>
    </row>
    <row r="98">
      <c r="H98" s="49" t="n"/>
    </row>
    <row r="99">
      <c r="H99" s="49" t="n"/>
    </row>
    <row r="100">
      <c r="H100" s="49" t="n"/>
    </row>
    <row r="101">
      <c r="H101" s="49" t="n"/>
    </row>
    <row r="102">
      <c r="H102" s="49" t="n"/>
    </row>
    <row r="103">
      <c r="H103" s="49" t="n"/>
    </row>
    <row r="104">
      <c r="H104" s="49" t="n"/>
    </row>
    <row r="105">
      <c r="H105" s="49" t="n"/>
    </row>
    <row r="106">
      <c r="H106" s="49" t="n"/>
    </row>
    <row r="107">
      <c r="H107" s="49" t="n"/>
    </row>
    <row r="108">
      <c r="H108" s="49" t="n"/>
    </row>
    <row r="109">
      <c r="H109" s="49" t="n"/>
    </row>
    <row r="110">
      <c r="H110" s="49" t="n"/>
    </row>
    <row r="111">
      <c r="H111" s="49" t="n"/>
    </row>
    <row r="112">
      <c r="H112" s="49" t="n"/>
    </row>
    <row r="113">
      <c r="H113" s="49" t="n"/>
    </row>
    <row r="114">
      <c r="H114" s="49" t="n"/>
    </row>
    <row r="115">
      <c r="H115" s="49" t="n"/>
    </row>
    <row r="116">
      <c r="H116" s="49" t="n"/>
    </row>
    <row r="117">
      <c r="H117" s="49" t="n"/>
    </row>
    <row r="118">
      <c r="H118" s="49" t="n"/>
    </row>
    <row r="119">
      <c r="H119" s="49" t="n"/>
    </row>
    <row r="120">
      <c r="H120" s="49" t="n"/>
    </row>
    <row r="121">
      <c r="H121" s="49" t="n"/>
    </row>
    <row r="122">
      <c r="H122" s="49" t="n"/>
    </row>
    <row r="123">
      <c r="H123" s="49" t="n"/>
    </row>
    <row r="124">
      <c r="H124" s="49" t="n"/>
    </row>
    <row r="125">
      <c r="H125" s="49" t="n"/>
    </row>
    <row r="126">
      <c r="H126" s="49" t="n"/>
    </row>
    <row r="127">
      <c r="H127" s="49" t="n"/>
    </row>
    <row r="128">
      <c r="H128" s="49" t="n"/>
    </row>
    <row r="129">
      <c r="H129" s="49" t="n"/>
    </row>
    <row r="130">
      <c r="H130" s="49" t="n"/>
    </row>
    <row r="131">
      <c r="H131" s="49" t="n"/>
    </row>
    <row r="132">
      <c r="H132" s="49" t="n"/>
    </row>
    <row r="133">
      <c r="H133" s="49" t="n"/>
    </row>
    <row r="134">
      <c r="H134" s="49" t="n"/>
    </row>
    <row r="135">
      <c r="H135" s="49" t="n"/>
    </row>
    <row r="136">
      <c r="H136" s="49" t="n"/>
    </row>
    <row r="137">
      <c r="H137" s="49" t="n"/>
    </row>
    <row r="138">
      <c r="H138" s="49" t="n"/>
    </row>
    <row r="139">
      <c r="H139" s="49" t="n"/>
    </row>
    <row r="140">
      <c r="H140" s="49" t="n"/>
    </row>
    <row r="141">
      <c r="H141" s="49" t="n"/>
    </row>
    <row r="142">
      <c r="H142" s="49" t="n"/>
    </row>
    <row r="143">
      <c r="H143" s="49" t="n"/>
    </row>
    <row r="144">
      <c r="H144" s="49" t="n"/>
    </row>
    <row r="145">
      <c r="H145" s="49" t="n"/>
    </row>
    <row r="146">
      <c r="H146" s="49" t="n"/>
    </row>
    <row r="147">
      <c r="H147" s="49" t="n"/>
    </row>
    <row r="148">
      <c r="H148" s="49" t="n"/>
    </row>
    <row r="149">
      <c r="H149" s="49" t="n"/>
    </row>
    <row r="150">
      <c r="H150" s="49" t="n"/>
    </row>
    <row r="151">
      <c r="H151" s="49" t="n"/>
    </row>
    <row r="152">
      <c r="H152" s="49" t="n"/>
    </row>
    <row r="153">
      <c r="H153" s="49" t="n"/>
    </row>
    <row r="154">
      <c r="H154" s="49" t="n"/>
    </row>
    <row r="155">
      <c r="H155" s="49" t="n"/>
    </row>
    <row r="156">
      <c r="H156" s="49" t="n"/>
    </row>
    <row r="157">
      <c r="H157" s="49" t="n"/>
    </row>
    <row r="158">
      <c r="H158" s="49" t="n"/>
    </row>
    <row r="159">
      <c r="H159" s="49" t="n"/>
    </row>
    <row r="160">
      <c r="H160" s="49" t="n"/>
    </row>
    <row r="161">
      <c r="H161" s="49" t="n"/>
    </row>
    <row r="162">
      <c r="H162" s="49" t="n"/>
    </row>
    <row r="163">
      <c r="H163" s="49" t="n"/>
    </row>
    <row r="164">
      <c r="H164" s="49" t="n"/>
    </row>
    <row r="165">
      <c r="H165" s="49" t="n"/>
    </row>
    <row r="166">
      <c r="H166" s="49" t="n"/>
    </row>
    <row r="167">
      <c r="H167" s="49" t="n"/>
    </row>
    <row r="168">
      <c r="H168" s="49" t="n"/>
    </row>
    <row r="169">
      <c r="H169" s="49" t="n"/>
    </row>
    <row r="170">
      <c r="H170" s="49" t="n"/>
    </row>
    <row r="171">
      <c r="H171" s="49" t="n"/>
    </row>
    <row r="172">
      <c r="H172" s="49" t="n"/>
    </row>
    <row r="173">
      <c r="H173" s="49" t="n"/>
    </row>
    <row r="174">
      <c r="H174" s="49" t="n"/>
    </row>
    <row r="175">
      <c r="H175" s="49" t="n"/>
    </row>
    <row r="176">
      <c r="H176" s="49" t="n"/>
    </row>
    <row r="177">
      <c r="H177" s="49" t="n"/>
    </row>
    <row r="178">
      <c r="H178" s="49" t="n"/>
    </row>
    <row r="179">
      <c r="H179" s="49" t="n"/>
    </row>
    <row r="180">
      <c r="H180" s="49" t="n"/>
    </row>
    <row r="181">
      <c r="H181" s="49" t="n"/>
    </row>
    <row r="182">
      <c r="H182" s="49" t="n"/>
    </row>
    <row r="183">
      <c r="H183" s="49" t="n"/>
    </row>
    <row r="184">
      <c r="H184" s="49" t="n"/>
    </row>
    <row r="185">
      <c r="H185" s="49" t="n"/>
    </row>
    <row r="186">
      <c r="H186" s="49" t="n"/>
    </row>
    <row r="187">
      <c r="H187" s="49" t="n"/>
    </row>
    <row r="188">
      <c r="H188" s="49" t="n"/>
    </row>
    <row r="189">
      <c r="H189" s="49" t="n"/>
    </row>
    <row r="190">
      <c r="H190" s="49" t="n"/>
    </row>
    <row r="191">
      <c r="H191" s="49" t="n"/>
    </row>
    <row r="192">
      <c r="H192" s="49" t="n"/>
    </row>
    <row r="193">
      <c r="H193" s="49" t="n"/>
    </row>
    <row r="194">
      <c r="H194" s="49" t="n"/>
    </row>
    <row r="195">
      <c r="H195" s="49" t="n"/>
    </row>
    <row r="196">
      <c r="H196" s="49" t="n"/>
    </row>
    <row r="197">
      <c r="H197" s="49" t="n"/>
    </row>
    <row r="198">
      <c r="H198" s="49" t="n"/>
    </row>
    <row r="199">
      <c r="H199" s="49" t="n"/>
    </row>
    <row r="200">
      <c r="H200" s="49" t="n"/>
    </row>
    <row r="201">
      <c r="H201" s="49" t="n"/>
    </row>
    <row r="202">
      <c r="H202" s="49" t="n"/>
    </row>
    <row r="203">
      <c r="H203" s="49" t="n"/>
    </row>
    <row r="204">
      <c r="H204" s="49" t="n"/>
    </row>
    <row r="205">
      <c r="H205" s="49" t="n"/>
    </row>
    <row r="206">
      <c r="H206" s="49" t="n"/>
    </row>
    <row r="207">
      <c r="H207" s="49" t="n"/>
    </row>
    <row r="208">
      <c r="H208" s="49" t="n"/>
    </row>
    <row r="209">
      <c r="H209" s="49" t="n"/>
    </row>
    <row r="210">
      <c r="H210" s="49" t="n"/>
    </row>
    <row r="211">
      <c r="H211" s="49" t="n"/>
    </row>
    <row r="212">
      <c r="H212" s="49" t="n"/>
    </row>
    <row r="213">
      <c r="H213" s="49" t="n"/>
    </row>
    <row r="214">
      <c r="H214" s="49" t="n"/>
    </row>
    <row r="215">
      <c r="H215" s="49" t="n"/>
    </row>
    <row r="216">
      <c r="H216" s="49" t="n"/>
    </row>
    <row r="217">
      <c r="H217" s="49" t="n"/>
    </row>
    <row r="218">
      <c r="H218" s="49" t="n"/>
    </row>
    <row r="219">
      <c r="H219" s="49" t="n"/>
    </row>
    <row r="220">
      <c r="H220" s="49" t="n"/>
    </row>
    <row r="221">
      <c r="H221" s="49" t="n"/>
    </row>
    <row r="222">
      <c r="H222" s="49" t="n"/>
    </row>
    <row r="223">
      <c r="H223" s="49" t="n"/>
    </row>
    <row r="224">
      <c r="H224" s="49" t="n"/>
    </row>
    <row r="225">
      <c r="H225" s="49" t="n"/>
    </row>
    <row r="226">
      <c r="H226" s="49" t="n"/>
    </row>
    <row r="227">
      <c r="H227" s="49" t="n"/>
    </row>
    <row r="228">
      <c r="H228" s="49" t="n"/>
    </row>
    <row r="229">
      <c r="H229" s="49" t="n"/>
    </row>
    <row r="230">
      <c r="H230" s="49" t="n"/>
    </row>
    <row r="231">
      <c r="H231" s="49" t="n"/>
    </row>
    <row r="232">
      <c r="H232" s="49" t="n"/>
    </row>
    <row r="233">
      <c r="H233" s="49" t="n"/>
    </row>
    <row r="234">
      <c r="H234" s="49" t="n"/>
    </row>
    <row r="235">
      <c r="H235" s="49" t="n"/>
    </row>
    <row r="236">
      <c r="H236" s="49" t="n"/>
    </row>
    <row r="237">
      <c r="H237" s="49" t="n"/>
    </row>
    <row r="238">
      <c r="H238" s="49" t="n"/>
    </row>
    <row r="239">
      <c r="H239" s="49" t="n"/>
    </row>
    <row r="240">
      <c r="H240" s="49" t="n"/>
    </row>
    <row r="241">
      <c r="H241" s="49" t="n"/>
    </row>
    <row r="242">
      <c r="H242" s="49" t="n"/>
    </row>
    <row r="243">
      <c r="H243" s="49" t="n"/>
    </row>
    <row r="244">
      <c r="H244" s="49" t="n"/>
    </row>
    <row r="245">
      <c r="H245" s="49" t="n"/>
    </row>
    <row r="246">
      <c r="H246" s="49" t="n"/>
    </row>
    <row r="247">
      <c r="H247" s="49" t="n"/>
    </row>
    <row r="248">
      <c r="H248" s="49" t="n"/>
    </row>
    <row r="249">
      <c r="H249" s="49" t="n"/>
    </row>
    <row r="250">
      <c r="H250" s="49" t="n"/>
    </row>
    <row r="251">
      <c r="H251" s="49" t="n"/>
    </row>
    <row r="252">
      <c r="H252" s="49" t="n"/>
    </row>
    <row r="253">
      <c r="H253" s="49" t="n"/>
    </row>
    <row r="254">
      <c r="H254" s="49" t="n"/>
    </row>
    <row r="255">
      <c r="H255" s="49" t="n"/>
    </row>
    <row r="256">
      <c r="H256" s="49" t="n"/>
    </row>
    <row r="257">
      <c r="H257" s="49" t="n"/>
    </row>
    <row r="258">
      <c r="H258" s="49" t="n"/>
    </row>
    <row r="259">
      <c r="H259" s="49" t="n"/>
    </row>
    <row r="260">
      <c r="H260" s="49" t="n"/>
    </row>
    <row r="261">
      <c r="H261" s="49" t="n"/>
    </row>
    <row r="262">
      <c r="H262" s="49" t="n"/>
    </row>
    <row r="263">
      <c r="H263" s="49" t="n"/>
    </row>
    <row r="264">
      <c r="H264" s="49" t="n"/>
    </row>
    <row r="265">
      <c r="H265" s="49" t="n"/>
    </row>
    <row r="266">
      <c r="H266" s="49" t="n"/>
    </row>
    <row r="267">
      <c r="H267" s="49" t="n"/>
    </row>
    <row r="268">
      <c r="H268" s="49" t="n"/>
    </row>
    <row r="269">
      <c r="H269" s="49" t="n"/>
    </row>
    <row r="270">
      <c r="H270" s="49" t="n"/>
    </row>
    <row r="271">
      <c r="H271" s="49" t="n"/>
    </row>
    <row r="272">
      <c r="H272" s="49" t="n"/>
    </row>
    <row r="273">
      <c r="H273" s="49" t="n"/>
    </row>
    <row r="274">
      <c r="H274" s="49" t="n"/>
    </row>
    <row r="275">
      <c r="H275" s="49" t="n"/>
    </row>
    <row r="276">
      <c r="H276" s="49" t="n"/>
    </row>
    <row r="277">
      <c r="H277" s="49" t="n"/>
    </row>
    <row r="278">
      <c r="H278" s="49" t="n"/>
    </row>
    <row r="279">
      <c r="H279" s="49" t="n"/>
    </row>
    <row r="280">
      <c r="H280" s="49" t="n"/>
    </row>
    <row r="281">
      <c r="H281" s="49" t="n"/>
    </row>
    <row r="282">
      <c r="H282" s="49" t="n"/>
    </row>
    <row r="283">
      <c r="H283" s="49" t="n"/>
    </row>
    <row r="284">
      <c r="H284" s="49" t="n"/>
    </row>
    <row r="285">
      <c r="H285" s="49" t="n"/>
    </row>
    <row r="286">
      <c r="H286" s="49" t="n"/>
    </row>
    <row r="287">
      <c r="H287" s="49" t="n"/>
    </row>
    <row r="288">
      <c r="H288" s="49" t="n"/>
    </row>
    <row r="289">
      <c r="H289" s="49" t="n"/>
    </row>
    <row r="290">
      <c r="H290" s="49" t="n"/>
    </row>
    <row r="291">
      <c r="H291" s="49" t="n"/>
    </row>
    <row r="292">
      <c r="H292" s="49" t="n"/>
    </row>
    <row r="293">
      <c r="H293" s="49" t="n"/>
    </row>
    <row r="294">
      <c r="H294" s="49" t="n"/>
    </row>
    <row r="295">
      <c r="H295" s="49" t="n"/>
    </row>
    <row r="296">
      <c r="H296" s="49" t="n"/>
    </row>
    <row r="297">
      <c r="H297" s="49" t="n"/>
    </row>
    <row r="298">
      <c r="H298" s="49" t="n"/>
    </row>
    <row r="299">
      <c r="H299" s="49" t="n"/>
    </row>
    <row r="300">
      <c r="H300" s="49" t="n"/>
    </row>
    <row r="301">
      <c r="H301" s="49" t="n"/>
    </row>
    <row r="302">
      <c r="H302" s="49" t="n"/>
    </row>
    <row r="303">
      <c r="H303" s="49" t="n"/>
    </row>
    <row r="304">
      <c r="H304" s="49" t="n"/>
    </row>
    <row r="305">
      <c r="H305" s="49" t="n"/>
    </row>
    <row r="306">
      <c r="H306" s="49" t="n"/>
    </row>
    <row r="307">
      <c r="H307" s="49" t="n"/>
    </row>
    <row r="308">
      <c r="H308" s="49" t="n"/>
    </row>
    <row r="309">
      <c r="H309" s="49" t="n"/>
    </row>
    <row r="310">
      <c r="H310" s="49" t="n"/>
    </row>
    <row r="311">
      <c r="H311" s="49" t="n"/>
    </row>
    <row r="312">
      <c r="H312" s="49" t="n"/>
    </row>
    <row r="313">
      <c r="H313" s="49" t="n"/>
    </row>
    <row r="314">
      <c r="H314" s="49" t="n"/>
    </row>
    <row r="315">
      <c r="H315" s="49" t="n"/>
    </row>
    <row r="316">
      <c r="H316" s="49" t="n"/>
    </row>
    <row r="317">
      <c r="H317" s="49" t="n"/>
    </row>
    <row r="318">
      <c r="H318" s="49" t="n"/>
    </row>
    <row r="319">
      <c r="H319" s="49" t="n"/>
    </row>
    <row r="320">
      <c r="H320" s="49" t="n"/>
    </row>
    <row r="321">
      <c r="H321" s="49" t="n"/>
    </row>
    <row r="322">
      <c r="H322" s="49" t="n"/>
    </row>
    <row r="323">
      <c r="H323" s="49" t="n"/>
    </row>
    <row r="324">
      <c r="H324" s="49" t="n"/>
    </row>
    <row r="325">
      <c r="H325" s="49" t="n"/>
    </row>
    <row r="326">
      <c r="H326" s="49" t="n"/>
    </row>
    <row r="327">
      <c r="H327" s="49" t="n"/>
    </row>
    <row r="328">
      <c r="H328" s="49" t="n"/>
    </row>
    <row r="329">
      <c r="H329" s="49" t="n"/>
    </row>
    <row r="330">
      <c r="H330" s="49" t="n"/>
    </row>
    <row r="331">
      <c r="H331" s="49" t="n"/>
    </row>
    <row r="332">
      <c r="H332" s="49" t="n"/>
    </row>
    <row r="333">
      <c r="H333" s="49" t="n"/>
    </row>
    <row r="334">
      <c r="H334" s="49" t="n"/>
    </row>
    <row r="335">
      <c r="H335" s="49" t="n"/>
    </row>
    <row r="336">
      <c r="H336" s="49" t="n"/>
    </row>
    <row r="337">
      <c r="H337" s="49" t="n"/>
    </row>
    <row r="338">
      <c r="H338" s="49" t="n"/>
    </row>
    <row r="339">
      <c r="H339" s="49" t="n"/>
    </row>
    <row r="340">
      <c r="H340" s="49" t="n"/>
    </row>
    <row r="341">
      <c r="H341" s="49" t="n"/>
    </row>
    <row r="342">
      <c r="H342" s="49" t="n"/>
    </row>
    <row r="343">
      <c r="H343" s="49" t="n"/>
    </row>
    <row r="344">
      <c r="H344" s="49" t="n"/>
    </row>
    <row r="345">
      <c r="H345" s="49" t="n"/>
    </row>
    <row r="346">
      <c r="H346" s="49" t="n"/>
    </row>
    <row r="347">
      <c r="H347" s="49" t="n"/>
    </row>
    <row r="348">
      <c r="H348" s="49" t="n"/>
    </row>
    <row r="349">
      <c r="H349" s="49" t="n"/>
    </row>
    <row r="350">
      <c r="H350" s="49" t="n"/>
    </row>
    <row r="351">
      <c r="H351" s="49" t="n"/>
    </row>
    <row r="352">
      <c r="H352" s="49" t="n"/>
    </row>
    <row r="353">
      <c r="H353" s="49" t="n"/>
    </row>
    <row r="354">
      <c r="H354" s="49" t="n"/>
    </row>
    <row r="355">
      <c r="H355" s="49" t="n"/>
    </row>
    <row r="356">
      <c r="H356" s="49" t="n"/>
    </row>
    <row r="357">
      <c r="H357" s="49" t="n"/>
    </row>
    <row r="358">
      <c r="H358" s="49" t="n"/>
    </row>
    <row r="359">
      <c r="H359" s="49" t="n"/>
    </row>
    <row r="360">
      <c r="H360" s="49" t="n"/>
    </row>
    <row r="361">
      <c r="H361" s="49" t="n"/>
    </row>
    <row r="362">
      <c r="H362" s="49" t="n"/>
    </row>
    <row r="363">
      <c r="H363" s="49" t="n"/>
    </row>
    <row r="364">
      <c r="H364" s="49" t="n"/>
    </row>
    <row r="365">
      <c r="H365" s="49" t="n"/>
    </row>
    <row r="366">
      <c r="H366" s="49" t="n"/>
    </row>
    <row r="367">
      <c r="H367" s="49" t="n"/>
    </row>
    <row r="368">
      <c r="H368" s="49" t="n"/>
    </row>
    <row r="369">
      <c r="H369" s="49" t="n"/>
    </row>
    <row r="370">
      <c r="H370" s="49" t="n"/>
    </row>
    <row r="371">
      <c r="H371" s="49" t="n"/>
    </row>
    <row r="372">
      <c r="H372" s="49" t="n"/>
    </row>
    <row r="373">
      <c r="H373" s="49" t="n"/>
    </row>
    <row r="374">
      <c r="H374" s="49" t="n"/>
    </row>
    <row r="375">
      <c r="H375" s="49" t="n"/>
    </row>
    <row r="376">
      <c r="H376" s="49" t="n"/>
    </row>
    <row r="377">
      <c r="H377" s="49" t="n"/>
    </row>
    <row r="378">
      <c r="H378" s="49" t="n"/>
    </row>
    <row r="379">
      <c r="H379" s="49" t="n"/>
    </row>
    <row r="380">
      <c r="H380" s="49" t="n"/>
    </row>
    <row r="381">
      <c r="H381" s="49" t="n"/>
    </row>
    <row r="382">
      <c r="H382" s="49" t="n"/>
    </row>
    <row r="383">
      <c r="H383" s="49" t="n"/>
    </row>
    <row r="384">
      <c r="H384" s="49" t="n"/>
    </row>
    <row r="385">
      <c r="H385" s="49" t="n"/>
    </row>
    <row r="386">
      <c r="H386" s="49" t="n"/>
    </row>
    <row r="387">
      <c r="H387" s="49" t="n"/>
    </row>
    <row r="388">
      <c r="H388" s="49" t="n"/>
    </row>
    <row r="389">
      <c r="H389" s="49" t="n"/>
    </row>
    <row r="390">
      <c r="H390" s="49" t="n"/>
    </row>
    <row r="391">
      <c r="H391" s="49" t="n"/>
    </row>
    <row r="392">
      <c r="H392" s="49" t="n"/>
    </row>
    <row r="393">
      <c r="H393" s="49" t="n"/>
    </row>
    <row r="394">
      <c r="H394" s="49" t="n"/>
    </row>
    <row r="395">
      <c r="H395" s="49" t="n"/>
    </row>
    <row r="396">
      <c r="H396" s="49" t="n"/>
    </row>
    <row r="397">
      <c r="H397" s="49" t="n"/>
    </row>
    <row r="398">
      <c r="H398" s="49" t="n"/>
    </row>
    <row r="399">
      <c r="H399" s="49" t="n"/>
    </row>
    <row r="400">
      <c r="H400" s="49" t="n"/>
    </row>
    <row r="401">
      <c r="H401" s="49" t="n"/>
    </row>
    <row r="402">
      <c r="H402" s="49" t="n"/>
    </row>
    <row r="403">
      <c r="H403" s="49" t="n"/>
    </row>
    <row r="404">
      <c r="H404" s="49" t="n"/>
    </row>
    <row r="405">
      <c r="H405" s="49" t="n"/>
    </row>
    <row r="406">
      <c r="H406" s="49" t="n"/>
    </row>
    <row r="407">
      <c r="H407" s="49" t="n"/>
    </row>
    <row r="408">
      <c r="H408" s="49" t="n"/>
    </row>
    <row r="409">
      <c r="H409" s="49" t="n"/>
    </row>
    <row r="410">
      <c r="H410" s="49" t="n"/>
    </row>
    <row r="411">
      <c r="H411" s="49" t="n"/>
    </row>
    <row r="412">
      <c r="H412" s="49" t="n"/>
    </row>
    <row r="413">
      <c r="H413" s="49" t="n"/>
    </row>
    <row r="414">
      <c r="H414" s="49" t="n"/>
    </row>
    <row r="415">
      <c r="H415" s="49" t="n"/>
    </row>
    <row r="416">
      <c r="H416" s="49" t="n"/>
    </row>
    <row r="417">
      <c r="H417" s="49" t="n"/>
    </row>
    <row r="418">
      <c r="H418" s="49" t="n"/>
    </row>
    <row r="419">
      <c r="H419" s="49" t="n"/>
    </row>
    <row r="420">
      <c r="H420" s="49" t="n"/>
    </row>
    <row r="421">
      <c r="H421" s="49" t="n"/>
    </row>
    <row r="422">
      <c r="H422" s="49" t="n"/>
    </row>
    <row r="423">
      <c r="H423" s="49" t="n"/>
    </row>
    <row r="424">
      <c r="H424" s="49" t="n"/>
    </row>
    <row r="425">
      <c r="H425" s="49" t="n"/>
    </row>
    <row r="426">
      <c r="H426" s="49" t="n"/>
    </row>
    <row r="427">
      <c r="H427" s="49" t="n"/>
    </row>
    <row r="428">
      <c r="H428" s="49" t="n"/>
    </row>
    <row r="429">
      <c r="H429" s="49" t="n"/>
    </row>
    <row r="430">
      <c r="H430" s="49" t="n"/>
    </row>
    <row r="431">
      <c r="H431" s="49" t="n"/>
    </row>
    <row r="432">
      <c r="H432" s="49" t="n"/>
    </row>
    <row r="433">
      <c r="H433" s="49" t="n"/>
    </row>
    <row r="434">
      <c r="H434" s="49" t="n"/>
    </row>
    <row r="435">
      <c r="H435" s="49" t="n"/>
    </row>
    <row r="436">
      <c r="H436" s="49" t="n"/>
    </row>
    <row r="437">
      <c r="H437" s="49" t="n"/>
    </row>
    <row r="438">
      <c r="H438" s="49" t="n"/>
    </row>
    <row r="439">
      <c r="H439" s="49" t="n"/>
    </row>
    <row r="440">
      <c r="H440" s="49" t="n"/>
    </row>
    <row r="441">
      <c r="H441" s="49" t="n"/>
    </row>
    <row r="442">
      <c r="H442" s="49" t="n"/>
    </row>
    <row r="443">
      <c r="H443" s="49" t="n"/>
    </row>
    <row r="444">
      <c r="H444" s="49" t="n"/>
    </row>
    <row r="445">
      <c r="H445" s="49" t="n"/>
    </row>
    <row r="446">
      <c r="H446" s="49" t="n"/>
    </row>
    <row r="447">
      <c r="H447" s="49" t="n"/>
    </row>
    <row r="448">
      <c r="H448" s="49" t="n"/>
    </row>
    <row r="449">
      <c r="H449" s="49" t="n"/>
    </row>
    <row r="450">
      <c r="H450" s="49" t="n"/>
    </row>
    <row r="451">
      <c r="H451" s="49" t="n"/>
    </row>
    <row r="452">
      <c r="H452" s="49" t="n"/>
    </row>
    <row r="453">
      <c r="H453" s="49" t="n"/>
    </row>
    <row r="454">
      <c r="H454" s="49" t="n"/>
    </row>
    <row r="455">
      <c r="H455" s="49" t="n"/>
    </row>
    <row r="456">
      <c r="H456" s="49" t="n"/>
    </row>
    <row r="457">
      <c r="H457" s="49" t="n"/>
    </row>
    <row r="458">
      <c r="H458" s="49" t="n"/>
    </row>
    <row r="459">
      <c r="H459" s="49" t="n"/>
    </row>
    <row r="460">
      <c r="H460" s="49" t="n"/>
    </row>
    <row r="461">
      <c r="H461" s="49" t="n"/>
    </row>
    <row r="462">
      <c r="H462" s="49" t="n"/>
    </row>
    <row r="463">
      <c r="H463" s="49" t="n"/>
    </row>
    <row r="464">
      <c r="H464" s="49" t="n"/>
    </row>
    <row r="465">
      <c r="H465" s="49" t="n"/>
    </row>
    <row r="466">
      <c r="H466" s="49" t="n"/>
    </row>
    <row r="467">
      <c r="H467" s="49" t="n"/>
    </row>
    <row r="468">
      <c r="H468" s="49" t="n"/>
    </row>
    <row r="469">
      <c r="H469" s="49" t="n"/>
    </row>
    <row r="470">
      <c r="H470" s="49" t="n"/>
    </row>
    <row r="471">
      <c r="H471" s="49" t="n"/>
    </row>
    <row r="472">
      <c r="H472" s="49" t="n"/>
    </row>
    <row r="473">
      <c r="H473" s="49" t="n"/>
    </row>
    <row r="474">
      <c r="H474" s="49" t="n"/>
    </row>
    <row r="475">
      <c r="H475" s="49" t="n"/>
    </row>
    <row r="476">
      <c r="H476" s="49" t="n"/>
    </row>
    <row r="477">
      <c r="H477" s="49" t="n"/>
    </row>
    <row r="478">
      <c r="H478" s="49" t="n"/>
    </row>
    <row r="479">
      <c r="H479" s="49" t="n"/>
    </row>
    <row r="480">
      <c r="H480" s="49" t="n"/>
    </row>
    <row r="481">
      <c r="H481" s="49" t="n"/>
    </row>
    <row r="482">
      <c r="H482" s="49" t="n"/>
    </row>
    <row r="483">
      <c r="H483" s="49" t="n"/>
    </row>
    <row r="484">
      <c r="H484" s="49" t="n"/>
    </row>
    <row r="485">
      <c r="H485" s="49" t="n"/>
    </row>
    <row r="486">
      <c r="H486" s="49" t="n"/>
    </row>
    <row r="487">
      <c r="H487" s="49" t="n"/>
    </row>
    <row r="488">
      <c r="H488" s="49" t="n"/>
    </row>
    <row r="489">
      <c r="H489" s="49" t="n"/>
    </row>
    <row r="490">
      <c r="H490" s="49" t="n"/>
    </row>
    <row r="491">
      <c r="H491" s="49" t="n"/>
    </row>
    <row r="492">
      <c r="H492" s="49" t="n"/>
    </row>
    <row r="493">
      <c r="H493" s="49" t="n"/>
    </row>
    <row r="494">
      <c r="H494" s="49" t="n"/>
    </row>
    <row r="495">
      <c r="H495" s="49" t="n"/>
    </row>
    <row r="496">
      <c r="H496" s="49" t="n"/>
    </row>
    <row r="497">
      <c r="H497" s="49" t="n"/>
    </row>
    <row r="498">
      <c r="H498" s="49" t="n"/>
    </row>
    <row r="499">
      <c r="H499" s="49" t="n"/>
    </row>
    <row r="500">
      <c r="H500" s="49" t="n"/>
    </row>
    <row r="501">
      <c r="H501" s="49" t="n"/>
    </row>
    <row r="502">
      <c r="H502" s="49" t="n"/>
    </row>
    <row r="503">
      <c r="H503" s="49" t="n"/>
    </row>
    <row r="504">
      <c r="H504" s="49" t="n"/>
    </row>
    <row r="505">
      <c r="H505" s="49" t="n"/>
    </row>
    <row r="506">
      <c r="H506" s="49" t="n"/>
    </row>
    <row r="507">
      <c r="H507" s="49" t="n"/>
    </row>
    <row r="508">
      <c r="H508" s="49" t="n"/>
    </row>
    <row r="509">
      <c r="H509" s="49" t="n"/>
    </row>
    <row r="510">
      <c r="H510" s="49" t="n"/>
    </row>
    <row r="511">
      <c r="H511" s="49" t="n"/>
    </row>
    <row r="512">
      <c r="H512" s="49" t="n"/>
    </row>
    <row r="513">
      <c r="H513" s="49" t="n"/>
    </row>
    <row r="514">
      <c r="H514" s="49" t="n"/>
    </row>
    <row r="515">
      <c r="H515" s="49" t="n"/>
    </row>
    <row r="516">
      <c r="H516" s="49" t="n"/>
    </row>
    <row r="517">
      <c r="H517" s="49" t="n"/>
    </row>
    <row r="518">
      <c r="H518" s="49" t="n"/>
    </row>
    <row r="519">
      <c r="H519" s="49" t="n"/>
    </row>
    <row r="520">
      <c r="H520" s="49" t="n"/>
    </row>
    <row r="521">
      <c r="H521" s="49" t="n"/>
    </row>
    <row r="522">
      <c r="H522" s="49" t="n"/>
    </row>
    <row r="523">
      <c r="H523" s="49" t="n"/>
    </row>
    <row r="524">
      <c r="H524" s="49" t="n"/>
    </row>
    <row r="525">
      <c r="H525" s="49" t="n"/>
    </row>
    <row r="526">
      <c r="H526" s="49" t="n"/>
    </row>
    <row r="527">
      <c r="H527" s="49" t="n"/>
    </row>
    <row r="528">
      <c r="H528" s="49" t="n"/>
    </row>
    <row r="529">
      <c r="H529" s="49" t="n"/>
    </row>
    <row r="530">
      <c r="H530" s="49" t="n"/>
    </row>
    <row r="531">
      <c r="H531" s="49" t="n"/>
    </row>
    <row r="532">
      <c r="H532" s="49" t="n"/>
    </row>
    <row r="533">
      <c r="H533" s="49" t="n"/>
    </row>
    <row r="534">
      <c r="H534" s="49" t="n"/>
    </row>
    <row r="535">
      <c r="H535" s="49" t="n"/>
    </row>
    <row r="536">
      <c r="H536" s="49" t="n"/>
    </row>
    <row r="537">
      <c r="H537" s="49" t="n"/>
    </row>
    <row r="538">
      <c r="H538" s="49" t="n"/>
    </row>
    <row r="539">
      <c r="H539" s="49" t="n"/>
    </row>
    <row r="540">
      <c r="H540" s="49" t="n"/>
    </row>
    <row r="541">
      <c r="H541" s="49" t="n"/>
    </row>
    <row r="542">
      <c r="H542" s="49" t="n"/>
    </row>
    <row r="543">
      <c r="H543" s="49" t="n"/>
    </row>
    <row r="544">
      <c r="H544" s="49" t="n"/>
    </row>
    <row r="545">
      <c r="H545" s="49" t="n"/>
    </row>
    <row r="546">
      <c r="H546" s="49" t="n"/>
    </row>
    <row r="547">
      <c r="H547" s="49" t="n"/>
    </row>
    <row r="548">
      <c r="H548" s="49" t="n"/>
    </row>
    <row r="549">
      <c r="H549" s="49" t="n"/>
    </row>
    <row r="550">
      <c r="H550" s="49" t="n"/>
    </row>
    <row r="551">
      <c r="H551" s="49" t="n"/>
    </row>
    <row r="552">
      <c r="H552" s="49" t="n"/>
    </row>
    <row r="553">
      <c r="H553" s="49" t="n"/>
    </row>
    <row r="554">
      <c r="H554" s="49" t="n"/>
    </row>
    <row r="555">
      <c r="H555" s="49" t="n"/>
    </row>
    <row r="556">
      <c r="H556" s="49" t="n"/>
    </row>
    <row r="557">
      <c r="H557" s="49" t="n"/>
    </row>
    <row r="558">
      <c r="H558" s="49" t="n"/>
    </row>
    <row r="559">
      <c r="H559" s="49" t="n"/>
    </row>
    <row r="560">
      <c r="H560" s="49" t="n"/>
    </row>
    <row r="561">
      <c r="H561" s="49" t="n"/>
    </row>
    <row r="562">
      <c r="H562" s="49" t="n"/>
    </row>
    <row r="563">
      <c r="H563" s="49" t="n"/>
    </row>
    <row r="564">
      <c r="H564" s="49" t="n"/>
    </row>
    <row r="565">
      <c r="H565" s="49" t="n"/>
    </row>
    <row r="566">
      <c r="H566" s="49" t="n"/>
    </row>
    <row r="567">
      <c r="H567" s="49" t="n"/>
    </row>
    <row r="568">
      <c r="H568" s="49" t="n"/>
    </row>
    <row r="569">
      <c r="H569" s="49" t="n"/>
    </row>
    <row r="570">
      <c r="H570" s="49" t="n"/>
    </row>
    <row r="571">
      <c r="H571" s="49" t="n"/>
    </row>
    <row r="572">
      <c r="H572" s="49" t="n"/>
    </row>
    <row r="573">
      <c r="H573" s="49" t="n"/>
    </row>
    <row r="574">
      <c r="H574" s="49" t="n"/>
    </row>
    <row r="575">
      <c r="H575" s="49" t="n"/>
    </row>
    <row r="576">
      <c r="H576" s="49" t="n"/>
    </row>
    <row r="577">
      <c r="H577" s="49" t="n"/>
    </row>
    <row r="578">
      <c r="H578" s="49" t="n"/>
    </row>
    <row r="579">
      <c r="H579" s="49" t="n"/>
    </row>
    <row r="580">
      <c r="H580" s="49" t="n"/>
    </row>
    <row r="581">
      <c r="H581" s="49" t="n"/>
    </row>
    <row r="582">
      <c r="H582" s="49" t="n"/>
    </row>
    <row r="583">
      <c r="H583" s="49" t="n"/>
    </row>
    <row r="584">
      <c r="H584" s="49" t="n"/>
    </row>
    <row r="585">
      <c r="H585" s="49" t="n"/>
    </row>
    <row r="586">
      <c r="H586" s="49" t="n"/>
    </row>
    <row r="587">
      <c r="H587" s="49" t="n"/>
    </row>
    <row r="588">
      <c r="H588" s="49" t="n"/>
    </row>
    <row r="589">
      <c r="H589" s="49" t="n"/>
    </row>
    <row r="590">
      <c r="H590" s="49" t="n"/>
    </row>
    <row r="591">
      <c r="H591" s="49" t="n"/>
    </row>
    <row r="592">
      <c r="H592" s="49" t="n"/>
    </row>
    <row r="593">
      <c r="H593" s="49" t="n"/>
    </row>
    <row r="594">
      <c r="H594" s="49" t="n"/>
    </row>
    <row r="595">
      <c r="H595" s="49" t="n"/>
    </row>
    <row r="596">
      <c r="H596" s="49" t="n"/>
    </row>
    <row r="597">
      <c r="H597" s="49" t="n"/>
    </row>
    <row r="598">
      <c r="H598" s="49" t="n"/>
    </row>
    <row r="599">
      <c r="H599" s="49" t="n"/>
    </row>
    <row r="600">
      <c r="H600" s="49" t="n"/>
    </row>
    <row r="601">
      <c r="H601" s="49" t="n"/>
    </row>
    <row r="602">
      <c r="H602" s="49" t="n"/>
    </row>
    <row r="603">
      <c r="H603" s="49" t="n"/>
    </row>
    <row r="604">
      <c r="H604" s="49" t="n"/>
    </row>
    <row r="605">
      <c r="H605" s="49" t="n"/>
    </row>
    <row r="606">
      <c r="H606" s="49" t="n"/>
    </row>
    <row r="607">
      <c r="H607" s="49" t="n"/>
    </row>
    <row r="608">
      <c r="H608" s="49" t="n"/>
    </row>
    <row r="609">
      <c r="H609" s="49" t="n"/>
    </row>
    <row r="610">
      <c r="H610" s="49" t="n"/>
    </row>
    <row r="611">
      <c r="H611" s="49" t="n"/>
    </row>
    <row r="612">
      <c r="H612" s="49" t="n"/>
    </row>
    <row r="613">
      <c r="H613" s="49" t="n"/>
    </row>
    <row r="614">
      <c r="H614" s="49" t="n"/>
    </row>
    <row r="615">
      <c r="H615" s="49" t="n"/>
    </row>
    <row r="616">
      <c r="H616" s="49" t="n"/>
    </row>
    <row r="617">
      <c r="H617" s="49" t="n"/>
    </row>
    <row r="618">
      <c r="H618" s="49" t="n"/>
    </row>
    <row r="619">
      <c r="H619" s="49" t="n"/>
    </row>
    <row r="620">
      <c r="H620" s="49" t="n"/>
    </row>
    <row r="621">
      <c r="H621" s="49" t="n"/>
    </row>
    <row r="622">
      <c r="H622" s="49" t="n"/>
    </row>
    <row r="623">
      <c r="H623" s="49" t="n"/>
    </row>
    <row r="624">
      <c r="H624" s="49" t="n"/>
    </row>
    <row r="625">
      <c r="H625" s="49" t="n"/>
    </row>
    <row r="626">
      <c r="H626" s="49" t="n"/>
    </row>
    <row r="627">
      <c r="H627" s="49" t="n"/>
    </row>
    <row r="628">
      <c r="H628" s="49" t="n"/>
    </row>
    <row r="629">
      <c r="H629" s="49" t="n"/>
    </row>
    <row r="630">
      <c r="H630" s="49" t="n"/>
    </row>
    <row r="631">
      <c r="H631" s="49" t="n"/>
    </row>
    <row r="632">
      <c r="H632" s="49" t="n"/>
    </row>
    <row r="633">
      <c r="H633" s="49" t="n"/>
    </row>
    <row r="634">
      <c r="H634" s="49" t="n"/>
    </row>
    <row r="635">
      <c r="H635" s="49" t="n"/>
    </row>
    <row r="636">
      <c r="H636" s="49" t="n"/>
    </row>
    <row r="637">
      <c r="H637" s="49" t="n"/>
    </row>
    <row r="638">
      <c r="H638" s="49" t="n"/>
    </row>
    <row r="639">
      <c r="H639" s="49" t="n"/>
    </row>
    <row r="640">
      <c r="H640" s="49" t="n"/>
    </row>
    <row r="641">
      <c r="H641" s="49" t="n"/>
    </row>
    <row r="642">
      <c r="H642" s="49" t="n"/>
    </row>
    <row r="643">
      <c r="H643" s="49" t="n"/>
    </row>
    <row r="644">
      <c r="H644" s="49" t="n"/>
    </row>
    <row r="645">
      <c r="H645" s="49" t="n"/>
    </row>
    <row r="646">
      <c r="H646" s="49" t="n"/>
    </row>
    <row r="647">
      <c r="H647" s="49" t="n"/>
    </row>
    <row r="648">
      <c r="H648" s="49" t="n"/>
    </row>
    <row r="649">
      <c r="H649" s="49" t="n"/>
    </row>
    <row r="650">
      <c r="H650" s="49" t="n"/>
    </row>
    <row r="651">
      <c r="H651" s="49" t="n"/>
    </row>
    <row r="652">
      <c r="H652" s="49" t="n"/>
    </row>
    <row r="653">
      <c r="H653" s="49" t="n"/>
    </row>
    <row r="654">
      <c r="H654" s="49" t="n"/>
    </row>
    <row r="655">
      <c r="H655" s="49" t="n"/>
    </row>
    <row r="656">
      <c r="H656" s="49" t="n"/>
    </row>
    <row r="657">
      <c r="H657" s="49" t="n"/>
    </row>
    <row r="658">
      <c r="H658" s="49" t="n"/>
    </row>
    <row r="659">
      <c r="H659" s="49" t="n"/>
    </row>
    <row r="660">
      <c r="H660" s="49" t="n"/>
    </row>
    <row r="661">
      <c r="H661" s="49" t="n"/>
    </row>
    <row r="662">
      <c r="H662" s="49" t="n"/>
    </row>
    <row r="663">
      <c r="H663" s="49" t="n"/>
    </row>
    <row r="664">
      <c r="H664" s="49" t="n"/>
    </row>
    <row r="665">
      <c r="H665" s="49" t="n"/>
    </row>
    <row r="666">
      <c r="H666" s="49" t="n"/>
    </row>
    <row r="667">
      <c r="H667" s="49" t="n"/>
    </row>
    <row r="668">
      <c r="H668" s="49" t="n"/>
    </row>
    <row r="669">
      <c r="H669" s="49" t="n"/>
    </row>
    <row r="670">
      <c r="H670" s="49" t="n"/>
    </row>
    <row r="671">
      <c r="H671" s="49" t="n"/>
    </row>
    <row r="672">
      <c r="H672" s="49" t="n"/>
    </row>
    <row r="673">
      <c r="H673" s="49" t="n"/>
    </row>
    <row r="674">
      <c r="H674" s="49" t="n"/>
    </row>
    <row r="675">
      <c r="H675" s="49" t="n"/>
    </row>
    <row r="676">
      <c r="H676" s="49" t="n"/>
    </row>
    <row r="677">
      <c r="H677" s="49" t="n"/>
    </row>
    <row r="678">
      <c r="H678" s="49" t="n"/>
    </row>
    <row r="679">
      <c r="H679" s="49" t="n"/>
    </row>
    <row r="680">
      <c r="H680" s="49" t="n"/>
    </row>
    <row r="681">
      <c r="H681" s="49" t="n"/>
    </row>
    <row r="682">
      <c r="H682" s="49" t="n"/>
    </row>
    <row r="683">
      <c r="H683" s="49" t="n"/>
    </row>
    <row r="684">
      <c r="H684" s="49" t="n"/>
    </row>
    <row r="685">
      <c r="H685" s="49" t="n"/>
    </row>
    <row r="686">
      <c r="H686" s="49" t="n"/>
    </row>
    <row r="687">
      <c r="H687" s="49" t="n"/>
    </row>
    <row r="688">
      <c r="H688" s="49" t="n"/>
    </row>
    <row r="689">
      <c r="H689" s="49" t="n"/>
    </row>
    <row r="690">
      <c r="H690" s="49" t="n"/>
    </row>
    <row r="691">
      <c r="H691" s="49" t="n"/>
    </row>
    <row r="692">
      <c r="H692" s="49" t="n"/>
    </row>
    <row r="693">
      <c r="H693" s="49" t="n"/>
    </row>
    <row r="694">
      <c r="H694" s="49" t="n"/>
    </row>
    <row r="695">
      <c r="H695" s="49" t="n"/>
    </row>
    <row r="696">
      <c r="H696" s="49" t="n"/>
    </row>
    <row r="697">
      <c r="H697" s="49" t="n"/>
    </row>
    <row r="698">
      <c r="H698" s="49" t="n"/>
    </row>
    <row r="699">
      <c r="H699" s="49" t="n"/>
    </row>
    <row r="700">
      <c r="H700" s="49" t="n"/>
    </row>
    <row r="701">
      <c r="H701" s="49" t="n"/>
    </row>
    <row r="702">
      <c r="H702" s="49" t="n"/>
    </row>
    <row r="703">
      <c r="H703" s="49" t="n"/>
    </row>
    <row r="704">
      <c r="H704" s="49" t="n"/>
    </row>
    <row r="705">
      <c r="H705" s="49" t="n"/>
    </row>
    <row r="706">
      <c r="H706" s="49" t="n"/>
    </row>
    <row r="707">
      <c r="H707" s="49" t="n"/>
    </row>
    <row r="708">
      <c r="H708" s="49" t="n"/>
    </row>
    <row r="709">
      <c r="H709" s="49" t="n"/>
    </row>
    <row r="710">
      <c r="H710" s="49" t="n"/>
    </row>
    <row r="711">
      <c r="H711" s="49" t="n"/>
    </row>
    <row r="712">
      <c r="H712" s="49" t="n"/>
    </row>
    <row r="713">
      <c r="H713" s="49" t="n"/>
    </row>
    <row r="714">
      <c r="H714" s="49" t="n"/>
    </row>
    <row r="715">
      <c r="H715" s="49" t="n"/>
    </row>
    <row r="716">
      <c r="H716" s="49" t="n"/>
    </row>
    <row r="717">
      <c r="H717" s="49" t="n"/>
    </row>
    <row r="718">
      <c r="H718" s="49" t="n"/>
    </row>
    <row r="719">
      <c r="H719" s="49" t="n"/>
    </row>
    <row r="720">
      <c r="H720" s="49" t="n"/>
    </row>
    <row r="721">
      <c r="H721" s="49" t="n"/>
    </row>
    <row r="722">
      <c r="H722" s="49" t="n"/>
    </row>
    <row r="723">
      <c r="H723" s="49" t="n"/>
    </row>
    <row r="724">
      <c r="H724" s="49" t="n"/>
    </row>
    <row r="725">
      <c r="H725" s="49" t="n"/>
    </row>
    <row r="726">
      <c r="H726" s="49" t="n"/>
    </row>
    <row r="727">
      <c r="H727" s="49" t="n"/>
    </row>
    <row r="728">
      <c r="H728" s="49" t="n"/>
    </row>
    <row r="729">
      <c r="H729" s="49" t="n"/>
    </row>
    <row r="730">
      <c r="H730" s="49" t="n"/>
    </row>
    <row r="731">
      <c r="H731" s="49" t="n"/>
    </row>
    <row r="732">
      <c r="H732" s="49" t="n"/>
    </row>
    <row r="733">
      <c r="H733" s="49" t="n"/>
    </row>
    <row r="734">
      <c r="H734" s="49" t="n"/>
    </row>
    <row r="735">
      <c r="H735" s="49" t="n"/>
    </row>
    <row r="736">
      <c r="H736" s="49" t="n"/>
    </row>
    <row r="737">
      <c r="H737" s="49" t="n"/>
    </row>
    <row r="738">
      <c r="H738" s="49" t="n"/>
    </row>
    <row r="739">
      <c r="H739" s="49" t="n"/>
    </row>
    <row r="740">
      <c r="H740" s="49" t="n"/>
    </row>
    <row r="741">
      <c r="H741" s="49" t="n"/>
    </row>
    <row r="742">
      <c r="H742" s="49" t="n"/>
    </row>
    <row r="743">
      <c r="H743" s="49" t="n"/>
    </row>
    <row r="744">
      <c r="H744" s="49" t="n"/>
    </row>
    <row r="745">
      <c r="H745" s="49" t="n"/>
    </row>
    <row r="746">
      <c r="H746" s="49" t="n"/>
    </row>
    <row r="747">
      <c r="H747" s="49" t="n"/>
    </row>
    <row r="748">
      <c r="H748" s="49" t="n"/>
    </row>
    <row r="749">
      <c r="H749" s="49" t="n"/>
    </row>
    <row r="750">
      <c r="H750" s="49" t="n"/>
    </row>
    <row r="751">
      <c r="H751" s="49" t="n"/>
    </row>
    <row r="752">
      <c r="H752" s="49" t="n"/>
    </row>
    <row r="753">
      <c r="H753" s="49" t="n"/>
    </row>
    <row r="754">
      <c r="H754" s="49" t="n"/>
    </row>
    <row r="755">
      <c r="H755" s="49" t="n"/>
    </row>
    <row r="756">
      <c r="H756" s="49" t="n"/>
    </row>
    <row r="757">
      <c r="H757" s="49" t="n"/>
    </row>
    <row r="758">
      <c r="H758" s="49" t="n"/>
    </row>
    <row r="759">
      <c r="H759" s="49" t="n"/>
    </row>
    <row r="760">
      <c r="H760" s="49" t="n"/>
    </row>
    <row r="761">
      <c r="H761" s="49" t="n"/>
    </row>
    <row r="762">
      <c r="H762" s="49" t="n"/>
    </row>
    <row r="763">
      <c r="H763" s="49" t="n"/>
    </row>
    <row r="764">
      <c r="H764" s="49" t="n"/>
    </row>
    <row r="765">
      <c r="H765" s="49" t="n"/>
    </row>
    <row r="766">
      <c r="H766" s="49" t="n"/>
    </row>
    <row r="767">
      <c r="H767" s="49" t="n"/>
    </row>
    <row r="768">
      <c r="H768" s="49" t="n"/>
    </row>
    <row r="769">
      <c r="H769" s="49" t="n"/>
    </row>
    <row r="770">
      <c r="H770" s="49" t="n"/>
    </row>
    <row r="771">
      <c r="H771" s="49" t="n"/>
    </row>
    <row r="772">
      <c r="H772" s="49" t="n"/>
    </row>
    <row r="773">
      <c r="H773" s="49" t="n"/>
    </row>
    <row r="774">
      <c r="H774" s="49" t="n"/>
    </row>
    <row r="775">
      <c r="H775" s="49" t="n"/>
    </row>
    <row r="776">
      <c r="H776" s="49" t="n"/>
    </row>
    <row r="777">
      <c r="H777" s="49" t="n"/>
    </row>
    <row r="778">
      <c r="H778" s="49" t="n"/>
    </row>
    <row r="779">
      <c r="H779" s="49" t="n"/>
    </row>
    <row r="780">
      <c r="H780" s="49" t="n"/>
    </row>
    <row r="781">
      <c r="H781" s="49" t="n"/>
    </row>
    <row r="782">
      <c r="H782" s="49" t="n"/>
    </row>
    <row r="783">
      <c r="H783" s="49" t="n"/>
    </row>
    <row r="784">
      <c r="H784" s="49" t="n"/>
    </row>
    <row r="785">
      <c r="H785" s="49" t="n"/>
    </row>
    <row r="786">
      <c r="H786" s="49" t="n"/>
    </row>
    <row r="787">
      <c r="H787" s="49" t="n"/>
    </row>
    <row r="788">
      <c r="H788" s="49" t="n"/>
    </row>
    <row r="789">
      <c r="H789" s="49" t="n"/>
    </row>
    <row r="790">
      <c r="H790" s="49" t="n"/>
    </row>
    <row r="791">
      <c r="H791" s="49" t="n"/>
    </row>
    <row r="792">
      <c r="H792" s="49" t="n"/>
    </row>
    <row r="793">
      <c r="H793" s="49" t="n"/>
    </row>
    <row r="794">
      <c r="H794" s="49" t="n"/>
    </row>
    <row r="795">
      <c r="H795" s="49" t="n"/>
    </row>
    <row r="796">
      <c r="H796" s="49" t="n"/>
    </row>
    <row r="797">
      <c r="H797" s="49" t="n"/>
    </row>
    <row r="798">
      <c r="H798" s="49" t="n"/>
    </row>
    <row r="799">
      <c r="H799" s="49" t="n"/>
    </row>
    <row r="800">
      <c r="H800" s="49" t="n"/>
    </row>
    <row r="801">
      <c r="H801" s="49" t="n"/>
    </row>
    <row r="802">
      <c r="H802" s="49" t="n"/>
    </row>
    <row r="803">
      <c r="H803" s="49" t="n"/>
    </row>
    <row r="804">
      <c r="H804" s="49" t="n"/>
    </row>
    <row r="805">
      <c r="H805" s="49" t="n"/>
    </row>
    <row r="806">
      <c r="H806" s="49" t="n"/>
    </row>
    <row r="807">
      <c r="H807" s="49" t="n"/>
    </row>
    <row r="808">
      <c r="H808" s="49" t="n"/>
    </row>
    <row r="809">
      <c r="H809" s="49" t="n"/>
    </row>
    <row r="810">
      <c r="H810" s="49" t="n"/>
    </row>
    <row r="811">
      <c r="H811" s="49" t="n"/>
    </row>
    <row r="812">
      <c r="H812" s="49" t="n"/>
    </row>
    <row r="813">
      <c r="H813" s="49" t="n"/>
    </row>
    <row r="814">
      <c r="H814" s="49" t="n"/>
    </row>
    <row r="815">
      <c r="H815" s="49" t="n"/>
    </row>
    <row r="816">
      <c r="H816" s="49" t="n"/>
    </row>
    <row r="817">
      <c r="H817" s="49" t="n"/>
    </row>
    <row r="818">
      <c r="H818" s="49" t="n"/>
    </row>
    <row r="819">
      <c r="H819" s="49" t="n"/>
    </row>
    <row r="820">
      <c r="H820" s="49" t="n"/>
    </row>
    <row r="821">
      <c r="H821" s="49" t="n"/>
    </row>
    <row r="822">
      <c r="H822" s="49" t="n"/>
    </row>
    <row r="823">
      <c r="H823" s="49" t="n"/>
    </row>
    <row r="824">
      <c r="H824" s="49" t="n"/>
    </row>
    <row r="825">
      <c r="H825" s="49" t="n"/>
    </row>
    <row r="826">
      <c r="H826" s="49" t="n"/>
    </row>
    <row r="827">
      <c r="H827" s="49" t="n"/>
    </row>
    <row r="828">
      <c r="H828" s="49" t="n"/>
    </row>
    <row r="829">
      <c r="H829" s="49" t="n"/>
    </row>
    <row r="830">
      <c r="H830" s="49" t="n"/>
    </row>
    <row r="831">
      <c r="H831" s="49" t="n"/>
    </row>
    <row r="832">
      <c r="H832" s="49" t="n"/>
    </row>
    <row r="833">
      <c r="H833" s="49" t="n"/>
    </row>
    <row r="834">
      <c r="H834" s="49" t="n"/>
    </row>
    <row r="835">
      <c r="H835" s="49" t="n"/>
    </row>
    <row r="836">
      <c r="H836" s="49" t="n"/>
    </row>
    <row r="837">
      <c r="H837" s="49" t="n"/>
    </row>
    <row r="838">
      <c r="H838" s="49" t="n"/>
    </row>
    <row r="839">
      <c r="H839" s="49" t="n"/>
    </row>
    <row r="840">
      <c r="H840" s="49" t="n"/>
    </row>
    <row r="841">
      <c r="H841" s="49" t="n"/>
    </row>
    <row r="842">
      <c r="H842" s="49" t="n"/>
    </row>
    <row r="843">
      <c r="H843" s="49" t="n"/>
    </row>
    <row r="844">
      <c r="H844" s="49" t="n"/>
    </row>
    <row r="845">
      <c r="H845" s="49" t="n"/>
    </row>
    <row r="846">
      <c r="H846" s="49" t="n"/>
    </row>
    <row r="847">
      <c r="H847" s="49" t="n"/>
    </row>
    <row r="848">
      <c r="H848" s="49" t="n"/>
    </row>
    <row r="849">
      <c r="H849" s="49" t="n"/>
    </row>
    <row r="850">
      <c r="H850" s="49" t="n"/>
    </row>
    <row r="851">
      <c r="H851" s="49" t="n"/>
    </row>
    <row r="852">
      <c r="H852" s="49" t="n"/>
    </row>
    <row r="853">
      <c r="H853" s="49" t="n"/>
    </row>
    <row r="854">
      <c r="H854" s="49" t="n"/>
    </row>
    <row r="855">
      <c r="H855" s="49" t="n"/>
    </row>
    <row r="856">
      <c r="H856" s="49" t="n"/>
    </row>
    <row r="857">
      <c r="H857" s="49" t="n"/>
    </row>
    <row r="858">
      <c r="H858" s="49" t="n"/>
    </row>
    <row r="859">
      <c r="H859" s="49" t="n"/>
    </row>
    <row r="860">
      <c r="H860" s="49" t="n"/>
    </row>
    <row r="861">
      <c r="H861" s="49" t="n"/>
    </row>
    <row r="862">
      <c r="H862" s="49" t="n"/>
    </row>
    <row r="863">
      <c r="H863" s="49" t="n"/>
    </row>
    <row r="864">
      <c r="H864" s="49" t="n"/>
    </row>
    <row r="865">
      <c r="H865" s="49" t="n"/>
    </row>
    <row r="866">
      <c r="H866" s="49" t="n"/>
    </row>
    <row r="867">
      <c r="H867" s="49" t="n"/>
    </row>
    <row r="868">
      <c r="H868" s="49" t="n"/>
    </row>
    <row r="869">
      <c r="H869" s="49" t="n"/>
    </row>
    <row r="870">
      <c r="H870" s="49" t="n"/>
    </row>
    <row r="871">
      <c r="H871" s="49" t="n"/>
    </row>
    <row r="872">
      <c r="H872" s="49" t="n"/>
    </row>
    <row r="873">
      <c r="H873" s="49" t="n"/>
    </row>
    <row r="874">
      <c r="H874" s="49" t="n"/>
    </row>
    <row r="875">
      <c r="H875" s="49" t="n"/>
    </row>
    <row r="876">
      <c r="H876" s="49" t="n"/>
    </row>
    <row r="877">
      <c r="H877" s="49" t="n"/>
    </row>
    <row r="878">
      <c r="H878" s="49" t="n"/>
    </row>
    <row r="879">
      <c r="H879" s="49" t="n"/>
    </row>
    <row r="880">
      <c r="H880" s="49" t="n"/>
    </row>
    <row r="881">
      <c r="H881" s="49" t="n"/>
    </row>
    <row r="882">
      <c r="H882" s="49" t="n"/>
    </row>
    <row r="883">
      <c r="H883" s="49" t="n"/>
    </row>
    <row r="884">
      <c r="H884" s="49" t="n"/>
    </row>
    <row r="885">
      <c r="H885" s="49" t="n"/>
    </row>
    <row r="886">
      <c r="H886" s="49" t="n"/>
    </row>
    <row r="887">
      <c r="H887" s="49" t="n"/>
    </row>
    <row r="888">
      <c r="H888" s="49" t="n"/>
    </row>
    <row r="889">
      <c r="H889" s="49" t="n"/>
    </row>
    <row r="890">
      <c r="H890" s="49" t="n"/>
    </row>
    <row r="891">
      <c r="H891" s="49" t="n"/>
    </row>
    <row r="892">
      <c r="H892" s="49" t="n"/>
    </row>
    <row r="893">
      <c r="H893" s="49" t="n"/>
    </row>
    <row r="894">
      <c r="H894" s="49" t="n"/>
    </row>
    <row r="895">
      <c r="H895" s="49" t="n"/>
    </row>
    <row r="896">
      <c r="H896" s="49" t="n"/>
    </row>
    <row r="897">
      <c r="H897" s="49" t="n"/>
    </row>
    <row r="898">
      <c r="H898" s="49" t="n"/>
    </row>
    <row r="899">
      <c r="H899" s="49" t="n"/>
    </row>
    <row r="900">
      <c r="H900" s="49" t="n"/>
    </row>
    <row r="901">
      <c r="H901" s="49" t="n"/>
    </row>
    <row r="902">
      <c r="H902" s="49" t="n"/>
    </row>
    <row r="903">
      <c r="H903" s="49" t="n"/>
    </row>
    <row r="904">
      <c r="H904" s="49" t="n"/>
    </row>
    <row r="905">
      <c r="H905" s="49" t="n"/>
    </row>
    <row r="906">
      <c r="H906" s="49" t="n"/>
    </row>
    <row r="907">
      <c r="H907" s="49" t="n"/>
    </row>
    <row r="908">
      <c r="H908" s="49" t="n"/>
    </row>
    <row r="909">
      <c r="H909" s="49" t="n"/>
    </row>
    <row r="910">
      <c r="H910" s="49" t="n"/>
    </row>
    <row r="911">
      <c r="H911" s="49" t="n"/>
    </row>
    <row r="912">
      <c r="H912" s="49" t="n"/>
    </row>
    <row r="913">
      <c r="H913" s="49" t="n"/>
    </row>
    <row r="914">
      <c r="H914" s="49" t="n"/>
    </row>
    <row r="915">
      <c r="H915" s="49" t="n"/>
    </row>
    <row r="916">
      <c r="H916" s="49" t="n"/>
    </row>
    <row r="917">
      <c r="H917" s="49" t="n"/>
    </row>
    <row r="918">
      <c r="H918" s="49" t="n"/>
    </row>
    <row r="919">
      <c r="H919" s="49" t="n"/>
    </row>
    <row r="920">
      <c r="H920" s="49" t="n"/>
    </row>
    <row r="921">
      <c r="H921" s="49" t="n"/>
    </row>
    <row r="922">
      <c r="H922" s="49" t="n"/>
    </row>
    <row r="923">
      <c r="H923" s="49" t="n"/>
    </row>
    <row r="924">
      <c r="H924" s="49" t="n"/>
    </row>
    <row r="925">
      <c r="H925" s="49" t="n"/>
    </row>
    <row r="926">
      <c r="H926" s="49" t="n"/>
    </row>
    <row r="927">
      <c r="H927" s="49" t="n"/>
    </row>
    <row r="928">
      <c r="H928" s="49" t="n"/>
    </row>
    <row r="929">
      <c r="H929" s="49" t="n"/>
    </row>
    <row r="930">
      <c r="H930" s="49" t="n"/>
    </row>
    <row r="931">
      <c r="H931" s="49" t="n"/>
    </row>
    <row r="932">
      <c r="H932" s="49" t="n"/>
    </row>
    <row r="933">
      <c r="H933" s="49" t="n"/>
    </row>
    <row r="934">
      <c r="H934" s="49" t="n"/>
    </row>
    <row r="935">
      <c r="H935" s="49" t="n"/>
    </row>
    <row r="936">
      <c r="H936" s="49" t="n"/>
    </row>
    <row r="937">
      <c r="H937" s="49" t="n"/>
    </row>
    <row r="938">
      <c r="H938" s="49" t="n"/>
    </row>
    <row r="939">
      <c r="H939" s="49" t="n"/>
    </row>
    <row r="940">
      <c r="H940" s="49" t="n"/>
    </row>
    <row r="941">
      <c r="H941" s="49" t="n"/>
    </row>
    <row r="942">
      <c r="H942" s="49" t="n"/>
    </row>
    <row r="943">
      <c r="H943" s="49" t="n"/>
    </row>
    <row r="944">
      <c r="H944" s="49" t="n"/>
    </row>
    <row r="945">
      <c r="H945" s="49" t="n"/>
    </row>
    <row r="946">
      <c r="H946" s="49" t="n"/>
    </row>
    <row r="947">
      <c r="H947" s="49" t="n"/>
    </row>
    <row r="948">
      <c r="H948" s="49" t="n"/>
    </row>
    <row r="949">
      <c r="H949" s="49" t="n"/>
    </row>
    <row r="950">
      <c r="H950" s="49" t="n"/>
    </row>
    <row r="951">
      <c r="H951" s="49" t="n"/>
    </row>
    <row r="952">
      <c r="H952" s="49" t="n"/>
    </row>
    <row r="953">
      <c r="H953" s="49" t="n"/>
    </row>
    <row r="954">
      <c r="H954" s="49" t="n"/>
    </row>
    <row r="955">
      <c r="H955" s="49" t="n"/>
    </row>
    <row r="956">
      <c r="H956" s="49" t="n"/>
    </row>
    <row r="957">
      <c r="H957" s="49" t="n"/>
    </row>
    <row r="958">
      <c r="H958" s="49" t="n"/>
    </row>
    <row r="959">
      <c r="H959" s="49" t="n"/>
    </row>
    <row r="960">
      <c r="H960" s="49" t="n"/>
    </row>
    <row r="961">
      <c r="H961" s="49" t="n"/>
    </row>
    <row r="962">
      <c r="H962" s="49" t="n"/>
    </row>
    <row r="963">
      <c r="H963" s="49" t="n"/>
    </row>
    <row r="964">
      <c r="H964" s="49" t="n"/>
    </row>
    <row r="965">
      <c r="H965" s="49" t="n"/>
    </row>
    <row r="966">
      <c r="H966" s="49" t="n"/>
    </row>
    <row r="967">
      <c r="H967" s="49" t="n"/>
    </row>
    <row r="968">
      <c r="H968" s="49" t="n"/>
    </row>
    <row r="969">
      <c r="H969" s="49" t="n"/>
    </row>
    <row r="970">
      <c r="H970" s="49" t="n"/>
    </row>
    <row r="971">
      <c r="H971" s="49" t="n"/>
    </row>
    <row r="972">
      <c r="H972" s="49" t="n"/>
    </row>
    <row r="973">
      <c r="H973" s="49" t="n"/>
    </row>
    <row r="974">
      <c r="H974" s="49" t="n"/>
    </row>
    <row r="975">
      <c r="H975" s="49" t="n"/>
    </row>
    <row r="976">
      <c r="H976" s="49" t="n"/>
    </row>
    <row r="977">
      <c r="H977" s="49" t="n"/>
    </row>
    <row r="978">
      <c r="H978" s="49" t="n"/>
    </row>
    <row r="979">
      <c r="H979" s="49" t="n"/>
    </row>
    <row r="980">
      <c r="H980" s="49" t="n"/>
    </row>
    <row r="981">
      <c r="H981" s="49" t="n"/>
    </row>
    <row r="982">
      <c r="H982" s="49" t="n"/>
    </row>
    <row r="983">
      <c r="H983" s="49" t="n"/>
    </row>
    <row r="984">
      <c r="H984" s="49" t="n"/>
    </row>
    <row r="985">
      <c r="H985" s="49" t="n"/>
    </row>
    <row r="986">
      <c r="H986" s="49" t="n"/>
    </row>
    <row r="987">
      <c r="H987" s="49" t="n"/>
    </row>
    <row r="988">
      <c r="H988" s="49" t="n"/>
    </row>
    <row r="989">
      <c r="H989" s="49" t="n"/>
    </row>
    <row r="990">
      <c r="H990" s="49" t="n"/>
    </row>
    <row r="991">
      <c r="H991" s="49" t="n"/>
    </row>
    <row r="992">
      <c r="H992" s="49" t="n"/>
    </row>
    <row r="993">
      <c r="H993" s="49" t="n"/>
    </row>
    <row r="994">
      <c r="H994" s="49" t="n"/>
    </row>
    <row r="995">
      <c r="H995" s="49" t="n"/>
    </row>
    <row r="996">
      <c r="H996" s="49" t="n"/>
    </row>
    <row r="997">
      <c r="H997" s="49" t="n"/>
    </row>
    <row r="998">
      <c r="H998" s="49" t="n"/>
    </row>
    <row r="999">
      <c r="H999" s="49" t="n"/>
    </row>
    <row r="1000">
      <c r="H1000" s="49" t="n"/>
    </row>
  </sheetData>
  <mergeCells count="1">
    <mergeCell ref="A1:H1"/>
  </mergeCells>
  <conditionalFormatting sqref="H3:H1000">
    <cfRule type="containsText" priority="1" operator="containsText" dxfId="0" stopIfTrue="1" text="Invalid">
      <formula>NOT(ISERROR(SEARCH(("Invalid"),(H3))))</formula>
    </cfRule>
    <cfRule type="containsText" priority="2" operator="containsText" dxfId="1" stopIfTrue="1" text="Fixed">
      <formula>NOT(ISERROR(SEARCH(("Fixed"),(H3))))</formula>
    </cfRule>
    <cfRule type="containsText" priority="3" operator="containsText" dxfId="2" stopIfTrue="1" text="In Progress">
      <formula>NOT(ISERROR(SEARCH(("In Progress"),(H3))))</formula>
    </cfRule>
    <cfRule type="containsText" priority="4" operator="containsText" dxfId="3"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3" defaultRowHeight="15.75" customHeight="1"/>
  <sheetData>
    <row r="1" ht="27" customHeight="1" s="52">
      <c r="A1" s="5">
        <f>HYPERLINK("#gid=0", "🏠 กลับสู่หน้าแรก (Go to Home Page)")</f>
        <v/>
      </c>
    </row>
    <row r="2">
      <c r="A2" s="50" t="inlineStr">
        <is>
          <t>ข้อที่</t>
        </is>
      </c>
      <c r="B2" s="50" t="inlineStr">
        <is>
          <t>คำถาม</t>
        </is>
      </c>
      <c r="C2" s="50" t="inlineStr">
        <is>
          <t>รูปถาม</t>
        </is>
      </c>
      <c r="D2" s="50" t="inlineStr">
        <is>
          <t>ตัวเลือก 1</t>
        </is>
      </c>
      <c r="E2" s="50" t="inlineStr">
        <is>
          <t>ตัวเลือก 2</t>
        </is>
      </c>
      <c r="F2" s="50" t="inlineStr">
        <is>
          <t>ตัวเลือก 3</t>
        </is>
      </c>
      <c r="G2" s="50" t="inlineStr">
        <is>
          <t>ตัวเลือก 4</t>
        </is>
      </c>
      <c r="H2" s="50" t="inlineStr">
        <is>
          <t>ตัวเลือก 5</t>
        </is>
      </c>
      <c r="I2" s="50" t="inlineStr">
        <is>
          <t>เฉลย (ตัวเลข 1-5)</t>
        </is>
      </c>
      <c r="J2" s="50" t="inlineStr">
        <is>
          <t>คำอธิบายเฉลย</t>
        </is>
      </c>
      <c r="K2" s="50" t="inlineStr">
        <is>
          <t>รูปเฉลย</t>
        </is>
      </c>
      <c r="L2" s="50" t="inlineStr">
        <is>
          <t>Filter หมวด/Subtopic</t>
        </is>
      </c>
      <c r="M2" s="50" t="inlineStr">
        <is>
          <t>Product / Clinic</t>
        </is>
      </c>
      <c r="N2" s="50" t="inlineStr">
        <is>
          <t>หมายเหตุ</t>
        </is>
      </c>
      <c r="O2" s="50" t="inlineStr">
        <is>
          <t>ประเภทข้อสอบ</t>
        </is>
      </c>
      <c r="P2" s="50" t="inlineStr">
        <is>
          <t>ปี / เลขชุด</t>
        </is>
      </c>
    </row>
    <row r="3">
      <c r="A3" s="15" t="inlineStr">
        <is>
          <t>1</t>
        </is>
      </c>
      <c r="B3" s="18"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18" t="inlineStr"/>
      <c r="D3" s="18" t="inlineStr">
        <is>
          <t>Conjugated linoleic acid</t>
        </is>
      </c>
      <c r="E3" s="18" t="inlineStr">
        <is>
          <t>Chitosan</t>
        </is>
      </c>
      <c r="F3" s="18" t="inlineStr">
        <is>
          <t>Hydroxyl citric acid</t>
        </is>
      </c>
      <c r="G3" s="18" t="inlineStr">
        <is>
          <t>Catechin</t>
        </is>
      </c>
      <c r="H3" s="18" t="inlineStr">
        <is>
          <t>LAL</t>
        </is>
      </c>
      <c r="I3" s="15" t="inlineStr">
        <is>
          <t>1</t>
        </is>
      </c>
      <c r="J3" s="18"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ข้อนี้ไม่ใช่คำตอบที่ถูกต้องสำหรับภาวะ Clinical Nutrition เนื่องจากกลไกการออกฤทธิ์, efficacy หรือข้อบ่งใช้ไม่ตรงกับโจทย์ที่กำหนด
• ข้อ ค. (Hydroxyl citric acid): ข้อนี้ไม่ใช่คำตอบที่ถูกต้องสำหรับภาวะ Clinical Nutrition เนื่องจากกลไกการออกฤทธิ์, efficacy หรือข้อบ่งใช้ไม่ตรงกับโจทย์ที่กำหนด
• ข้อ ง. (Catechin): ข้อนี้ไม่ใช่คำตอบที่ถูกต้องสำหรับภาวะ Clinical Nutrition เนื่องจากกลไกการออกฤทธิ์, efficacy หรือข้อบ่งใช้ไม่ตรงกับโจทย์ที่กำหนด
• ข้อ จ. (LAL):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8" t="inlineStr"/>
      <c r="L3" s="18" t="inlineStr">
        <is>
          <t>Clinical Nutrition</t>
        </is>
      </c>
      <c r="M3" s="18" t="inlineStr">
        <is>
          <t>Clinic</t>
        </is>
      </c>
      <c r="N3" s="18" t="inlineStr">
        <is>
          <t>ข้อ 1 ชุด 1 (เฉลยข้อ ก ข ง)</t>
        </is>
      </c>
      <c r="O3" s="18" t="inlineStr">
        <is>
          <t>Mock</t>
        </is>
      </c>
      <c r="P3" s="18" t="inlineStr">
        <is>
          <t>ชุด 1</t>
        </is>
      </c>
    </row>
    <row r="4">
      <c r="A4" s="15" t="inlineStr">
        <is>
          <t>2</t>
        </is>
      </c>
      <c r="B4" s="18" t="inlineStr">
        <is>
          <t>ผลิตภัณฑ์เสริมอาหารในข้อใดมีคุณสมบัติคล้าย dietary fiber</t>
        </is>
      </c>
      <c r="C4" s="18" t="inlineStr"/>
      <c r="D4" s="18" t="inlineStr">
        <is>
          <t>Chitosan</t>
        </is>
      </c>
      <c r="E4" s="18" t="inlineStr">
        <is>
          <t>Evening primrose oil</t>
        </is>
      </c>
      <c r="F4" s="18" t="inlineStr">
        <is>
          <t>Collagen</t>
        </is>
      </c>
      <c r="G4" s="18" t="inlineStr">
        <is>
          <t>Conjugated linoleic acid</t>
        </is>
      </c>
      <c r="H4" s="18" t="inlineStr">
        <is>
          <t>Lecithin</t>
        </is>
      </c>
      <c r="I4" s="15" t="inlineStr">
        <is>
          <t>1</t>
        </is>
      </c>
      <c r="J4" s="18"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ข้อนี้ไม่ใช่คำตอบที่ถูกต้องสำหรับภาวะ Clinical Nutrition เนื่องจากกลไกการออกฤทธิ์, efficacy หรือข้อบ่งใช้ไม่ตรงกับโจทย์ที่กำหนด
• ข้อ ค. (Collagen): ข้อนี้ไม่ใช่คำตอบที่ถูกต้องสำหรับภาวะ Clinical Nutrition เนื่องจากกลไกการออกฤทธิ์, efficacy หรือข้อบ่งใช้ไม่ตรงกับโจทย์ที่กำหนด
• ข้อ ง. (Conjugated linoleic acid): ข้อนี้ไม่ใช่คำตอบที่ถูกต้องสำหรับภาวะ Clinical Nutrition เนื่องจากกลไกการออกฤทธิ์, efficacy หรือข้อบ่งใช้ไม่ตรงกับโจทย์ที่กำหนด
• ข้อ จ. (Lecithin):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8" t="inlineStr"/>
      <c r="L4" s="18" t="inlineStr">
        <is>
          <t>Clinical Nutrition</t>
        </is>
      </c>
      <c r="M4" s="18" t="inlineStr">
        <is>
          <t>Clinic</t>
        </is>
      </c>
      <c r="N4" s="18" t="inlineStr">
        <is>
          <t>ข้อ 2 ชุด 1 (เฉลยข้อ ก)</t>
        </is>
      </c>
      <c r="O4" s="18" t="inlineStr">
        <is>
          <t>Mock</t>
        </is>
      </c>
      <c r="P4" s="18" t="inlineStr">
        <is>
          <t>ชุด 1</t>
        </is>
      </c>
    </row>
    <row r="5">
      <c r="A5" s="15" t="inlineStr">
        <is>
          <t>3</t>
        </is>
      </c>
      <c r="B5" s="18"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8" t="inlineStr"/>
      <c r="D5" s="18" t="inlineStr">
        <is>
          <t>มีผลโดยเสริมฤทธิ์ยับยั้งการแข็งตัวของเกล็ดเลือดของ aspirin</t>
        </is>
      </c>
      <c r="E5" s="18" t="inlineStr">
        <is>
          <t>มีผลโดยเสริมฤทธิ์ลดน้ำตาลในเลือดของ metformin</t>
        </is>
      </c>
      <c r="F5" s="18" t="inlineStr">
        <is>
          <t>มีผลโดยลดประสิทธิภาพการจับของยา isosorbide mononitrate</t>
        </is>
      </c>
      <c r="G5" s="18" t="inlineStr">
        <is>
          <t>มีผลโดยลดประสิทธิภาพการลดน้ำตาลในเลือดของ glibenclamide</t>
        </is>
      </c>
      <c r="H5" s="18" t="inlineStr">
        <is>
          <t>ไม่มี อันตรกิริยากับยาที่ได้รับจากโรงพยาบาล</t>
        </is>
      </c>
      <c r="I5" s="15" t="inlineStr">
        <is>
          <t>1</t>
        </is>
      </c>
      <c r="J5" s="18"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ข้อนี้ไม่ใช่คำตอบที่ถูกต้องสำหรับภาวะ Clinical Nutrition เนื่องจากกลไกการออกฤทธิ์, efficacy หรือข้อบ่งใช้ไม่ตรงกับโจทย์ที่กำหนด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8" t="inlineStr"/>
      <c r="L5" s="18" t="inlineStr">
        <is>
          <t>Clinical Nutrition</t>
        </is>
      </c>
      <c r="M5" s="18" t="inlineStr">
        <is>
          <t>Clinic</t>
        </is>
      </c>
      <c r="N5" s="18" t="inlineStr">
        <is>
          <t>ข้อ 3 ชุด 1 (เฉลยข้อ ก)</t>
        </is>
      </c>
      <c r="O5" s="18" t="inlineStr">
        <is>
          <t>Mock</t>
        </is>
      </c>
      <c r="P5" s="18" t="inlineStr">
        <is>
          <t>ชุด 1</t>
        </is>
      </c>
    </row>
    <row r="6">
      <c r="A6" s="15" t="inlineStr">
        <is>
          <t>4</t>
        </is>
      </c>
      <c r="B6" s="18" t="inlineStr">
        <is>
          <t>ระหว่างที่มีอาการปวดประจำเดือน ผู้ป่วยควรหลีกเลี่ยงอาหารที่มีส่วนประกอบใด</t>
        </is>
      </c>
      <c r="C6" s="18" t="inlineStr"/>
      <c r="D6" s="18" t="inlineStr">
        <is>
          <t>ขมิ้นชัน</t>
        </is>
      </c>
      <c r="E6" s="18" t="inlineStr">
        <is>
          <t>ชาเขียว</t>
        </is>
      </c>
      <c r="F6" s="18" t="inlineStr">
        <is>
          <t>ลูกเตอ</t>
        </is>
      </c>
      <c r="G6" s="18" t="inlineStr">
        <is>
          <t>กวาวเครือ</t>
        </is>
      </c>
      <c r="H6" s="18" t="inlineStr">
        <is>
          <t>มะขามแขก</t>
        </is>
      </c>
      <c r="I6" s="15" t="inlineStr">
        <is>
          <t>5</t>
        </is>
      </c>
      <c r="J6" s="18"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ข้อนี้ไม่ใช่คำตอบที่ถูกต้องสำหรับภาวะ Clinical Nutrition เนื่องจากกลไกการออกฤทธิ์, efficacy หรือข้อบ่งใช้ไม่ตรงกับโจทย์ที่กำหนด
• ข้อ ข. (ชาเขียว): ข้อนี้ไม่ใช่คำตอบที่ถูกต้องสำหรับภาวะ Clinical Nutrition เนื่องจากกลไกการออกฤทธิ์, efficacy หรือข้อบ่งใช้ไม่ตรงกับโจทย์ที่กำหนด
• ข้อ ค. (ลูกเตอ): ข้อนี้ไม่ใช่คำตอบที่ถูกต้องสำหรับภาวะ Clinical Nutrition เนื่องจากกลไกการออกฤทธิ์, efficacy หรือข้อบ่งใช้ไม่ตรงกับโจทย์ที่กำหนด
• ข้อ ง. (กวาวเครือ):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8" t="inlineStr"/>
      <c r="L6" s="18" t="inlineStr">
        <is>
          <t>Clinical Nutrition</t>
        </is>
      </c>
      <c r="M6" s="18" t="inlineStr">
        <is>
          <t>Clinic</t>
        </is>
      </c>
      <c r="N6" s="18" t="inlineStr">
        <is>
          <t>ข้อ 4 ชุด 1 (เฉลยข้อ จ)</t>
        </is>
      </c>
      <c r="O6" s="18" t="inlineStr">
        <is>
          <t>Mock</t>
        </is>
      </c>
      <c r="P6" s="18" t="inlineStr">
        <is>
          <t>ชุด 1</t>
        </is>
      </c>
    </row>
    <row r="7">
      <c r="A7" s="15" t="inlineStr">
        <is>
          <t>5</t>
        </is>
      </c>
      <c r="B7" s="18"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8" t="inlineStr"/>
      <c r="D7" s="18" t="inlineStr">
        <is>
          <t>ความดันโลหิตสูง</t>
        </is>
      </c>
      <c r="E7" s="18" t="inlineStr">
        <is>
          <t>ภาวะไขมันผิดปกติในเลือด</t>
        </is>
      </c>
      <c r="F7" s="18" t="inlineStr">
        <is>
          <t>โรคหลอดเลือดแดงเลี้ยงหัวใจตีบตัน</t>
        </is>
      </c>
      <c r="G7" s="18" t="inlineStr">
        <is>
          <t>กระดูกและข้อเสื่อมใน lower extremities</t>
        </is>
      </c>
      <c r="H7" s="18" t="inlineStr">
        <is>
          <t>โรคอัลไซเมอร์</t>
        </is>
      </c>
      <c r="I7" s="15" t="inlineStr">
        <is>
          <t>5</t>
        </is>
      </c>
      <c r="J7" s="18"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ข้อนี้ไม่ใช่คำตอบที่ถูกต้องสำหรับภาวะ Clinical Nutrition เนื่องจากกลไกการออกฤทธิ์, efficacy หรือข้อบ่งใช้ไม่ตรงกับโจทย์ที่กำหนด
• ข้อ ข. (ภาวะไขมันผิดปกติในเลือด): ข้อนี้ไม่ใช่คำตอบที่ถูกต้องสำหรับภาวะ Clinical Nutrition เนื่องจากกลไกการออกฤทธิ์, efficacy หรือข้อบ่งใช้ไม่ตรงกับโจทย์ที่กำหนด
• ข้อ ค. (โรคหลอดเลือดแดงเลี้ยงหัวใจตีบตัน): ข้อนี้ไม่ใช่คำตอบที่ถูกต้องสำหรับภาวะ Clinical Nutrition เนื่องจากกลไกการออกฤทธิ์, efficacy หรือข้อบ่งใช้ไม่ตรงกับโจทย์ที่กำหนด
• ข้อ ง. (กระดูกและข้อเสื่อมใน lower extremities):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8" t="inlineStr"/>
      <c r="L7" s="18" t="inlineStr">
        <is>
          <t>Clinical Nutrition</t>
        </is>
      </c>
      <c r="M7" s="18" t="inlineStr">
        <is>
          <t>Clinic</t>
        </is>
      </c>
      <c r="N7" s="18" t="inlineStr">
        <is>
          <t>ข้อ 5 ชุด 1 (เฉลยข้อ จ)</t>
        </is>
      </c>
      <c r="O7" s="18" t="inlineStr">
        <is>
          <t>Mock</t>
        </is>
      </c>
      <c r="P7" s="18" t="inlineStr">
        <is>
          <t>ชุด 1</t>
        </is>
      </c>
    </row>
    <row r="8">
      <c r="A8" s="15" t="inlineStr">
        <is>
          <t>6</t>
        </is>
      </c>
      <c r="B8" s="18" t="inlineStr">
        <is>
          <t>แพทย์สั่งใช้ยา Orlistat® สำหรับผู้ป่วยรายนี้ อยากทราบว่ายานี้ออกฤทธิ์อย่างไร</t>
        </is>
      </c>
      <c r="C8" s="18" t="inlineStr"/>
      <c r="D8" s="18" t="inlineStr">
        <is>
          <t>ดักจับไขมันในทางเดินอาหาร</t>
        </is>
      </c>
      <c r="E8" s="18" t="inlineStr">
        <is>
          <t>ออกฤทธิ์กดความอยากอาหาร</t>
        </is>
      </c>
      <c r="F8" s="18" t="inlineStr">
        <is>
          <t>เพิ่มการเมตาบอลิซึมไขมันในเซลล์</t>
        </is>
      </c>
      <c r="G8" s="18" t="inlineStr">
        <is>
          <t>ยับยั้งเอนไซม์ย่อยไขมันในทางเดินอาหาร</t>
        </is>
      </c>
      <c r="H8" s="18" t="inlineStr">
        <is>
          <t>ยับยั้งเอนไซม์ HMG CoA reductase</t>
        </is>
      </c>
      <c r="I8" s="15" t="inlineStr">
        <is>
          <t>4</t>
        </is>
      </c>
      <c r="J8" s="18"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ข้อนี้ไม่ใช่คำตอบที่ถูกต้องสำหรับภาวะ Clinical Nutrition เนื่องจากกลไกการออกฤทธิ์, efficacy หรือข้อบ่งใช้ไม่ตรงกับโจทย์ที่กำหนด
• ข้อ ข. (ออกฤทธิ์กดความอยากอาหาร): ข้อนี้ไม่ใช่คำตอบที่ถูกต้องสำหรับภาวะ Clinical Nutrition เนื่องจากกลไกการออกฤทธิ์, efficacy หรือข้อบ่งใช้ไม่ตรงกับโจทย์ที่กำหนด
• ข้อ ค. (เพิ่มการเมตาบอลิซึมไขมันในเซลล์): ข้อนี้ไม่ใช่คำตอบที่ถูกต้องสำหรับภาวะ Clinical Nutrition เนื่องจากกลไกการออกฤทธิ์, efficacy หรือข้อบ่งใช้ไม่ตรงกับโจทย์ที่กำหนด
• ข้อ จ. (ยับยั้งเอนไซม์ HMG CoA reductase):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8" t="inlineStr"/>
      <c r="L8" s="18" t="inlineStr">
        <is>
          <t>Clinical Nutrition</t>
        </is>
      </c>
      <c r="M8" s="18" t="inlineStr">
        <is>
          <t>Clinic</t>
        </is>
      </c>
      <c r="N8" s="18" t="inlineStr">
        <is>
          <t>ข้อ 6 ชุด 1 (เฉลยข้อ ง)</t>
        </is>
      </c>
      <c r="O8" s="18" t="inlineStr">
        <is>
          <t>Mock</t>
        </is>
      </c>
      <c r="P8" s="18" t="inlineStr">
        <is>
          <t>ชุด 1</t>
        </is>
      </c>
    </row>
    <row r="9">
      <c r="A9" s="15" t="inlineStr">
        <is>
          <t>7</t>
        </is>
      </c>
      <c r="B9" s="18" t="inlineStr">
        <is>
          <t>ผู้ป่วยควรรับประทานอาหารในข้อใด</t>
        </is>
      </c>
      <c r="C9" s="18" t="inlineStr"/>
      <c r="D9" s="18" t="inlineStr">
        <is>
          <t>ส้มตำเขียวหวาน คอมหมูย่าง ข้าวเหนียว</t>
        </is>
      </c>
      <c r="E9" s="18" t="inlineStr">
        <is>
          <t>ชมพู่ ปลาเผา แกงหน่อไม้</t>
        </is>
      </c>
      <c r="F9" s="18" t="inlineStr">
        <is>
          <t>มะม่วงสุก ผัดกระเฉดหมูกรอบ ข้าวต้ม</t>
        </is>
      </c>
      <c r="G9" s="18" t="inlineStr">
        <is>
          <t>ทุเรียน แกงเลียง ข้าวสวย</t>
        </is>
      </c>
      <c r="H9" s="18" t="inlineStr">
        <is>
          <t>กล้วยหอม ไอศกรีม ไก่ทอด</t>
        </is>
      </c>
      <c r="I9" s="15" t="inlineStr">
        <is>
          <t>2</t>
        </is>
      </c>
      <c r="J9" s="18"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ข้อนี้ไม่ใช่คำตอบที่ถูกต้องสำหรับภาวะ Clinical Nutrition เนื่องจากกลไกการออกฤทธิ์, efficacy หรือข้อบ่งใช้ไม่ตรงกับโจทย์ที่กำหนด
• ข้อ ค. (มะม่วงสุก ผัดกระเฉดหมูกรอบ ข้าวต้ม): ข้อนี้ไม่ใช่คำตอบที่ถูกต้องสำหรับภาวะ Clinical Nutrition เนื่องจากกลไกการออกฤทธิ์, efficacy หรือข้อบ่งใช้ไม่ตรงกับโจทย์ที่กำหนด
• ข้อ ง. (ทุเรียน แกงเลียง ข้าวสวย): ข้อนี้ไม่ใช่คำตอบที่ถูกต้องสำหรับภาวะ Clinical Nutrition เนื่องจากกลไกการออกฤทธิ์, efficacy หรือข้อบ่งใช้ไม่ตรงกับโจทย์ที่กำหนด
• ข้อ จ. (กล้วยหอม ไอศกรีม ไก่ทอด):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8" t="inlineStr"/>
      <c r="L9" s="18" t="inlineStr">
        <is>
          <t>Clinical Nutrition</t>
        </is>
      </c>
      <c r="M9" s="18" t="inlineStr">
        <is>
          <t>Clinic</t>
        </is>
      </c>
      <c r="N9" s="18" t="inlineStr">
        <is>
          <t>ข้อ 7 ชุด 1 (เฉลยข้อ ข)</t>
        </is>
      </c>
      <c r="O9" s="18" t="inlineStr">
        <is>
          <t>Mock</t>
        </is>
      </c>
      <c r="P9" s="18" t="inlineStr">
        <is>
          <t>ชุด 1</t>
        </is>
      </c>
    </row>
    <row r="10">
      <c r="A10" s="15" t="inlineStr">
        <is>
          <t>8</t>
        </is>
      </c>
      <c r="B10" s="18" t="inlineStr">
        <is>
          <t>เมื่อคำนวณค่า body mass index (BMI) ของหญิงผู้้นี้พบว่ามีค่า 30 kg/m² หมายความว่าอย่างไร</t>
        </is>
      </c>
      <c r="C10" s="18" t="inlineStr"/>
      <c r="D10" s="18" t="inlineStr">
        <is>
          <t>น้ำหนักน้อยกว่าปกติ</t>
        </is>
      </c>
      <c r="E10" s="18" t="inlineStr">
        <is>
          <t>น้ำหนักตัวเหมาะสม</t>
        </is>
      </c>
      <c r="F10" s="18" t="inlineStr">
        <is>
          <t>น้ำหนักเกินแต่ไม่มาก</t>
        </is>
      </c>
      <c r="G10" s="18" t="inlineStr">
        <is>
          <t>มีภาวะอ้วน</t>
        </is>
      </c>
      <c r="H10" s="18" t="inlineStr">
        <is>
          <t>มีภาวะอ้วนรุนแรง</t>
        </is>
      </c>
      <c r="I10" s="15" t="inlineStr">
        <is>
          <t>5</t>
        </is>
      </c>
      <c r="J10" s="18"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ข้อนี้ไม่ใช่คำตอบที่ถูกต้องสำหรับภาวะ Clinical Nutrition เนื่องจากกลไกการออกฤทธิ์, efficacy หรือข้อบ่งใช้ไม่ตรงกับโจทย์ที่กำหนด
• ข้อ ข. (น้ำหนักตัวเหมาะสม): ข้อนี้ไม่ใช่คำตอบที่ถูกต้องสำหรับภาวะ Clinical Nutrition เนื่องจากกลไกการออกฤทธิ์, efficacy หรือข้อบ่งใช้ไม่ตรงกับโจทย์ที่กำหนด
• ข้อ ค. (น้ำหนักเกินแต่ไม่มาก): ข้อนี้ไม่ใช่คำตอบที่ถูกต้องสำหรับภาวะ Clinical Nutrition เนื่องจากกลไกการออกฤทธิ์, efficacy หรือข้อบ่งใช้ไม่ตรงกับโจทย์ที่กำหนด
• ข้อ ง. (มีภาวะอ้วน):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8" t="inlineStr"/>
      <c r="L10" s="18" t="inlineStr">
        <is>
          <t>Clinical Nutrition</t>
        </is>
      </c>
      <c r="M10" s="18" t="inlineStr">
        <is>
          <t>Clinic</t>
        </is>
      </c>
      <c r="N10" s="18" t="inlineStr">
        <is>
          <t>ข้อ 8 ชุด 1 (เฉลยข้อ จ)</t>
        </is>
      </c>
      <c r="O10" s="18" t="inlineStr">
        <is>
          <t>Mock</t>
        </is>
      </c>
      <c r="P10" s="18" t="inlineStr">
        <is>
          <t>ชุด 1</t>
        </is>
      </c>
    </row>
    <row r="11">
      <c r="A11" s="15" t="inlineStr">
        <is>
          <t>9</t>
        </is>
      </c>
      <c r="B11" s="18" t="inlineStr">
        <is>
          <t>สาเหตุของผมร่วง เล็บเปราะ เนื่องจากขาดวิตามินและแร่ธาตุ ยกเว้น</t>
        </is>
      </c>
      <c r="C11" s="18" t="inlineStr"/>
      <c r="D11" s="18" t="inlineStr">
        <is>
          <t>Vitamin B6</t>
        </is>
      </c>
      <c r="E11" s="18" t="inlineStr">
        <is>
          <t>Vitamin A</t>
        </is>
      </c>
      <c r="F11" s="18" t="inlineStr">
        <is>
          <t>Vitamin D</t>
        </is>
      </c>
      <c r="G11" s="18" t="inlineStr">
        <is>
          <t>Biotin</t>
        </is>
      </c>
      <c r="H11" s="18" t="inlineStr">
        <is>
          <t>Zinc</t>
        </is>
      </c>
      <c r="I11" s="15" t="inlineStr">
        <is>
          <t>1</t>
        </is>
      </c>
      <c r="J11" s="18"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ข้อนี้ไม่ใช่คำตอบที่ถูกต้องสำหรับภาวะ Clinical Nutrition เนื่องจากกลไกการออกฤทธิ์, efficacy หรือข้อบ่งใช้ไม่ตรงกับโจทย์ที่กำหนด
• ข้อ ค. (Vitamin D): ข้อนี้ไม่ใช่คำตอบที่ถูกต้องสำหรับภาวะ Clinical Nutrition เนื่องจากกลไกการออกฤทธิ์, efficacy หรือข้อบ่งใช้ไม่ตรงกับโจทย์ที่กำหนด
• ข้อ ง. (Biotin): ข้อนี้ไม่ใช่คำตอบที่ถูกต้องสำหรับภาวะ Clinical Nutrition เนื่องจากกลไกการออกฤทธิ์, efficacy หรือข้อบ่งใช้ไม่ตรงกับโจทย์ที่กำหนด
• ข้อ จ. (Zinc):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8" t="inlineStr"/>
      <c r="L11" s="18" t="inlineStr">
        <is>
          <t>Clinical Nutrition</t>
        </is>
      </c>
      <c r="M11" s="18" t="inlineStr">
        <is>
          <t>Clinic</t>
        </is>
      </c>
      <c r="N11" s="18" t="inlineStr">
        <is>
          <t>ข้อ 9 ชุด 1 (เฉลยข้อ ก)</t>
        </is>
      </c>
      <c r="O11" s="18" t="inlineStr">
        <is>
          <t>Mock</t>
        </is>
      </c>
      <c r="P11" s="18" t="inlineStr">
        <is>
          <t>ชุด 1</t>
        </is>
      </c>
    </row>
    <row r="12">
      <c r="A12" s="15" t="inlineStr">
        <is>
          <t>10</t>
        </is>
      </c>
      <c r="B12" s="18" t="inlineStr">
        <is>
          <t>วิตามิน แร่ธาตุที่เพิ่มความสดใสให้ผิวพรรณยกเว้น</t>
        </is>
      </c>
      <c r="C12" s="18" t="inlineStr"/>
      <c r="D12" s="18" t="inlineStr">
        <is>
          <t>Vitamin E</t>
        </is>
      </c>
      <c r="E12" s="18" t="inlineStr">
        <is>
          <t>Vitamin C</t>
        </is>
      </c>
      <c r="F12" s="18" t="inlineStr">
        <is>
          <t>Magnesium</t>
        </is>
      </c>
      <c r="G12" s="18" t="inlineStr">
        <is>
          <t>Zinc</t>
        </is>
      </c>
      <c r="H12" s="18" t="inlineStr">
        <is>
          <t>EPO (evening primrose oil)</t>
        </is>
      </c>
      <c r="I12" s="15" t="inlineStr">
        <is>
          <t>3</t>
        </is>
      </c>
      <c r="J12" s="18"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ข้อนี้ไม่ใช่คำตอบที่ถูกต้องสำหรับภาวะ Clinical Nutrition เนื่องจากกลไกการออกฤทธิ์, efficacy หรือข้อบ่งใช้ไม่ตรงกับโจทย์ที่กำหนด
• ข้อ ข. (Vitamin C): ข้อนี้ไม่ใช่คำตอบที่ถูกต้องสำหรับภาวะ Clinical Nutrition เนื่องจากกลไกการออกฤทธิ์, efficacy หรือข้อบ่งใช้ไม่ตรงกับโจทย์ที่กำหนด
• ข้อ ง. (Zinc): ข้อนี้ไม่ใช่คำตอบที่ถูกต้องสำหรับภาวะ Clinical Nutrition เนื่องจากกลไกการออกฤทธิ์, efficacy หรือข้อบ่งใช้ไม่ตรงกับโจทย์ที่กำหนด
• ข้อ จ. (EPO (evening primrose oil)):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18" t="inlineStr"/>
      <c r="L12" s="18" t="inlineStr">
        <is>
          <t>Clinical Nutrition</t>
        </is>
      </c>
      <c r="M12" s="18" t="inlineStr">
        <is>
          <t>Clinic</t>
        </is>
      </c>
      <c r="N12" s="18" t="inlineStr">
        <is>
          <t>ข้อ 10 ชุด 1 (เฉลยข้อ ค)</t>
        </is>
      </c>
      <c r="O12" s="18" t="inlineStr">
        <is>
          <t>Mock</t>
        </is>
      </c>
      <c r="P12" s="18" t="inlineStr">
        <is>
          <t>ชุด 1</t>
        </is>
      </c>
    </row>
    <row r="13">
      <c r="A13" s="15" t="inlineStr">
        <is>
          <t>11</t>
        </is>
      </c>
      <c r="B13" s="18" t="inlineStr">
        <is>
          <t>วิตามิน แร่ธาตุชนิดใดที่เหมาะสมกับการออกกำลังกายมากที่สุด</t>
        </is>
      </c>
      <c r="C13" s="18" t="inlineStr"/>
      <c r="D13" s="18" t="inlineStr">
        <is>
          <t>Vitamin K, Calcium, Vanadium</t>
        </is>
      </c>
      <c r="E13" s="18" t="inlineStr">
        <is>
          <t>Vitamin D, Calcium, Nickel</t>
        </is>
      </c>
      <c r="F13" s="18" t="inlineStr">
        <is>
          <t>Calcium, Magnesium, Potassium</t>
        </is>
      </c>
      <c r="G13" s="18" t="inlineStr">
        <is>
          <t>Calcium, Magnesium, Potassium</t>
        </is>
      </c>
      <c r="H13" s="18" t="inlineStr">
        <is>
          <t>Iodine, Copper, Selenium</t>
        </is>
      </c>
      <c r="I13" s="15" t="inlineStr">
        <is>
          <t>3</t>
        </is>
      </c>
      <c r="J13" s="18"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ข้อนี้ไม่ใช่คำตอบที่ถูกต้องสำหรับภาวะ Clinical Nutrition เนื่องจากกลไกการออกฤทธิ์, efficacy หรือข้อบ่งใช้ไม่ตรงกับโจทย์ที่กำหนด
• ข้อ ข. (Vitamin D, Calcium, Nickel): ข้อนี้ไม่ใช่คำตอบที่ถูกต้องสำหรับภาวะ Clinical Nutrition เนื่องจากกลไกการออกฤทธิ์, efficacy หรือข้อบ่งใช้ไม่ตรงกับโจทย์ที่กำหนด
• ข้อ ง. (Calcium, Magnesium, Potassium): ข้อนี้ไม่ใช่คำตอบที่ถูกต้องสำหรับภาวะ Clinical Nutrition เนื่องจากกลไกการออกฤทธิ์, efficacy หรือข้อบ่งใช้ไม่ตรงกับโจทย์ที่กำหนด
• ข้อ จ. (Iodine, Copper, Selenium):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8" t="inlineStr"/>
      <c r="L13" s="18" t="inlineStr">
        <is>
          <t>Clinical Nutrition</t>
        </is>
      </c>
      <c r="M13" s="18" t="inlineStr">
        <is>
          <t>Clinic</t>
        </is>
      </c>
      <c r="N13" s="18" t="inlineStr">
        <is>
          <t>ข้อ 11 ชุด 1 (เฉลยข้อ ค ง)</t>
        </is>
      </c>
      <c r="O13" s="18" t="inlineStr">
        <is>
          <t>Mock</t>
        </is>
      </c>
      <c r="P13" s="18" t="inlineStr">
        <is>
          <t>ชุด 1</t>
        </is>
      </c>
    </row>
    <row r="14">
      <c r="A14" s="15" t="inlineStr">
        <is>
          <t>12</t>
        </is>
      </c>
      <c r="B14" s="18" t="inlineStr">
        <is>
          <t>จากข้อที่ 11 หมวดต่ออาหารใดที่พบแร่ธาตุ วิตามินเหล่านั้นมากที่สุด</t>
        </is>
      </c>
      <c r="C14" s="18" t="inlineStr"/>
      <c r="D14" s="18" t="inlineStr">
        <is>
          <t>เนื้อสัตว์, อาหารทะเล, เครื่องใน</t>
        </is>
      </c>
      <c r="E14" s="18" t="inlineStr">
        <is>
          <t>ปลาตัวเล็กตัวน้อย, ผักบร็อคโคลี่, กล้วย</t>
        </is>
      </c>
      <c r="F14" s="18" t="inlineStr">
        <is>
          <t>ธัญพืช, ถั่วเหลือง, โยเกิร์ต</t>
        </is>
      </c>
      <c r="G14" s="18" t="inlineStr">
        <is>
          <t>ชาเขียว, โสม, Co-enzyme Q10</t>
        </is>
      </c>
      <c r="H14" s="18" t="inlineStr">
        <is>
          <t>น้ำมันตับปลา, น้ำมันปลา, ปลา</t>
        </is>
      </c>
      <c r="I14" s="15" t="inlineStr">
        <is>
          <t>2</t>
        </is>
      </c>
      <c r="J14" s="18"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ข้อนี้ไม่ใช่คำตอบที่ถูกต้องสำหรับภาวะ Clinical Nutrition เนื่องจากกลไกการออกฤทธิ์, efficacy หรือข้อบ่งใช้ไม่ตรงกับโจทย์ที่กำหนด
• ข้อ ค. (ธัญพืช, ถั่วเหลือง, โยเกิร์ต): ข้อนี้ไม่ใช่คำตอบที่ถูกต้องสำหรับภาวะ Clinical Nutrition เนื่องจากกลไกการออกฤทธิ์, efficacy หรือข้อบ่งใช้ไม่ตรงกับโจทย์ที่กำหนด
• ข้อ ง. (ชาเขียว, โสม, Co-enzyme Q10): ข้อนี้ไม่ใช่คำตอบที่ถูกต้องสำหรับภาวะ Clinical Nutrition เนื่องจากกลไกการออกฤทธิ์, efficacy หรือข้อบ่งใช้ไม่ตรงกับโจทย์ที่กำหนด
• ข้อ จ. (น้ำมันตับปลา, น้ำมันปลา, ปลา):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18" t="inlineStr"/>
      <c r="L14" s="18" t="inlineStr">
        <is>
          <t>Clinical Nutrition</t>
        </is>
      </c>
      <c r="M14" s="18" t="inlineStr">
        <is>
          <t>Clinic</t>
        </is>
      </c>
      <c r="N14" s="18" t="inlineStr">
        <is>
          <t>ข้อ 12 ชุด 1 (เฉลยข้อ ข)</t>
        </is>
      </c>
      <c r="O14" s="18" t="inlineStr">
        <is>
          <t>Mock</t>
        </is>
      </c>
      <c r="P14" s="18" t="inlineStr">
        <is>
          <t>ชุด 1</t>
        </is>
      </c>
    </row>
    <row r="15">
      <c r="A15" s="15" t="inlineStr">
        <is>
          <t>13</t>
        </is>
      </c>
      <c r="B15" s="18" t="inlineStr">
        <is>
          <t>ข้อใด ไม่ใช่ข้อควรปฏิบัติในการรับประทานวิตามิน อาหารเสริม</t>
        </is>
      </c>
      <c r="C15" s="18" t="inlineStr"/>
      <c r="D15" s="18" t="inlineStr">
        <is>
          <t>ออกกำลังกายอย่างต่อเนื่อง อย่างน้อย 30 นาทีทุกวัน</t>
        </is>
      </c>
      <c r="E15" s="18" t="inlineStr">
        <is>
          <t>ดื่มน้ำบริสุทธิ์ ปริมาณ 2 ลิตร ต่อวัน</t>
        </is>
      </c>
      <c r="F15" s="18" t="inlineStr">
        <is>
          <t>ควรรับประทานหลังมื้ออาหารหรือพร้อมมื้ออาหาร</t>
        </is>
      </c>
      <c r="G15" s="18" t="inlineStr">
        <is>
          <t>การรับประทานช่วงเวลาก่อนนอนเหมาะสำหรับวิตามินและแร่ธาตุที่บำรุงผิว</t>
        </is>
      </c>
      <c r="H15" s="18" t="inlineStr">
        <is>
          <t>ควรรับประทานผักใบเขียว, ผลไม้ควบคู่ทุกวัน</t>
        </is>
      </c>
      <c r="I15" s="15" t="inlineStr">
        <is>
          <t>4</t>
        </is>
      </c>
      <c r="J15" s="18"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ข้อนี้ไม่ใช่คำตอบที่ถูกต้องสำหรับภาวะ Clinical Nutrition เนื่องจากกลไกการออกฤทธิ์, efficacy หรือข้อบ่งใช้ไม่ตรงกับโจทย์ที่กำหนด
• ข้อ ข. (ดื่มน้ำบริสุทธิ์ ปริมาณ 2 ลิตร ต่อวัน): ข้อนี้ไม่ใช่คำตอบที่ถูกต้องสำหรับภาวะ Clinical Nutrition เนื่องจากกลไกการออกฤทธิ์, efficacy หรือข้อบ่งใช้ไม่ตรงกับโจทย์ที่กำหนด
• ข้อ ค. (ควรรับประทานหลังมื้ออาหารหรือพร้อมมื้ออาหาร): ข้อนี้ไม่ใช่คำตอบที่ถูกต้องสำหรับภาวะ Clinical Nutrition เนื่องจากกลไกการออกฤทธิ์, efficacy หรือข้อบ่งใช้ไม่ตรงกับโจทย์ที่กำหนด
• ข้อ จ. (ควรรับประทานผักใบเขียว, ผลไม้ควบคู่ทุกวัน):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8" t="inlineStr"/>
      <c r="L15" s="18" t="inlineStr">
        <is>
          <t>Clinical Nutrition</t>
        </is>
      </c>
      <c r="M15" s="18" t="inlineStr">
        <is>
          <t>Clinic</t>
        </is>
      </c>
      <c r="N15" s="18" t="inlineStr">
        <is>
          <t>ข้อ 13 ชุด 1 (เฉลยข้อ ง)</t>
        </is>
      </c>
      <c r="O15" s="18" t="inlineStr">
        <is>
          <t>Mock</t>
        </is>
      </c>
      <c r="P15" s="18" t="inlineStr">
        <is>
          <t>ชุด 1</t>
        </is>
      </c>
    </row>
    <row r="16">
      <c r="A16" s="15" t="inlineStr">
        <is>
          <t>14</t>
        </is>
      </c>
      <c r="B16" s="18" t="inlineStr">
        <is>
          <t>ผู้ป่วยอายุ 2 ขวบ หนัก 10 kg สูง 90 cm กินแต่มาม่า
ผู้ป่วยมี actual BW เป็นกี่เปอร์เซ็นต์ ของ IDW (IDW=(Ht²(cm²)x1.65)/1000)</t>
        </is>
      </c>
      <c r="C16" s="18" t="inlineStr"/>
      <c r="D16" s="15" t="inlineStr">
        <is>
          <t>65%</t>
        </is>
      </c>
      <c r="E16" s="15" t="inlineStr">
        <is>
          <t>70%</t>
        </is>
      </c>
      <c r="F16" s="15" t="inlineStr">
        <is>
          <t>75%</t>
        </is>
      </c>
      <c r="G16" s="15" t="inlineStr">
        <is>
          <t>80%</t>
        </is>
      </c>
      <c r="H16" s="15" t="inlineStr">
        <is>
          <t>135%</t>
        </is>
      </c>
      <c r="I16" s="15" t="inlineStr">
        <is>
          <t>3</t>
        </is>
      </c>
      <c r="J16" s="18"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ข้อนี้ไม่ใช่คำตอบที่ถูกต้องสำหรับภาวะ Clinical Nutrition เนื่องจากกลไกการออกฤทธิ์, efficacy หรือข้อบ่งใช้ไม่ตรงกับโจทย์ที่กำหนด
• ข้อ ข. (70%): ข้อนี้ไม่ใช่คำตอบที่ถูกต้องสำหรับภาวะ Clinical Nutrition เนื่องจากกลไกการออกฤทธิ์, efficacy หรือข้อบ่งใช้ไม่ตรงกับโจทย์ที่กำหนด
• ข้อ ง. (80%): ข้อนี้ไม่ใช่คำตอบที่ถูกต้องสำหรับภาวะ Clinical Nutrition เนื่องจากกลไกการออกฤทธิ์, efficacy หรือข้อบ่งใช้ไม่ตรงกับโจทย์ที่กำหนด
• ข้อ จ. (135%):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8" t="inlineStr"/>
      <c r="L16" s="18" t="inlineStr">
        <is>
          <t>Clinical Nutrition</t>
        </is>
      </c>
      <c r="M16" s="18" t="inlineStr">
        <is>
          <t>Clinic</t>
        </is>
      </c>
      <c r="N16" s="18" t="inlineStr">
        <is>
          <t>ข้อ 14 ชุด 1 (เฉลยข้อ ค)</t>
        </is>
      </c>
      <c r="O16" s="18" t="inlineStr">
        <is>
          <t>Mock</t>
        </is>
      </c>
      <c r="P16" s="18" t="inlineStr">
        <is>
          <t>ชุด 1</t>
        </is>
      </c>
    </row>
    <row r="17">
      <c r="A17" s="15" t="inlineStr">
        <is>
          <t>15</t>
        </is>
      </c>
      <c r="B17" s="18" t="inlineStr">
        <is>
          <t>ผู้ป่วยอายุ 2 ขวบ หนัก 10 kg สูง 90 cm กินแต่มาม่า
ผู้ป่วยรายนี้ไม่ต้องอาศัยข้อมูลใด ในการประเมินความเจริญเติบโต (growth velocity)</t>
        </is>
      </c>
      <c r="C17" s="18" t="inlineStr"/>
      <c r="D17" s="18" t="inlineStr">
        <is>
          <t>อายุ</t>
        </is>
      </c>
      <c r="E17" s="18" t="inlineStr">
        <is>
          <t>บันทึกน้ำหนัก รายเดือน</t>
        </is>
      </c>
      <c r="F17" s="18" t="inlineStr">
        <is>
          <t>บันทึกส่วนสูงรายเดือน</t>
        </is>
      </c>
      <c r="G17" s="18" t="inlineStr">
        <is>
          <t>ค่ามาตรฐานการเจริญเติบโต</t>
        </is>
      </c>
      <c r="H17" s="18" t="inlineStr">
        <is>
          <t>ความต้องการพลังงานต่อวัน</t>
        </is>
      </c>
      <c r="I17" s="15" t="inlineStr">
        <is>
          <t>5</t>
        </is>
      </c>
      <c r="J17" s="18"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ข้อนี้ไม่ใช่คำตอบที่ถูกต้องสำหรับภาวะ Clinical Nutrition เนื่องจากกลไกการออกฤทธิ์, efficacy หรือข้อบ่งใช้ไม่ตรงกับโจทย์ที่กำหนด
• ข้อ ข. (บันทึกน้ำหนัก 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ค. (บันทึกส่วนสูงรายเดือน):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ง. (ค่ามาตรฐานการเจริญเติบโต):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8" t="inlineStr"/>
      <c r="L17" s="18" t="inlineStr">
        <is>
          <t>Clinical Nutrition</t>
        </is>
      </c>
      <c r="M17" s="18" t="inlineStr">
        <is>
          <t>Clinic</t>
        </is>
      </c>
      <c r="N17" s="18" t="inlineStr">
        <is>
          <t>ข้อ 15 ชุด 1 (เฉลยข้อ จ)</t>
        </is>
      </c>
      <c r="O17" s="18" t="inlineStr">
        <is>
          <t>Mock</t>
        </is>
      </c>
      <c r="P17" s="18" t="inlineStr">
        <is>
          <t>ชุด 1</t>
        </is>
      </c>
    </row>
    <row r="18">
      <c r="A18" s="15" t="inlineStr">
        <is>
          <t>16</t>
        </is>
      </c>
      <c r="B18" s="18" t="inlineStr">
        <is>
          <t>บุคคลที่รับประทานอาหารมังสวิรัติมีโอกาสขาดเหล็กได้เนื่องจาก</t>
        </is>
      </c>
      <c r="C18" s="18" t="inlineStr"/>
      <c r="D18" s="18" t="inlineStr">
        <is>
          <t>ในอาหารมังสวิรัติเหล็กในรูป heme-iron มาก</t>
        </is>
      </c>
      <c r="E18" s="18" t="inlineStr">
        <is>
          <t>สาร phytate ในอาหารรบกวนการดูดซึมเหล็ก</t>
        </is>
      </c>
      <c r="F18" s="18" t="inlineStr">
        <is>
          <t>เหล็กจะพบได้จากอาหารที่มาจากเนื้อสัตว์เท่านั้น</t>
        </is>
      </c>
      <c r="G18" s="18" t="inlineStr">
        <is>
          <t>วิตามินซีจากผัก+ผลไม้ลดการดูดซึมเหล็ก</t>
        </is>
      </c>
      <c r="H18" s="18" t="inlineStr">
        <is>
          <t>Renal Enteral Formula (High calorie, Low electrolyte)</t>
        </is>
      </c>
      <c r="I18" s="15" t="inlineStr">
        <is>
          <t>3</t>
        </is>
      </c>
      <c r="J18" s="18"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ข้อนี้ไม่ใช่คำตอบที่ถูกต้องสำหรับภาวะ Clinical Nutrition เนื่องจากกลไกการออกฤทธิ์, efficacy หรือข้อบ่งใช้ไม่ตรงกับโจทย์ที่กำหนด
• ข้อ ข. (สาร phytate ในอาหารรบกวนการดูดซึมเหล็ก):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ง. (วิตามินซีจากผัก+ผลไม้ลดการดูดซึมเหล็ก):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จ.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8" t="inlineStr"/>
      <c r="L18" s="18" t="inlineStr">
        <is>
          <t>Clinical Nutrition</t>
        </is>
      </c>
      <c r="M18" s="18" t="inlineStr">
        <is>
          <t>Clinic</t>
        </is>
      </c>
      <c r="N18" s="18" t="inlineStr">
        <is>
          <t>ข้อ 16 ชุด 1 (เฉลยข้อ ค)</t>
        </is>
      </c>
      <c r="O18" s="18" t="inlineStr">
        <is>
          <t>Mock</t>
        </is>
      </c>
      <c r="P18" s="18" t="inlineStr">
        <is>
          <t>ชุด 1</t>
        </is>
      </c>
    </row>
    <row r="19">
      <c r="A19" s="15" t="inlineStr">
        <is>
          <t>17</t>
        </is>
      </c>
      <c r="B19" s="18" t="inlineStr">
        <is>
          <t>เกลือแร่ในข้อใดผิด</t>
        </is>
      </c>
      <c r="C19" s="18" t="inlineStr"/>
      <c r="D19" s="18" t="inlineStr">
        <is>
          <t>ถ้าขาดสังกะสีจะทำให้อาการอวัยวะเพศไม่เติบโตตามวัยและแผลหายช้า</t>
        </is>
      </c>
      <c r="E19" s="18" t="inlineStr">
        <is>
          <t>ควรเสริมไอโอดีนแก่เด็กที่ป้องกันฟันผุ โดยให้ผสมกับน้ำความเข้มข้น 1 ต่อล้าน</t>
        </is>
      </c>
      <c r="F19" s="18" t="inlineStr">
        <is>
          <t>แคลเซียมและฟอสฟอรัสเป็นเกลือแร่ที่สำคัญ เป็นส่วนประกอบของกระดูกและฟัน</t>
        </is>
      </c>
      <c r="G19" s="18" t="inlineStr">
        <is>
          <t>ถ้าขาดทองแดงจะทำให้เป็นโรคโลหิตจาง</t>
        </is>
      </c>
      <c r="H19" s="18" t="inlineStr">
        <is>
          <t>ถ้าขาดไอโอดีนทำให้เป็นโรคคอพอก</t>
        </is>
      </c>
      <c r="I19" s="15" t="inlineStr">
        <is>
          <t>2</t>
        </is>
      </c>
      <c r="J19" s="18"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ข้อนี้ไม่ใช่คำตอบที่ถูกต้องสำหรับภาวะ Clinical Nutrition เนื่องจากกลไกการออกฤทธิ์, efficacy หรือข้อบ่งใช้ไม่ตรงกับโจทย์ที่กำหนด
• ข้อ ค. (แคลเซียมและฟอสฟอรัสเป็นเกลือแร่ที่สำคัญ เป็นส่วนประกอบของกระดูกและฟัน): ข้อนี้ไม่ใช่คำตอบที่ถูกต้องสำหรับภาวะ Clinical Nutrition เนื่องจากกลไกการออกฤทธิ์, efficacy หรือข้อบ่งใช้ไม่ตรงกับโจทย์ที่กำหนด
• ข้อ ง. (ถ้าขาดทองแดงจะทำให้เป็นโรคโลหิตจาง): ข้อนี้ไม่ใช่คำตอบที่ถูกต้องสำหรับภาวะ Clinical Nutrition เนื่องจากกลไกการออกฤทธิ์, efficacy หรือข้อบ่งใช้ไม่ตรงกับโจทย์ที่กำหนด
• ข้อ จ. (ถ้าขาดไอโอดีนทำให้เป็นโรคคอพอก):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8" t="inlineStr"/>
      <c r="L19" s="18" t="inlineStr">
        <is>
          <t>Clinical Nutrition</t>
        </is>
      </c>
      <c r="M19" s="18" t="inlineStr">
        <is>
          <t>Clinic</t>
        </is>
      </c>
      <c r="N19" s="18" t="inlineStr">
        <is>
          <t>ข้อ 17 ชุด 1 (เฉลยข้อ ข)</t>
        </is>
      </c>
      <c r="O19" s="18" t="inlineStr">
        <is>
          <t>Mock</t>
        </is>
      </c>
      <c r="P19" s="18" t="inlineStr">
        <is>
          <t>ชุด 1</t>
        </is>
      </c>
    </row>
    <row r="20">
      <c r="A20" s="15" t="inlineStr">
        <is>
          <t>18</t>
        </is>
      </c>
      <c r="B20" s="18" t="inlineStr">
        <is>
          <t>ผู้ป่วยที่มีอาการอ่อนเพลีย ใจสั่น ซีด เหนื่อยง่าย เล็บโค้งคล้ายช้อน ผู้ป่วยนั้นขาดสารอาหาร</t>
        </is>
      </c>
      <c r="C20" s="18" t="inlineStr"/>
      <c r="D20" s="18" t="inlineStr">
        <is>
          <t>Zinc</t>
        </is>
      </c>
      <c r="E20" s="18" t="inlineStr">
        <is>
          <t>Vit E</t>
        </is>
      </c>
      <c r="F20" s="18" t="inlineStr">
        <is>
          <t>Vit B1</t>
        </is>
      </c>
      <c r="G20" s="18" t="inlineStr">
        <is>
          <t>Iron</t>
        </is>
      </c>
      <c r="H20" s="18" t="inlineStr">
        <is>
          <t>Vit C</t>
        </is>
      </c>
      <c r="I20" s="15" t="inlineStr">
        <is>
          <t>4</t>
        </is>
      </c>
      <c r="J20" s="18"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ข้อนี้ไม่ใช่คำตอบที่ถูกต้องสำหรับภาวะ Clinical Nutrition เนื่องจากกลไกการออกฤทธิ์, efficacy หรือข้อบ่งใช้ไม่ตรงกับโจทย์ที่กำหนด
• ข้อ ข. (Vit E): ข้อนี้ไม่ใช่คำตอบที่ถูกต้องสำหรับภาวะ Clinical Nutrition เนื่องจากกลไกการออกฤทธิ์, efficacy หรือข้อบ่งใช้ไม่ตรงกับโจทย์ที่กำหนด
• ข้อ ค. (Vit B1): ข้อนี้ไม่ใช่คำตอบที่ถูกต้องสำหรับภาวะ Clinical Nutrition เนื่องจากกลไกการออกฤทธิ์, efficacy หรือข้อบ่งใช้ไม่ตรงกับโจทย์ที่กำหนด
• ข้อ จ. (Vit 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8" t="inlineStr"/>
      <c r="L20" s="18" t="inlineStr">
        <is>
          <t>Clinical Nutrition</t>
        </is>
      </c>
      <c r="M20" s="18" t="inlineStr">
        <is>
          <t>Clinic</t>
        </is>
      </c>
      <c r="N20" s="18" t="inlineStr">
        <is>
          <t>ข้อ 18 ชุด 1 (เฉลยข้อ ง)</t>
        </is>
      </c>
      <c r="O20" s="18" t="inlineStr">
        <is>
          <t>Mock</t>
        </is>
      </c>
      <c r="P20" s="18" t="inlineStr">
        <is>
          <t>ชุด 1</t>
        </is>
      </c>
    </row>
    <row r="21">
      <c r="A21" s="15" t="inlineStr">
        <is>
          <t>19</t>
        </is>
      </c>
      <c r="B21" s="18" t="inlineStr">
        <is>
          <t>ผู้ป่วยได้รับยา MAOI เมื่อรับประทานปลาร้าหรือเนยแข็งอาจเกิด acute hypertension เนื่องจากอาหารนี้มีสารอาหารพวก</t>
        </is>
      </c>
      <c r="C21" s="18" t="inlineStr"/>
      <c r="D21" s="18" t="inlineStr">
        <is>
          <t>Tyramine</t>
        </is>
      </c>
      <c r="E21" s="18" t="inlineStr">
        <is>
          <t>Glutamine</t>
        </is>
      </c>
      <c r="F21" s="18" t="inlineStr">
        <is>
          <t>Phanalzine</t>
        </is>
      </c>
      <c r="G21" s="18" t="inlineStr">
        <is>
          <t>Tyrosine</t>
        </is>
      </c>
      <c r="H21" s="18" t="inlineStr">
        <is>
          <t>Phenylalanine</t>
        </is>
      </c>
      <c r="I21" s="15" t="inlineStr">
        <is>
          <t>1</t>
        </is>
      </c>
      <c r="J21" s="18"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ข้อนี้ไม่ใช่คำตอบที่ถูกต้องสำหรับภาวะ Clinical Nutrition เนื่องจากกลไกการออกฤทธิ์, efficacy หรือข้อบ่งใช้ไม่ตรงกับโจทย์ที่กำหนด
• ข้อ ค. (Phanalzine): ข้อนี้ไม่ใช่คำตอบที่ถูกต้องสำหรับภาวะ Clinical Nutrition เนื่องจากกลไกการออกฤทธิ์, efficacy หรือข้อบ่งใช้ไม่ตรงกับโจทย์ที่กำหนด
• ข้อ ง. (Tyrosine): ข้อนี้ไม่ใช่คำตอบที่ถูกต้องสำหรับภาวะ Clinical Nutrition เนื่องจากกลไกการออกฤทธิ์, efficacy หรือข้อบ่งใช้ไม่ตรงกับโจทย์ที่กำหนด
• ข้อ จ. (Phenylalanine): ข้อนี้ไม่ใช่คำตอบที่ถูกต้องสำหรับภาวะ Clinical Nutrition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18" t="inlineStr"/>
      <c r="L21" s="18" t="inlineStr">
        <is>
          <t>Clinical Nutrition</t>
        </is>
      </c>
      <c r="M21" s="18" t="inlineStr">
        <is>
          <t>Clinic</t>
        </is>
      </c>
      <c r="N21" s="18" t="inlineStr">
        <is>
          <t>ข้อ 19 ชุด 1 (เฉลยข้อ ก)</t>
        </is>
      </c>
      <c r="O21" s="18" t="inlineStr">
        <is>
          <t>Mock</t>
        </is>
      </c>
      <c r="P21" s="18" t="inlineStr">
        <is>
          <t>ชุด 1</t>
        </is>
      </c>
    </row>
    <row r="22">
      <c r="A22" s="15" t="inlineStr">
        <is>
          <t>20</t>
        </is>
      </c>
      <c r="B22" s="18" t="inlineStr">
        <is>
          <t>น้ำมันปลากินไปนานๆแล้วเป็นอย่างไร</t>
        </is>
      </c>
      <c r="C22" s="18" t="inlineStr"/>
      <c r="D22" s="18" t="inlineStr">
        <is>
          <t>ปวดหัว</t>
        </is>
      </c>
      <c r="E22" s="18" t="inlineStr">
        <is>
          <t>ท้องเสีย</t>
        </is>
      </c>
      <c r="F22" s="18" t="inlineStr">
        <is>
          <t>ตาพร่ามัว</t>
        </is>
      </c>
      <c r="G22" s="18" t="inlineStr">
        <is>
          <t>มวลกระดูกเพิ่มขึ้น</t>
        </is>
      </c>
      <c r="H22" s="18" t="inlineStr">
        <is>
          <t>ระยะเวลาการแข็งตัวของเลือดยาวนานขึ้น</t>
        </is>
      </c>
      <c r="I22" s="15" t="inlineStr">
        <is>
          <t>5</t>
        </is>
      </c>
      <c r="J22" s="18"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ข้อนี้ไม่ใช่คำตอบที่ถูกต้องสำหรับภาวะ Clinical Nutrition เนื่องจากกลไกการออกฤทธิ์, efficacy หรือข้อบ่งใช้ไม่ตรงกับโจทย์ที่กำหนด
• ข้อ ข. (ท้องเสีย): ข้อนี้ไม่ใช่คำตอบที่ถูกต้องสำหรับภาวะ Clinical Nutrition เนื่องจากกลไกการออกฤทธิ์, efficacy หรือข้อบ่งใช้ไม่ตรงกับโจทย์ที่กำหนด
• ข้อ ค. (ตาพร่ามัว): ข้อนี้ไม่ใช่คำตอบที่ถูกต้องสำหรับภาวะ Clinical Nutrition เนื่องจากกลไกการออกฤทธิ์, efficacy หรือข้อบ่งใช้ไม่ตรงกับโจทย์ที่กำหนด
• ข้อ ง. (มวลกระดูกเพิ่มขึ้น):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8" t="inlineStr"/>
      <c r="L22" s="18" t="inlineStr">
        <is>
          <t>Clinical Nutrition</t>
        </is>
      </c>
      <c r="M22" s="18" t="inlineStr">
        <is>
          <t>Clinic</t>
        </is>
      </c>
      <c r="N22" s="18" t="inlineStr">
        <is>
          <t>ข้อ 20 ชุด 1 (เฉลยข้อ จ)</t>
        </is>
      </c>
      <c r="O22" s="18" t="inlineStr">
        <is>
          <t>Mock</t>
        </is>
      </c>
      <c r="P22" s="18" t="inlineStr">
        <is>
          <t>ชุด 1</t>
        </is>
      </c>
    </row>
    <row r="23">
      <c r="A23" s="15" t="inlineStr">
        <is>
          <t>21</t>
        </is>
      </c>
      <c r="B23" s="18" t="inlineStr">
        <is>
          <t>รูปแบบของวิตามินดี ที_x001e_พร้อมออกฤทธิAคือข้อใด (1) 1,25-dihydroxycholecalciferol (2) 1-hydroxycholecalciferol (3) 25-hydroxycholecalciferol (4) Cholecalciferol (5) Calcifediol</t>
        </is>
      </c>
      <c r="C23" s="18" t="inlineStr"/>
      <c r="D23" s="18" t="inlineStr">
        <is>
          <t>Total Parenteral Nutrition (TPN) 2-in-1 formula</t>
        </is>
      </c>
      <c r="E23" s="18" t="inlineStr">
        <is>
          <t>Total Nutrient Admixture (TNA) 3-in-1 formula</t>
        </is>
      </c>
      <c r="F23" s="18" t="inlineStr">
        <is>
          <t>Standard Polymeric Enteral Feeding formula (1 kcal/mL)</t>
        </is>
      </c>
      <c r="G23" s="18" t="inlineStr">
        <is>
          <t>Renal Enteral Formula (High calorie, Low electrolyte)</t>
        </is>
      </c>
      <c r="H23" s="18" t="inlineStr">
        <is>
          <t>Diabetic Enteral Formula (Low GI, High MUFA)</t>
        </is>
      </c>
      <c r="I23" s="15" t="inlineStr">
        <is>
          <t>1</t>
        </is>
      </c>
      <c r="J23" s="18" t="inlineStr">
        <is>
          <t>✅ คำตอบที่ถูกต้อง: ข้อ ก. Total Parenteral Nutrition (TPN) 2-in-1 formula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Total Parenteral Nutrition (TPN) 2-in-1 formula การเลือก Total Parenteral Nutrition (TPN) 2-in-1 formula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(Total Nutrient Admixture (TNA) 3-in-1 formula): ข้อนี้ไม่ใช่คำตอบที่ถูกต้องสำหรับภาวะ Clinical Nutrition เนื่องจากกลไกการออกฤทธิ์, efficacy หรือข้อบ่งใช้ไม่ตรงกับโจทย์ที่กำหนด
• ข้อ ค. (Standard Polymeric Enteral Feeding formula (1 kcal/mL)): ข้อนี้ไม่ใช่คำตอบที่ถูกต้องสำหรับภาวะ Clinical Nutrition เนื่องจากกลไกการออกฤทธิ์, efficacy หรือข้อบ่งใช้ไม่ตรงกับโจทย์ที่กำหนด
• ข้อ ง.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ข้อ จ.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18" t="inlineStr"/>
      <c r="L23" s="18" t="inlineStr">
        <is>
          <t>Clinical Nutrition</t>
        </is>
      </c>
      <c r="M23" s="18" t="inlineStr">
        <is>
          <t>Clinic</t>
        </is>
      </c>
      <c r="N23" s="18" t="inlineStr">
        <is>
          <t>ข้อ 49 (PLE_CC1_2557.md)</t>
        </is>
      </c>
      <c r="O23" s="18" t="inlineStr">
        <is>
          <t>ข้อสอบจริง</t>
        </is>
      </c>
      <c r="P23" s="18" t="inlineStr">
        <is>
          <t>ปี 2557</t>
        </is>
      </c>
    </row>
    <row r="24">
      <c r="A24" s="15" t="inlineStr">
        <is>
          <t>22</t>
        </is>
      </c>
      <c r="B24" s="18" t="inlineStr">
        <is>
          <t>การจ่ายยาชุดวิตามินรวม ให้เจ้าของสุนัขโดยผู้ช่วยสัตวแพทย์</t>
        </is>
      </c>
      <c r="C24" s="18" t="inlineStr"/>
      <c r="D24" s="18" t="inlineStr">
        <is>
          <t>Renal Enteral Formula (High calorie, Low electrolyte)</t>
        </is>
      </c>
      <c r="E24" s="18" t="inlineStr">
        <is>
          <t>Diabetic Enteral Formula (Low GI, High MUFA)</t>
        </is>
      </c>
      <c r="F24" s="18" t="inlineStr">
        <is>
          <t>Hepatic Enteral Formula with High BCAA</t>
        </is>
      </c>
      <c r="G24" s="18" t="inlineStr">
        <is>
          <t>Electrolyte &amp; Osmolarity adjustment for Peripheral Parenteral Nutrition (&lt;900 mOsm/L)</t>
        </is>
      </c>
      <c r="H24" s="18" t="inlineStr">
        <is>
          <t>Total Parenteral Nutrition (TPN) 2-in-1 formula</t>
        </is>
      </c>
      <c r="I24" s="15" t="inlineStr">
        <is>
          <t>1</t>
        </is>
      </c>
      <c r="J24" s="18" t="inlineStr">
        <is>
          <t>✅ คำตอบที่ถูกต้อง: ข้อ ก. Renal Enteral Formula (High calorie, Low electrolyte)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Renal Enteral Formula (High calorie, Low electrolyte) การเลือก Renal Enteral Formula (High calorie, Low electrolyte)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ข้อ ค. (Hepatic Enteral Formula with High BCAA): ข้อนี้ไม่ใช่คำตอบที่ถูกต้องสำหรับภาวะ Clinical Nutrition เนื่องจากกลไกการออกฤทธิ์, efficacy หรือข้อบ่งใช้ไม่ตรงกับโจทย์ที่กำหนด
• ข้อ ง. (Electrolyte &amp; Osmolarity adjustment for Peripheral Parenteral Nutrition (&lt;900 mOsm/L)): ข้อนี้ไม่ใช่คำตอบที่ถูกต้องสำหรับภาวะ Clinical Nutrition เนื่องจากกลไกการออกฤทธิ์, efficacy หรือข้อบ่งใช้ไม่ตรงกับโจทย์ที่กำหนด
• ข้อ จ. (Total Parenteral Nutrition (TPN) 2-in-1 formula):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18" t="inlineStr"/>
      <c r="L24" s="18" t="inlineStr">
        <is>
          <t>Clinical Nutrition</t>
        </is>
      </c>
      <c r="M24" s="18" t="inlineStr">
        <is>
          <t>Clinic</t>
        </is>
      </c>
      <c r="N24" s="18" t="inlineStr">
        <is>
          <t>ข้อ 2 (PLE_CC1_Key_Rx20_UBU.md)</t>
        </is>
      </c>
      <c r="O24" s="18" t="inlineStr">
        <is>
          <t>Mock</t>
        </is>
      </c>
      <c r="P24" s="18" t="inlineStr">
        <is>
          <t>Mock Rx20 UBU</t>
        </is>
      </c>
    </row>
    <row r="25">
      <c r="A25" s="15" t="inlineStr">
        <is>
          <t>23</t>
        </is>
      </c>
      <c r="B25" s="18" t="inlineStr">
        <is>
          <t>วิตามินใดที่ใช$ในการปนองกันอาการชาของผู$ป&amp;วย</t>
        </is>
      </c>
      <c r="C25" s="18" t="inlineStr"/>
      <c r="D25" s="18" t="inlineStr">
        <is>
          <t>Thaimine</t>
        </is>
      </c>
      <c r="E25" s="18" t="inlineStr">
        <is>
          <t>Pyridoxine</t>
        </is>
      </c>
      <c r="F25" s="18" t="inlineStr">
        <is>
          <t>Riboﬂavin</t>
        </is>
      </c>
      <c r="G25" s="18" t="inlineStr">
        <is>
          <t>Cyanocobalamine</t>
        </is>
      </c>
      <c r="H25" s="18" t="inlineStr">
        <is>
          <t>Niclotinamide</t>
        </is>
      </c>
      <c r="I25" s="15" t="inlineStr">
        <is>
          <t>2</t>
        </is>
      </c>
      <c r="J25" s="18" t="inlineStr">
        <is>
          <t>✅ คำตอบที่ถูกต้อง: ข้อ ข. Pyridoxine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Pyridoxine การเลือก Pyridoxine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ก. (Thaimine): ข้อนี้ไม่ใช่คำตอบที่ถูกต้องสำหรับภาวะ Clinical Nutrition เนื่องจากกลไกการออกฤทธิ์, efficacy หรือข้อบ่งใช้ไม่ตรงกับโจทย์ที่กำหนด
• ข้อ ค. (Riboﬂavin): ข้อนี้ไม่ใช่คำตอบที่ถูกต้องสำหรับภาวะ Clinical Nutrition เนื่องจากกลไกการออกฤทธิ์, efficacy หรือข้อบ่งใช้ไม่ตรงกับโจทย์ที่กำหนด
• ข้อ ง. (Cyanocobalamine): ข้อนี้ไม่ใช่คำตอบที่ถูกต้องสำหรับภาวะ Clinical Nutrition เนื่องจากกลไกการออกฤทธิ์, efficacy หรือข้อบ่งใช้ไม่ตรงกับโจทย์ที่กำหนด
• ข้อ จ. (Niclotinamide):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18" t="inlineStr"/>
      <c r="L25" s="18" t="inlineStr">
        <is>
          <t>Clinical Nutrition</t>
        </is>
      </c>
      <c r="M25" s="18" t="inlineStr">
        <is>
          <t>Clinic</t>
        </is>
      </c>
      <c r="N25" s="18" t="inlineStr">
        <is>
          <t>ข้อ 15 (PLE_CC1_Key_Rx20_UBU.md)</t>
        </is>
      </c>
      <c r="O25" s="18" t="inlineStr">
        <is>
          <t>Mock</t>
        </is>
      </c>
      <c r="P25" s="18" t="inlineStr">
        <is>
          <t>Mock Rx20 UBU</t>
        </is>
      </c>
    </row>
  </sheetData>
  <mergeCells count="1">
    <mergeCell ref="A1:P1"/>
  </mergeCells>
  <pageMargins left="0.75" right="0.75" top="1" bottom="1" header="0.5" footer="0.5"/>
</worksheet>
</file>

<file path=xl/worksheets/sheet40.xml><?xml version="1.0" encoding="utf-8"?>
<worksheet xmlns="http://schemas.openxmlformats.org/spreadsheetml/2006/main">
  <sheetPr>
    <tabColor rgb="FF33994C"/>
    <outlinePr summaryBelow="0" summaryRight="0"/>
    <pageSetUpPr/>
  </sheetPr>
  <dimension ref="A1:Q87"/>
  <sheetViews>
    <sheetView workbookViewId="0">
      <selection activeCell="A1" sqref="A1"/>
    </sheetView>
  </sheetViews>
  <sheetFormatPr baseColWidth="8" defaultColWidth="12.63" defaultRowHeight="15.75" customHeight="1"/>
  <sheetData>
    <row r="1" ht="27" customHeight="1" s="52">
      <c r="A1" s="5">
        <f>HYPERLINK("#gid=0", "🏠 กลับสู่หน้าแรก (Go to Home Page)")</f>
        <v/>
      </c>
    </row>
    <row r="2">
      <c r="A2" s="51" t="inlineStr">
        <is>
          <t>ข้อที่</t>
        </is>
      </c>
      <c r="B2" s="51" t="inlineStr">
        <is>
          <t>คำถาม</t>
        </is>
      </c>
      <c r="C2" s="51" t="inlineStr">
        <is>
          <t>รูปถาม</t>
        </is>
      </c>
      <c r="D2" s="51" t="inlineStr">
        <is>
          <t>ตัวเลือก 1</t>
        </is>
      </c>
      <c r="E2" s="51" t="inlineStr">
        <is>
          <t>ตัวเลือก 2</t>
        </is>
      </c>
      <c r="F2" s="51" t="inlineStr">
        <is>
          <t>ตัวเลือก 3</t>
        </is>
      </c>
      <c r="G2" s="51" t="inlineStr">
        <is>
          <t>ตัวเลือก 4</t>
        </is>
      </c>
      <c r="H2" s="51" t="inlineStr">
        <is>
          <t>ตัวเลือก 5</t>
        </is>
      </c>
      <c r="I2" s="51" t="inlineStr">
        <is>
          <t>เฉลย (ตัวเลข 1-5)</t>
        </is>
      </c>
      <c r="J2" s="51" t="inlineStr">
        <is>
          <t>คำอธิบายเฉลย</t>
        </is>
      </c>
      <c r="K2" s="51" t="inlineStr">
        <is>
          <t>รูปเฉลย</t>
        </is>
      </c>
      <c r="L2" s="51" t="inlineStr">
        <is>
          <t>Filter หมวด/Subtopic</t>
        </is>
      </c>
      <c r="M2" s="51" t="inlineStr">
        <is>
          <t>Product / Clinic</t>
        </is>
      </c>
      <c r="N2" s="51" t="inlineStr">
        <is>
          <t>หมายเหตุ</t>
        </is>
      </c>
      <c r="O2" s="51" t="inlineStr">
        <is>
          <t>ประเภทข้อสอบ</t>
        </is>
      </c>
      <c r="P2" s="51" t="inlineStr">
        <is>
          <t>ปี / เลขชุด</t>
        </is>
      </c>
    </row>
    <row r="3">
      <c r="A3" s="15" t="inlineStr">
        <is>
          <t>2</t>
        </is>
      </c>
      <c r="B3" s="18"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18" t="inlineStr"/>
      <c r="D3" s="18" t="inlineStr">
        <is>
          <t>ระย่อม</t>
        </is>
      </c>
      <c r="E3" s="18" t="inlineStr">
        <is>
          <t>ไพล</t>
        </is>
      </c>
      <c r="F3" s="18" t="inlineStr">
        <is>
          <t>ขมิ้นชัน</t>
        </is>
      </c>
      <c r="G3" s="18" t="inlineStr">
        <is>
          <t>ดอกดึง</t>
        </is>
      </c>
      <c r="H3" s="18" t="inlineStr">
        <is>
          <t>เถาวัลย์เปรียง</t>
        </is>
      </c>
      <c r="I3" s="15" t="inlineStr">
        <is>
          <t>2</t>
        </is>
      </c>
      <c r="J3" s="18"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(ดอกดึง):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18" t="inlineStr"/>
      <c r="L3" s="18" t="inlineStr">
        <is>
          <t>Herbal Extraction methods</t>
        </is>
      </c>
      <c r="M3" s="18" t="inlineStr">
        <is>
          <t>Herbal Medicine &amp; Extract</t>
        </is>
      </c>
      <c r="N3" s="18" t="inlineStr">
        <is>
          <t>Mock PLE-CC 1 ข้อ 12</t>
        </is>
      </c>
      <c r="O3" s="18" t="inlineStr">
        <is>
          <t>Mock</t>
        </is>
      </c>
      <c r="P3" s="18" t="inlineStr">
        <is>
          <t>Mock RxCU83</t>
        </is>
      </c>
      <c r="Q3" s="18" t="inlineStr"/>
    </row>
    <row r="4">
      <c r="A4" s="15" t="inlineStr">
        <is>
          <t>3</t>
        </is>
      </c>
      <c r="B4" s="18"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18" t="inlineStr"/>
      <c r="D4" s="18" t="inlineStr">
        <is>
          <t>ระย่อม</t>
        </is>
      </c>
      <c r="E4" s="18" t="inlineStr">
        <is>
          <t>พริกไทย</t>
        </is>
      </c>
      <c r="F4" s="18" t="inlineStr">
        <is>
          <t>กาแฟ</t>
        </is>
      </c>
      <c r="G4" s="18" t="inlineStr">
        <is>
          <t>โคคา</t>
        </is>
      </c>
      <c r="H4" s="18" t="inlineStr">
        <is>
          <t>เถาวัลย์เปรียง</t>
        </is>
      </c>
      <c r="I4" s="15" t="inlineStr">
        <is>
          <t>1</t>
        </is>
      </c>
      <c r="J4" s="18"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ค.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ง. (กาแฟ): ข้อนี้ไม่ใช่คำตอบที่ถูกต้องสำหรับภาวะ Herbal Extraction methods เนื่องจากกลไกการออกฤทธิ์, efficacy หรือข้อบ่งใช้ไม่ตรงกับโจทย์ที่กำหนด
• ข้อ จ. (โคคา):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18" t="inlineStr"/>
      <c r="L4" s="18" t="inlineStr">
        <is>
          <t>Herbal Extraction methods</t>
        </is>
      </c>
      <c r="M4" s="18" t="inlineStr">
        <is>
          <t>Herbal Medicine &amp; Extract</t>
        </is>
      </c>
      <c r="N4" s="18" t="inlineStr">
        <is>
          <t>Mock PLE-CC 1 ข้อ 24</t>
        </is>
      </c>
      <c r="O4" s="18" t="inlineStr">
        <is>
          <t>Mock</t>
        </is>
      </c>
      <c r="P4" s="18" t="inlineStr">
        <is>
          <t>Mock RxCU83</t>
        </is>
      </c>
      <c r="Q4" s="18" t="inlineStr"/>
    </row>
    <row r="5">
      <c r="A5" s="15" t="inlineStr">
        <is>
          <t>4</t>
        </is>
      </c>
      <c r="B5" s="18"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18" t="inlineStr"/>
      <c r="D5" s="18" t="inlineStr">
        <is>
          <t>Horse Chestnut</t>
        </is>
      </c>
      <c r="E5" s="18" t="inlineStr">
        <is>
          <t>Hawthorn</t>
        </is>
      </c>
      <c r="F5" s="18" t="inlineStr">
        <is>
          <t>Ginkgo</t>
        </is>
      </c>
      <c r="G5" s="18" t="inlineStr">
        <is>
          <t>ฮ่วยฮวย</t>
        </is>
      </c>
      <c r="H5" s="18" t="inlineStr">
        <is>
          <t>St.John's wort</t>
        </is>
      </c>
      <c r="I5" s="15" t="inlineStr">
        <is>
          <t>1</t>
        </is>
      </c>
      <c r="J5" s="18"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ข้อนี้ไม่ใช่คำตอบที่ถูกต้องสำหรับภาวะ Herbal Extraction methods เนื่องจากกลไกการออกฤทธิ์, efficacy หรือข้อบ่งใช้ไม่ตรงกับโจทย์ที่กำหนด
• ข้อ ค. (Hawthorn): ข้อนี้ไม่ใช่คำตอบที่ถูกต้องสำหรับภาวะ Herbal Extraction methods เนื่องจากกลไกการออกฤทธิ์, efficacy หรือข้อบ่งใช้ไม่ตรงกับโจทย์ที่กำหนด
• ข้อ ง. (Ginkgo): ข้อนี้ไม่ใช่คำตอบที่ถูกต้องสำหรับภาวะ Herbal Extraction methods เนื่องจากกลไกการออกฤทธิ์, efficacy หรือข้อบ่งใช้ไม่ตรงกับโจทย์ที่กำหนด
• ข้อ จ. (ฮ่วยฮวย):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18" t="inlineStr"/>
      <c r="L5" s="18" t="inlineStr">
        <is>
          <t>Herbal Extraction methods</t>
        </is>
      </c>
      <c r="M5" s="18" t="inlineStr">
        <is>
          <t>Herbal Medicine &amp; Extract</t>
        </is>
      </c>
      <c r="N5" s="18" t="inlineStr">
        <is>
          <t>Mock PLE-CC 1 ข้อ 25</t>
        </is>
      </c>
      <c r="O5" s="18" t="inlineStr">
        <is>
          <t>Mock</t>
        </is>
      </c>
      <c r="P5" s="18" t="inlineStr">
        <is>
          <t>Mock RxCU83</t>
        </is>
      </c>
      <c r="Q5" s="18" t="inlineStr"/>
    </row>
    <row r="6">
      <c r="A6" s="15" t="inlineStr">
        <is>
          <t>5</t>
        </is>
      </c>
      <c r="B6" s="18" t="inlineStr">
        <is>
          <t>ยาพัฒนาจากสมุนไพรช่วยขับปัสสาวะใด
ที่มีโอกาสเสริมฤทธิ์กับยาลดระดับน ้าตาลในเลือดแบบกินหรือยาฉีดอินซูลิน</t>
        </is>
      </c>
      <c r="C6" s="18" t="inlineStr"/>
      <c r="D6" s="18" t="inlineStr">
        <is>
          <t>ยาหญ้าหนวดแมว</t>
        </is>
      </c>
      <c r="E6" s="18" t="inlineStr">
        <is>
          <t>ยากระเจี๊ยบแดง</t>
        </is>
      </c>
      <c r="F6" s="18" t="inlineStr">
        <is>
          <t>ยารางจืด</t>
        </is>
      </c>
      <c r="G6" s="18" t="inlineStr">
        <is>
          <t>ยาหญ้าปักกิ่ง</t>
        </is>
      </c>
      <c r="H6" s="18" t="inlineStr">
        <is>
          <t>ยาหญ้าดอกขาว</t>
        </is>
      </c>
      <c r="I6" s="15" t="inlineStr">
        <is>
          <t>1</t>
        </is>
      </c>
      <c r="J6" s="18"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ค. (ยากระเจี๊ยบแดง):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ง. (ยารางจืด):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8" t="inlineStr"/>
      <c r="L6" s="18" t="inlineStr">
        <is>
          <t>Herbal Extraction methods</t>
        </is>
      </c>
      <c r="M6" s="18" t="inlineStr">
        <is>
          <t>Herbal Medicine &amp; Extract</t>
        </is>
      </c>
      <c r="N6" s="18" t="inlineStr">
        <is>
          <t>Mock PLE-CC 1 ข้อ 40</t>
        </is>
      </c>
      <c r="O6" s="18" t="inlineStr">
        <is>
          <t>Mock</t>
        </is>
      </c>
      <c r="P6" s="18" t="inlineStr">
        <is>
          <t>Mock RxCU83</t>
        </is>
      </c>
      <c r="Q6" s="18" t="inlineStr"/>
    </row>
    <row r="7">
      <c r="A7" s="15" t="inlineStr">
        <is>
          <t>6</t>
        </is>
      </c>
      <c r="B7" s="18" t="inlineStr">
        <is>
          <t>เริม ใช้ยาสมุนไพรอะไร</t>
        </is>
      </c>
      <c r="C7" s="18" t="inlineStr"/>
      <c r="D7" s="18" t="inlineStr">
        <is>
          <t>ยาพญายอ</t>
        </is>
      </c>
      <c r="E7" s="18" t="inlineStr">
        <is>
          <t>ยาเปลือกมังคุด</t>
        </is>
      </c>
      <c r="F7" s="18" t="inlineStr">
        <is>
          <t>ยาบัวบก</t>
        </is>
      </c>
      <c r="G7" s="18" t="inlineStr">
        <is>
          <t>ยาทิงเจอร์พลู</t>
        </is>
      </c>
      <c r="H7" s="18" t="inlineStr">
        <is>
          <t>ยาทิงเจอร์พลูทองพันชั่ง</t>
        </is>
      </c>
      <c r="I7" s="15" t="inlineStr">
        <is>
          <t>1</t>
        </is>
      </c>
      <c r="J7" s="18"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8" t="inlineStr"/>
      <c r="L7" s="18" t="inlineStr">
        <is>
          <t>Herbal Extraction methods</t>
        </is>
      </c>
      <c r="M7" s="18" t="inlineStr">
        <is>
          <t>Herbal Medicine &amp; Extract</t>
        </is>
      </c>
      <c r="N7" s="18" t="inlineStr">
        <is>
          <t>Mock PLE-CC 1 ข้อ 130</t>
        </is>
      </c>
      <c r="O7" s="18" t="inlineStr">
        <is>
          <t>Mock</t>
        </is>
      </c>
      <c r="P7" s="18" t="inlineStr">
        <is>
          <t>Mock RxCU83</t>
        </is>
      </c>
      <c r="Q7" s="18" t="inlineStr"/>
    </row>
    <row r="8">
      <c r="A8" s="15" t="inlineStr">
        <is>
          <t>7</t>
        </is>
      </c>
      <c r="B8" s="18" t="inlineStr">
        <is>
          <t>ใช้ส่วนของสมุนไพรอะไรในการรักษา</t>
        </is>
      </c>
      <c r="C8" s="18" t="inlineStr"/>
      <c r="D8" s="18" t="inlineStr">
        <is>
          <t>ใบ</t>
        </is>
      </c>
      <c r="E8" s="18" t="inlineStr">
        <is>
          <t>เถา</t>
        </is>
      </c>
      <c r="F8" s="18" t="inlineStr">
        <is>
          <t>ราก</t>
        </is>
      </c>
      <c r="G8" s="18" t="inlineStr">
        <is>
          <t>เมล็ด</t>
        </is>
      </c>
      <c r="H8" s="18" t="inlineStr">
        <is>
          <t>เปลือกผล</t>
        </is>
      </c>
      <c r="I8" s="15" t="inlineStr">
        <is>
          <t>1</t>
        </is>
      </c>
      <c r="J8" s="18"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ข้อนี้ไม่ใช่คำตอบที่ถูกต้องสำหรับภาวะ Herbal Extraction methods เนื่องจากกลไกการออกฤทธิ์, efficacy หรือข้อบ่งใช้ไม่ตรงกับโจทย์ที่กำหนด
• ข้อ ค. (เถา): ข้อนี้ไม่ใช่คำตอบที่ถูกต้องสำหรับภาวะ Herbal Extraction methods เนื่องจากกลไกการออกฤทธิ์, efficacy หรือข้อบ่งใช้ไม่ตรงกับโจทย์ที่กำหนด
• ข้อ ง. (ราก): ข้อนี้ไม่ใช่คำตอบที่ถูกต้องสำหรับภาวะ Herbal Extraction methods เนื่องจากกลไกการออกฤทธิ์, efficacy หรือข้อบ่งใช้ไม่ตรงกับโจทย์ที่กำหนด
• ข้อ จ. (เมล็ด):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8" t="inlineStr"/>
      <c r="L8" s="18" t="inlineStr">
        <is>
          <t>Herbal Extraction methods</t>
        </is>
      </c>
      <c r="M8" s="18" t="inlineStr">
        <is>
          <t>Herbal Medicine &amp; Extract</t>
        </is>
      </c>
      <c r="N8" s="18" t="inlineStr">
        <is>
          <t>Mock PLE-CC 1 ข้อ 131</t>
        </is>
      </c>
      <c r="O8" s="18" t="inlineStr">
        <is>
          <t>Mock</t>
        </is>
      </c>
      <c r="P8" s="18" t="inlineStr">
        <is>
          <t>Mock RxCU83</t>
        </is>
      </c>
      <c r="Q8" s="18" t="inlineStr"/>
    </row>
    <row r="9">
      <c r="A9" s="15" t="inlineStr">
        <is>
          <t>8</t>
        </is>
      </c>
      <c r="B9" s="18" t="inlineStr">
        <is>
          <t>สามารถใช้สมุนไพรใดในการรักษาอาการนอนไม่หลับ ตามบัญชียาสมุนไพรแห่งชาติ ปี 2566</t>
        </is>
      </c>
      <c r="C9" s="18" t="inlineStr"/>
      <c r="D9" s="18" t="inlineStr">
        <is>
          <t>เถาวัลย์เปรียง</t>
        </is>
      </c>
      <c r="E9" s="18" t="inlineStr">
        <is>
          <t>อบเชย</t>
        </is>
      </c>
      <c r="F9" s="18" t="inlineStr">
        <is>
          <t>น้ำมันกัญชาทั้งห้า</t>
        </is>
      </c>
      <c r="G9" s="18" t="inlineStr">
        <is>
          <t>สารสกัดขี้เหล็ก</t>
        </is>
      </c>
      <c r="H9" s="18" t="inlineStr">
        <is>
          <t>ประสะมะแว้ง ปวดกลามเนอ ปวดขอ ลดอกเสบ ขบลม ใชไดแตไมอยในบญชยาหลกแหงชาต ไอ PLE-PC1 Preparation 2567</t>
        </is>
      </c>
      <c r="I9" s="15" t="inlineStr">
        <is>
          <t>1</t>
        </is>
      </c>
      <c r="J9" s="18"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ค. (อบเชย):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(น้ำมันกัญชาทั้งห้า): ข้อนี้ไม่ใช่คำตอบที่ถูกต้องสำหรับภาวะ Herbal Extraction methods เนื่องจากกลไกการออกฤทธิ์, efficacy หรือข้อบ่งใช้ไม่ตรงกับโจทย์ที่กำหนด
• ข้อ จ. (สารสกัดขี้เหล็ก):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8" t="inlineStr"/>
      <c r="L9" s="18" t="inlineStr">
        <is>
          <t>Herbal Extraction methods</t>
        </is>
      </c>
      <c r="M9" s="18" t="inlineStr">
        <is>
          <t>Herbal Medicine &amp; Extract</t>
        </is>
      </c>
      <c r="N9" s="18" t="inlineStr">
        <is>
          <t>PLE_CC1_2567_Key ข้อ 21</t>
        </is>
      </c>
      <c r="O9" s="18" t="inlineStr">
        <is>
          <t>ข้อสอบจริง</t>
        </is>
      </c>
      <c r="P9" s="18" t="inlineStr">
        <is>
          <t>ปี 2567</t>
        </is>
      </c>
      <c r="Q9" s="18" t="inlineStr"/>
    </row>
    <row r="10">
      <c r="A10" s="15" t="inlineStr">
        <is>
          <t>9</t>
        </is>
      </c>
      <c r="B10" s="18"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18" t="inlineStr"/>
      <c r="D10" s="18" t="inlineStr">
        <is>
          <t>ทิงเจอร์ทองพันชั่ง</t>
        </is>
      </c>
      <c r="E10" s="18" t="inlineStr">
        <is>
          <t>โลชั่นเสลดพังพอน</t>
        </is>
      </c>
      <c r="F10" s="18" t="inlineStr">
        <is>
          <t>ทิงเจอร์ไพล</t>
        </is>
      </c>
      <c r="G10" s="18" t="inlineStr">
        <is>
          <t>ครีมใบบัวบก</t>
        </is>
      </c>
      <c r="H10" s="18" t="inlineStr">
        <is>
          <t>ครีมเม็ดน้อยหน่า</t>
        </is>
      </c>
      <c r="I10" s="15" t="inlineStr">
        <is>
          <t>1</t>
        </is>
      </c>
      <c r="J10" s="18"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(โลชั่นเสลดพังพอน):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(ทิงเจอร์ไพล): ข้อนี้ไม่ใช่คำตอบที่ถูกต้องสำหรับภาวะ Herbal Extraction methods เนื่องจากกลไกการออกฤทธิ์, efficacy หรือข้อบ่งใช้ไม่ตรงกับโจทย์ที่กำหนด
• ข้อ จ. (ครีมใบบัวบก):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8" t="inlineStr"/>
      <c r="L10" s="18" t="inlineStr">
        <is>
          <t>Herbal Extraction methods</t>
        </is>
      </c>
      <c r="M10" s="18" t="inlineStr">
        <is>
          <t>Herbal Medicine &amp; Extract</t>
        </is>
      </c>
      <c r="N10" s="18" t="inlineStr">
        <is>
          <t>PLE_CC1_2567_Key ข้อ 42</t>
        </is>
      </c>
      <c r="O10" s="18" t="inlineStr">
        <is>
          <t>ข้อสอบจริง</t>
        </is>
      </c>
      <c r="P10" s="18" t="inlineStr">
        <is>
          <t>ปี 2567</t>
        </is>
      </c>
      <c r="Q10" s="18" t="inlineStr"/>
    </row>
    <row r="11">
      <c r="A11" s="15" t="inlineStr">
        <is>
          <t>10</t>
        </is>
      </c>
      <c r="B11" s="18"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18" t="inlineStr"/>
      <c r="D11" s="18" t="inlineStr">
        <is>
          <t>ให้กินยาจนครบคอร์ส 6-8 เดือน ห้ามหยุดยาเอง ก่อนปรึกษาแพทย์</t>
        </is>
      </c>
      <c r="E11" s="18" t="inlineStr">
        <is>
          <t>ยาอาจทำให้ง่วงซึม หลีกเลี่ยงการขับขี่ยานพาหนะหรือทำงานเครื่องจักร</t>
        </is>
      </c>
      <c r="F11" s="18" t="inlineStr">
        <is>
          <t>หลีกเลี่ยงการออกแดดหรือให้ทาครีมกันแดด เมื่อจำเป็น</t>
        </is>
      </c>
      <c r="G11" s="18" t="inlineStr">
        <is>
          <t>หากมีอาการ ไข้ เจ็บคอ มีแผลในปาก ควรหยุดยาแล้วมาพบแพทย์ทันที</t>
        </is>
      </c>
      <c r="H11" s="18"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15" t="inlineStr">
        <is>
          <t>1</t>
        </is>
      </c>
      <c r="J11" s="18"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ข้อนี้ไม่ใช่คำตอบที่ถูกต้องสำหรับภาวะ Herbal Extraction methods เนื่องจากกลไกการออกฤทธิ์, efficacy หรือข้อบ่งใช้ไม่ตรงกับโจทย์ที่กำหนด
• ข้อ ค. (ยาอาจทำให้ง่วงซึม หลีกเลี่ยงการขับขี่ยานพาหนะหรือทำงานเครื่องจักร): ข้อนี้ไม่ใช่คำตอบที่ถูกต้องสำหรับภาวะ Herbal Extraction methods เนื่องจากกลไกการออกฤทธิ์, efficacy หรือข้อบ่งใช้ไม่ตรงกับโจทย์ที่กำหนด
• ข้อ ง. (หลีกเลี่ยงการออกแดดหรือให้ทาครีมกันแดด เมื่อจำเป็น): ข้อนี้ไม่ใช่คำตอบที่ถูกต้องสำหรับภาวะ Herbal Extraction methods เนื่องจากกลไกการออกฤทธิ์, efficacy หรือข้อบ่งใช้ไม่ตรงกับโจทย์ที่กำหนด
• ข้อ จ. (หากมีอาการ ไข้ เจ็บคอ มีแผลในปาก ควรหยุดยาแล้วมาพบแพทย์ทันที):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18" t="inlineStr"/>
      <c r="L11" s="18" t="inlineStr">
        <is>
          <t>Herbal Extraction methods</t>
        </is>
      </c>
      <c r="M11" s="18" t="inlineStr">
        <is>
          <t>Herbal Medicine &amp; Extract</t>
        </is>
      </c>
      <c r="N11" s="18" t="inlineStr">
        <is>
          <t>PLE_CC1_2567_Key ข้อ 43</t>
        </is>
      </c>
      <c r="O11" s="18" t="inlineStr">
        <is>
          <t>ข้อสอบจริง</t>
        </is>
      </c>
      <c r="P11" s="18" t="inlineStr">
        <is>
          <t>ปี 2567</t>
        </is>
      </c>
      <c r="Q11" s="18" t="inlineStr"/>
    </row>
    <row r="12">
      <c r="A12" s="15" t="inlineStr">
        <is>
          <t>11</t>
        </is>
      </c>
      <c r="B12" s="18"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18" t="inlineStr"/>
      <c r="D12" s="18" t="inlineStr">
        <is>
          <t>Herbal Medicine &amp; Extract</t>
        </is>
      </c>
      <c r="E12" s="18" t="inlineStr">
        <is>
          <t>Gingerol quantification in Zingiber officinale</t>
        </is>
      </c>
      <c r="F12" s="18" t="inlineStr">
        <is>
          <t>Maceration with Ethanol 70% solvent</t>
        </is>
      </c>
      <c r="G12" s="18" t="inlineStr">
        <is>
          <t>Soxhlet Extraction for heat-stable phytochemicals</t>
        </is>
      </c>
      <c r="H12" s="18" t="inlineStr">
        <is>
          <t>Supercritical Fluid Extraction (SFE-CO2)</t>
        </is>
      </c>
      <c r="I12" s="15" t="inlineStr">
        <is>
          <t>1</t>
        </is>
      </c>
      <c r="J12" s="18"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8" t="inlineStr"/>
      <c r="L12" s="18" t="inlineStr">
        <is>
          <t>Herbal Extraction methods</t>
        </is>
      </c>
      <c r="M12" s="18" t="inlineStr">
        <is>
          <t>Herbal Medicine &amp; Extract</t>
        </is>
      </c>
      <c r="N12" s="18" t="inlineStr">
        <is>
          <t>PLE_CC1_2567_Set1_Key ข้อ 42</t>
        </is>
      </c>
      <c r="O12" s="18" t="inlineStr">
        <is>
          <t>ข้อสอบจริง</t>
        </is>
      </c>
      <c r="P12" s="18" t="inlineStr">
        <is>
          <t>ปี 2567</t>
        </is>
      </c>
    </row>
    <row r="13">
      <c r="A13" s="15" t="inlineStr">
        <is>
          <t>12</t>
        </is>
      </c>
      <c r="B13" s="18" t="inlineStr">
        <is>
          <t>ร้านขายยาแผนปัจจุบันมียาสมุนไพรที่เขียนว่าขายได้เฉพาะสถานที่ที่มีใบอนุญาตขายได้หรือไม่เพราะอะไร ตัวเลือก</t>
        </is>
      </c>
      <c r="C13" s="18" t="inlineStr"/>
      <c r="D13" s="18" t="inlineStr">
        <is>
          <t>Herbal Medicine &amp; Extract</t>
        </is>
      </c>
      <c r="E13" s="18" t="inlineStr">
        <is>
          <t>Supercritical Fluid Extraction (SFE-CO2)</t>
        </is>
      </c>
      <c r="F13" s="18" t="inlineStr">
        <is>
          <t>Standardized Curcuminoids in Curcuma longa</t>
        </is>
      </c>
      <c r="G13" s="18" t="inlineStr">
        <is>
          <t>Standardized Andrographolide in Andrographis paniculata</t>
        </is>
      </c>
      <c r="H13" s="18" t="inlineStr">
        <is>
          <t>Senna glycosides (Sennosides A &amp; B) Extraction</t>
        </is>
      </c>
      <c r="I13" s="15" t="inlineStr">
        <is>
          <t>1</t>
        </is>
      </c>
      <c r="J13" s="18"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8" t="inlineStr"/>
      <c r="L13" s="18" t="inlineStr">
        <is>
          <t>Herbal Extraction methods</t>
        </is>
      </c>
      <c r="M13" s="18" t="inlineStr">
        <is>
          <t>Herbal Medicine &amp; Extract</t>
        </is>
      </c>
      <c r="N13" s="18" t="inlineStr">
        <is>
          <t>PLE-CC1 ปี 2566 Day 2 ข้อ 61</t>
        </is>
      </c>
      <c r="O13" s="18" t="inlineStr">
        <is>
          <t>ข้อสอบจริง</t>
        </is>
      </c>
      <c r="P13" s="18" t="inlineStr">
        <is>
          <t>ปี 2566</t>
        </is>
      </c>
    </row>
    <row r="14">
      <c r="A14" s="15" t="inlineStr">
        <is>
          <t>13</t>
        </is>
      </c>
      <c r="B14" s="18" t="inlineStr">
        <is>
          <t>ไม่ได้เพราะไม่มีใบอนุญาตขายผลิตภัณฑ์สมุนไพร</t>
        </is>
      </c>
      <c r="C14" s="18" t="inlineStr"/>
      <c r="D14" s="18" t="inlineStr">
        <is>
          <t>Herbal Medicine &amp; Extract</t>
        </is>
      </c>
      <c r="E14" s="18" t="inlineStr">
        <is>
          <t>Senna glycosides (Sennosides A &amp; B) Extraction</t>
        </is>
      </c>
      <c r="F14" s="18" t="inlineStr">
        <is>
          <t>Centella asiatica (Madecassoside &amp; Asiaticoside)</t>
        </is>
      </c>
      <c r="G14" s="18" t="inlineStr">
        <is>
          <t>Gingerol quantification in Zingiber officinale</t>
        </is>
      </c>
      <c r="H14" s="18" t="inlineStr">
        <is>
          <t>Maceration with Ethanol 70% solvent</t>
        </is>
      </c>
      <c r="I14" s="15" t="inlineStr">
        <is>
          <t>1</t>
        </is>
      </c>
      <c r="J14" s="18"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8" t="inlineStr"/>
      <c r="L14" s="18" t="inlineStr">
        <is>
          <t>Herbal Extraction methods</t>
        </is>
      </c>
      <c r="M14" s="18" t="inlineStr">
        <is>
          <t>Herbal Medicine &amp; Extract</t>
        </is>
      </c>
      <c r="N14" s="18" t="inlineStr">
        <is>
          <t>PLE-CC1 ปี 2566 Day 2 ข้อ 1</t>
        </is>
      </c>
      <c r="O14" s="18" t="inlineStr">
        <is>
          <t>ข้อสอบจริง</t>
        </is>
      </c>
      <c r="P14" s="18" t="inlineStr">
        <is>
          <t>ปี 2566</t>
        </is>
      </c>
    </row>
    <row r="15">
      <c r="A15" s="15" t="inlineStr">
        <is>
          <t>14</t>
        </is>
      </c>
      <c r="B15" s="18" t="inlineStr">
        <is>
          <t>สมุนไพรใดที่ใชลดน้ำตาลในเลือดไดโดยมีหลักฐานทางวิชาการยืนยัน</t>
        </is>
      </c>
      <c r="C15" s="18" t="inlineStr"/>
      <c r="D15" s="18" t="inlineStr">
        <is>
          <t>มะระขี้นก</t>
        </is>
      </c>
      <c r="E15" s="18" t="inlineStr">
        <is>
          <t>ดอกแค</t>
        </is>
      </c>
      <c r="F15" s="18" t="inlineStr">
        <is>
          <t>ใบขี้เหล็ก</t>
        </is>
      </c>
      <c r="G15" s="18" t="inlineStr">
        <is>
          <t>ทองพันชั่ง</t>
        </is>
      </c>
      <c r="H15" s="18" t="inlineStr">
        <is>
          <t>* จำ choice ไม;ได# *</t>
        </is>
      </c>
      <c r="I15" s="15" t="inlineStr">
        <is>
          <t>1</t>
        </is>
      </c>
      <c r="J15" s="18"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ค. (ดอกแค): ข้อนี้ไม่ใช่คำตอบที่ถูกต้องสำหรับภาวะ Herbal Extraction methods เนื่องจากกลไกการออกฤทธิ์, efficacy หรือข้อบ่งใช้ไม่ตรงกับโจทย์ที่กำหนด
• ข้อ ง. (ใบขี้เหล็ก):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8" t="inlineStr"/>
      <c r="L15" s="18" t="inlineStr">
        <is>
          <t>Herbal Extraction methods</t>
        </is>
      </c>
      <c r="M15" s="18" t="inlineStr">
        <is>
          <t>Herbal Medicine &amp; Extract</t>
        </is>
      </c>
      <c r="N15" s="18" t="inlineStr">
        <is>
          <t>PLE_CC1_2565_Day1_Key ข้อ 19</t>
        </is>
      </c>
      <c r="O15" s="18" t="inlineStr">
        <is>
          <t>ข้อสอบจริง</t>
        </is>
      </c>
      <c r="P15" s="18" t="inlineStr">
        <is>
          <t>ปี 2565</t>
        </is>
      </c>
      <c r="Q15" s="18" t="inlineStr"/>
    </row>
    <row r="16">
      <c r="A16" s="15" t="inlineStr">
        <is>
          <t>15</t>
        </is>
      </c>
      <c r="B16" s="18" t="inlineStr">
        <is>
          <t>สมุนไพรใช$ภายนอกรักษาผิวหนังอักเสบคืออะไร แรงเ8นไป High potency steroid - ↑</t>
        </is>
      </c>
      <c r="C16" s="18" t="inlineStr"/>
      <c r="D16" s="18" t="inlineStr">
        <is>
          <t>Herbal Medicine &amp; Extract</t>
        </is>
      </c>
      <c r="E16" s="18" t="inlineStr">
        <is>
          <t>ทองพันชั่ง</t>
        </is>
      </c>
      <c r="F16" s="18" t="inlineStr">
        <is>
          <t>เปลือกมังคุด</t>
        </is>
      </c>
      <c r="G16" s="18" t="inlineStr">
        <is>
          <t>เมล็ดน$อยหน-า</t>
        </is>
      </c>
      <c r="H16" s="18"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15" t="inlineStr">
        <is>
          <t>1</t>
        </is>
      </c>
      <c r="J16" s="18"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18" t="inlineStr"/>
      <c r="L16" s="18" t="inlineStr">
        <is>
          <t>Herbal Extraction methods</t>
        </is>
      </c>
      <c r="M16" s="18" t="inlineStr">
        <is>
          <t>Herbal Medicine &amp; Extract</t>
        </is>
      </c>
      <c r="N16" s="18" t="inlineStr">
        <is>
          <t>PLE_CC1_2565_Day2_Key ข้อ 37</t>
        </is>
      </c>
      <c r="O16" s="18" t="inlineStr">
        <is>
          <t>ข้อสอบจริง</t>
        </is>
      </c>
      <c r="P16" s="18" t="inlineStr">
        <is>
          <t>ปี 2565</t>
        </is>
      </c>
    </row>
    <row r="17">
      <c r="A17" s="15" t="inlineStr">
        <is>
          <t>16</t>
        </is>
      </c>
      <c r="B17" s="18" t="inlineStr">
        <is>
          <t>สมุนไพรตัวใดช่วยขับปัสสาวะ</t>
        </is>
      </c>
      <c r="C17" s="18" t="inlineStr"/>
      <c r="D17" s="18" t="inlineStr">
        <is>
          <t>Herbal Medicine &amp; Extract</t>
        </is>
      </c>
      <c r="E17" s="18" t="inlineStr">
        <is>
          <t>กระเจี๊ยบแดง</t>
        </is>
      </c>
      <c r="F17" s="18" t="inlineStr">
        <is>
          <t>Gingerol quantification in Zingiber officinale</t>
        </is>
      </c>
      <c r="G17" s="18" t="inlineStr">
        <is>
          <t>Maceration with Ethanol 70% solvent</t>
        </is>
      </c>
      <c r="H17" s="18" t="inlineStr">
        <is>
          <t>Soxhlet Extraction for heat-stable phytochemicals</t>
        </is>
      </c>
      <c r="I17" s="15" t="inlineStr">
        <is>
          <t>1</t>
        </is>
      </c>
      <c r="J17" s="18"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8" t="inlineStr"/>
      <c r="L17" s="18" t="inlineStr">
        <is>
          <t>Herbal Extraction methods</t>
        </is>
      </c>
      <c r="M17" s="18" t="inlineStr">
        <is>
          <t>Herbal Medicine &amp; Extract</t>
        </is>
      </c>
      <c r="N17" s="18" t="inlineStr">
        <is>
          <t>PLE_CC1_2564_All_Key ข้อ 21</t>
        </is>
      </c>
      <c r="O17" s="18" t="inlineStr">
        <is>
          <t>ข้อสอบจริง</t>
        </is>
      </c>
      <c r="P17" s="18" t="inlineStr">
        <is>
          <t>ปี 2564</t>
        </is>
      </c>
    </row>
    <row r="18">
      <c r="A18" s="15" t="inlineStr">
        <is>
          <t>17</t>
        </is>
      </c>
      <c r="B18" s="18" t="inlineStr">
        <is>
          <t>สมุนไพรที่เกิดอันตรกิริยากับยาต้าน HIV มากที่สุด</t>
        </is>
      </c>
      <c r="C18" s="18" t="inlineStr"/>
      <c r="D18" s="18" t="inlineStr">
        <is>
          <t>ขิง</t>
        </is>
      </c>
      <c r="E18" s="18" t="inlineStr">
        <is>
          <t>ขมิ้นชัน</t>
        </is>
      </c>
      <c r="F18" s="18" t="inlineStr">
        <is>
          <t>ฟ้าทะลายโจร</t>
        </is>
      </c>
      <c r="G18" s="18" t="inlineStr">
        <is>
          <t>หญ้าหนวดแมว</t>
        </is>
      </c>
      <c r="H18" s="18" t="inlineStr">
        <is>
          <t>St. John wort</t>
        </is>
      </c>
      <c r="I18" s="15" t="inlineStr">
        <is>
          <t>1</t>
        </is>
      </c>
      <c r="J18" s="18"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18" t="inlineStr"/>
      <c r="L18" s="18" t="inlineStr">
        <is>
          <t>Herbal Extraction methods</t>
        </is>
      </c>
      <c r="M18" s="18" t="inlineStr">
        <is>
          <t>Herbal Medicine &amp; Extract</t>
        </is>
      </c>
      <c r="N18" s="18" t="inlineStr">
        <is>
          <t>PLE_CC1_2564_All_Key ข้อ 79</t>
        </is>
      </c>
      <c r="O18" s="18" t="inlineStr">
        <is>
          <t>ข้อสอบจริง</t>
        </is>
      </c>
      <c r="P18" s="18" t="inlineStr">
        <is>
          <t>ปี 2564</t>
        </is>
      </c>
      <c r="Q18" s="18" t="inlineStr"/>
    </row>
    <row r="19">
      <c r="A19" s="15" t="inlineStr">
        <is>
          <t>18</t>
        </is>
      </c>
      <c r="B19" s="18" t="inlineStr">
        <is>
          <t>สมุนไพรใดที่มี sulfur containing compound หลายชนิดและเป็น Herb drug interaction กับยาต้านเกล็ดเลือดและทำให้เลือกออกได้มาก</t>
        </is>
      </c>
      <c r="C19" s="18" t="inlineStr"/>
      <c r="D19" s="18" t="inlineStr">
        <is>
          <t>ขิง b. กระเทียม c. แปะก๊วย</t>
        </is>
      </c>
      <c r="E19" s="18"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18" t="inlineStr">
        <is>
          <t>Ticagrelor</t>
        </is>
      </c>
      <c r="G19" s="18" t="inlineStr">
        <is>
          <t>Cragelor</t>
        </is>
      </c>
      <c r="H19" s="18" t="inlineStr">
        <is>
          <t>Abciximab</t>
        </is>
      </c>
      <c r="I19" s="15" t="inlineStr">
        <is>
          <t>1</t>
        </is>
      </c>
      <c r="J19" s="18"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ข้อนี้ไม่ใช่คำตอบที่ถูกต้องสำหรับภาวะ Herbal Extraction methods เนื่องจากกลไกการออกฤทธิ์, efficacy หรือข้อบ่งใช้ไม่ตรงกับโจทย์ที่กำหนด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8" t="inlineStr"/>
      <c r="L19" s="18" t="inlineStr">
        <is>
          <t>Herbal Extraction methods</t>
        </is>
      </c>
      <c r="M19" s="18" t="inlineStr">
        <is>
          <t>Herbal Medicine &amp; Extract</t>
        </is>
      </c>
      <c r="N19" s="18" t="inlineStr">
        <is>
          <t>PLE_CC1_2564_All_Key ข้อ 97</t>
        </is>
      </c>
      <c r="O19" s="18" t="inlineStr">
        <is>
          <t>ข้อสอบจริง</t>
        </is>
      </c>
      <c r="P19" s="18" t="inlineStr">
        <is>
          <t>ปี 2564</t>
        </is>
      </c>
      <c r="Q19" s="18" t="inlineStr"/>
    </row>
    <row r="20">
      <c r="A20" s="15" t="inlineStr">
        <is>
          <t>19</t>
        </is>
      </c>
      <c r="B20" s="18"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18" t="inlineStr"/>
      <c r="D20" s="18" t="inlineStr">
        <is>
          <t>ฟ้าทลายโจร</t>
        </is>
      </c>
      <c r="E20" s="18" t="inlineStr">
        <is>
          <t>หญ้าหนวดแมว</t>
        </is>
      </c>
      <c r="F20" s="18" t="inlineStr">
        <is>
          <t>ขิง</t>
        </is>
      </c>
      <c r="G20" s="18" t="inlineStr">
        <is>
          <t>ขมิ้นชัน</t>
        </is>
      </c>
      <c r="H20" s="18" t="inlineStr">
        <is>
          <t>St.John wort</t>
        </is>
      </c>
      <c r="I20" s="15" t="inlineStr">
        <is>
          <t>1</t>
        </is>
      </c>
      <c r="J20" s="18"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18" t="inlineStr"/>
      <c r="L20" s="18" t="inlineStr">
        <is>
          <t>Herbal Extraction methods</t>
        </is>
      </c>
      <c r="M20" s="18" t="inlineStr">
        <is>
          <t>Herbal Medicine &amp; Extract</t>
        </is>
      </c>
      <c r="N20" s="18" t="inlineStr">
        <is>
          <t>PLE_CC1_2564_All_Key ข้อ 140</t>
        </is>
      </c>
      <c r="O20" s="18" t="inlineStr">
        <is>
          <t>ข้อสอบจริง</t>
        </is>
      </c>
      <c r="P20" s="18" t="inlineStr">
        <is>
          <t>ปี 2564</t>
        </is>
      </c>
      <c r="Q20" s="18" t="inlineStr"/>
    </row>
    <row r="21">
      <c r="A21" s="15" t="inlineStr">
        <is>
          <t>20</t>
        </is>
      </c>
      <c r="B21" s="18" t="inlineStr">
        <is>
          <t>ตำรับยาสมุนไพรในข้อใดสะเป็นประโยฬน์ต่อผู้ป่วยน้อยที่สุด</t>
        </is>
      </c>
      <c r="C21" s="18" t="inlineStr"/>
      <c r="D21" s="18" t="inlineStr">
        <is>
          <t>Herbal Medicine &amp; Extract</t>
        </is>
      </c>
      <c r="E21" s="18" t="inlineStr">
        <is>
          <t>ยาครีมพริก</t>
        </is>
      </c>
      <c r="F21" s="18" t="inlineStr">
        <is>
          <t>ยาผษกล้วย</t>
        </is>
      </c>
      <c r="G21" s="18" t="inlineStr">
        <is>
          <t>น้ำมันไพล ษ. ยาประสะไพล ส. ยาเถาวัลย์เปรียษ โจทย์เพิ่ม</t>
        </is>
      </c>
      <c r="H21" s="18" t="inlineStr">
        <is>
          <t>Senna glycosides (Sennosides A &amp; B) Extraction</t>
        </is>
      </c>
      <c r="I21" s="15" t="inlineStr">
        <is>
          <t>1</t>
        </is>
      </c>
      <c r="J21" s="18"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(ยาผษกล้วย):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(น้ำมันไพล ษ. ยาประสะไพล ส. ยาเถาวัลย์เปรียษ โจทย์เพิ่ม):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8" t="inlineStr"/>
      <c r="L21" s="18" t="inlineStr">
        <is>
          <t>Herbal Extraction methods</t>
        </is>
      </c>
      <c r="M21" s="18" t="inlineStr">
        <is>
          <t>Herbal Medicine &amp; Extract</t>
        </is>
      </c>
      <c r="N21" s="18" t="inlineStr">
        <is>
          <t>PLE_CC1_2563_Q ข้อ 101</t>
        </is>
      </c>
      <c r="O21" s="18" t="inlineStr">
        <is>
          <t>ข้อสอบจริง</t>
        </is>
      </c>
      <c r="P21" s="18" t="inlineStr">
        <is>
          <t>ปี 2563</t>
        </is>
      </c>
    </row>
    <row r="22">
      <c r="A22" s="18" t="n">
        <v>20</v>
      </c>
      <c r="B22" s="18"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18" t="n"/>
      <c r="D22" s="18" t="inlineStr">
        <is>
          <t>เจลว่านหางจระเข้</t>
        </is>
      </c>
      <c r="E22" s="18" t="inlineStr">
        <is>
          <t>Diclofenac tablet</t>
        </is>
      </c>
      <c r="F22" s="18" t="inlineStr">
        <is>
          <t>Tramadol capsule</t>
        </is>
      </c>
      <c r="G22" s="18" t="inlineStr">
        <is>
          <t>Indomethacin spray</t>
        </is>
      </c>
      <c r="H22" s="18" t="inlineStr">
        <is>
          <t>Naproxen tablet</t>
        </is>
      </c>
      <c r="I22" s="18" t="n">
        <v>1</v>
      </c>
      <c r="J22" s="18"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ข้อนี้ไม่ใช่คำตอบที่ถูกต้องสำหรับภาวะ Herbal Extraction methods เนื่องจากกลไกการออกฤทธิ์, efficacy หรือข้อบ่งใช้ไม่ตรงกับโจทย์ที่กำหนด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8" t="n"/>
      <c r="L22" s="18" t="inlineStr">
        <is>
          <t>Herbal Extraction methods</t>
        </is>
      </c>
      <c r="M22" s="18" t="inlineStr">
        <is>
          <t>Product</t>
        </is>
      </c>
      <c r="N22" s="18" t="inlineStr">
        <is>
          <t>ข้อ 3 (PLE_CC1_2562_Key.md)</t>
        </is>
      </c>
      <c r="O22" s="18" t="inlineStr">
        <is>
          <t>ข้อสอบจริง</t>
        </is>
      </c>
      <c r="P22" s="18" t="inlineStr">
        <is>
          <t>ปี 2562</t>
        </is>
      </c>
    </row>
    <row r="23">
      <c r="A23" s="18" t="n">
        <v>21</v>
      </c>
      <c r="B23" s="18" t="inlineStr">
        <is>
          <t>กระทรวงสาธารณสุข ประกาศสมุนไพรใด ที่รับประทานแล้วมีผื่นคัน บวม , Intra articular X ↑ IM</t>
        </is>
      </c>
      <c r="C23" s="18" t="n"/>
      <c r="D23" s="18" t="inlineStr">
        <is>
          <t>ขิง</t>
        </is>
      </c>
      <c r="E23" s="18" t="inlineStr">
        <is>
          <t>ฟ้าทะลายโจร</t>
        </is>
      </c>
      <c r="F23" s="18" t="inlineStr">
        <is>
          <t>รางจืด</t>
        </is>
      </c>
      <c r="G23" s="18" t="inlineStr">
        <is>
          <t>หญ้าดอกขาว</t>
        </is>
      </c>
      <c r="H23" s="18" t="inlineStr">
        <is>
          <t>ขมิ้นชัน</t>
        </is>
      </c>
      <c r="I23" s="18" t="n">
        <v>1</v>
      </c>
      <c r="J23" s="18"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ง.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8" t="n"/>
      <c r="L23" s="18" t="inlineStr">
        <is>
          <t>Herbal Extraction methods</t>
        </is>
      </c>
      <c r="M23" s="18" t="inlineStr">
        <is>
          <t>Product</t>
        </is>
      </c>
      <c r="N23" s="18" t="inlineStr">
        <is>
          <t>ข้อ 31 (PLE_CC1_2562_Key.md)</t>
        </is>
      </c>
      <c r="O23" s="18" t="inlineStr">
        <is>
          <t>ข้อสอบจริง</t>
        </is>
      </c>
      <c r="P23" s="18" t="inlineStr">
        <is>
          <t>ปี 2562</t>
        </is>
      </c>
    </row>
    <row r="24">
      <c r="A24" s="18" t="n">
        <v>22</v>
      </c>
      <c r="B24" s="18" t="inlineStr">
        <is>
          <t>สมุนไพรใดที่ไม่ควรใช้ในผู้ป่วยเบาหวาน X O -</t>
        </is>
      </c>
      <c r="C24" s="18" t="n"/>
      <c r="D24" s="18" t="inlineStr">
        <is>
          <t>เถาวัลย์เปรียง</t>
        </is>
      </c>
      <c r="E24" s="18" t="inlineStr">
        <is>
          <t>รางจืด</t>
        </is>
      </c>
      <c r="F24" s="18" t="inlineStr">
        <is>
          <t>หญ้าปักกิ่ง</t>
        </is>
      </c>
      <c r="G24" s="18" t="inlineStr">
        <is>
          <t>กระเจีěยบแดง</t>
        </is>
      </c>
      <c r="H24" s="18" t="inlineStr">
        <is>
          <t>ฟ้าทะลายโจร</t>
        </is>
      </c>
      <c r="I24" s="18" t="n">
        <v>1</v>
      </c>
      <c r="J24" s="18"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(กระเจีěยบแดง):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8" t="n"/>
      <c r="L24" s="18" t="inlineStr">
        <is>
          <t>Herbal Extraction methods</t>
        </is>
      </c>
      <c r="M24" s="18" t="inlineStr">
        <is>
          <t>Product</t>
        </is>
      </c>
      <c r="N24" s="18" t="inlineStr">
        <is>
          <t>ข้อ 65 (PLE_CC1_2562_Key.md)</t>
        </is>
      </c>
      <c r="O24" s="18" t="inlineStr">
        <is>
          <t>ข้อสอบจริง</t>
        </is>
      </c>
      <c r="P24" s="18" t="inlineStr">
        <is>
          <t>ปี 2562</t>
        </is>
      </c>
    </row>
    <row r="25">
      <c r="A25" s="18" t="n">
        <v>23</v>
      </c>
      <c r="B25" s="18" t="inlineStr">
        <is>
          <t>สมุนไพรใดมีสาร vincristine หรือ vinblastine &amp; 2 D5 W Tarvein : protein 2: Denature - - X X -</t>
        </is>
      </c>
      <c r="C25" s="18" t="n"/>
      <c r="D25" s="18" t="inlineStr">
        <is>
          <t>ดองดึง</t>
        </is>
      </c>
      <c r="E25" s="18" t="inlineStr">
        <is>
          <t>แพงพวยฝรั่ง</t>
        </is>
      </c>
      <c r="F25" s="18" t="inlineStr">
        <is>
          <t>เสนียด</t>
        </is>
      </c>
      <c r="G25" s="18" t="inlineStr">
        <is>
          <t>ระย่อม</t>
        </is>
      </c>
      <c r="H25" s="18"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18" t="n">
        <v>1</v>
      </c>
      <c r="J25" s="18"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(เสนียด): ข้อนี้ไม่ใช่คำตอบที่ถูกต้องสำหรับภาวะ Herbal Extraction methods เนื่องจากกลไกการออกฤทธิ์, efficacy หรือข้อบ่งใช้ไม่ตรงกับโจทย์ที่กำหนด
• ข้อ ง.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8" t="n"/>
      <c r="L25" s="18" t="inlineStr">
        <is>
          <t>Herbal Extraction methods</t>
        </is>
      </c>
      <c r="M25" s="18" t="inlineStr">
        <is>
          <t>Product</t>
        </is>
      </c>
      <c r="N25" s="18" t="inlineStr">
        <is>
          <t>ข้อ 61 (PLE_CC1_2562_Key.md)</t>
        </is>
      </c>
      <c r="O25" s="18" t="inlineStr">
        <is>
          <t>ข้อสอบจริง</t>
        </is>
      </c>
      <c r="P25" s="18" t="inlineStr">
        <is>
          <t>ปี 2562</t>
        </is>
      </c>
    </row>
    <row r="26">
      <c r="A26" s="18" t="n">
        <v>24</v>
      </c>
      <c r="B26" s="18" t="inlineStr">
        <is>
          <t>สมุนไพรใดสามารถบรรเทาอาการปวดได</t>
        </is>
      </c>
      <c r="C26" s="18" t="n"/>
      <c r="D26" s="18" t="inlineStr">
        <is>
          <t>เหงาขิง</t>
        </is>
      </c>
      <c r="E26" s="18" t="inlineStr">
        <is>
          <t>ยาขิง</t>
        </is>
      </c>
      <c r="F26" s="18" t="inlineStr">
        <is>
          <t>พญาสัตบรรณ</t>
        </is>
      </c>
      <c r="G26" s="18" t="inlineStr">
        <is>
          <t>ประสะกระเพรา</t>
        </is>
      </c>
      <c r="H26" s="18" t="inlineStr">
        <is>
          <t>ยาผสมเถาวัลยTเปรียง</t>
        </is>
      </c>
      <c r="I26" s="18" t="n">
        <v>1</v>
      </c>
      <c r="J26" s="18"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ข้อนี้ไม่ใช่คำตอบที่ถูกต้องสำหรับภาวะ Herbal Extraction methods เนื่องจากกลไกการออกฤทธิ์, efficacy หรือข้อบ่งใช้ไม่ตรงกับโจทย์ที่กำหนด
• ข้อ ค. (พญาสัตบรรณ): ข้อนี้ไม่ใช่คำตอบที่ถูกต้องสำหรับภาวะ Herbal Extraction methods เนื่องจากกลไกการออกฤทธิ์, efficacy หรือข้อบ่งใช้ไม่ตรงกับโจทย์ที่กำหนด
• ข้อ ง. (ประสะกระเพรา):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จ. (ยาผสมเถาวัลยTเปรียง):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8" t="n"/>
      <c r="L26" s="18" t="inlineStr">
        <is>
          <t>Herbal Extraction methods</t>
        </is>
      </c>
      <c r="M26" s="18" t="inlineStr">
        <is>
          <t>Product</t>
        </is>
      </c>
      <c r="N26" s="18" t="inlineStr">
        <is>
          <t>ข้อ 19 (PLE_CC1_2561_Key.md)</t>
        </is>
      </c>
      <c r="O26" s="18" t="inlineStr">
        <is>
          <t>ข้อสอบจริง</t>
        </is>
      </c>
      <c r="P26" s="18" t="inlineStr">
        <is>
          <t>ปี 2561</t>
        </is>
      </c>
    </row>
    <row r="27">
      <c r="A27" s="18" t="n">
        <v>25</v>
      </c>
      <c r="B27" s="18" t="inlineStr">
        <is>
          <t>ยาพัฒนาจากสมุนไพรใดที่ใชรักษาในการรักษาเริม</t>
        </is>
      </c>
      <c r="C27" s="18" t="n"/>
      <c r="D27" s="18" t="inlineStr">
        <is>
          <t>เหงาขิง</t>
        </is>
      </c>
      <c r="E27" s="18" t="inlineStr">
        <is>
          <t>ใบบัวบก</t>
        </is>
      </c>
      <c r="F27" s="18" t="inlineStr">
        <is>
          <t>ใบพลู</t>
        </is>
      </c>
      <c r="G27" s="18" t="inlineStr">
        <is>
          <t>ใบพญายอ</t>
        </is>
      </c>
      <c r="H27" s="18" t="inlineStr">
        <is>
          <t>ใบทองพันชั่ง</t>
        </is>
      </c>
      <c r="I27" s="18" t="n">
        <v>1</v>
      </c>
      <c r="J27" s="18"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ค. (ใบพลู): ข้อนี้ไม่ใช่คำตอบที่ถูกต้องสำหรับภาวะ Herbal Extraction methods เนื่องจากกลไกการออกฤทธิ์, efficacy หรือข้อบ่งใช้ไม่ตรงกับโจทย์ที่กำหนด
• ข้อ ง. (ใบพญายอ):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(ใบทองพันชั่ง):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8" t="n"/>
      <c r="L27" s="18" t="inlineStr">
        <is>
          <t>Herbal Extraction methods</t>
        </is>
      </c>
      <c r="M27" s="18" t="inlineStr">
        <is>
          <t>Product</t>
        </is>
      </c>
      <c r="N27" s="18" t="inlineStr">
        <is>
          <t>ข้อ 26 (PLE_CC1_2561_Key.md)</t>
        </is>
      </c>
      <c r="O27" s="18" t="inlineStr">
        <is>
          <t>ข้อสอบจริง</t>
        </is>
      </c>
      <c r="P27" s="18" t="inlineStr">
        <is>
          <t>ปี 2561</t>
        </is>
      </c>
    </row>
    <row r="28">
      <c r="A28" s="18" t="n">
        <v>26</v>
      </c>
      <c r="B28" s="18" t="inlineStr">
        <is>
          <t>จากขอ 26 หากตองการตรวจสอบคุณภาพผงสมุนไพร ดวยวิธีการ ส!องกลองจุลทรรศนT ควรพบเนื้อเยื้อส!วนใดบาง</t>
        </is>
      </c>
      <c r="C28" s="18" t="n"/>
      <c r="D28" s="18" t="inlineStr">
        <is>
          <t>พบ cortex และ xylem</t>
        </is>
      </c>
      <c r="E28" s="18" t="inlineStr">
        <is>
          <t>พบ cork และ stomata</t>
        </is>
      </c>
      <c r="F28" s="18" t="inlineStr">
        <is>
          <t>พบ cortex และ cambium</t>
        </is>
      </c>
      <c r="G28" s="18" t="inlineStr">
        <is>
          <t>พบ scleried และ stomata</t>
        </is>
      </c>
      <c r="H28" s="18" t="inlineStr">
        <is>
          <t>พบ palisade และ stomata</t>
        </is>
      </c>
      <c r="I28" s="18" t="n">
        <v>1</v>
      </c>
      <c r="J28" s="18"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ค. (พบ cortex และ cambium): ข้อนี้ไม่ใช่คำตอบที่ถูกต้องสำหรับภาวะ Herbal Extraction methods เนื่องจากกลไกการออกฤทธิ์, efficacy หรือข้อบ่งใช้ไม่ตรงกับโจทย์ที่กำหนด
• ข้อ ง. (พบ scleried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จ. (พบ palisade และ stomata):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8" t="n"/>
      <c r="L28" s="18" t="inlineStr">
        <is>
          <t>Herbal Extraction methods</t>
        </is>
      </c>
      <c r="M28" s="18" t="inlineStr">
        <is>
          <t>Product</t>
        </is>
      </c>
      <c r="N28" s="18" t="inlineStr">
        <is>
          <t>ข้อ 27 (PLE_CC1_2561_Key.md)</t>
        </is>
      </c>
      <c r="O28" s="18" t="inlineStr">
        <is>
          <t>ข้อสอบจริง</t>
        </is>
      </c>
      <c r="P28" s="18" t="inlineStr">
        <is>
          <t>ปี 2561</t>
        </is>
      </c>
    </row>
    <row r="29">
      <c r="A29" s="18" t="n">
        <v>27</v>
      </c>
      <c r="B29" s="18" t="inlineStr">
        <is>
          <t>สมุนไพรใดไม!มีฤทธิ์แกไอ</t>
        </is>
      </c>
      <c r="C29" s="18" t="n"/>
      <c r="D29" s="18" t="inlineStr">
        <is>
          <t>ขิง</t>
        </is>
      </c>
      <c r="E29" s="18" t="inlineStr">
        <is>
          <t>มะแวง</t>
        </is>
      </c>
      <c r="F29" s="18" t="inlineStr">
        <is>
          <t>ชะอมเทศ</t>
        </is>
      </c>
      <c r="G29" s="18" t="inlineStr">
        <is>
          <t>มะขามปFอม</t>
        </is>
      </c>
      <c r="H29" s="18" t="inlineStr">
        <is>
          <t>ฟFาทลายโจร a cephang r ข y จ ค</t>
        </is>
      </c>
      <c r="I29" s="18" t="n">
        <v>1</v>
      </c>
      <c r="J29" s="18"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ข้อนี้ไม่ใช่คำตอบที่ถูกต้องสำหรับภาวะ Herbal Extraction methods เนื่องจากกลไกการออกฤทธิ์, efficacy หรือข้อบ่งใช้ไม่ตรงกับโจทย์ที่กำหนด
• ข้อ ค. (ชะอมเทศ):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(มะขามปFอม): ข้อนี้ไม่ใช่คำตอบที่ถูกต้องสำหรับภาวะ Herbal Extraction methods เนื่องจากกลไกการออกฤทธิ์, efficacy หรือข้อบ่งใช้ไม่ตรงกับโจทย์ที่กำหนด
• ข้อ จ. (ฟFาทลายโจร a cephang r ข y จ ค):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8" t="n"/>
      <c r="L29" s="18" t="inlineStr">
        <is>
          <t>Herbal Extraction methods</t>
        </is>
      </c>
      <c r="M29" s="18" t="inlineStr">
        <is>
          <t>Product</t>
        </is>
      </c>
      <c r="N29" s="18" t="inlineStr">
        <is>
          <t>ข้อ 35 (PLE_CC1_2561_Key.md)</t>
        </is>
      </c>
      <c r="O29" s="18" t="inlineStr">
        <is>
          <t>ข้อสอบจริง</t>
        </is>
      </c>
      <c r="P29" s="18" t="inlineStr">
        <is>
          <t>ปี 2561</t>
        </is>
      </c>
    </row>
    <row r="30">
      <c r="A30" s="18" t="n">
        <v>28</v>
      </c>
      <c r="B30" s="18" t="inlineStr">
        <is>
          <t>ตามบัญชียาที่พัฒนามาจากสมุนไพร ยาใดที่สามารถรักษาอาการ โรคผิวหนังจากเชื้อราได(</t>
        </is>
      </c>
      <c r="C30" s="18" t="n"/>
      <c r="D30" s="18" t="inlineStr">
        <is>
          <t>ยาพญายอ</t>
        </is>
      </c>
      <c r="E30" s="18" t="inlineStr">
        <is>
          <t>ยาทิงเจอรพลู</t>
        </is>
      </c>
      <c r="F30" s="18" t="inlineStr">
        <is>
          <t>ยาเปลือกมังคุด</t>
        </is>
      </c>
      <c r="G30" s="18" t="inlineStr">
        <is>
          <t>ยาว.านหางจระเข(</t>
        </is>
      </c>
      <c r="H30" s="18" t="inlineStr">
        <is>
          <t>ยาทิงเจอร X</t>
        </is>
      </c>
      <c r="I30" s="18" t="n">
        <v>1</v>
      </c>
      <c r="J30" s="18"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 X):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8" t="n"/>
      <c r="L30" s="18" t="inlineStr">
        <is>
          <t>Herbal Extraction methods</t>
        </is>
      </c>
      <c r="M30" s="18" t="inlineStr">
        <is>
          <t>Product</t>
        </is>
      </c>
      <c r="N30" s="18" t="inlineStr">
        <is>
          <t>ข้อ 40 (PLE_CC1_2561_Key.md)</t>
        </is>
      </c>
      <c r="O30" s="18" t="inlineStr">
        <is>
          <t>ข้อสอบจริง</t>
        </is>
      </c>
      <c r="P30" s="18" t="inlineStr">
        <is>
          <t>ปี 2561</t>
        </is>
      </c>
    </row>
    <row r="31">
      <c r="A31" s="18" t="n">
        <v>29</v>
      </c>
      <c r="B31" s="18" t="inlineStr">
        <is>
          <t>ยาสมุนไพรใดมีข้อบ.งใช(ในสูตินรีเวช สามารถใช(แก(อาการปวด ประจำเดือนในสตรีได(</t>
        </is>
      </c>
      <c r="C31" s="18" t="n"/>
      <c r="D31" s="18" t="inlineStr">
        <is>
          <t>ยาสหัสธารา</t>
        </is>
      </c>
      <c r="E31" s="18" t="inlineStr">
        <is>
          <t>ยาจันทนลีลา</t>
        </is>
      </c>
      <c r="F31" s="18" t="inlineStr">
        <is>
          <t>ยาไฟประลัยกัลป}</t>
        </is>
      </c>
      <c r="G31" s="18" t="inlineStr">
        <is>
          <t>ยาหอมอินทรจักร</t>
        </is>
      </c>
      <c r="H31" s="18" t="inlineStr">
        <is>
          <t>ยาประสะกระเพรา</t>
        </is>
      </c>
      <c r="I31" s="18" t="n">
        <v>1</v>
      </c>
      <c r="J31" s="18"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(ยาไฟประลัยกัลป}):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(ยาหอมอินทรจักร):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8" t="n"/>
      <c r="L31" s="18" t="inlineStr">
        <is>
          <t>Herbal Extraction methods</t>
        </is>
      </c>
      <c r="M31" s="18" t="inlineStr">
        <is>
          <t>Product</t>
        </is>
      </c>
      <c r="N31" s="18" t="inlineStr">
        <is>
          <t>ข้อ 58 (PLE_CC1_2561_Key.md)</t>
        </is>
      </c>
      <c r="O31" s="18" t="inlineStr">
        <is>
          <t>ข้อสอบจริง</t>
        </is>
      </c>
      <c r="P31" s="18" t="inlineStr">
        <is>
          <t>ปี 2561</t>
        </is>
      </c>
    </row>
    <row r="32">
      <c r="A32" s="18" t="n">
        <v>30</v>
      </c>
      <c r="B32" s="18" t="inlineStr">
        <is>
          <t>สมุนไพรในสาธารณสุขมูลฐานใดที่มีฤทธิ์ขับพยาธิ</t>
        </is>
      </c>
      <c r="C32" s="18" t="n"/>
      <c r="D32" s="18" t="inlineStr">
        <is>
          <t>ใบตำลึง</t>
        </is>
      </c>
      <c r="E32" s="18" t="inlineStr">
        <is>
          <t>เปลือกมังคุด</t>
        </is>
      </c>
      <c r="F32" s="18" t="inlineStr">
        <is>
          <t>เมล็ดฟVกทอง</t>
        </is>
      </c>
      <c r="G32" s="18" t="inlineStr">
        <is>
          <t>ผลแก.แมงลัก</t>
        </is>
      </c>
      <c r="H32" s="18" t="inlineStr">
        <is>
          <t>น้ำมันมะพร(าว</t>
        </is>
      </c>
      <c r="I32" s="18" t="n">
        <v>1</v>
      </c>
      <c r="J32" s="18"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(เมล็ดฟVกทอง): ข้อนี้ไม่ใช่คำตอบที่ถูกต้องสำหรับภาวะ Herbal Extraction methods เนื่องจากกลไกการออกฤทธิ์, efficacy หรือข้อบ่งใช้ไม่ตรงกับโจทย์ที่กำหนด
• ข้อ ง. (ผลแก.แมงลัก):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8" t="n"/>
      <c r="L32" s="18" t="inlineStr">
        <is>
          <t>Herbal Extraction methods</t>
        </is>
      </c>
      <c r="M32" s="18" t="inlineStr">
        <is>
          <t>Product</t>
        </is>
      </c>
      <c r="N32" s="18" t="inlineStr">
        <is>
          <t>ข้อ 65 (PLE_CC1_2561_Key.md)</t>
        </is>
      </c>
      <c r="O32" s="18" t="inlineStr">
        <is>
          <t>ข้อสอบจริง</t>
        </is>
      </c>
      <c r="P32" s="18" t="inlineStr">
        <is>
          <t>ปี 2561</t>
        </is>
      </c>
    </row>
    <row r="33">
      <c r="A33" s="18" t="n">
        <v>31</v>
      </c>
      <c r="B33" s="18" t="inlineStr">
        <is>
          <t>สมุนไพรในบัญชียาหลักหรือสาธารณสุขมูลธารตัวใดมีฤทธิ์แก(ขัด เบา</t>
        </is>
      </c>
      <c r="C33" s="18" t="n"/>
      <c r="D33" s="18" t="inlineStr">
        <is>
          <t>ช(าพลู</t>
        </is>
      </c>
      <c r="E33" s="18" t="inlineStr">
        <is>
          <t>รางจืด</t>
        </is>
      </c>
      <c r="F33" s="18" t="inlineStr">
        <is>
          <t>หญ(าปVกกิ่ง</t>
        </is>
      </c>
      <c r="G33" s="18" t="inlineStr">
        <is>
          <t>ฟqาทะลายโจร</t>
        </is>
      </c>
      <c r="H33" s="18"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18" t="n">
        <v>1</v>
      </c>
      <c r="J33" s="18"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(หญ(าปVกกิ่ง):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8" t="n"/>
      <c r="L33" s="18" t="inlineStr">
        <is>
          <t>Herbal Extraction methods</t>
        </is>
      </c>
      <c r="M33" s="18" t="inlineStr">
        <is>
          <t>Product</t>
        </is>
      </c>
      <c r="N33" s="18" t="inlineStr">
        <is>
          <t>ข้อ 75 (PLE_CC1_2561_Key.md)</t>
        </is>
      </c>
      <c r="O33" s="18" t="inlineStr">
        <is>
          <t>ข้อสอบจริง</t>
        </is>
      </c>
      <c r="P33" s="18" t="inlineStr">
        <is>
          <t>ปี 2561</t>
        </is>
      </c>
    </row>
    <row r="34">
      <c r="A34" s="18" t="n">
        <v>32</v>
      </c>
      <c r="B34" s="18"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18" t="n"/>
      <c r="D34" s="18" t="inlineStr">
        <is>
          <t>ขิง</t>
        </is>
      </c>
      <c r="E34" s="18" t="inlineStr">
        <is>
          <t>รางจืด</t>
        </is>
      </c>
      <c r="F34" s="18" t="inlineStr">
        <is>
          <t>ขมิ้นชัน</t>
        </is>
      </c>
      <c r="G34" s="18" t="inlineStr">
        <is>
          <t>เถาวัลยเปรียง</t>
        </is>
      </c>
      <c r="H34" s="18" t="inlineStr">
        <is>
          <t>ฟqาทะลายโจร</t>
        </is>
      </c>
      <c r="I34" s="18" t="n">
        <v>1</v>
      </c>
      <c r="J34" s="18"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8" t="n"/>
      <c r="L34" s="18" t="inlineStr">
        <is>
          <t>Herbal Extraction methods</t>
        </is>
      </c>
      <c r="M34" s="18" t="inlineStr">
        <is>
          <t>Product</t>
        </is>
      </c>
      <c r="N34" s="18" t="inlineStr">
        <is>
          <t>ข้อ 82 (PLE_CC1_2561_Key.md)</t>
        </is>
      </c>
      <c r="O34" s="18" t="inlineStr">
        <is>
          <t>ข้อสอบจริง</t>
        </is>
      </c>
      <c r="P34" s="18" t="inlineStr">
        <is>
          <t>ปี 2561</t>
        </is>
      </c>
    </row>
    <row r="35">
      <c r="A35" s="18" t="n">
        <v>33</v>
      </c>
      <c r="B35" s="18" t="inlineStr">
        <is>
          <t>ยาสมุนไพรใดแก(พิษแมลงสัตวกัดต.อย</t>
        </is>
      </c>
      <c r="C35" s="18" t="n"/>
      <c r="D35" s="18" t="inlineStr">
        <is>
          <t>พญายอ</t>
        </is>
      </c>
      <c r="E35" s="18" t="inlineStr">
        <is>
          <t>ขมิ้นชัน</t>
        </is>
      </c>
      <c r="F35" s="18" t="inlineStr">
        <is>
          <t>เหง(าไพร</t>
        </is>
      </c>
      <c r="G35" s="18" t="inlineStr">
        <is>
          <t>เปลือกมังคุด</t>
        </is>
      </c>
      <c r="H35" s="18" t="inlineStr">
        <is>
          <t>ว.านหางจระเข( e e</t>
        </is>
      </c>
      <c r="I35" s="18" t="n">
        <v>1</v>
      </c>
      <c r="J35" s="18"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(เหง(าไพร): ข้อนี้ไม่ใช่คำตอบที่ถูกต้องสำหรับภาวะ Herbal Extraction methods เนื่องจากกลไกการออกฤทธิ์, efficacy หรือข้อบ่งใช้ไม่ตรงกับโจทย์ที่กำหนด
• ข้อ ง.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(ว.านหางจระเข( e 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8" t="n"/>
      <c r="L35" s="18" t="inlineStr">
        <is>
          <t>Herbal Extraction methods</t>
        </is>
      </c>
      <c r="M35" s="18" t="inlineStr">
        <is>
          <t>Product</t>
        </is>
      </c>
      <c r="N35" s="18" t="inlineStr">
        <is>
          <t>ข้อ 122 (PLE_CC1_2561_Key.md)</t>
        </is>
      </c>
      <c r="O35" s="18" t="inlineStr">
        <is>
          <t>ข้อสอบจริง</t>
        </is>
      </c>
      <c r="P35" s="18" t="inlineStr">
        <is>
          <t>ปี 2561</t>
        </is>
      </c>
    </row>
    <row r="36">
      <c r="A36" s="18" t="n">
        <v>34</v>
      </c>
      <c r="B36" s="18" t="inlineStr">
        <is>
          <t>สมุนไพรใดบรรเทาอาการคลื่นไส้ อาเจียนได้</t>
        </is>
      </c>
      <c r="C36" s="18" t="n"/>
      <c r="D36" s="18" t="inlineStr">
        <is>
          <t>ขิง</t>
        </is>
      </c>
      <c r="E36" s="18" t="inlineStr">
        <is>
          <t>ไพล</t>
        </is>
      </c>
      <c r="F36" s="18" t="inlineStr">
        <is>
          <t>ดีปลี</t>
        </is>
      </c>
      <c r="G36" s="18" t="inlineStr">
        <is>
          <t>...</t>
        </is>
      </c>
      <c r="H36" s="18" t="inlineStr">
        <is>
          <t>Supercritical Fluid Extraction (SFE-CO2)</t>
        </is>
      </c>
      <c r="I36" s="18" t="n">
        <v>1</v>
      </c>
      <c r="J36" s="18"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(ดีปลี): ข้อนี้ไม่ใช่คำตอบที่ถูกต้องสำหรับภาวะ Herbal Extraction methods เนื่องจากกลไกการออกฤทธิ์, efficacy หรือข้อบ่งใช้ไม่ตรงกับโจทย์ที่กำหนด
• ข้อ ง. (...):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8" t="n"/>
      <c r="L36" s="18" t="inlineStr">
        <is>
          <t>Herbal Extraction methods</t>
        </is>
      </c>
      <c r="M36" s="18" t="inlineStr">
        <is>
          <t>Product</t>
        </is>
      </c>
      <c r="N36" s="18" t="inlineStr">
        <is>
          <t>ข้อ 4 (PLE_CC1_2560 22 April Set 1.md)</t>
        </is>
      </c>
      <c r="O36" s="18" t="inlineStr">
        <is>
          <t>ข้อสอบจริง</t>
        </is>
      </c>
      <c r="P36" s="18" t="inlineStr">
        <is>
          <t>ปี 2560</t>
        </is>
      </c>
    </row>
    <row r="37">
      <c r="A37" s="18" t="n">
        <v>35</v>
      </c>
      <c r="B37" s="18" t="inlineStr">
        <is>
          <t>สมุนไพรใดที่ห้ามใช้ในผู้ป่วยไต และความดัน</t>
        </is>
      </c>
      <c r="C37" s="18" t="n"/>
      <c r="D37" s="18" t="inlineStr">
        <is>
          <t>ขิง</t>
        </is>
      </c>
      <c r="E37" s="18" t="inlineStr">
        <is>
          <t>กระชาย</t>
        </is>
      </c>
      <c r="F37" s="18" t="inlineStr">
        <is>
          <t>หญ้าหนวดแมว</t>
        </is>
      </c>
      <c r="G37" s="18" t="inlineStr">
        <is>
          <t>ข่า</t>
        </is>
      </c>
      <c r="H37" s="18" t="inlineStr">
        <is>
          <t>ทองพันชั่ง ห้ามนำไปทำซ้ำทุกกรณี เว้นแต่จะได้รับอนุญาต</t>
        </is>
      </c>
      <c r="I37" s="18" t="n">
        <v>1</v>
      </c>
      <c r="J37" s="18"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(ข่า):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8" t="n"/>
      <c r="L37" s="18" t="inlineStr">
        <is>
          <t>Herbal Extraction methods</t>
        </is>
      </c>
      <c r="M37" s="18" t="inlineStr">
        <is>
          <t>Product</t>
        </is>
      </c>
      <c r="N37" s="18" t="inlineStr">
        <is>
          <t>ข้อ 5 (PLE_CC1_2559.md)</t>
        </is>
      </c>
      <c r="O37" s="18" t="inlineStr">
        <is>
          <t>ข้อสอบจริง</t>
        </is>
      </c>
      <c r="P37" s="18" t="inlineStr">
        <is>
          <t>ปี 2559</t>
        </is>
      </c>
    </row>
    <row r="38">
      <c r="A38" s="18" t="n">
        <v>36</v>
      </c>
      <c r="B38" s="18" t="inlineStr">
        <is>
          <t>สมุนไพรใดที่ใช้ในการเลิกบุหรี่</t>
        </is>
      </c>
      <c r="C38" s="18" t="n"/>
      <c r="D38" s="18" t="inlineStr">
        <is>
          <t>เพชรสังฆาต</t>
        </is>
      </c>
      <c r="E38" s="18" t="inlineStr">
        <is>
          <t>พริก</t>
        </is>
      </c>
      <c r="F38" s="18" t="inlineStr">
        <is>
          <t>หญ้าดอกขาว</t>
        </is>
      </c>
      <c r="G38" s="18" t="inlineStr">
        <is>
          <t>ขลู่</t>
        </is>
      </c>
      <c r="H38" s="18" t="inlineStr">
        <is>
          <t>มะระขี นก</t>
        </is>
      </c>
      <c r="I38" s="18" t="n">
        <v>1</v>
      </c>
      <c r="J38" s="18"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ง. (ขลู่): ข้อนี้ไม่ใช่คำตอบที่ถูกต้องสำหรับภาวะ Herbal Extraction methods เนื่องจากกลไกการออกฤทธิ์, efficacy หรือข้อบ่งใช้ไม่ตรงกับโจทย์ที่กำหนด
• ข้อ จ. (มะระขี นก):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8" t="n"/>
      <c r="L38" s="18" t="inlineStr">
        <is>
          <t>Herbal Extraction methods</t>
        </is>
      </c>
      <c r="M38" s="18" t="inlineStr">
        <is>
          <t>Product</t>
        </is>
      </c>
      <c r="N38" s="18" t="inlineStr">
        <is>
          <t>ข้อ 14 (PLE_CC1_2559.md)</t>
        </is>
      </c>
      <c r="O38" s="18" t="inlineStr">
        <is>
          <t>ข้อสอบจริง</t>
        </is>
      </c>
      <c r="P38" s="18" t="inlineStr">
        <is>
          <t>ปี 2559</t>
        </is>
      </c>
    </row>
    <row r="39">
      <c r="A39" s="18" t="n">
        <v>37</v>
      </c>
      <c r="B39" s="18" t="inlineStr">
        <is>
          <t>ยาสมุนไพรหรือยาแผนโบราณใดที่ใช้ในการรักษาอีสุกอีใส</t>
        </is>
      </c>
      <c r="C39" s="18" t="n"/>
      <c r="D39" s="18" t="inlineStr">
        <is>
          <t>ยามหานิลแท่งทอง</t>
        </is>
      </c>
      <c r="E39" s="18" t="inlineStr">
        <is>
          <t>ยาจันทน์ลีลา</t>
        </is>
      </c>
      <c r="F39" s="18" t="inlineStr">
        <is>
          <t>ยาเบญจกูล</t>
        </is>
      </c>
      <c r="G39" s="18" t="inlineStr">
        <is>
          <t>ยาเบญจโลกวิเชียร</t>
        </is>
      </c>
      <c r="H39" s="18" t="inlineStr">
        <is>
          <t>ยาหอมอินทรจักร ห้ามนำไปทำซ้ำทุกกรณี เว้นแต่จะได้รับอนุญาต</t>
        </is>
      </c>
      <c r="I39" s="18" t="n">
        <v>1</v>
      </c>
      <c r="J39" s="18"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(ยาเบญจกูล):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(ยาเบญจโลกวิเชียร):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(ยาหอมอินทรจักร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8" t="n"/>
      <c r="L39" s="18" t="inlineStr">
        <is>
          <t>Herbal Extraction methods</t>
        </is>
      </c>
      <c r="M39" s="18" t="inlineStr">
        <is>
          <t>Product</t>
        </is>
      </c>
      <c r="N39" s="18" t="inlineStr">
        <is>
          <t>ข้อ 38 (PLE_CC1_2559.md)</t>
        </is>
      </c>
      <c r="O39" s="18" t="inlineStr">
        <is>
          <t>ข้อสอบจริง</t>
        </is>
      </c>
      <c r="P39" s="18" t="inlineStr">
        <is>
          <t>ปี 2559</t>
        </is>
      </c>
    </row>
    <row r="40">
      <c r="A40" s="18" t="n">
        <v>38</v>
      </c>
      <c r="B40" s="18" t="inlineStr">
        <is>
          <t>ยาสมุนไพรใดให้ผลการรักษาเทียบเท่ากับ NSAID</t>
        </is>
      </c>
      <c r="C40" s="18" t="n"/>
      <c r="D40" s="18" t="inlineStr">
        <is>
          <t>ขมิ้นชัน</t>
        </is>
      </c>
      <c r="E40" s="18" t="inlineStr">
        <is>
          <t>ใบฝรั่ง</t>
        </is>
      </c>
      <c r="F40" s="18" t="inlineStr">
        <is>
          <t>เมล็ดน้อยหน่า</t>
        </is>
      </c>
      <c r="G40" s="18" t="inlineStr">
        <is>
          <t>เถาวัลย์เปรียง</t>
        </is>
      </c>
      <c r="H40" s="18" t="inlineStr">
        <is>
          <t>เจลพริก</t>
        </is>
      </c>
      <c r="I40" s="18" t="n">
        <v>1</v>
      </c>
      <c r="J40" s="18"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(เจลพริก):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8" t="n"/>
      <c r="L40" s="18" t="inlineStr">
        <is>
          <t>Herbal Extraction methods</t>
        </is>
      </c>
      <c r="M40" s="18" t="inlineStr">
        <is>
          <t>Product</t>
        </is>
      </c>
      <c r="N40" s="18" t="inlineStr">
        <is>
          <t>ข้อ 64 (PLE_CC1_2558_Key.md)</t>
        </is>
      </c>
      <c r="O40" s="18" t="inlineStr">
        <is>
          <t>ข้อสอบจริง</t>
        </is>
      </c>
      <c r="P40" s="18" t="inlineStr">
        <is>
          <t>ปี 2558</t>
        </is>
      </c>
    </row>
    <row r="41">
      <c r="A41" s="18" t="n">
        <v>39</v>
      </c>
      <c r="B41" s="18" t="inlineStr">
        <is>
          <t>สมุนไพรข้อใดที่ใช้ในการรักษากลาก เกลื้อน ฮ่องกงฟุต</t>
        </is>
      </c>
      <c r="C41" s="18" t="n"/>
      <c r="D41" s="18" t="inlineStr">
        <is>
          <t>ยาทาขลู่</t>
        </is>
      </c>
      <c r="E41" s="18" t="inlineStr">
        <is>
          <t>ยาทาทองพันชั่ง</t>
        </is>
      </c>
      <c r="F41" s="18" t="inlineStr">
        <is>
          <t>ครีมพญายอ</t>
        </is>
      </c>
      <c r="G41" s="18" t="inlineStr">
        <is>
          <t>ครีมบัวบก</t>
        </is>
      </c>
      <c r="H41" s="18" t="inlineStr">
        <is>
          <t>เจลว่านหางจระเข้</t>
        </is>
      </c>
      <c r="I41" s="18" t="n">
        <v>1</v>
      </c>
      <c r="J41" s="18"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8" t="n"/>
      <c r="L41" s="18" t="inlineStr">
        <is>
          <t>Herbal Extraction methods</t>
        </is>
      </c>
      <c r="M41" s="18" t="inlineStr">
        <is>
          <t>Product</t>
        </is>
      </c>
      <c r="N41" s="18" t="inlineStr">
        <is>
          <t>ข้อ 98 (PLE_CC1_2558_Key.md)</t>
        </is>
      </c>
      <c r="O41" s="18" t="inlineStr">
        <is>
          <t>ข้อสอบจริง</t>
        </is>
      </c>
      <c r="P41" s="18" t="inlineStr">
        <is>
          <t>ปี 2558</t>
        </is>
      </c>
    </row>
    <row r="42">
      <c r="A42" s="18" t="n">
        <v>40</v>
      </c>
      <c r="B42" s="18" t="inlineStr">
        <is>
          <t>สมุนไพรในข้อใดช่วยรักษาอาการงูสวัด</t>
        </is>
      </c>
      <c r="C42" s="18" t="n"/>
      <c r="D42" s="18" t="inlineStr">
        <is>
          <t>เจลว่านหางจระเข้</t>
        </is>
      </c>
      <c r="E42" s="18" t="inlineStr">
        <is>
          <t>ยาเปลือกมังคุด</t>
        </is>
      </c>
      <c r="F42" s="18" t="inlineStr">
        <is>
          <t>ครีมพญายอ</t>
        </is>
      </c>
      <c r="G42" s="18" t="inlineStr">
        <is>
          <t>ทิงเจอร์พลู</t>
        </is>
      </c>
      <c r="H42" s="18" t="inlineStr">
        <is>
          <t>ยาบัวบก</t>
        </is>
      </c>
      <c r="I42" s="18" t="n">
        <v>1</v>
      </c>
      <c r="J42" s="18"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จ. (ยาบัวบก):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8" t="n"/>
      <c r="L42" s="18" t="inlineStr">
        <is>
          <t>Herbal Extraction methods</t>
        </is>
      </c>
      <c r="M42" s="18" t="inlineStr">
        <is>
          <t>Product</t>
        </is>
      </c>
      <c r="N42" s="18" t="inlineStr">
        <is>
          <t>ข้อ 15 (Pharmtutor_2024_Set1.md)</t>
        </is>
      </c>
      <c r="O42" s="18" t="inlineStr">
        <is>
          <t>Mock</t>
        </is>
      </c>
      <c r="P42" s="18" t="inlineStr">
        <is>
          <t>Mock Pharmtutor 2024</t>
        </is>
      </c>
    </row>
    <row r="43">
      <c r="A43" s="18" t="n">
        <v>41</v>
      </c>
      <c r="B43" s="18" t="inlineStr">
        <is>
          <t>สมุนไพรในข้อใดช่วยบรรเทาอาการคลื่นไส้อาเจียน</t>
        </is>
      </c>
      <c r="C43" s="18" t="n"/>
      <c r="D43" s="18" t="inlineStr">
        <is>
          <t>เหง้าขิง</t>
        </is>
      </c>
      <c r="E43" s="18" t="inlineStr">
        <is>
          <t>ข่า</t>
        </is>
      </c>
      <c r="F43" s="18" t="inlineStr">
        <is>
          <t>ตะไคร้</t>
        </is>
      </c>
      <c r="G43" s="18" t="inlineStr">
        <is>
          <t>ขมิ้นชัน</t>
        </is>
      </c>
      <c r="H43" s="18" t="inlineStr">
        <is>
          <t>ใบมะกรูด</t>
        </is>
      </c>
      <c r="I43" s="18" t="n">
        <v>1</v>
      </c>
      <c r="J43" s="18"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ข้อนี้ไม่ใช่คำตอบที่ถูกต้องสำหรับภาวะ Herbal Extraction methods เนื่องจากกลไกการออกฤทธิ์, efficacy หรือข้อบ่งใช้ไม่ตรงกับโจทย์ที่กำหนด
• ข้อ ค.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(ใบมะกรูด):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8" t="n"/>
      <c r="L43" s="18" t="inlineStr">
        <is>
          <t>Herbal Extraction methods</t>
        </is>
      </c>
      <c r="M43" s="18" t="inlineStr">
        <is>
          <t>Product</t>
        </is>
      </c>
      <c r="N43" s="18" t="inlineStr">
        <is>
          <t>ข้อ 22 (Pharmtutor_2024_Set1.md)</t>
        </is>
      </c>
      <c r="O43" s="18" t="inlineStr">
        <is>
          <t>Mock</t>
        </is>
      </c>
      <c r="P43" s="18" t="inlineStr">
        <is>
          <t>Mock Pharmtutor 2024</t>
        </is>
      </c>
    </row>
    <row r="44">
      <c r="A44" s="18" t="n">
        <v>42</v>
      </c>
      <c r="B44" s="18" t="inlineStr">
        <is>
          <t>สมุนไพรในข้อใดบรรเทาอาการต่างจากข้ออื่น</t>
        </is>
      </c>
      <c r="C44" s="18" t="n"/>
      <c r="D44" s="18" t="inlineStr">
        <is>
          <t>เปลือกทับทิม</t>
        </is>
      </c>
      <c r="E44" s="18" t="inlineStr">
        <is>
          <t>กล้วยน้ำหว้าดิบ</t>
        </is>
      </c>
      <c r="F44" s="18" t="inlineStr">
        <is>
          <t>ใบสีเสียด</t>
        </is>
      </c>
      <c r="G44" s="18" t="inlineStr">
        <is>
          <t>มะขามแขก</t>
        </is>
      </c>
      <c r="H44" s="18" t="inlineStr">
        <is>
          <t>ฟ้าทะลายโจร</t>
        </is>
      </c>
      <c r="I44" s="18" t="n">
        <v>1</v>
      </c>
      <c r="J44" s="18"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ข้อนี้ไม่ใช่คำตอบที่ถูกต้องสำหรับภาวะ Herbal Extraction methods เนื่องจากกลไกการออกฤทธิ์, efficacy หรือข้อบ่งใช้ไม่ตรงกับโจทย์ที่กำหนด
• ข้อ ค. (ใบสีเสียด):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8" t="n"/>
      <c r="L44" s="18" t="inlineStr">
        <is>
          <t>Herbal Extraction methods</t>
        </is>
      </c>
      <c r="M44" s="18" t="inlineStr">
        <is>
          <t>Product</t>
        </is>
      </c>
      <c r="N44" s="18" t="inlineStr">
        <is>
          <t>ข้อ 26 (Pharmtutor_2024_Set1.md)</t>
        </is>
      </c>
      <c r="O44" s="18" t="inlineStr">
        <is>
          <t>Mock</t>
        </is>
      </c>
      <c r="P44" s="18" t="inlineStr">
        <is>
          <t>Mock Pharmtutor 2024</t>
        </is>
      </c>
    </row>
    <row r="45">
      <c r="A45" s="18" t="n">
        <v>43</v>
      </c>
      <c r="B45" s="18" t="inlineStr">
        <is>
          <t>ยาสมุนไพรในข้อใด มีข้อบ่งใช้ในการบรรเทาอการของโรคโพรงจมูกอักเสบ</t>
        </is>
      </c>
      <c r="C45" s="18" t="n"/>
      <c r="D45" s="18" t="inlineStr">
        <is>
          <t>ยาประสะไพล</t>
        </is>
      </c>
      <c r="E45" s="18" t="inlineStr">
        <is>
          <t>ยาธาตุบรรจบ</t>
        </is>
      </c>
      <c r="F45" s="18" t="inlineStr">
        <is>
          <t>ยาปราบชมพูทวีป</t>
        </is>
      </c>
      <c r="G45" s="18" t="inlineStr">
        <is>
          <t>ยาเหลืองปิดสมุทร</t>
        </is>
      </c>
      <c r="H45" s="18" t="inlineStr">
        <is>
          <t>ยาแคปซูลฟ้าทะลายโจร</t>
        </is>
      </c>
      <c r="I45" s="18" t="n">
        <v>1</v>
      </c>
      <c r="J45" s="18"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ข้อนี้ไม่ใช่คำตอบที่ถูกต้องสำหรับภาวะ Herbal Extraction methods เนื่องจากกลไกการออกฤทธิ์, efficacy หรือข้อบ่งใช้ไม่ตรงกับโจทย์ที่กำหนด
• ข้อ ค. (ยาปราบชมพูทวีป):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(ยาเหลืองปิดสมุทร):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(ยาแคปซูลฟ้าทะลายโจร):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8" t="n"/>
      <c r="L45" s="18" t="inlineStr">
        <is>
          <t>Herbal Extraction methods</t>
        </is>
      </c>
      <c r="M45" s="18" t="inlineStr">
        <is>
          <t>Product</t>
        </is>
      </c>
      <c r="N45" s="18" t="inlineStr">
        <is>
          <t>ข้อ 87 (Pharmtutor_2024_Set1.md)</t>
        </is>
      </c>
      <c r="O45" s="18" t="inlineStr">
        <is>
          <t>Mock</t>
        </is>
      </c>
      <c r="P45" s="18" t="inlineStr">
        <is>
          <t>Mock Pharmtutor 2024</t>
        </is>
      </c>
    </row>
    <row r="46">
      <c r="A46" s="18" t="n">
        <v>44</v>
      </c>
      <c r="B46" s="18" t="inlineStr">
        <is>
          <t>ผู้ป่วยเริม สามารถใช้สมุนไพรชนิดใด สำหรับบรรเทาอาการ</t>
        </is>
      </c>
      <c r="C46" s="18" t="n"/>
      <c r="D46" s="18" t="inlineStr">
        <is>
          <t>รางจืด</t>
        </is>
      </c>
      <c r="E46" s="18" t="inlineStr">
        <is>
          <t>เพชรสังฆาต</t>
        </is>
      </c>
      <c r="F46" s="18" t="inlineStr">
        <is>
          <t>มะระขี้นก</t>
        </is>
      </c>
      <c r="G46" s="18" t="inlineStr">
        <is>
          <t>ครีมพญายอ</t>
        </is>
      </c>
      <c r="H46" s="18" t="inlineStr">
        <is>
          <t>ทองพันชั่ง</t>
        </is>
      </c>
      <c r="I46" s="18" t="n">
        <v>1</v>
      </c>
      <c r="J46" s="18"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ข้อนี้ไม่ใช่คำตอบที่ถูกต้องสำหรับภาวะ Herbal Extraction methods เนื่องจากกลไกการออกฤทธิ์, efficacy หรือข้อบ่งใช้ไม่ตรงกับโจทย์ที่กำหนด
• ข้อ ค.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8" t="n"/>
      <c r="L46" s="18" t="inlineStr">
        <is>
          <t>Herbal Extraction methods</t>
        </is>
      </c>
      <c r="M46" s="18" t="inlineStr">
        <is>
          <t>Product</t>
        </is>
      </c>
      <c r="N46" s="18" t="inlineStr">
        <is>
          <t>ข้อ 16 (Pharmtutor_2024_Set2.md)</t>
        </is>
      </c>
      <c r="O46" s="18" t="inlineStr">
        <is>
          <t>Mock</t>
        </is>
      </c>
      <c r="P46" s="18" t="inlineStr">
        <is>
          <t>Mock Pharmtutor 2024</t>
        </is>
      </c>
    </row>
    <row r="47">
      <c r="A47" s="18" t="n">
        <v>45</v>
      </c>
      <c r="B47" s="18"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18" t="n"/>
      <c r="D47" s="18" t="inlineStr">
        <is>
          <t>Gingerol quantification in Zingiber officinale</t>
        </is>
      </c>
      <c r="E47" s="18" t="inlineStr">
        <is>
          <t>Maceration with Ethanol 70% solvent</t>
        </is>
      </c>
      <c r="F47" s="18" t="inlineStr">
        <is>
          <t>Soxhlet Extraction for heat-stable phytochemicals</t>
        </is>
      </c>
      <c r="G47" s="18" t="inlineStr">
        <is>
          <t>Supercritical Fluid Extraction (SFE-CO2)</t>
        </is>
      </c>
      <c r="H47" s="18" t="inlineStr">
        <is>
          <t>Standardized Curcuminoids in Curcuma longa</t>
        </is>
      </c>
      <c r="I47" s="18" t="n">
        <v>1</v>
      </c>
      <c r="J47" s="18"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8" t="n"/>
      <c r="L47" s="18" t="inlineStr">
        <is>
          <t>Herbal Extraction methods</t>
        </is>
      </c>
      <c r="M47" s="18" t="inlineStr">
        <is>
          <t>Product</t>
        </is>
      </c>
      <c r="N47" s="18" t="inlineStr">
        <is>
          <t>ข้อ 17 (PLE_CC1_2557.md)</t>
        </is>
      </c>
      <c r="O47" s="18" t="inlineStr">
        <is>
          <t>ข้อสอบจริง</t>
        </is>
      </c>
      <c r="P47" s="18" t="inlineStr">
        <is>
          <t>ปี 2557</t>
        </is>
      </c>
    </row>
    <row r="48">
      <c r="A48" s="18" t="n">
        <v>46</v>
      </c>
      <c r="B48" s="18"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18" t="n"/>
      <c r="D48" s="18" t="inlineStr">
        <is>
          <t>Supercritical Fluid Extraction (SFE-CO2)</t>
        </is>
      </c>
      <c r="E48" s="18" t="inlineStr">
        <is>
          <t>Standardized Curcuminoids in Curcuma longa</t>
        </is>
      </c>
      <c r="F48" s="18" t="inlineStr">
        <is>
          <t>Standardized Andrographolide in Andrographis paniculata</t>
        </is>
      </c>
      <c r="G48" s="18" t="inlineStr">
        <is>
          <t>Senna glycosides (Sennosides A &amp; B) Extraction</t>
        </is>
      </c>
      <c r="H48" s="18" t="inlineStr">
        <is>
          <t>Centella asiatica (Madecassoside &amp; Asiaticoside)</t>
        </is>
      </c>
      <c r="I48" s="18" t="n">
        <v>1</v>
      </c>
      <c r="J48" s="18"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8" t="n"/>
      <c r="L48" s="18" t="inlineStr">
        <is>
          <t>Herbal Extraction methods</t>
        </is>
      </c>
      <c r="M48" s="18" t="inlineStr">
        <is>
          <t>Product</t>
        </is>
      </c>
      <c r="N48" s="18" t="inlineStr">
        <is>
          <t>ข้อ 18 (PLE_CC1_2557.md)</t>
        </is>
      </c>
      <c r="O48" s="18" t="inlineStr">
        <is>
          <t>ข้อสอบจริง</t>
        </is>
      </c>
      <c r="P48" s="18" t="inlineStr">
        <is>
          <t>ปี 2557</t>
        </is>
      </c>
    </row>
    <row r="49">
      <c r="A49" s="18" t="n">
        <v>47</v>
      </c>
      <c r="B49" s="18"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18" t="n"/>
      <c r="D49" s="18" t="inlineStr">
        <is>
          <t>Senna glycosides (Sennosides A &amp; B) Extraction</t>
        </is>
      </c>
      <c r="E49" s="18" t="inlineStr">
        <is>
          <t>Centella asiatica (Madecassoside &amp; Asiaticoside)</t>
        </is>
      </c>
      <c r="F49" s="18" t="inlineStr">
        <is>
          <t>Gingerol quantification in Zingiber officinale</t>
        </is>
      </c>
      <c r="G49" s="18" t="inlineStr">
        <is>
          <t>Maceration with Ethanol 70% solvent</t>
        </is>
      </c>
      <c r="H49" s="18" t="inlineStr">
        <is>
          <t>Soxhlet Extraction for heat-stable phytochemicals</t>
        </is>
      </c>
      <c r="I49" s="18" t="n">
        <v>1</v>
      </c>
      <c r="J49" s="18"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8" t="n"/>
      <c r="L49" s="18" t="inlineStr">
        <is>
          <t>Herbal Extraction methods</t>
        </is>
      </c>
      <c r="M49" s="18" t="inlineStr">
        <is>
          <t>Product</t>
        </is>
      </c>
      <c r="N49" s="18" t="inlineStr">
        <is>
          <t>ข้อ 24 (PLE_CC1_2557.md)</t>
        </is>
      </c>
      <c r="O49" s="18" t="inlineStr">
        <is>
          <t>ข้อสอบจริง</t>
        </is>
      </c>
      <c r="P49" s="18" t="inlineStr">
        <is>
          <t>ปี 2557</t>
        </is>
      </c>
    </row>
    <row r="50">
      <c r="A50" s="18" t="n">
        <v>48</v>
      </c>
      <c r="B50" s="18" t="inlineStr">
        <is>
          <t>ผู้ป่วยที_x001e_มีปัญหาโรคตับ ไม่ควรใช้สมุนไพรในข้อใด (1) ขมิ_x001b_นชัน (2) ขี_x001b_เหล็ก (3) ขิง (4) กระเจีBยบแดง (5) หญ้าหนวดแมว</t>
        </is>
      </c>
      <c r="C50" s="18" t="n"/>
      <c r="D50" s="18" t="inlineStr">
        <is>
          <t>Maceration with Ethanol 70% solvent</t>
        </is>
      </c>
      <c r="E50" s="18" t="inlineStr">
        <is>
          <t>Soxhlet Extraction for heat-stable phytochemicals</t>
        </is>
      </c>
      <c r="F50" s="18" t="inlineStr">
        <is>
          <t>Supercritical Fluid Extraction (SFE-CO2)</t>
        </is>
      </c>
      <c r="G50" s="18" t="inlineStr">
        <is>
          <t>Standardized Curcuminoids in Curcuma longa</t>
        </is>
      </c>
      <c r="H50" s="18" t="inlineStr">
        <is>
          <t>Standardized Andrographolide in Andrographis paniculata</t>
        </is>
      </c>
      <c r="I50" s="18" t="n">
        <v>1</v>
      </c>
      <c r="J50" s="18"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8" t="n"/>
      <c r="L50" s="18" t="inlineStr">
        <is>
          <t>Herbal Extraction methods</t>
        </is>
      </c>
      <c r="M50" s="18" t="inlineStr">
        <is>
          <t>Product</t>
        </is>
      </c>
      <c r="N50" s="18" t="inlineStr">
        <is>
          <t>ข้อ 61 (PLE_CC1_2557.md)</t>
        </is>
      </c>
      <c r="O50" s="18" t="inlineStr">
        <is>
          <t>ข้อสอบจริง</t>
        </is>
      </c>
      <c r="P50" s="18" t="inlineStr">
        <is>
          <t>ปี 2557</t>
        </is>
      </c>
    </row>
    <row r="51">
      <c r="A51" s="18" t="n">
        <v>49</v>
      </c>
      <c r="B51" s="18"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18" t="n"/>
      <c r="D51" s="18" t="inlineStr">
        <is>
          <t>Standardized Curcuminoids in Curcuma longa</t>
        </is>
      </c>
      <c r="E51" s="18" t="inlineStr">
        <is>
          <t>Standardized Andrographolide in Andrographis paniculata</t>
        </is>
      </c>
      <c r="F51" s="18" t="inlineStr">
        <is>
          <t>Senna glycosides (Sennosides A &amp; B) Extraction</t>
        </is>
      </c>
      <c r="G51" s="18" t="inlineStr">
        <is>
          <t>Centella asiatica (Madecassoside &amp; Asiaticoside)</t>
        </is>
      </c>
      <c r="H51" s="18" t="inlineStr">
        <is>
          <t>Gingerol quantification in Zingiber officinale</t>
        </is>
      </c>
      <c r="I51" s="18" t="n">
        <v>1</v>
      </c>
      <c r="J51" s="18"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8" t="n"/>
      <c r="L51" s="18" t="inlineStr">
        <is>
          <t>Herbal Extraction methods</t>
        </is>
      </c>
      <c r="M51" s="18" t="inlineStr">
        <is>
          <t>Product</t>
        </is>
      </c>
      <c r="N51" s="18" t="inlineStr">
        <is>
          <t>ข้อ 42 (PLE_CC1_2557.md)</t>
        </is>
      </c>
      <c r="O51" s="18" t="inlineStr">
        <is>
          <t>ข้อสอบจริง</t>
        </is>
      </c>
      <c r="P51" s="18" t="inlineStr">
        <is>
          <t>ปี 2557</t>
        </is>
      </c>
    </row>
    <row r="52">
      <c r="A52" s="18" t="n">
        <v>50</v>
      </c>
      <c r="B52" s="18" t="inlineStr">
        <is>
          <t>ฟ้าทะลายโจร บางครั้งเวลาเจ็บคอ</t>
        </is>
      </c>
      <c r="C52" s="18" t="n"/>
      <c r="D52" s="18" t="inlineStr">
        <is>
          <t>Centella asiatica (Madecassoside &amp; Asiaticoside)</t>
        </is>
      </c>
      <c r="E52" s="18" t="inlineStr">
        <is>
          <t>Gingerol quantification in Zingiber officinale</t>
        </is>
      </c>
      <c r="F52" s="18" t="inlineStr">
        <is>
          <t>Maceration with Ethanol 70% solvent</t>
        </is>
      </c>
      <c r="G52" s="18" t="inlineStr">
        <is>
          <t>Soxhlet Extraction for heat-stable phytochemicals</t>
        </is>
      </c>
      <c r="H52" s="18" t="inlineStr">
        <is>
          <t>Supercritical Fluid Extraction (SFE-CO2)</t>
        </is>
      </c>
      <c r="I52" s="18" t="n">
        <v>1</v>
      </c>
      <c r="J52" s="18"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8" t="n"/>
      <c r="L52" s="18" t="inlineStr">
        <is>
          <t>Herbal Extraction methods</t>
        </is>
      </c>
      <c r="M52" s="18" t="inlineStr">
        <is>
          <t>Product</t>
        </is>
      </c>
      <c r="N52" s="18" t="inlineStr">
        <is>
          <t>ข้อ 5 (PLE_CC1_2556.md)</t>
        </is>
      </c>
      <c r="O52" s="18" t="inlineStr">
        <is>
          <t>ข้อสอบจริง</t>
        </is>
      </c>
      <c r="P52" s="18" t="inlineStr">
        <is>
          <t>ปี 2556</t>
        </is>
      </c>
    </row>
    <row r="53">
      <c r="A53" s="18" t="n">
        <v>51</v>
      </c>
      <c r="B53" s="18" t="inlineStr">
        <is>
          <t>ถ้าจะใช้เป็นสมุนไพรสาธารณสุขมูลฐาน ต้องใช้อะไร</t>
        </is>
      </c>
      <c r="C53" s="18" t="n"/>
      <c r="D53" s="18" t="inlineStr">
        <is>
          <t>กระเทียม</t>
        </is>
      </c>
      <c r="E53" s="18" t="inlineStr">
        <is>
          <t>ยอ</t>
        </is>
      </c>
      <c r="F53" s="18" t="inlineStr">
        <is>
          <t>ขมิ้นชัน</t>
        </is>
      </c>
      <c r="G53" s="18"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18" t="inlineStr">
        <is>
          <t>Senna glycosides (Sennosides A &amp; B) Extraction</t>
        </is>
      </c>
      <c r="I53" s="18" t="n">
        <v>4</v>
      </c>
      <c r="J53" s="18"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ข้อนี้ไม่ใช่คำตอบที่ถูกต้องสำหรับภาวะ Herbal Extraction methods เนื่องจากกลไกการออกฤทธิ์, efficacy หรือข้อบ่งใช้ไม่ตรงกับโจทย์ที่กำหนด
• ข้อ ข. (ยอ):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8" t="n"/>
      <c r="L53" s="18" t="inlineStr">
        <is>
          <t>Herbal Extraction methods</t>
        </is>
      </c>
      <c r="M53" s="18" t="inlineStr">
        <is>
          <t>Product</t>
        </is>
      </c>
      <c r="N53" s="18" t="inlineStr">
        <is>
          <t>ข้อ 3 (PLE_CC1_2554 SET2.md)</t>
        </is>
      </c>
      <c r="O53" s="18" t="inlineStr">
        <is>
          <t>ข้อสอบจริง</t>
        </is>
      </c>
      <c r="P53" s="18" t="inlineStr">
        <is>
          <t>ปี 2554</t>
        </is>
      </c>
    </row>
    <row r="54">
      <c r="A54" s="18" t="n">
        <v>52</v>
      </c>
      <c r="B54" s="18" t="inlineStr">
        <is>
          <t>สมุนไพรใดใช้บรรเทาอาการนี้</t>
        </is>
      </c>
      <c r="C54" s="18" t="n"/>
      <c r="D54" s="18" t="inlineStr">
        <is>
          <t>ฝรั่ง</t>
        </is>
      </c>
      <c r="E54" s="18" t="inlineStr">
        <is>
          <t>ขมิ้นชัน</t>
        </is>
      </c>
      <c r="F54" s="18" t="inlineStr">
        <is>
          <t>Centella asiatica (Madecassoside &amp; Asiaticoside)</t>
        </is>
      </c>
      <c r="G54" s="18" t="inlineStr">
        <is>
          <t>Gingerol quantification in Zingiber officinale</t>
        </is>
      </c>
      <c r="H54" s="18" t="inlineStr">
        <is>
          <t>Maceration with Ethanol 70% solvent</t>
        </is>
      </c>
      <c r="I54" s="18" t="n">
        <v>1</v>
      </c>
      <c r="J54" s="18"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8" t="n"/>
      <c r="L54" s="18" t="inlineStr">
        <is>
          <t>Herbal Extraction methods</t>
        </is>
      </c>
      <c r="M54" s="18" t="inlineStr">
        <is>
          <t>Product</t>
        </is>
      </c>
      <c r="N54" s="18" t="inlineStr">
        <is>
          <t>ข้อ 7 (PLE_CC1_2533.md)</t>
        </is>
      </c>
      <c r="O54" s="18" t="inlineStr">
        <is>
          <t>ข้อสอบจริง</t>
        </is>
      </c>
      <c r="P54" s="18" t="inlineStr">
        <is>
          <t>ปี 2533</t>
        </is>
      </c>
    </row>
    <row r="55">
      <c r="A55" s="18" t="n">
        <v>53</v>
      </c>
      <c r="B55" s="18" t="inlineStr">
        <is>
          <t>ระเหย ในขมิ้นชัน มีสรรพคุณบรรเทา อาการปวดท้อง ท้องอืด แน่นจุดเสียด</t>
        </is>
      </c>
      <c r="C55" s="18" t="n"/>
      <c r="D55" s="18" t="inlineStr">
        <is>
          <t>Gingerol quantification in Zingiber officinale</t>
        </is>
      </c>
      <c r="E55" s="18" t="inlineStr">
        <is>
          <t>Maceration with Ethanol 70% solvent</t>
        </is>
      </c>
      <c r="F55" s="18" t="inlineStr">
        <is>
          <t>Soxhlet Extraction for heat-stable phytochemicals</t>
        </is>
      </c>
      <c r="G55" s="18" t="inlineStr">
        <is>
          <t>Supercritical Fluid Extraction (SFE-CO2)</t>
        </is>
      </c>
      <c r="H55" s="18" t="inlineStr">
        <is>
          <t>Standardized Curcuminoids in Curcuma longa</t>
        </is>
      </c>
      <c r="I55" s="18" t="n">
        <v>2</v>
      </c>
      <c r="J55" s="18"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8" t="n"/>
      <c r="L55" s="18" t="inlineStr">
        <is>
          <t>Herbal Extraction methods</t>
        </is>
      </c>
      <c r="M55" s="18" t="inlineStr">
        <is>
          <t>Product</t>
        </is>
      </c>
      <c r="N55" s="18" t="inlineStr">
        <is>
          <t>ข้อ 5 (PLE_CC1_2533.md)</t>
        </is>
      </c>
      <c r="O55" s="18" t="inlineStr">
        <is>
          <t>ข้อสอบจริง</t>
        </is>
      </c>
      <c r="P55" s="18" t="inlineStr">
        <is>
          <t>ปี 2533</t>
        </is>
      </c>
    </row>
    <row r="56">
      <c r="A56" s="18" t="n">
        <v>54</v>
      </c>
      <c r="B56" s="18" t="inlineStr">
        <is>
          <t>สมุนไพรข้อใดไม่แนะนำให้กินเสริมธาตุเหล็ก</t>
        </is>
      </c>
      <c r="C56" s="18" t="n"/>
      <c r="D56" s="18" t="inlineStr">
        <is>
          <t>Supercritical Fluid Extraction (SFE-CO2)</t>
        </is>
      </c>
      <c r="E56" s="18" t="inlineStr">
        <is>
          <t>Standardized Curcuminoids in Curcuma longa</t>
        </is>
      </c>
      <c r="F56" s="18" t="inlineStr">
        <is>
          <t>Standardized Andrographolide in Andrographis paniculata</t>
        </is>
      </c>
      <c r="G56" s="18" t="inlineStr">
        <is>
          <t>Senna glycosides (Sennosides A &amp; B) Extraction</t>
        </is>
      </c>
      <c r="H56" s="18" t="inlineStr">
        <is>
          <t>Centella asiatica (Madecassoside &amp; Asiaticoside)</t>
        </is>
      </c>
      <c r="I56" s="18" t="n">
        <v>1</v>
      </c>
      <c r="J56" s="18"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8" t="n"/>
      <c r="L56" s="18" t="inlineStr">
        <is>
          <t>Herbal Extraction methods</t>
        </is>
      </c>
      <c r="M56" s="18" t="inlineStr">
        <is>
          <t>Product</t>
        </is>
      </c>
      <c r="N56" s="18" t="inlineStr">
        <is>
          <t>ข้อ 7 (PLE_CC1_2533.md)</t>
        </is>
      </c>
      <c r="O56" s="18" t="inlineStr">
        <is>
          <t>ข้อสอบจริง</t>
        </is>
      </c>
      <c r="P56" s="18" t="inlineStr">
        <is>
          <t>ปี 2533</t>
        </is>
      </c>
    </row>
    <row r="57">
      <c r="A57" s="18" t="n">
        <v>55</v>
      </c>
      <c r="B57" s="18" t="inlineStr">
        <is>
          <t>Standard Operating Procedure 7.สมุนไพรสาธารณะสุขมูลฐานที่ใช้แก้อาการเบื่ออาหาร</t>
        </is>
      </c>
      <c r="C57" s="18" t="n"/>
      <c r="D57" s="18" t="inlineStr">
        <is>
          <t>Senna glycosides (Sennosides A &amp; B) Extraction</t>
        </is>
      </c>
      <c r="E57" s="18" t="inlineStr">
        <is>
          <t>Centella asiatica (Madecassoside &amp; Asiaticoside)</t>
        </is>
      </c>
      <c r="F57" s="18" t="inlineStr">
        <is>
          <t>Gingerol quantification in Zingiber officinale</t>
        </is>
      </c>
      <c r="G57" s="18" t="inlineStr">
        <is>
          <t>Maceration with Ethanol 70% solvent</t>
        </is>
      </c>
      <c r="H57" s="18" t="inlineStr">
        <is>
          <t>Soxhlet Extraction for heat-stable phytochemicals</t>
        </is>
      </c>
      <c r="I57" s="18" t="n">
        <v>1</v>
      </c>
      <c r="J57" s="18"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8" t="n"/>
      <c r="L57" s="18" t="inlineStr">
        <is>
          <t>Herbal Extraction methods</t>
        </is>
      </c>
      <c r="M57" s="18" t="inlineStr">
        <is>
          <t>Product</t>
        </is>
      </c>
      <c r="N57" s="18" t="inlineStr">
        <is>
          <t>ข้อ 5 (PLE_CC1_2533.md)</t>
        </is>
      </c>
      <c r="O57" s="18" t="inlineStr">
        <is>
          <t>ข้อสอบจริง</t>
        </is>
      </c>
      <c r="P57" s="18" t="inlineStr">
        <is>
          <t>ปี 2533</t>
        </is>
      </c>
    </row>
    <row r="58">
      <c r="A58" s="18" t="n">
        <v>56</v>
      </c>
      <c r="B58" s="18" t="inlineStr">
        <is>
          <t>ไม่ถูกต้องเพราะยาสมุนไพรไม่ได้สามารถตีพิมพ์โฆษณาในหนังสือทั่วไปได้</t>
        </is>
      </c>
      <c r="C58" s="18" t="n"/>
      <c r="D58" s="18" t="inlineStr">
        <is>
          <t>Maceration with Ethanol 70% solvent</t>
        </is>
      </c>
      <c r="E58" s="18" t="inlineStr">
        <is>
          <t>Soxhlet Extraction for heat-stable phytochemicals</t>
        </is>
      </c>
      <c r="F58" s="18" t="inlineStr">
        <is>
          <t>Supercritical Fluid Extraction (SFE-CO2)</t>
        </is>
      </c>
      <c r="G58" s="18" t="inlineStr">
        <is>
          <t>Standardized Curcuminoids in Curcuma longa</t>
        </is>
      </c>
      <c r="H58" s="18" t="inlineStr">
        <is>
          <t>Standardized Andrographolide in Andrographis paniculata</t>
        </is>
      </c>
      <c r="I58" s="18" t="n">
        <v>1</v>
      </c>
      <c r="J58" s="18"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8" t="n"/>
      <c r="L58" s="18" t="inlineStr">
        <is>
          <t>Herbal Extraction methods</t>
        </is>
      </c>
      <c r="M58" s="18" t="inlineStr">
        <is>
          <t>Product</t>
        </is>
      </c>
      <c r="N58" s="18" t="inlineStr">
        <is>
          <t>ข้อ 3 (PLE_CC1_2533.md)</t>
        </is>
      </c>
      <c r="O58" s="18" t="inlineStr">
        <is>
          <t>ข้อสอบจริง</t>
        </is>
      </c>
      <c r="P58" s="18" t="inlineStr">
        <is>
          <t>ปี 2533</t>
        </is>
      </c>
    </row>
    <row r="59">
      <c r="A59" s="18" t="n">
        <v>57</v>
      </c>
      <c r="B59" s="18"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18" t="n"/>
      <c r="D59" s="18" t="inlineStr">
        <is>
          <t>ขมิ้นชัน</t>
        </is>
      </c>
      <c r="E59" s="18" t="inlineStr">
        <is>
          <t>ฟ้าทะลายโจร</t>
        </is>
      </c>
      <c r="F59" s="18" t="inlineStr">
        <is>
          <t>ชุมเห็ดเทศ</t>
        </is>
      </c>
      <c r="G59" s="18" t="inlineStr">
        <is>
          <t>มะแว้งต้น</t>
        </is>
      </c>
      <c r="H59" s="18" t="inlineStr">
        <is>
          <t>บัวบก</t>
        </is>
      </c>
      <c r="I59" s="18" t="n">
        <v>1</v>
      </c>
      <c r="J59" s="18"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(มะแว้งต้น): ข้อนี้ไม่ใช่คำตอบที่ถูกต้องสำหรับภาวะ Herbal Extraction methods เนื่องจากกลไกการออกฤทธิ์, efficacy หรือข้อบ่งใช้ไม่ตรงกับโจทย์ที่กำหนด
• ข้อ จ. (บัวบก):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8" t="n"/>
      <c r="L59" s="18" t="inlineStr">
        <is>
          <t>Herbal Extraction methods</t>
        </is>
      </c>
      <c r="M59" s="18" t="inlineStr">
        <is>
          <t>Product</t>
        </is>
      </c>
      <c r="N59" s="18" t="inlineStr">
        <is>
          <t>ข้อ 14 (PLE_CC1_Practice_Exam.md)</t>
        </is>
      </c>
      <c r="O59" s="18" t="inlineStr">
        <is>
          <t>Mock</t>
        </is>
      </c>
      <c r="P59" s="18" t="inlineStr">
        <is>
          <t>Mock สภาเภสัชฯ Practice</t>
        </is>
      </c>
    </row>
    <row r="60">
      <c r="A60" s="18" t="n">
        <v>58</v>
      </c>
      <c r="B60" s="18"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18" t="n"/>
      <c r="D60" s="18" t="inlineStr">
        <is>
          <t>ใช้ยาตามเดิมและติดตามอาการเป็นระยะ</t>
        </is>
      </c>
      <c r="E60" s="18" t="inlineStr">
        <is>
          <t>เปลี่ยนยาสำหรับรักษาความดันโลหิตทั้ง 2 ตัว พร้อมออกบัตรแพ้ยาให้แก่ผู้ป่วย</t>
        </is>
      </c>
      <c r="F60" s="18" t="inlineStr">
        <is>
          <t>พิจารณาปรับขนาดยาที่ผู้ป่วยใช้อยู่ทั้งหมด เนื่องจากผู้ป่วยมีภาวะ Renal impairment จาก โรคเบาหวาน</t>
        </is>
      </c>
      <c r="G60" s="18" t="inlineStr">
        <is>
          <t>พิจารณาการรักษา Renal impairment ร่วมด้วย เนื่องจากอาการขาบวมเกิดจากภาวะ Fluid retention</t>
        </is>
      </c>
      <c r="H60" s="18" t="inlineStr">
        <is>
          <t>เปลี่ยนยา Amlodipine เป็นยารักษาความดันโลหิตสูงชนิดอื่น</t>
        </is>
      </c>
      <c r="I60" s="18" t="n">
        <v>1</v>
      </c>
      <c r="J60" s="18"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ข้อนี้ไม่ใช่คำตอบที่ถูกต้องสำหรับภาวะ Herbal Extraction methods เนื่องจากกลไกการออกฤทธิ์, efficacy หรือข้อบ่งใช้ไม่ตรงกับโจทย์ที่กำหนด
• ข้อ ค. (พิจารณาปรับขนาดยาที่ผู้ป่วยใช้อยู่ทั้งหมด เนื่องจากผู้ป่วยมีภาวะ Renal impairment จาก โรคเบาหวาน):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(พิจารณาการรักษา Renal impairment ร่วมด้วย เนื่องจากอาการขาบวมเกิดจากภาวะ Fluid retention): ข้อนี้ไม่ใช่คำตอบที่ถูกต้องสำหรับภาวะ Herbal Extraction methods เนื่องจากกลไกการออกฤทธิ์, efficacy หรือข้อบ่งใช้ไม่ตรงกับโจทย์ที่กำหนด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8" t="n"/>
      <c r="L60" s="18" t="inlineStr">
        <is>
          <t>Herbal Extraction methods</t>
        </is>
      </c>
      <c r="M60" s="18" t="inlineStr">
        <is>
          <t>Product</t>
        </is>
      </c>
      <c r="N60" s="18" t="inlineStr">
        <is>
          <t>ข้อ 32 (PLE_CC1_Practice_Exam.md)</t>
        </is>
      </c>
      <c r="O60" s="18" t="inlineStr">
        <is>
          <t>Mock</t>
        </is>
      </c>
      <c r="P60" s="18" t="inlineStr">
        <is>
          <t>Mock สภาเภสัชฯ Practice</t>
        </is>
      </c>
    </row>
    <row r="61">
      <c r="A61" s="18" t="n">
        <v>59</v>
      </c>
      <c r="B61" s="18" t="inlineStr">
        <is>
          <t>สมุนไพรใดมีฤทธิ์บรรเทาอาการไอ</t>
        </is>
      </c>
      <c r="C61" s="18" t="n"/>
      <c r="D61" s="18" t="inlineStr">
        <is>
          <t>เพกา</t>
        </is>
      </c>
      <c r="E61" s="18" t="inlineStr">
        <is>
          <t>ขมิ้นชัน</t>
        </is>
      </c>
      <c r="F61" s="18" t="inlineStr">
        <is>
          <t>ฟ้าทะลายโจร</t>
        </is>
      </c>
      <c r="G61" s="18" t="inlineStr">
        <is>
          <t>พริกไทย</t>
        </is>
      </c>
      <c r="H61" s="18" t="inlineStr">
        <is>
          <t>ตะไคร้</t>
        </is>
      </c>
      <c r="I61" s="18" t="n">
        <v>1</v>
      </c>
      <c r="J61" s="18"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ง.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8" t="n"/>
      <c r="L61" s="18" t="inlineStr">
        <is>
          <t>Herbal Extraction methods</t>
        </is>
      </c>
      <c r="M61" s="18" t="inlineStr">
        <is>
          <t>Product</t>
        </is>
      </c>
      <c r="N61" s="18" t="inlineStr">
        <is>
          <t>ข้อ 1 (PLE_CC1_Practice_Exam.md)</t>
        </is>
      </c>
      <c r="O61" s="18" t="inlineStr">
        <is>
          <t>Mock</t>
        </is>
      </c>
      <c r="P61" s="18" t="inlineStr">
        <is>
          <t>Mock สภาเภสัชฯ Practice</t>
        </is>
      </c>
    </row>
    <row r="62">
      <c r="A62" s="18" t="n">
        <v>60</v>
      </c>
      <c r="B62" s="18" t="inlineStr">
        <is>
          <t>หนูนิดโดนน้ำร้อนลวก คุณแม่สามารถใช้สมุนไพรใดเพื่อบรรเทาอาการของหนูนิดได้</t>
        </is>
      </c>
      <c r="C62" s="18" t="n"/>
      <c r="D62" s="18" t="inlineStr">
        <is>
          <t>ผักคราดหัวแหวน</t>
        </is>
      </c>
      <c r="E62" s="18" t="inlineStr">
        <is>
          <t>น้ำมันมะพร้าว</t>
        </is>
      </c>
      <c r="F62" s="18" t="inlineStr">
        <is>
          <t>ฝรั่ง</t>
        </is>
      </c>
      <c r="G62" s="18" t="inlineStr">
        <is>
          <t>ตะไคร้</t>
        </is>
      </c>
      <c r="H62" s="18" t="inlineStr">
        <is>
          <t>บอระเพ็ด</t>
        </is>
      </c>
      <c r="I62" s="18" t="n">
        <v>1</v>
      </c>
      <c r="J62" s="18"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ข้อ ค. (ฝรั่ง): ข้อนี้ไม่ใช่คำตอบที่ถูกต้องสำหรับภาวะ Herbal Extraction methods เนื่องจากกลไกการออกฤทธิ์, efficacy หรือข้อบ่งใช้ไม่ตรงกับโจทย์ที่กำหนด
• ข้อ ง.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จ.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8" t="n"/>
      <c r="L62" s="18" t="inlineStr">
        <is>
          <t>Herbal Extraction methods</t>
        </is>
      </c>
      <c r="M62" s="18" t="inlineStr">
        <is>
          <t>Product</t>
        </is>
      </c>
      <c r="N62" s="18" t="inlineStr">
        <is>
          <t>ข้อ 2 (PLE_CC1_Practice_Exam.md)</t>
        </is>
      </c>
      <c r="O62" s="18" t="inlineStr">
        <is>
          <t>Mock</t>
        </is>
      </c>
      <c r="P62" s="18" t="inlineStr">
        <is>
          <t>Mock สภาเภสัชฯ Practice</t>
        </is>
      </c>
    </row>
    <row r="63">
      <c r="A63" s="18" t="n">
        <v>61</v>
      </c>
      <c r="B63" s="18" t="inlineStr">
        <is>
          <t>น้องแก้วต้องการใช้สมุนไพรขับพยาธิ น้องแก้วควรเลือกสมุนไพรใด</t>
        </is>
      </c>
      <c r="C63" s="18" t="n"/>
      <c r="D63" s="18"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18" t="inlineStr">
        <is>
          <t>กระเจี๊ยบมอญ</t>
        </is>
      </c>
      <c r="F63" s="18" t="inlineStr">
        <is>
          <t>หมาก</t>
        </is>
      </c>
      <c r="G63" s="18" t="inlineStr">
        <is>
          <t>กานพลู</t>
        </is>
      </c>
      <c r="H63" s="18" t="inlineStr">
        <is>
          <t>ตะไคร้</t>
        </is>
      </c>
      <c r="I63" s="18" t="n">
        <v>1</v>
      </c>
      <c r="J63" s="18"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ข้อนี้ไม่ใช่คำตอบที่ถูกต้องสำหรับภาวะ Herbal Extraction methods เนื่องจากกลไกการออกฤทธิ์, efficacy หรือข้อบ่งใช้ไม่ตรงกับโจทย์ที่กำหนด
• ข้อ ค. (หมาก): ข้อนี้ไม่ใช่คำตอบที่ถูกต้องสำหรับภาวะ Herbal Extraction methods เนื่องจากกลไกการออกฤทธิ์, efficacy หรือข้อบ่งใช้ไม่ตรงกับโจทย์ที่กำหนด
• ข้อ ง. (กานพลู):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8" t="n"/>
      <c r="L63" s="18" t="inlineStr">
        <is>
          <t>Herbal Extraction methods</t>
        </is>
      </c>
      <c r="M63" s="18" t="inlineStr">
        <is>
          <t>Product</t>
        </is>
      </c>
      <c r="N63" s="18" t="inlineStr">
        <is>
          <t>ข้อ 5 (PLE_CC1_Practice_Exam.md)</t>
        </is>
      </c>
      <c r="O63" s="18" t="inlineStr">
        <is>
          <t>Mock</t>
        </is>
      </c>
      <c r="P63" s="18" t="inlineStr">
        <is>
          <t>Mock สภาเภสัชฯ Practice</t>
        </is>
      </c>
    </row>
    <row r="64">
      <c r="A64" s="18" t="n">
        <v>62</v>
      </c>
      <c r="B64" s="18" t="inlineStr">
        <is>
          <t>Vincristine เป็นสาระสำคัญที่ได้จากสมุนไพรอะไร</t>
        </is>
      </c>
      <c r="C64" s="18" t="n"/>
      <c r="D64" s="18" t="inlineStr">
        <is>
          <t>แพงพวยฝรั่ง</t>
        </is>
      </c>
      <c r="E64" s="18" t="inlineStr">
        <is>
          <t>Pacific Yew</t>
        </is>
      </c>
      <c r="F64" s="18" t="inlineStr">
        <is>
          <t>ลำโพง</t>
        </is>
      </c>
      <c r="G64" s="18" t="inlineStr">
        <is>
          <t>ดองดึง</t>
        </is>
      </c>
      <c r="H64" s="18" t="inlineStr">
        <is>
          <t>เสนียด</t>
        </is>
      </c>
      <c r="I64" s="18" t="n">
        <v>1</v>
      </c>
      <c r="J64" s="18"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ค. (ลำโพง): ข้อนี้ไม่ใช่คำตอบที่ถูกต้องสำหรับภาวะ Herbal Extraction methods เนื่องจากกลไกการออกฤทธิ์, efficacy หรือข้อบ่งใช้ไม่ตรงกับโจทย์ที่กำหนด
• ข้อ ง.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จ. (เสนียด):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8" t="n"/>
      <c r="L64" s="18" t="inlineStr">
        <is>
          <t>Herbal Extraction methods</t>
        </is>
      </c>
      <c r="M64" s="18" t="inlineStr">
        <is>
          <t>Product</t>
        </is>
      </c>
      <c r="N64" s="18" t="inlineStr">
        <is>
          <t>ข้อ 13 (PLE_CC1_Practice_Exam.md)</t>
        </is>
      </c>
      <c r="O64" s="18" t="inlineStr">
        <is>
          <t>Mock</t>
        </is>
      </c>
      <c r="P64" s="18" t="inlineStr">
        <is>
          <t>Mock สภาเภสัชฯ Practice</t>
        </is>
      </c>
    </row>
    <row r="65">
      <c r="A65" s="18" t="n">
        <v>63</v>
      </c>
      <c r="B65" s="18" t="inlineStr">
        <is>
          <t>สมุนไพรใดที่ออกฤทธิ์เป็นยาชาเฉพาะที่ได้</t>
        </is>
      </c>
      <c r="C65" s="18" t="n"/>
      <c r="D65" s="18"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18" t="inlineStr">
        <is>
          <t>บอระเพ็ด</t>
        </is>
      </c>
      <c r="F65" s="18" t="inlineStr">
        <is>
          <t>Pacific Yew</t>
        </is>
      </c>
      <c r="G65" s="18" t="inlineStr">
        <is>
          <t>เสลดพังพอน</t>
        </is>
      </c>
      <c r="H65" s="18" t="inlineStr">
        <is>
          <t>ว่านมหากาฬ</t>
        </is>
      </c>
      <c r="I65" s="18" t="n">
        <v>1</v>
      </c>
      <c r="J65" s="18"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ค.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ง. (เสลดพังพอน):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8" t="n"/>
      <c r="L65" s="18" t="inlineStr">
        <is>
          <t>Herbal Extraction methods</t>
        </is>
      </c>
      <c r="M65" s="18" t="inlineStr">
        <is>
          <t>Product</t>
        </is>
      </c>
      <c r="N65" s="18" t="inlineStr">
        <is>
          <t>ข้อ 15 (PLE_CC1_Practice_Exam.md)</t>
        </is>
      </c>
      <c r="O65" s="18" t="inlineStr">
        <is>
          <t>Mock</t>
        </is>
      </c>
      <c r="P65" s="18" t="inlineStr">
        <is>
          <t>Mock สภาเภสัชฯ Practice</t>
        </is>
      </c>
    </row>
    <row r="66">
      <c r="A66" s="18" t="n">
        <v>64</v>
      </c>
      <c r="B66" s="18" t="inlineStr">
        <is>
          <t>พิมพารู้สึกคลื่นไส้ อยากจะอาเจียนทั้งวัน ควรเลือกสมุนไพรใดบรรเทาอาการ</t>
        </is>
      </c>
      <c r="C66" s="18" t="n"/>
      <c r="D66" s="18" t="inlineStr">
        <is>
          <t>ขมิ้น</t>
        </is>
      </c>
      <c r="E66" s="18" t="inlineStr">
        <is>
          <t>พริกไทย</t>
        </is>
      </c>
      <c r="F66" s="18" t="inlineStr">
        <is>
          <t>กระวาน</t>
        </is>
      </c>
      <c r="G66" s="18" t="inlineStr">
        <is>
          <t>ขิง</t>
        </is>
      </c>
      <c r="H66" s="18" t="inlineStr">
        <is>
          <t>ตะไคร้</t>
        </is>
      </c>
      <c r="I66" s="18" t="n">
        <v>1</v>
      </c>
      <c r="J66" s="18"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8" t="n"/>
      <c r="L66" s="18" t="inlineStr">
        <is>
          <t>Herbal Extraction methods</t>
        </is>
      </c>
      <c r="M66" s="18" t="inlineStr">
        <is>
          <t>Product</t>
        </is>
      </c>
      <c r="N66" s="18" t="inlineStr">
        <is>
          <t>ข้อ 16 (PLE_CC1_Practice_Exam.md)</t>
        </is>
      </c>
      <c r="O66" s="18" t="inlineStr">
        <is>
          <t>Mock</t>
        </is>
      </c>
      <c r="P66" s="18" t="inlineStr">
        <is>
          <t>Mock สภาเภสัชฯ Practice</t>
        </is>
      </c>
    </row>
    <row r="67">
      <c r="A67" s="18" t="n">
        <v>65</v>
      </c>
      <c r="B67" s="18" t="inlineStr">
        <is>
          <t>สมุนไพรใดต่อไปนี้มีฤทธิ์รักษาชันนะตุ</t>
        </is>
      </c>
      <c r="C67" s="18" t="n"/>
      <c r="D67" s="18" t="inlineStr">
        <is>
          <t>มะคำดีควาย</t>
        </is>
      </c>
      <c r="E67" s="18" t="inlineStr">
        <is>
          <t>กระเจี๊ยบแดง</t>
        </is>
      </c>
      <c r="F67" s="18" t="inlineStr">
        <is>
          <t>หญ้าคา</t>
        </is>
      </c>
      <c r="G67" s="18" t="inlineStr">
        <is>
          <t>อ้อยแดง</t>
        </is>
      </c>
      <c r="H67" s="18" t="inlineStr">
        <is>
          <t>ขลู่</t>
        </is>
      </c>
      <c r="I67" s="18" t="n">
        <v>1</v>
      </c>
      <c r="J67" s="18"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(หญ้าคา): ข้อนี้ไม่ใช่คำตอบที่ถูกต้องสำหรับภาวะ Herbal Extraction methods เนื่องจากกลไกการออกฤทธิ์, efficacy หรือข้อบ่งใช้ไม่ตรงกับโจทย์ที่กำหนด
• ข้อ ง. (อ้อยแดง):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(ขลู่):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8" t="n"/>
      <c r="L67" s="18" t="inlineStr">
        <is>
          <t>Herbal Extraction methods</t>
        </is>
      </c>
      <c r="M67" s="18" t="inlineStr">
        <is>
          <t>Product</t>
        </is>
      </c>
      <c r="N67" s="18" t="inlineStr">
        <is>
          <t>ข้อ 33 (PLE_CC1_Practice_Exam.md)</t>
        </is>
      </c>
      <c r="O67" s="18" t="inlineStr">
        <is>
          <t>Mock</t>
        </is>
      </c>
      <c r="P67" s="18" t="inlineStr">
        <is>
          <t>Mock สภาเภสัชฯ Practice</t>
        </is>
      </c>
    </row>
    <row r="68">
      <c r="A68" s="18" t="n">
        <v>66</v>
      </c>
      <c r="B68" s="18" t="inlineStr">
        <is>
          <t>สมุนไพรต่อไปนี้สามารถแก้อาการท้องผูกได้ยกเว้นข้อใด</t>
        </is>
      </c>
      <c r="C68" s="18" t="n"/>
      <c r="D68" s="18" t="inlineStr">
        <is>
          <t>ขิง</t>
        </is>
      </c>
      <c r="E68" s="18" t="inlineStr">
        <is>
          <t>คูน</t>
        </is>
      </c>
      <c r="F68" s="18" t="inlineStr">
        <is>
          <t>มะขามแขก</t>
        </is>
      </c>
      <c r="G68" s="18" t="inlineStr">
        <is>
          <t>แมงลัก</t>
        </is>
      </c>
      <c r="H68" s="18" t="inlineStr">
        <is>
          <t>ชุมเห็ดเทศ</t>
        </is>
      </c>
      <c r="I68" s="18" t="n">
        <v>1</v>
      </c>
      <c r="J68" s="18"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ข้อนี้ไม่ใช่คำตอบที่ถูกต้องสำหรับภาวะ Herbal Extraction methods เนื่องจากกลไกการออกฤทธิ์, efficacy หรือข้อบ่งใช้ไม่ตรงกับโจทย์ที่กำหนด
• ข้อ ค.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ง. (แมงลัก):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8" t="n"/>
      <c r="L68" s="18" t="inlineStr">
        <is>
          <t>Herbal Extraction methods</t>
        </is>
      </c>
      <c r="M68" s="18" t="inlineStr">
        <is>
          <t>Product</t>
        </is>
      </c>
      <c r="N68" s="18" t="inlineStr">
        <is>
          <t>ข้อ 36 (PLE_CC1_Practice_Exam.md)</t>
        </is>
      </c>
      <c r="O68" s="18" t="inlineStr">
        <is>
          <t>Mock</t>
        </is>
      </c>
      <c r="P68" s="18" t="inlineStr">
        <is>
          <t>Mock สภาเภสัชฯ Practice</t>
        </is>
      </c>
    </row>
    <row r="69">
      <c r="A69" s="18" t="n">
        <v>67</v>
      </c>
      <c r="B69" s="18"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18" t="n"/>
      <c r="D69" s="18" t="inlineStr">
        <is>
          <t>มังคุด</t>
        </is>
      </c>
      <c r="E69" s="18" t="inlineStr">
        <is>
          <t>ไพล</t>
        </is>
      </c>
      <c r="F69" s="18" t="inlineStr">
        <is>
          <t>ขิง</t>
        </is>
      </c>
      <c r="G69" s="18" t="inlineStr">
        <is>
          <t>บอระเพ็ด</t>
        </is>
      </c>
      <c r="H69" s="18" t="inlineStr">
        <is>
          <t>ว่านมหากาฬ</t>
        </is>
      </c>
      <c r="I69" s="18" t="n">
        <v>1</v>
      </c>
      <c r="J69" s="18"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(ขิง): ข้อนี้ไม่ใช่คำตอบที่ถูกต้องสำหรับภาวะ Herbal Extraction methods เนื่องจากกลไกการออกฤทธิ์, efficacy หรือข้อบ่งใช้ไม่ตรงกับโจทย์ที่กำหนด
• ข้อ ง.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8" t="n"/>
      <c r="L69" s="18" t="inlineStr">
        <is>
          <t>Herbal Extraction methods</t>
        </is>
      </c>
      <c r="M69" s="18" t="inlineStr">
        <is>
          <t>Product</t>
        </is>
      </c>
      <c r="N69" s="18" t="inlineStr">
        <is>
          <t>ข้อ 38 (PLE_CC1_Practice_Exam.md)</t>
        </is>
      </c>
      <c r="O69" s="18" t="inlineStr">
        <is>
          <t>Mock</t>
        </is>
      </c>
      <c r="P69" s="18" t="inlineStr">
        <is>
          <t>Mock สภาเภสัชฯ Practice</t>
        </is>
      </c>
    </row>
    <row r="70">
      <c r="A70" s="18" t="n">
        <v>68</v>
      </c>
      <c r="B70" s="18" t="inlineStr">
        <is>
          <t>ข้อใดผิดเกี่ยวกับส่วนที่ใช้ของสมุนไพรที่มีฤทธิ์แก้ท้องอืด ท้องเฟ้อ จุกเสียด แน่นหน้าอก</t>
        </is>
      </c>
      <c r="C70" s="18" t="n"/>
      <c r="D70" s="18" t="inlineStr">
        <is>
          <t>กระชายใช้เหง้าใต้ดิน</t>
        </is>
      </c>
      <c r="E70" s="18" t="inlineStr">
        <is>
          <t>กะเพราใช้ราก</t>
        </is>
      </c>
      <c r="F70" s="18" t="inlineStr">
        <is>
          <t>ขิงใช้เหง้าขิงแก้ทั้งสดและแห้ง</t>
        </is>
      </c>
      <c r="G70" s="18"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18"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18" t="n">
        <v>1</v>
      </c>
      <c r="J70" s="18"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ข้อนี้ไม่ใช่คำตอบที่ถูกต้องสำหรับภาวะ Herbal Extraction methods เนื่องจากกลไกการออกฤทธิ์, efficacy หรือข้อบ่งใช้ไม่ตรงกับโจทย์ที่กำหนด
• ข้อ ค. (ขิงใช้เหง้าขิงแก้ทั้งสดและแห้ง): ข้อนี้ไม่ใช่คำตอบที่ถูกต้องสำหรับภาวะ Herbal Extraction methods เนื่องจากกลไกการออกฤทธิ์, efficacy หรือข้อบ่งใช้ไม่ตรงกับโจทย์ที่กำหนด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8" t="n"/>
      <c r="L70" s="18" t="inlineStr">
        <is>
          <t>Herbal Extraction methods</t>
        </is>
      </c>
      <c r="M70" s="18" t="inlineStr">
        <is>
          <t>Product</t>
        </is>
      </c>
      <c r="N70" s="18" t="inlineStr">
        <is>
          <t>ข้อ 40 (PLE_CC1_Practice_Exam.md)</t>
        </is>
      </c>
      <c r="O70" s="18" t="inlineStr">
        <is>
          <t>Mock</t>
        </is>
      </c>
      <c r="P70" s="18" t="inlineStr">
        <is>
          <t>Mock สภาเภสัชฯ Practice</t>
        </is>
      </c>
    </row>
    <row r="71">
      <c r="A71" s="18" t="n">
        <v>69</v>
      </c>
      <c r="B71" s="18" t="inlineStr">
        <is>
          <t>สมุนไพรใดมีฤทธิ์ลดไขมันในเลือด</t>
        </is>
      </c>
      <c r="C71" s="18" t="n"/>
      <c r="D71" s="18" t="inlineStr">
        <is>
          <t>Gingerol quantification in Zingiber officinale</t>
        </is>
      </c>
      <c r="E71" s="18" t="inlineStr">
        <is>
          <t>Maceration with Ethanol 70% solvent</t>
        </is>
      </c>
      <c r="F71" s="18" t="inlineStr">
        <is>
          <t>Soxhlet Extraction for heat-stable phytochemicals</t>
        </is>
      </c>
      <c r="G71" s="18" t="inlineStr">
        <is>
          <t>Supercritical Fluid Extraction (SFE-CO2)</t>
        </is>
      </c>
      <c r="H71" s="18" t="inlineStr">
        <is>
          <t>Standardized Curcuminoids in Curcuma longa</t>
        </is>
      </c>
      <c r="I71" s="18" t="n">
        <v>1</v>
      </c>
      <c r="J71" s="18"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8" t="n"/>
      <c r="L71" s="18" t="inlineStr">
        <is>
          <t>Herbal Extraction methods</t>
        </is>
      </c>
      <c r="M71" s="18" t="inlineStr">
        <is>
          <t>Product</t>
        </is>
      </c>
      <c r="N71" s="18" t="inlineStr">
        <is>
          <t>ข้อ 9 (PLE_CC1_Key_Rx20_UBU.md)</t>
        </is>
      </c>
      <c r="O71" s="18" t="inlineStr">
        <is>
          <t>Mock</t>
        </is>
      </c>
      <c r="P71" s="18" t="inlineStr">
        <is>
          <t>Mock Rx20 UBU</t>
        </is>
      </c>
    </row>
    <row r="72">
      <c r="A72" s="18" t="n">
        <v>70</v>
      </c>
      <c r="B72" s="18" t="inlineStr">
        <is>
          <t>ข้อใดเป็นสมุนไพรแก้ท้องเสีย</t>
        </is>
      </c>
      <c r="C72" s="18" t="n"/>
      <c r="D72" s="18" t="inlineStr">
        <is>
          <t>Supercritical Fluid Extraction (SFE-CO2)</t>
        </is>
      </c>
      <c r="E72" s="18" t="inlineStr">
        <is>
          <t>Standardized Curcuminoids in Curcuma longa</t>
        </is>
      </c>
      <c r="F72" s="18" t="inlineStr">
        <is>
          <t>Standardized Andrographolide in Andrographis paniculata</t>
        </is>
      </c>
      <c r="G72" s="18" t="inlineStr">
        <is>
          <t>Senna glycosides (Sennosides A &amp; B) Extraction</t>
        </is>
      </c>
      <c r="H72" s="18" t="inlineStr">
        <is>
          <t>Centella asiatica (Madecassoside &amp; Asiaticoside)</t>
        </is>
      </c>
      <c r="I72" s="18" t="n">
        <v>1</v>
      </c>
      <c r="J72" s="18"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8" t="n"/>
      <c r="L72" s="18" t="inlineStr">
        <is>
          <t>Herbal Extraction methods</t>
        </is>
      </c>
      <c r="M72" s="18" t="inlineStr">
        <is>
          <t>Product</t>
        </is>
      </c>
      <c r="N72" s="18" t="inlineStr">
        <is>
          <t>ข้อ 31 (PLE_CC1_Key_Rx20_UBU.md)</t>
        </is>
      </c>
      <c r="O72" s="18" t="inlineStr">
        <is>
          <t>Mock</t>
        </is>
      </c>
      <c r="P72" s="18" t="inlineStr">
        <is>
          <t>Mock Rx20 UBU</t>
        </is>
      </c>
    </row>
    <row r="73">
      <c r="A73" s="18" t="n">
        <v>71</v>
      </c>
      <c r="B73" s="18" t="inlineStr">
        <is>
          <t>ผลฝรั่งดิบ สมุนไพรแก้ท้องเสียได้แก่ 1.ผลฝรั่งลูกอ่อน ใบแก่ 2.ใบฟ้าทะลายโจร 3.ผลกล้วยน้ำหว้าดิบ</t>
        </is>
      </c>
      <c r="C73" s="18" t="n"/>
      <c r="D73" s="18" t="inlineStr">
        <is>
          <t>เปลือกผลแห้งทับทิม 5.เปลือกผลแห้งมังคุด 6.เปลือกต้นสีเสียด</t>
        </is>
      </c>
      <c r="E73" s="18" t="inlineStr">
        <is>
          <t>Centella asiatica (Madecassoside &amp; Asiaticoside)</t>
        </is>
      </c>
      <c r="F73" s="18" t="inlineStr">
        <is>
          <t>Gingerol quantification in Zingiber officinale</t>
        </is>
      </c>
      <c r="G73" s="18" t="inlineStr">
        <is>
          <t>Maceration with Ethanol 70% solvent</t>
        </is>
      </c>
      <c r="H73" s="18" t="inlineStr">
        <is>
          <t>Soxhlet Extraction for heat-stable phytochemicals</t>
        </is>
      </c>
      <c r="I73" s="18" t="n">
        <v>1</v>
      </c>
      <c r="J73" s="18"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8" t="n"/>
      <c r="L73" s="18" t="inlineStr">
        <is>
          <t>Herbal Extraction methods</t>
        </is>
      </c>
      <c r="M73" s="18" t="inlineStr">
        <is>
          <t>Product</t>
        </is>
      </c>
      <c r="N73" s="18" t="inlineStr">
        <is>
          <t>ข้อ 5 (PLE_CC1_Key_Rx20_UBU.md)</t>
        </is>
      </c>
      <c r="O73" s="18" t="inlineStr">
        <is>
          <t>Mock</t>
        </is>
      </c>
      <c r="P73" s="18" t="inlineStr">
        <is>
          <t>Mock Rx20 UBU</t>
        </is>
      </c>
    </row>
    <row r="74">
      <c r="A74" s="18" t="n">
        <v>72</v>
      </c>
      <c r="B74" s="18"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18" t="n"/>
      <c r="D74" s="18" t="inlineStr">
        <is>
          <t>Maceration with Ethanol 70% solvent</t>
        </is>
      </c>
      <c r="E74" s="18" t="inlineStr">
        <is>
          <t>Soxhlet Extraction for heat-stable phytochemicals</t>
        </is>
      </c>
      <c r="F74" s="18" t="inlineStr">
        <is>
          <t>Supercritical Fluid Extraction (SFE-CO2)</t>
        </is>
      </c>
      <c r="G74" s="18" t="inlineStr">
        <is>
          <t>Standardized Curcuminoids in Curcuma longa</t>
        </is>
      </c>
      <c r="H74" s="18" t="inlineStr">
        <is>
          <t>Standardized Andrographolide in Andrographis paniculata</t>
        </is>
      </c>
      <c r="I74" s="18" t="n">
        <v>1</v>
      </c>
      <c r="J74" s="18"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8" t="n"/>
      <c r="L74" s="18" t="inlineStr">
        <is>
          <t>Herbal Extraction methods</t>
        </is>
      </c>
      <c r="M74" s="18" t="inlineStr">
        <is>
          <t>Product</t>
        </is>
      </c>
      <c r="N74" s="18" t="inlineStr">
        <is>
          <t>ข้อ 97 (PLE_CC1_Key_Rx20_UBU.md)</t>
        </is>
      </c>
      <c r="O74" s="18" t="inlineStr">
        <is>
          <t>Mock</t>
        </is>
      </c>
      <c r="P74" s="18" t="inlineStr">
        <is>
          <t>Mock Rx20 UBU</t>
        </is>
      </c>
    </row>
    <row r="75">
      <c r="A75" s="18" t="n">
        <v>73</v>
      </c>
      <c r="B75" s="18" t="inlineStr">
        <is>
          <t>แจ้งให้ผู้ป่วยทราบว่าไม่สามารถขายยานี้ได้ เนื่องจากไม่มีใบอนุญาตขายยาสมุนไพร</t>
        </is>
      </c>
      <c r="C75" s="18" t="n"/>
      <c r="D75" s="18" t="inlineStr">
        <is>
          <t>Standardized Curcuminoids in Curcuma longa</t>
        </is>
      </c>
      <c r="E75" s="18" t="inlineStr">
        <is>
          <t>Standardized Andrographolide in Andrographis paniculata</t>
        </is>
      </c>
      <c r="F75" s="18" t="inlineStr">
        <is>
          <t>Senna glycosides (Sennosides A &amp; B) Extraction</t>
        </is>
      </c>
      <c r="G75" s="18" t="inlineStr">
        <is>
          <t>Centella asiatica (Madecassoside &amp; Asiaticoside)</t>
        </is>
      </c>
      <c r="H75" s="18" t="inlineStr">
        <is>
          <t>Gingerol quantification in Zingiber officinale</t>
        </is>
      </c>
      <c r="I75" s="18" t="n">
        <v>1</v>
      </c>
      <c r="J75" s="18"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8" t="n"/>
      <c r="L75" s="18" t="inlineStr">
        <is>
          <t>Herbal Extraction methods</t>
        </is>
      </c>
      <c r="M75" s="18" t="inlineStr">
        <is>
          <t>Product</t>
        </is>
      </c>
      <c r="N75" s="18" t="inlineStr">
        <is>
          <t>ข้อ 3 (PLE_CC1_Key_Rx20_UBU.md)</t>
        </is>
      </c>
      <c r="O75" s="18" t="inlineStr">
        <is>
          <t>Mock</t>
        </is>
      </c>
      <c r="P75" s="18" t="inlineStr">
        <is>
          <t>Mock Rx20 UBU</t>
        </is>
      </c>
    </row>
    <row r="76">
      <c r="A76" s="18" t="n">
        <v>74</v>
      </c>
      <c r="B76" s="18" t="inlineStr">
        <is>
          <t>กินแคปซูลขมิ้นชัน</t>
        </is>
      </c>
      <c r="C76" s="18" t="n"/>
      <c r="D76" s="18" t="inlineStr">
        <is>
          <t>Centella asiatica (Madecassoside &amp; Asiaticoside)</t>
        </is>
      </c>
      <c r="E76" s="18" t="inlineStr">
        <is>
          <t>Gingerol quantification in Zingiber officinale</t>
        </is>
      </c>
      <c r="F76" s="18" t="inlineStr">
        <is>
          <t>Maceration with Ethanol 70% solvent</t>
        </is>
      </c>
      <c r="G76" s="18" t="inlineStr">
        <is>
          <t>Soxhlet Extraction for heat-stable phytochemicals</t>
        </is>
      </c>
      <c r="H76" s="18" t="inlineStr">
        <is>
          <t>Supercritical Fluid Extraction (SFE-CO2)</t>
        </is>
      </c>
      <c r="I76" s="18" t="n">
        <v>1</v>
      </c>
      <c r="J76" s="18"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8" t="n"/>
      <c r="L76" s="18" t="inlineStr">
        <is>
          <t>Herbal Extraction methods</t>
        </is>
      </c>
      <c r="M76" s="18" t="inlineStr">
        <is>
          <t>Product</t>
        </is>
      </c>
      <c r="N76" s="18" t="inlineStr">
        <is>
          <t>ข้อ 3 (PLE_CC1_Key_Rx20_UBU.md)</t>
        </is>
      </c>
      <c r="O76" s="18" t="inlineStr">
        <is>
          <t>Mock</t>
        </is>
      </c>
      <c r="P76" s="18" t="inlineStr">
        <is>
          <t>Mock Rx20 UBU</t>
        </is>
      </c>
    </row>
    <row r="77">
      <c r="A77" s="18" t="n">
        <v>75</v>
      </c>
      <c r="B77" s="18" t="inlineStr">
        <is>
          <t>แคปซูลเถาวัลย์เปรียง</t>
        </is>
      </c>
      <c r="C77" s="18" t="n"/>
      <c r="D77" s="18" t="inlineStr">
        <is>
          <t>Soxhlet Extraction for heat-stable phytochemicals</t>
        </is>
      </c>
      <c r="E77" s="18" t="inlineStr">
        <is>
          <t>Supercritical Fluid Extraction (SFE-CO2)</t>
        </is>
      </c>
      <c r="F77" s="18" t="inlineStr">
        <is>
          <t>Standardized Curcuminoids in Curcuma longa</t>
        </is>
      </c>
      <c r="G77" s="18" t="inlineStr">
        <is>
          <t>Standardized Andrographolide in Andrographis paniculata</t>
        </is>
      </c>
      <c r="H77" s="18" t="inlineStr">
        <is>
          <t>Senna glycosides (Sennosides A &amp; B) Extraction</t>
        </is>
      </c>
      <c r="I77" s="18" t="n">
        <v>1</v>
      </c>
      <c r="J77" s="18"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8" t="n"/>
      <c r="L77" s="18" t="inlineStr">
        <is>
          <t>Herbal Extraction methods</t>
        </is>
      </c>
      <c r="M77" s="18" t="inlineStr">
        <is>
          <t>Product</t>
        </is>
      </c>
      <c r="N77" s="18" t="inlineStr">
        <is>
          <t>ข้อ 4 (PLE_CC1_Key_Rx20_UBU.md)</t>
        </is>
      </c>
      <c r="O77" s="18" t="inlineStr">
        <is>
          <t>Mock</t>
        </is>
      </c>
      <c r="P77" s="18" t="inlineStr">
        <is>
          <t>Mock Rx20 UBU</t>
        </is>
      </c>
    </row>
    <row r="78">
      <c r="A78" s="18" t="n">
        <v>76</v>
      </c>
      <c r="B78" s="18" t="inlineStr">
        <is>
          <t>อาการใดที่เกิดขึ้นในช่วงแรกของการใช้สมุนไพรมะขามแขก</t>
        </is>
      </c>
      <c r="C78" s="18" t="n"/>
      <c r="D78" s="18" t="inlineStr">
        <is>
          <t>atonic colon</t>
        </is>
      </c>
      <c r="E78" s="18" t="inlineStr">
        <is>
          <t>abdominal pain</t>
        </is>
      </c>
      <c r="F78" s="18" t="inlineStr">
        <is>
          <t>non-infection diarrhea</t>
        </is>
      </c>
      <c r="G78" s="18" t="inlineStr">
        <is>
          <t>electrolyte imbalance</t>
        </is>
      </c>
      <c r="H78" s="18"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18" t="n">
        <v>3</v>
      </c>
      <c r="J78" s="18"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ข้อนี้ไม่ใช่คำตอบที่ถูกต้องสำหรับภาวะ Herbal Extraction methods เนื่องจากกลไกการออกฤทธิ์, efficacy หรือข้อบ่งใช้ไม่ตรงกับโจทย์ที่กำหนด
• ข้อ ข. (abdominal pain): ข้อนี้ไม่ใช่คำตอบที่ถูกต้องสำหรับภาวะ Herbal Extraction methods เนื่องจากกลไกการออกฤทธิ์, efficacy หรือข้อบ่งใช้ไม่ตรงกับโจทย์ที่กำหนด
• ข้อ ง. (electrolyte imbalance): ข้อนี้ไม่ใช่คำตอบที่ถูกต้องสำหรับภาวะ Herbal Extraction methods เนื่องจากกลไกการออกฤทธิ์, efficacy หรือข้อบ่งใช้ไม่ตรงกับโจทย์ที่กำหนด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8" t="n"/>
      <c r="L78" s="18" t="inlineStr">
        <is>
          <t>Herbal Extraction methods</t>
        </is>
      </c>
      <c r="M78" s="18" t="inlineStr">
        <is>
          <t>Product</t>
        </is>
      </c>
      <c r="N78" s="18" t="inlineStr">
        <is>
          <t>ข้อ 10 (PLE_CC1_Key_Rx20_UBU.md)</t>
        </is>
      </c>
      <c r="O78" s="18" t="inlineStr">
        <is>
          <t>Mock</t>
        </is>
      </c>
      <c r="P78" s="18" t="inlineStr">
        <is>
          <t>Mock Rx20 UBU</t>
        </is>
      </c>
    </row>
    <row r="79">
      <c r="A79" s="18" t="n">
        <v>77</v>
      </c>
      <c r="B79" s="18"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18" t="n"/>
      <c r="D79" s="18" t="inlineStr">
        <is>
          <t>Gingerol quantification in Zingiber officinale</t>
        </is>
      </c>
      <c r="E79" s="18" t="inlineStr">
        <is>
          <t>Maceration with Ethanol 70% solvent</t>
        </is>
      </c>
      <c r="F79" s="18" t="inlineStr">
        <is>
          <t>Soxhlet Extraction for heat-stable phytochemicals</t>
        </is>
      </c>
      <c r="G79" s="18" t="inlineStr">
        <is>
          <t>Supercritical Fluid Extraction (SFE-CO2)</t>
        </is>
      </c>
      <c r="H79" s="18" t="inlineStr">
        <is>
          <t>Standardized Curcuminoids in Curcuma longa</t>
        </is>
      </c>
      <c r="I79" s="18" t="n">
        <v>2</v>
      </c>
      <c r="J79" s="18"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8" t="n"/>
      <c r="L79" s="18" t="inlineStr">
        <is>
          <t>Herbal Extraction methods</t>
        </is>
      </c>
      <c r="M79" s="18" t="inlineStr">
        <is>
          <t>Product</t>
        </is>
      </c>
      <c r="N79" s="18" t="inlineStr">
        <is>
          <t>ข้อ 61 (PLE_CC1_Key_Rx20_UBU.md)</t>
        </is>
      </c>
      <c r="O79" s="18" t="inlineStr">
        <is>
          <t>Mock</t>
        </is>
      </c>
      <c r="P79" s="18" t="inlineStr">
        <is>
          <t>Mock Rx20 UBU</t>
        </is>
      </c>
    </row>
    <row r="80">
      <c r="A80" s="18" t="n">
        <v>78</v>
      </c>
      <c r="B80" s="18" t="inlineStr">
        <is>
          <t>การที่หน้าร้านมีป้ายโฆษณาว่า ยาสมุนไพรอีอี มีฤทธิ์รักษาเบาหวาน ถือว่ามีการกระทำความผิดหรือไม่</t>
        </is>
      </c>
      <c r="C80" s="18" t="n"/>
      <c r="D80" s="18" t="inlineStr">
        <is>
          <t>ไม่มีความผิด</t>
        </is>
      </c>
      <c r="E80" s="18" t="inlineStr">
        <is>
          <t>ผิด เนื่องจากมีการโฆษณาโอ้อวดสรรพคุณ</t>
        </is>
      </c>
      <c r="F80" s="18" t="inlineStr">
        <is>
          <t>ผิด เนื่องจากมีการโฆษณาอันเป็๋นเท็จ</t>
        </is>
      </c>
      <c r="G80" s="18" t="inlineStr">
        <is>
          <t>ผิด เนื่องจากมีการโฆษณาที่ได้รับการยกย่องโดยบุคคลอื่น</t>
        </is>
      </c>
      <c r="H80" s="18" t="inlineStr">
        <is>
          <t>ผิด เนื่องจากมีการโฆษณาสรรพคุณของโรคที่รัฐมนตรีประกาศ</t>
        </is>
      </c>
      <c r="I80" s="18" t="n">
        <v>5</v>
      </c>
      <c r="J80" s="18"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ข้อนี้ไม่ใช่คำตอบที่ถูกต้องสำหรับภาวะ Herbal Extraction methods เนื่องจากกลไกการออกฤทธิ์, efficacy หรือข้อบ่งใช้ไม่ตรงกับโจทย์ที่กำหนด
• ข้อ ข. (ผิด เนื่องจากมีการโฆษณาโอ้อวดสรรพคุณ): ข้อนี้ไม่ใช่คำตอบที่ถูกต้องสำหรับภาวะ Herbal Extraction methods เนื่องจากกลไกการออกฤทธิ์, efficacy หรือข้อบ่งใช้ไม่ตรงกับโจทย์ที่กำหนด
• ข้อ ค. (ผิด เนื่องจากมีการโฆษณาอันเป็๋นเท็จ): ข้อนี้ไม่ใช่คำตอบที่ถูกต้องสำหรับภาวะ Herbal Extraction methods เนื่องจากกลไกการออกฤทธิ์, efficacy หรือข้อบ่งใช้ไม่ตรงกับโจทย์ที่กำหนด
• ข้อ ง. (ผิด เนื่องจากมีการโฆษณาที่ได้รับการยกย่องโดยบุคคลอื่น):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8" t="n"/>
      <c r="L80" s="18" t="inlineStr">
        <is>
          <t>Herbal Extraction methods</t>
        </is>
      </c>
      <c r="M80" s="18" t="inlineStr">
        <is>
          <t>Product</t>
        </is>
      </c>
      <c r="N80" s="18" t="inlineStr">
        <is>
          <t>ข้อ 10 (PLE_CC1_Key_Rx20_UBU.md)</t>
        </is>
      </c>
      <c r="O80" s="18" t="inlineStr">
        <is>
          <t>Mock</t>
        </is>
      </c>
      <c r="P80" s="18" t="inlineStr">
        <is>
          <t>Mock Rx20 UBU</t>
        </is>
      </c>
    </row>
    <row r="81">
      <c r="A81" s="18" t="n">
        <v>79</v>
      </c>
      <c r="B81" s="18" t="inlineStr">
        <is>
          <t>สมุนไพรในบัญชียาหลักแห่งชาติตัวใดที่สามารถกินได้เพื่อ บรรเทาอาการปวด เหมือน NSAIDs?</t>
        </is>
      </c>
      <c r="C81" s="18" t="n"/>
      <c r="D81" s="18" t="inlineStr">
        <is>
          <t>เถาวัลย์เปรียง</t>
        </is>
      </c>
      <c r="E81" s="18" t="inlineStr">
        <is>
          <t>พริก</t>
        </is>
      </c>
      <c r="F81" s="18" t="inlineStr">
        <is>
          <t>เปล้านอย</t>
        </is>
      </c>
      <c r="G81" s="18" t="inlineStr">
        <is>
          <t>ขมิ้นชัน</t>
        </is>
      </c>
      <c r="H81" s="18" t="inlineStr">
        <is>
          <t>ชุมเห็ดเทศ</t>
        </is>
      </c>
      <c r="I81" s="18" t="n">
        <v>1</v>
      </c>
      <c r="J81" s="18"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(เปล้านอย):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8" t="n"/>
      <c r="L81" s="18" t="inlineStr">
        <is>
          <t>Herbal Extraction methods</t>
        </is>
      </c>
      <c r="M81" s="18" t="inlineStr">
        <is>
          <t>Product</t>
        </is>
      </c>
      <c r="N81" s="18" t="inlineStr">
        <is>
          <t>ข้อ 4 (PLE_CC1_Key_Rx20_UBU.md)</t>
        </is>
      </c>
      <c r="O81" s="18" t="inlineStr">
        <is>
          <t>Mock</t>
        </is>
      </c>
      <c r="P81" s="18" t="inlineStr">
        <is>
          <t>Mock Rx20 UBU</t>
        </is>
      </c>
    </row>
    <row r="82">
      <c r="A82" s="18" t="n">
        <v>80</v>
      </c>
      <c r="B82" s="18" t="inlineStr">
        <is>
          <t>สมุนไพร</t>
        </is>
      </c>
      <c r="C82" s="18" t="n"/>
      <c r="D82" s="18" t="inlineStr">
        <is>
          <t>ทองพันชั่ง</t>
        </is>
      </c>
      <c r="E82" s="18" t="inlineStr">
        <is>
          <t>ทิงเจอร์พลู</t>
        </is>
      </c>
      <c r="F82" s="18" t="inlineStr">
        <is>
          <t>Supercritical Fluid Extraction (SFE-CO2)</t>
        </is>
      </c>
      <c r="G82" s="18" t="inlineStr">
        <is>
          <t>Standardized Curcuminoids in Curcuma longa</t>
        </is>
      </c>
      <c r="H82" s="18"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18" t="n">
        <v>1</v>
      </c>
      <c r="J82" s="18"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8" t="n"/>
      <c r="L82" s="18" t="inlineStr">
        <is>
          <t>Herbal Extraction methods</t>
        </is>
      </c>
      <c r="M82" s="18" t="inlineStr">
        <is>
          <t>Product</t>
        </is>
      </c>
      <c r="N82" s="18" t="inlineStr">
        <is>
          <t>ข้อ 7 (PLE_CC1_Key_Rx20_UBU.md)</t>
        </is>
      </c>
      <c r="O82" s="18" t="inlineStr">
        <is>
          <t>Mock</t>
        </is>
      </c>
      <c r="P82" s="18" t="inlineStr">
        <is>
          <t>Mock Rx20 UBU</t>
        </is>
      </c>
    </row>
    <row r="83">
      <c r="A83" s="18" t="n">
        <v>81</v>
      </c>
      <c r="B83" s="18" t="inlineStr">
        <is>
          <t>ยา Midazolam หน้าร้านมีปายโฆษณาติดอยูว่า “ยาสมุนไพร อีอี สำหรับรักษา โรคเบาหวาน”</t>
        </is>
      </c>
      <c r="C83" s="18" t="n"/>
      <c r="D83" s="18" t="inlineStr">
        <is>
          <t>Standardized Curcuminoids in Curcuma longa</t>
        </is>
      </c>
      <c r="E83" s="18" t="inlineStr">
        <is>
          <t>Standardized Andrographolide in Andrographis paniculata</t>
        </is>
      </c>
      <c r="F83" s="18" t="inlineStr">
        <is>
          <t>Senna glycosides (Sennosides A &amp; B) Extraction</t>
        </is>
      </c>
      <c r="G83" s="18" t="inlineStr">
        <is>
          <t>Centella asiatica (Madecassoside &amp; Asiaticoside)</t>
        </is>
      </c>
      <c r="H83" s="18" t="inlineStr">
        <is>
          <t>Gingerol quantification in Zingiber officinale</t>
        </is>
      </c>
      <c r="I83" s="18" t="n">
        <v>1</v>
      </c>
      <c r="J83" s="18"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8" t="n"/>
      <c r="L83" s="18" t="inlineStr">
        <is>
          <t>Herbal Extraction methods</t>
        </is>
      </c>
      <c r="M83" s="18" t="inlineStr">
        <is>
          <t>Product</t>
        </is>
      </c>
      <c r="N83" s="18" t="inlineStr">
        <is>
          <t>ข้อ 5 (PLE_CC1_Key_Rx20_UBU.md)</t>
        </is>
      </c>
      <c r="O83" s="18" t="inlineStr">
        <is>
          <t>Mock</t>
        </is>
      </c>
      <c r="P83" s="18" t="inlineStr">
        <is>
          <t>Mock Rx20 UBU</t>
        </is>
      </c>
    </row>
    <row r="84">
      <c r="A84" s="18" t="n">
        <v>82</v>
      </c>
      <c r="B84" s="18" t="inlineStr">
        <is>
          <t>สมุนไพรที่ลดไขมันได</t>
        </is>
      </c>
      <c r="C84" s="18" t="n"/>
      <c r="D84" s="18" t="inlineStr">
        <is>
          <t>Centella asiatica (Madecassoside &amp; Asiaticoside)</t>
        </is>
      </c>
      <c r="E84" s="18" t="inlineStr">
        <is>
          <t>Gingerol quantification in Zingiber officinale</t>
        </is>
      </c>
      <c r="F84" s="18" t="inlineStr">
        <is>
          <t>Maceration with Ethanol 70% solvent</t>
        </is>
      </c>
      <c r="G84" s="18" t="inlineStr">
        <is>
          <t>Soxhlet Extraction for heat-stable phytochemicals</t>
        </is>
      </c>
      <c r="H84" s="18" t="inlineStr">
        <is>
          <t>Supercritical Fluid Extraction (SFE-CO2)</t>
        </is>
      </c>
      <c r="I84" s="18" t="n">
        <v>1</v>
      </c>
      <c r="J84" s="18"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8" t="n"/>
      <c r="L84" s="18" t="inlineStr">
        <is>
          <t>Herbal Extraction methods</t>
        </is>
      </c>
      <c r="M84" s="18" t="inlineStr">
        <is>
          <t>Product</t>
        </is>
      </c>
      <c r="N84" s="18" t="inlineStr">
        <is>
          <t>ข้อ 15 (PLE_CC1_Key_Rx20_UBU.md)</t>
        </is>
      </c>
      <c r="O84" s="18" t="inlineStr">
        <is>
          <t>Mock</t>
        </is>
      </c>
      <c r="P84" s="18" t="inlineStr">
        <is>
          <t>Mock Rx20 UBU</t>
        </is>
      </c>
    </row>
    <row r="85">
      <c r="A85" s="18" t="n">
        <v>83</v>
      </c>
      <c r="B85" s="18" t="inlineStr">
        <is>
          <t>เพื่อให้เกิดการพัฒนาอุตสาหกรรมการผลิตยา สมุนไพร ชีววัตถุ ภายในประเทศเพื่อพึ่งพาตัวเองมากยิ่งขึ้น</t>
        </is>
      </c>
      <c r="C85" s="18" t="n"/>
      <c r="D85" s="18" t="inlineStr">
        <is>
          <t>Soxhlet Extraction for heat-stable phytochemicals</t>
        </is>
      </c>
      <c r="E85" s="18" t="inlineStr">
        <is>
          <t>Supercritical Fluid Extraction (SFE-CO2)</t>
        </is>
      </c>
      <c r="F85" s="18" t="inlineStr">
        <is>
          <t>Standardized Curcuminoids in Curcuma longa</t>
        </is>
      </c>
      <c r="G85" s="18" t="inlineStr">
        <is>
          <t>Standardized Andrographolide in Andrographis paniculata</t>
        </is>
      </c>
      <c r="H85" s="18" t="inlineStr">
        <is>
          <t>Senna glycosides (Sennosides A &amp; B) Extraction</t>
        </is>
      </c>
      <c r="I85" s="18" t="n">
        <v>1</v>
      </c>
      <c r="J85" s="18"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8" t="n"/>
      <c r="L85" s="18" t="inlineStr">
        <is>
          <t>Herbal Extraction methods</t>
        </is>
      </c>
      <c r="M85" s="18" t="inlineStr">
        <is>
          <t>Product</t>
        </is>
      </c>
      <c r="N85" s="18" t="inlineStr">
        <is>
          <t>ข้อ 2 (PLE_CC1_Key_Rx20_UBU.md)</t>
        </is>
      </c>
      <c r="O85" s="18" t="inlineStr">
        <is>
          <t>Mock</t>
        </is>
      </c>
      <c r="P85" s="18" t="inlineStr">
        <is>
          <t>Mock Rx20 UBU</t>
        </is>
      </c>
    </row>
    <row r="86">
      <c r="A86" s="18" t="n">
        <v>84</v>
      </c>
      <c r="B86" s="18" t="inlineStr">
        <is>
          <t>สมุนไพรใดสามารถลดอาการอาเจียนได้</t>
        </is>
      </c>
      <c r="C86" s="18" t="n"/>
      <c r="D86" s="18" t="inlineStr">
        <is>
          <t>ขิง</t>
        </is>
      </c>
      <c r="E86" s="18" t="inlineStr">
        <is>
          <t>กะเพรา</t>
        </is>
      </c>
      <c r="F86" s="18" t="inlineStr">
        <is>
          <t>โหระพา</t>
        </is>
      </c>
      <c r="G86" s="18" t="inlineStr">
        <is>
          <t>กล้วย</t>
        </is>
      </c>
      <c r="H86" s="18"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18" t="n">
        <v>1</v>
      </c>
      <c r="J86" s="18"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ค. (โหระพา): ข้อนี้ไม่ใช่คำตอบที่ถูกต้องสำหรับภาวะ Herbal Extraction methods เนื่องจากกลไกการออกฤทธิ์, efficacy หรือข้อบ่งใช้ไม่ตรงกับโจทย์ที่กำหนด
• ข้อ ง. (กล้วย):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8" t="n"/>
      <c r="L86" s="18" t="inlineStr">
        <is>
          <t>Herbal Extraction methods</t>
        </is>
      </c>
      <c r="M86" s="18" t="inlineStr">
        <is>
          <t>Product</t>
        </is>
      </c>
      <c r="N86" s="18" t="inlineStr">
        <is>
          <t>ข้อ 27 (PLE_CC1_Key_Rx20_UBU.md)</t>
        </is>
      </c>
      <c r="O86" s="18" t="inlineStr">
        <is>
          <t>Mock</t>
        </is>
      </c>
      <c r="P86" s="18" t="inlineStr">
        <is>
          <t>Mock Rx20 UBU</t>
        </is>
      </c>
    </row>
    <row r="87">
      <c r="A87" s="18" t="n">
        <v>85</v>
      </c>
      <c r="B87" s="18" t="inlineStr">
        <is>
          <t>สมุนไพรใด ไม่ควรใช้ร่วมกับ NSAIDs</t>
        </is>
      </c>
      <c r="C87" s="18" t="n"/>
      <c r="D87" s="18" t="inlineStr">
        <is>
          <t>ดองดึง</t>
        </is>
      </c>
      <c r="E87" s="18" t="inlineStr">
        <is>
          <t>เถาวัลย์เปรียง</t>
        </is>
      </c>
      <c r="F87" s="18" t="inlineStr">
        <is>
          <t>ไพล</t>
        </is>
      </c>
      <c r="G87" s="18" t="inlineStr">
        <is>
          <t>บัวบก</t>
        </is>
      </c>
      <c r="H87" s="18"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18" t="n">
        <v>2</v>
      </c>
      <c r="J87" s="18"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ค. (ไพล): ข้อนี้ไม่ใช่คำตอบที่ถูกต้องสำหรับภาวะ Herbal Extraction methods เนื่องจากกลไกการออกฤทธิ์, efficacy หรือข้อบ่งใช้ไม่ตรงกับโจทย์ที่กำหนด
• ข้อ ง. (บัวบก):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8" t="n"/>
      <c r="L87" s="18" t="inlineStr">
        <is>
          <t>Herbal Extraction methods</t>
        </is>
      </c>
      <c r="M87" s="18" t="inlineStr">
        <is>
          <t>Product</t>
        </is>
      </c>
      <c r="N87" s="18" t="inlineStr">
        <is>
          <t>ข้อ 108 (PLE_CC1_Key_Rx20_UBU.md)</t>
        </is>
      </c>
      <c r="O87" s="18" t="inlineStr">
        <is>
          <t>Mock</t>
        </is>
      </c>
      <c r="P87" s="18" t="inlineStr">
        <is>
          <t>Mock Rx20 UBU</t>
        </is>
      </c>
    </row>
  </sheetData>
  <mergeCells count="1">
    <mergeCell ref="A1:P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2026-09-24T15:23:29Z</dcterms:modified>
</cp:coreProperties>
</file>